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256" windowHeight="11136" tabRatio="599" firstSheet="7" activeTab="11"/>
  </bookViews>
  <sheets>
    <sheet name="1. Standard_Cost" sheetId="2" r:id="rId1"/>
    <sheet name="Incremental_Cost Year 1" sheetId="1" r:id="rId2"/>
    <sheet name="Incremental_Cost Year 2" sheetId="12" r:id="rId3"/>
    <sheet name="Incremental_Cost Year 3" sheetId="13" r:id="rId4"/>
    <sheet name="Incremental_Cost Year 4" sheetId="14" r:id="rId5"/>
    <sheet name="Incremental_Cost Year 5" sheetId="15" r:id="rId6"/>
    <sheet name="Incremental_Cost Year 6" sheetId="16" r:id="rId7"/>
    <sheet name="Incremental_Cost Year 7" sheetId="17" r:id="rId8"/>
    <sheet name="Incremental_Cost Year 8" sheetId="21" r:id="rId9"/>
    <sheet name="Incremental_Cost Year 9" sheetId="22" r:id="rId10"/>
    <sheet name="Incremental_Cost Year 10" sheetId="23" r:id="rId11"/>
    <sheet name="Summary for IPSIS" sheetId="18" r:id="rId12"/>
  </sheets>
  <externalReferences>
    <externalReference r:id="rId13"/>
    <externalReference r:id="rId14"/>
    <externalReference r:id="rId15"/>
  </externalReferences>
  <definedNames>
    <definedName name="_xlnm.Print_Area" localSheetId="1">'Incremental_Cost Year 1'!$A$1:$BB$30</definedName>
    <definedName name="_xlnm.Print_Area" localSheetId="10">'Incremental_Cost Year 10'!$A$1:$BA$57</definedName>
    <definedName name="_xlnm.Print_Area" localSheetId="2">'Incremental_Cost Year 2'!$A$1:$BB$80</definedName>
    <definedName name="_xlnm.Print_Area" localSheetId="3">'Incremental_Cost Year 3'!$A$1:$BA$71</definedName>
    <definedName name="_xlnm.Print_Area" localSheetId="4">'Incremental_Cost Year 4'!$A$1:$BA$57</definedName>
    <definedName name="_xlnm.Print_Area" localSheetId="5">'Incremental_Cost Year 5'!$A$1:$BA$57</definedName>
    <definedName name="_xlnm.Print_Area" localSheetId="6">'Incremental_Cost Year 6'!$A$1:$BA$57</definedName>
    <definedName name="_xlnm.Print_Area" localSheetId="7">'Incremental_Cost Year 7'!$A$1:$BA$57</definedName>
    <definedName name="_xlnm.Print_Area" localSheetId="8">'Incremental_Cost Year 8'!$A$1:$BA$57</definedName>
    <definedName name="_xlnm.Print_Area" localSheetId="9">'Incremental_Cost Year 9'!$A$1:$BA$57</definedName>
    <definedName name="_xlnm.Print_Titles" localSheetId="1">'Incremental_Cost Year 1'!$C:$H</definedName>
    <definedName name="_xlnm.Print_Titles" localSheetId="10">'Incremental_Cost Year 10'!$C:$H</definedName>
    <definedName name="_xlnm.Print_Titles" localSheetId="2">'Incremental_Cost Year 2'!$C:$H</definedName>
    <definedName name="_xlnm.Print_Titles" localSheetId="3">'Incremental_Cost Year 3'!$C:$H</definedName>
    <definedName name="_xlnm.Print_Titles" localSheetId="4">'Incremental_Cost Year 4'!$C:$H</definedName>
    <definedName name="_xlnm.Print_Titles" localSheetId="5">'Incremental_Cost Year 5'!$C:$H</definedName>
    <definedName name="_xlnm.Print_Titles" localSheetId="6">'Incremental_Cost Year 6'!$C:$H</definedName>
    <definedName name="_xlnm.Print_Titles" localSheetId="7">'Incremental_Cost Year 7'!$C:$H</definedName>
    <definedName name="_xlnm.Print_Titles" localSheetId="8">'Incremental_Cost Year 8'!$C:$H</definedName>
    <definedName name="_xlnm.Print_Titles" localSheetId="9">'Incremental_Cost Year 9'!$C:$H</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214" i="1"/>
  <c r="AN214"/>
  <c r="AM227"/>
  <c r="AN227" s="1"/>
  <c r="AM209"/>
  <c r="AN209"/>
  <c r="AM210"/>
  <c r="AN210"/>
  <c r="AM211"/>
  <c r="AN211"/>
  <c r="AM205"/>
  <c r="AN205"/>
  <c r="AM206"/>
  <c r="AN206" s="1"/>
  <c r="AM207"/>
  <c r="AN207"/>
  <c r="AM208"/>
  <c r="AN208" s="1"/>
  <c r="AM195"/>
  <c r="AN195"/>
  <c r="AM196"/>
  <c r="AN196"/>
  <c r="AM197"/>
  <c r="AN197"/>
  <c r="AM198"/>
  <c r="AN198"/>
  <c r="AM199"/>
  <c r="AN199"/>
  <c r="AM200"/>
  <c r="AN200"/>
  <c r="AM176"/>
  <c r="AN176"/>
  <c r="AM177"/>
  <c r="AN177"/>
  <c r="AM166"/>
  <c r="AN166" s="1"/>
  <c r="AM167"/>
  <c r="AN167"/>
  <c r="AM155"/>
  <c r="AN155"/>
  <c r="AM156"/>
  <c r="AN156"/>
  <c r="AM157"/>
  <c r="AN157"/>
  <c r="AM152"/>
  <c r="AN152" s="1"/>
  <c r="AM153"/>
  <c r="AN153" s="1"/>
  <c r="AM144"/>
  <c r="AM145"/>
  <c r="AN145"/>
  <c r="AM146"/>
  <c r="AN146"/>
  <c r="AM147"/>
  <c r="AN147"/>
  <c r="AM148"/>
  <c r="AN148"/>
  <c r="AM131"/>
  <c r="AN131" s="1"/>
  <c r="BD115" i="23" l="1"/>
  <c r="BE115"/>
  <c r="BF115"/>
  <c r="BG115"/>
  <c r="BH115"/>
  <c r="BI115"/>
  <c r="BD116"/>
  <c r="BE116"/>
  <c r="BG116"/>
  <c r="BH116"/>
  <c r="BI116"/>
  <c r="BD117"/>
  <c r="BE117"/>
  <c r="BF117"/>
  <c r="BG117"/>
  <c r="BH117"/>
  <c r="BI117"/>
  <c r="BD118"/>
  <c r="BE118"/>
  <c r="BF118"/>
  <c r="BG118"/>
  <c r="BH118"/>
  <c r="BI118"/>
  <c r="BD119"/>
  <c r="BE119"/>
  <c r="BF119"/>
  <c r="BG119"/>
  <c r="BH119"/>
  <c r="BI119"/>
  <c r="BD120"/>
  <c r="BE120"/>
  <c r="BF120"/>
  <c r="BG120"/>
  <c r="BH120"/>
  <c r="BI120"/>
  <c r="BD121"/>
  <c r="BE121"/>
  <c r="BF121"/>
  <c r="BG121"/>
  <c r="BH121"/>
  <c r="BI121"/>
  <c r="BD122"/>
  <c r="BE122"/>
  <c r="BF122"/>
  <c r="BG122"/>
  <c r="BH122"/>
  <c r="BI122"/>
  <c r="BD123"/>
  <c r="BE123"/>
  <c r="BF123"/>
  <c r="BG123"/>
  <c r="BH123"/>
  <c r="BI123"/>
  <c r="BD124"/>
  <c r="BE124"/>
  <c r="BF124"/>
  <c r="BG124"/>
  <c r="BH124"/>
  <c r="BI124"/>
  <c r="BD125"/>
  <c r="BE125"/>
  <c r="BF125"/>
  <c r="BG125"/>
  <c r="BH125"/>
  <c r="BI125"/>
  <c r="BD126"/>
  <c r="BE126"/>
  <c r="BF126"/>
  <c r="BG126"/>
  <c r="BH126"/>
  <c r="BI126"/>
  <c r="BD127"/>
  <c r="BE127"/>
  <c r="BF127"/>
  <c r="BG127"/>
  <c r="BH127"/>
  <c r="BI127"/>
  <c r="BD128"/>
  <c r="BE128"/>
  <c r="BF128"/>
  <c r="BG128"/>
  <c r="BH128"/>
  <c r="BI128"/>
  <c r="BD129"/>
  <c r="BE129"/>
  <c r="BF129"/>
  <c r="BG129"/>
  <c r="BH129"/>
  <c r="BI129"/>
  <c r="BD130"/>
  <c r="BE130"/>
  <c r="BF130"/>
  <c r="BG130"/>
  <c r="BH130"/>
  <c r="BI130"/>
  <c r="BD131"/>
  <c r="BE131"/>
  <c r="BF131"/>
  <c r="BG131"/>
  <c r="BH131"/>
  <c r="BI131"/>
  <c r="BD132"/>
  <c r="BE132"/>
  <c r="BF132"/>
  <c r="BG132"/>
  <c r="BH132"/>
  <c r="BI132"/>
  <c r="BD133"/>
  <c r="BE133"/>
  <c r="BF133"/>
  <c r="BG133"/>
  <c r="BH133"/>
  <c r="BI133"/>
  <c r="BD134"/>
  <c r="BE134"/>
  <c r="BF134"/>
  <c r="BG134"/>
  <c r="BH134"/>
  <c r="BI134"/>
  <c r="BD135"/>
  <c r="BE135"/>
  <c r="BF135"/>
  <c r="BG135"/>
  <c r="BH135"/>
  <c r="BI135"/>
  <c r="BD137"/>
  <c r="BE137"/>
  <c r="BF137"/>
  <c r="BG137"/>
  <c r="BH137"/>
  <c r="BI137"/>
  <c r="BD138"/>
  <c r="BE138"/>
  <c r="BF138"/>
  <c r="BG138"/>
  <c r="BH138"/>
  <c r="BI138"/>
  <c r="BD140"/>
  <c r="BE140"/>
  <c r="BF140"/>
  <c r="BG140"/>
  <c r="BH140"/>
  <c r="BI140"/>
  <c r="BD141"/>
  <c r="BE141"/>
  <c r="BF141"/>
  <c r="BG141"/>
  <c r="BH141"/>
  <c r="BI141"/>
  <c r="BD144"/>
  <c r="BE144"/>
  <c r="BF144"/>
  <c r="BG144"/>
  <c r="BH144"/>
  <c r="BI144"/>
  <c r="BD145"/>
  <c r="BE145"/>
  <c r="BF145"/>
  <c r="BG145"/>
  <c r="BH145"/>
  <c r="BI145"/>
  <c r="BD146"/>
  <c r="BE146"/>
  <c r="BF146"/>
  <c r="BG146"/>
  <c r="BH146"/>
  <c r="BI146"/>
  <c r="BD147"/>
  <c r="BE147"/>
  <c r="BF147"/>
  <c r="BG147"/>
  <c r="BH147"/>
  <c r="BI147"/>
  <c r="BD148"/>
  <c r="BE148"/>
  <c r="BF148"/>
  <c r="BG148"/>
  <c r="BH148"/>
  <c r="BI148"/>
  <c r="BD149"/>
  <c r="BE149"/>
  <c r="BF149"/>
  <c r="BG149"/>
  <c r="BH149"/>
  <c r="BI149"/>
  <c r="BD150"/>
  <c r="BE150"/>
  <c r="BF150"/>
  <c r="BG150"/>
  <c r="BH150"/>
  <c r="BI150"/>
  <c r="BD151"/>
  <c r="BE151"/>
  <c r="BF151"/>
  <c r="BG151"/>
  <c r="BH151"/>
  <c r="BI151"/>
  <c r="BD152"/>
  <c r="BE152"/>
  <c r="BF152"/>
  <c r="BG152"/>
  <c r="BH152"/>
  <c r="BI152"/>
  <c r="BD153"/>
  <c r="BE153"/>
  <c r="BF153"/>
  <c r="BG153"/>
  <c r="BH153"/>
  <c r="BI153"/>
  <c r="BD154"/>
  <c r="BE154"/>
  <c r="BF154"/>
  <c r="BG154"/>
  <c r="BH154"/>
  <c r="BI154"/>
  <c r="BD155"/>
  <c r="BE155"/>
  <c r="BF155"/>
  <c r="BG155"/>
  <c r="BH155"/>
  <c r="BI155"/>
  <c r="BD156"/>
  <c r="BE156"/>
  <c r="BF156"/>
  <c r="BG156"/>
  <c r="BH156"/>
  <c r="BI156"/>
  <c r="BD157"/>
  <c r="BE157"/>
  <c r="BF157"/>
  <c r="BG157"/>
  <c r="BH157"/>
  <c r="BI157"/>
  <c r="BD158"/>
  <c r="BE158"/>
  <c r="BF158"/>
  <c r="BG158"/>
  <c r="BH158"/>
  <c r="BI158"/>
  <c r="BD159"/>
  <c r="BE159"/>
  <c r="BF159"/>
  <c r="BG159"/>
  <c r="BH159"/>
  <c r="BI159"/>
  <c r="BD160"/>
  <c r="BE160"/>
  <c r="BF160"/>
  <c r="BG160"/>
  <c r="BH160"/>
  <c r="BI160"/>
  <c r="BD161"/>
  <c r="BE161"/>
  <c r="BF161"/>
  <c r="BG161"/>
  <c r="BH161"/>
  <c r="BI161"/>
  <c r="BD162"/>
  <c r="BE162"/>
  <c r="BF162"/>
  <c r="BG162"/>
  <c r="BH162"/>
  <c r="BI162"/>
  <c r="BD163"/>
  <c r="BE163"/>
  <c r="BF163"/>
  <c r="BG163"/>
  <c r="BH163"/>
  <c r="BI163"/>
  <c r="BD164"/>
  <c r="BE164"/>
  <c r="BF164"/>
  <c r="BG164"/>
  <c r="BH164"/>
  <c r="BI164"/>
  <c r="BD165"/>
  <c r="BE165"/>
  <c r="BF165"/>
  <c r="BG165"/>
  <c r="BH165"/>
  <c r="BI165"/>
  <c r="BD166"/>
  <c r="BE166"/>
  <c r="BF166"/>
  <c r="BG166"/>
  <c r="BH166"/>
  <c r="BI166"/>
  <c r="BD167"/>
  <c r="BE167"/>
  <c r="BF167"/>
  <c r="BG167"/>
  <c r="BH167"/>
  <c r="BI167"/>
  <c r="BD169"/>
  <c r="BE169"/>
  <c r="BF169"/>
  <c r="BG169"/>
  <c r="BH169"/>
  <c r="BI169"/>
  <c r="BD170"/>
  <c r="BE170"/>
  <c r="BF170"/>
  <c r="BG170"/>
  <c r="BH170"/>
  <c r="BI170"/>
  <c r="BD171"/>
  <c r="BE171"/>
  <c r="BF171"/>
  <c r="BG171"/>
  <c r="BH171"/>
  <c r="BI171"/>
  <c r="BD172"/>
  <c r="BE172"/>
  <c r="BF172"/>
  <c r="BG172"/>
  <c r="BH172"/>
  <c r="BI172"/>
  <c r="BD173"/>
  <c r="BE173"/>
  <c r="BF173"/>
  <c r="BG173"/>
  <c r="BH173"/>
  <c r="BI173"/>
  <c r="BD174"/>
  <c r="BE174"/>
  <c r="BF174"/>
  <c r="BG174"/>
  <c r="BH174"/>
  <c r="BI174"/>
  <c r="BD175"/>
  <c r="BE175"/>
  <c r="BF175"/>
  <c r="BG175"/>
  <c r="BH175"/>
  <c r="BI175"/>
  <c r="BD176"/>
  <c r="BE176"/>
  <c r="BF176"/>
  <c r="BG176"/>
  <c r="BH176"/>
  <c r="BI176"/>
  <c r="BD177"/>
  <c r="BE177"/>
  <c r="BF177"/>
  <c r="BG177"/>
  <c r="BH177"/>
  <c r="BI177"/>
  <c r="BD180"/>
  <c r="BE180"/>
  <c r="BF180"/>
  <c r="BG180"/>
  <c r="BH180"/>
  <c r="BI180"/>
  <c r="BD181"/>
  <c r="BE181"/>
  <c r="BF181"/>
  <c r="BG181"/>
  <c r="BH181"/>
  <c r="BI181"/>
  <c r="BD182"/>
  <c r="BE182"/>
  <c r="BF182"/>
  <c r="BG182"/>
  <c r="BH182"/>
  <c r="BI182"/>
  <c r="BD183"/>
  <c r="BE183"/>
  <c r="BF183"/>
  <c r="BG183"/>
  <c r="BH183"/>
  <c r="BI183"/>
  <c r="BD184"/>
  <c r="BE184"/>
  <c r="BF184"/>
  <c r="BG184"/>
  <c r="BH184"/>
  <c r="BI184"/>
  <c r="BD185"/>
  <c r="BE185"/>
  <c r="BF185"/>
  <c r="BG185"/>
  <c r="BH185"/>
  <c r="BI185"/>
  <c r="BD186"/>
  <c r="BE186"/>
  <c r="BF186"/>
  <c r="BG186"/>
  <c r="BH186"/>
  <c r="BI186"/>
  <c r="BD187"/>
  <c r="BE187"/>
  <c r="BF187"/>
  <c r="BG187"/>
  <c r="BH187"/>
  <c r="BI187"/>
  <c r="BD188"/>
  <c r="BE188"/>
  <c r="BF188"/>
  <c r="BG188"/>
  <c r="BH188"/>
  <c r="BI188"/>
  <c r="BD189"/>
  <c r="BE189"/>
  <c r="BF189"/>
  <c r="BG189"/>
  <c r="BH189"/>
  <c r="BI189"/>
  <c r="BD190"/>
  <c r="BE190"/>
  <c r="BF190"/>
  <c r="BG190"/>
  <c r="BH190"/>
  <c r="BI190"/>
  <c r="BD191"/>
  <c r="BE191"/>
  <c r="BF191"/>
  <c r="BG191"/>
  <c r="BH191"/>
  <c r="BI191"/>
  <c r="BD192"/>
  <c r="BE192"/>
  <c r="BF192"/>
  <c r="BG192"/>
  <c r="BH192"/>
  <c r="BI192"/>
  <c r="BD193"/>
  <c r="BE193"/>
  <c r="BF193"/>
  <c r="BG193"/>
  <c r="BH193"/>
  <c r="BI193"/>
  <c r="BD194"/>
  <c r="BE194"/>
  <c r="BF194"/>
  <c r="BG194"/>
  <c r="BH194"/>
  <c r="BI194"/>
  <c r="BD195"/>
  <c r="BE195"/>
  <c r="BF195"/>
  <c r="BG195"/>
  <c r="BH195"/>
  <c r="BI195"/>
  <c r="BD196"/>
  <c r="BE196"/>
  <c r="BF196"/>
  <c r="BG196"/>
  <c r="BH196"/>
  <c r="BI196"/>
  <c r="BD197"/>
  <c r="BE197"/>
  <c r="BF197"/>
  <c r="BG197"/>
  <c r="BH197"/>
  <c r="BI197"/>
  <c r="BD198"/>
  <c r="BE198"/>
  <c r="BF198"/>
  <c r="BG198"/>
  <c r="BH198"/>
  <c r="BI198"/>
  <c r="BD199"/>
  <c r="BE199"/>
  <c r="BF199"/>
  <c r="BG199"/>
  <c r="BH199"/>
  <c r="BI199"/>
  <c r="BD200"/>
  <c r="BE200"/>
  <c r="BG200"/>
  <c r="BH200"/>
  <c r="BI200"/>
  <c r="BD203"/>
  <c r="BE203"/>
  <c r="BF203"/>
  <c r="BG203"/>
  <c r="BH203"/>
  <c r="BI203"/>
  <c r="BD204"/>
  <c r="BE204"/>
  <c r="BF204"/>
  <c r="BG204"/>
  <c r="BH204"/>
  <c r="BI204"/>
  <c r="BD205"/>
  <c r="BE205"/>
  <c r="BG205"/>
  <c r="BH205"/>
  <c r="BI205"/>
  <c r="BD206"/>
  <c r="BE206"/>
  <c r="BG206"/>
  <c r="BH206"/>
  <c r="BI206"/>
  <c r="BD207"/>
  <c r="BE207"/>
  <c r="BF207"/>
  <c r="BG207"/>
  <c r="BH207"/>
  <c r="BI207"/>
  <c r="BD208"/>
  <c r="BE208"/>
  <c r="BF208"/>
  <c r="BG208"/>
  <c r="BH208"/>
  <c r="BI208"/>
  <c r="BD209"/>
  <c r="BE209"/>
  <c r="BF209"/>
  <c r="BG209"/>
  <c r="BH209"/>
  <c r="BI209"/>
  <c r="BD210"/>
  <c r="BE210"/>
  <c r="BF210"/>
  <c r="BG210"/>
  <c r="BH210"/>
  <c r="BI210"/>
  <c r="BD211"/>
  <c r="BE211"/>
  <c r="BG211"/>
  <c r="BH211"/>
  <c r="BI211"/>
  <c r="BD212"/>
  <c r="BE212"/>
  <c r="BF212"/>
  <c r="BG212"/>
  <c r="BH212"/>
  <c r="BI212"/>
  <c r="BD213"/>
  <c r="BE213"/>
  <c r="BG213"/>
  <c r="BH213"/>
  <c r="BI213"/>
  <c r="BD214"/>
  <c r="BE214"/>
  <c r="BG214"/>
  <c r="BH214"/>
  <c r="BI214"/>
  <c r="BD215"/>
  <c r="BE215"/>
  <c r="BF215"/>
  <c r="BG215"/>
  <c r="BH215"/>
  <c r="BI215"/>
  <c r="BD216"/>
  <c r="BE216"/>
  <c r="BF216"/>
  <c r="BG216"/>
  <c r="BH216"/>
  <c r="BI216"/>
  <c r="BD217"/>
  <c r="BE217"/>
  <c r="BG217"/>
  <c r="BH217"/>
  <c r="BI217"/>
  <c r="BD218"/>
  <c r="BE218"/>
  <c r="BF218"/>
  <c r="BG218"/>
  <c r="BH218"/>
  <c r="BI218"/>
  <c r="BD219"/>
  <c r="BE219"/>
  <c r="BF219"/>
  <c r="BG219"/>
  <c r="BH219"/>
  <c r="BI219"/>
  <c r="BD220"/>
  <c r="BE220"/>
  <c r="BF220"/>
  <c r="BG220"/>
  <c r="BH220"/>
  <c r="BI220"/>
  <c r="BD221"/>
  <c r="BE221"/>
  <c r="BF221"/>
  <c r="BG221"/>
  <c r="BH221"/>
  <c r="BI221"/>
  <c r="BD225"/>
  <c r="BE225"/>
  <c r="BF225"/>
  <c r="BG225"/>
  <c r="BH225"/>
  <c r="BI225"/>
  <c r="BD226"/>
  <c r="BE226"/>
  <c r="BG226"/>
  <c r="BH226"/>
  <c r="BI226"/>
  <c r="BD227"/>
  <c r="BE227"/>
  <c r="BF227"/>
  <c r="BG227"/>
  <c r="BH227"/>
  <c r="BI227"/>
  <c r="BD228"/>
  <c r="BE228"/>
  <c r="BF228"/>
  <c r="BG228"/>
  <c r="BH228"/>
  <c r="BI228"/>
  <c r="BD229"/>
  <c r="BE229"/>
  <c r="BF229"/>
  <c r="BG229"/>
  <c r="BH229"/>
  <c r="BI229"/>
  <c r="BD230"/>
  <c r="BE230"/>
  <c r="BG230"/>
  <c r="BH230"/>
  <c r="BI230"/>
  <c r="BD231"/>
  <c r="BE231"/>
  <c r="BG231"/>
  <c r="BH231"/>
  <c r="BI231"/>
  <c r="BD233"/>
  <c r="BE233"/>
  <c r="BF233"/>
  <c r="BG233"/>
  <c r="BH233"/>
  <c r="BI233"/>
  <c r="BD234"/>
  <c r="BE234"/>
  <c r="BF234"/>
  <c r="BG234"/>
  <c r="BH234"/>
  <c r="BI234"/>
  <c r="BD235"/>
  <c r="BE235"/>
  <c r="BF235"/>
  <c r="BG235"/>
  <c r="BH235"/>
  <c r="BI235"/>
  <c r="BD237"/>
  <c r="BE237"/>
  <c r="BF237"/>
  <c r="BG237"/>
  <c r="BH237"/>
  <c r="BI237"/>
  <c r="BD238"/>
  <c r="BE238"/>
  <c r="BF238"/>
  <c r="BG238"/>
  <c r="BH238"/>
  <c r="BI238"/>
  <c r="BD239"/>
  <c r="BE239"/>
  <c r="BF239"/>
  <c r="BG239"/>
  <c r="BH239"/>
  <c r="BI239"/>
  <c r="BD240"/>
  <c r="BE240"/>
  <c r="BF240"/>
  <c r="BG240"/>
  <c r="BH240"/>
  <c r="BI240"/>
  <c r="BD241"/>
  <c r="BE241"/>
  <c r="BF241"/>
  <c r="BG241"/>
  <c r="BH241"/>
  <c r="BI241"/>
  <c r="BI114"/>
  <c r="BI112"/>
  <c r="AM134" i="16" l="1"/>
  <c r="AN134"/>
  <c r="AM135"/>
  <c r="AN135"/>
  <c r="AB131"/>
  <c r="T241" i="15"/>
  <c r="AE158"/>
  <c r="S141"/>
  <c r="AM133"/>
  <c r="AN133"/>
  <c r="AM134"/>
  <c r="AN134"/>
  <c r="AB131"/>
  <c r="R213" i="14"/>
  <c r="S213"/>
  <c r="AE177"/>
  <c r="T144"/>
  <c r="AM134"/>
  <c r="AN134"/>
  <c r="AM135"/>
  <c r="AN135"/>
  <c r="AB131"/>
  <c r="AM226" i="13" l="1"/>
  <c r="AN226"/>
  <c r="AM227"/>
  <c r="AN227"/>
  <c r="AM228"/>
  <c r="AN228"/>
  <c r="AM229"/>
  <c r="AN229"/>
  <c r="AM230"/>
  <c r="AN230"/>
  <c r="AM231"/>
  <c r="AN231"/>
  <c r="AE230"/>
  <c r="AE198"/>
  <c r="T190"/>
  <c r="AU113"/>
  <c r="AV113"/>
  <c r="AW113"/>
  <c r="AX113"/>
  <c r="AB131"/>
  <c r="AE110"/>
  <c r="AM241"/>
  <c r="AN241" s="1"/>
  <c r="AM240"/>
  <c r="AN240" s="1"/>
  <c r="AM239"/>
  <c r="AN239" s="1"/>
  <c r="AM238"/>
  <c r="AN238" s="1"/>
  <c r="AM237"/>
  <c r="AN237" s="1"/>
  <c r="AM235"/>
  <c r="AN235" s="1"/>
  <c r="AM234"/>
  <c r="AN234" s="1"/>
  <c r="AM233"/>
  <c r="AN233" s="1"/>
  <c r="AM225"/>
  <c r="AN225" s="1"/>
  <c r="AM221"/>
  <c r="AN221" s="1"/>
  <c r="AM220"/>
  <c r="AN220" s="1"/>
  <c r="AM219"/>
  <c r="AN219" s="1"/>
  <c r="AM218"/>
  <c r="AN218" s="1"/>
  <c r="AM217"/>
  <c r="AN217" s="1"/>
  <c r="AM216"/>
  <c r="AN216" s="1"/>
  <c r="AM215"/>
  <c r="AN215" s="1"/>
  <c r="AM214"/>
  <c r="AN214" s="1"/>
  <c r="AM213"/>
  <c r="AN213" s="1"/>
  <c r="AM212"/>
  <c r="AN212" s="1"/>
  <c r="AM211"/>
  <c r="AN211" s="1"/>
  <c r="AM210"/>
  <c r="AN210" s="1"/>
  <c r="AM209"/>
  <c r="AN209" s="1"/>
  <c r="AM208"/>
  <c r="AN208" s="1"/>
  <c r="AM207"/>
  <c r="AN207" s="1"/>
  <c r="AM206"/>
  <c r="AN206" s="1"/>
  <c r="AM205"/>
  <c r="AN205" s="1"/>
  <c r="AM204"/>
  <c r="AN204" s="1"/>
  <c r="AM203"/>
  <c r="AN203" s="1"/>
  <c r="AM200"/>
  <c r="AN200" s="1"/>
  <c r="AM199"/>
  <c r="AN199" s="1"/>
  <c r="AM198"/>
  <c r="AN198" s="1"/>
  <c r="AM197"/>
  <c r="AN197" s="1"/>
  <c r="AM196"/>
  <c r="AN196" s="1"/>
  <c r="AM195"/>
  <c r="AN195" s="1"/>
  <c r="AM194"/>
  <c r="AN194" s="1"/>
  <c r="AM193"/>
  <c r="AN193" s="1"/>
  <c r="AM192"/>
  <c r="AN192" s="1"/>
  <c r="AM191"/>
  <c r="AN191" s="1"/>
  <c r="AM190"/>
  <c r="AN190" s="1"/>
  <c r="AM189"/>
  <c r="AN189" s="1"/>
  <c r="AM188"/>
  <c r="AN188" s="1"/>
  <c r="AM187"/>
  <c r="AN187" s="1"/>
  <c r="AM186"/>
  <c r="AN186" s="1"/>
  <c r="AM185"/>
  <c r="AN185" s="1"/>
  <c r="AM184"/>
  <c r="AN184" s="1"/>
  <c r="AM183"/>
  <c r="AN183" s="1"/>
  <c r="AM182"/>
  <c r="AN182" s="1"/>
  <c r="AM181"/>
  <c r="AN181" s="1"/>
  <c r="AM180"/>
  <c r="AN180" s="1"/>
  <c r="AM177"/>
  <c r="AN177" s="1"/>
  <c r="AM176"/>
  <c r="AN176" s="1"/>
  <c r="AM175"/>
  <c r="AN175" s="1"/>
  <c r="AM174"/>
  <c r="AN174" s="1"/>
  <c r="AM173"/>
  <c r="AN173" s="1"/>
  <c r="AM172"/>
  <c r="AN172" s="1"/>
  <c r="AM171"/>
  <c r="AN171" s="1"/>
  <c r="AM170"/>
  <c r="AN170" s="1"/>
  <c r="AM169"/>
  <c r="AN169" s="1"/>
  <c r="AM167"/>
  <c r="AN167" s="1"/>
  <c r="AM166"/>
  <c r="AN166" s="1"/>
  <c r="AM165"/>
  <c r="AN165" s="1"/>
  <c r="AM164"/>
  <c r="AN164" s="1"/>
  <c r="AM163"/>
  <c r="AN163" s="1"/>
  <c r="AM162"/>
  <c r="AN162" s="1"/>
  <c r="AM161"/>
  <c r="AN161" s="1"/>
  <c r="AM160"/>
  <c r="AN160" s="1"/>
  <c r="AM159"/>
  <c r="AN159" s="1"/>
  <c r="AM158"/>
  <c r="AN158" s="1"/>
  <c r="AM157"/>
  <c r="AN157" s="1"/>
  <c r="AM156"/>
  <c r="AN156" s="1"/>
  <c r="AM155"/>
  <c r="AN155" s="1"/>
  <c r="AM154"/>
  <c r="AN154" s="1"/>
  <c r="AM153"/>
  <c r="AN153" s="1"/>
  <c r="AM152"/>
  <c r="AN152" s="1"/>
  <c r="AM151"/>
  <c r="AN151" s="1"/>
  <c r="AM150"/>
  <c r="AN150" s="1"/>
  <c r="AM149"/>
  <c r="AN149" s="1"/>
  <c r="AM148"/>
  <c r="AN148" s="1"/>
  <c r="AM147"/>
  <c r="AN147" s="1"/>
  <c r="AM146"/>
  <c r="AN146" s="1"/>
  <c r="AM145"/>
  <c r="AN145" s="1"/>
  <c r="AM144"/>
  <c r="AN144" s="1"/>
  <c r="AM141"/>
  <c r="AN141" s="1"/>
  <c r="AM140"/>
  <c r="AN140" s="1"/>
  <c r="AM138"/>
  <c r="AN138" s="1"/>
  <c r="AM137"/>
  <c r="AN137" s="1"/>
  <c r="AM134"/>
  <c r="AN134" s="1"/>
  <c r="AM133"/>
  <c r="AN133" s="1"/>
  <c r="AM132"/>
  <c r="AN132" s="1"/>
  <c r="AM131"/>
  <c r="AN131" s="1"/>
  <c r="AM130"/>
  <c r="AN130" s="1"/>
  <c r="AM129"/>
  <c r="AN129" s="1"/>
  <c r="AM128"/>
  <c r="AN128" s="1"/>
  <c r="AM127"/>
  <c r="AN127" s="1"/>
  <c r="AM126"/>
  <c r="AN126" s="1"/>
  <c r="AM125"/>
  <c r="AN125" s="1"/>
  <c r="AM124"/>
  <c r="AN124" s="1"/>
  <c r="AM123"/>
  <c r="AN123" s="1"/>
  <c r="AM122"/>
  <c r="AN122" s="1"/>
  <c r="AM121"/>
  <c r="AN121" s="1"/>
  <c r="AM120"/>
  <c r="AN120" s="1"/>
  <c r="AM119"/>
  <c r="AN119" s="1"/>
  <c r="AM118"/>
  <c r="AN118" s="1"/>
  <c r="AM117"/>
  <c r="AN117" s="1"/>
  <c r="AM116"/>
  <c r="AN116" s="1"/>
  <c r="AM115"/>
  <c r="AN115" s="1"/>
  <c r="AM114"/>
  <c r="AN114" s="1"/>
  <c r="AN112"/>
  <c r="AM112"/>
  <c r="AM111"/>
  <c r="AN111" s="1"/>
  <c r="AN110"/>
  <c r="AM110"/>
  <c r="AM109"/>
  <c r="AN109" s="1"/>
  <c r="AN108"/>
  <c r="AM108"/>
  <c r="AM107"/>
  <c r="AN107" s="1"/>
  <c r="AN106"/>
  <c r="AM106"/>
  <c r="AM105"/>
  <c r="AN105" s="1"/>
  <c r="AN104"/>
  <c r="AM104"/>
  <c r="AM103"/>
  <c r="AN103" s="1"/>
  <c r="AN102"/>
  <c r="AM102"/>
  <c r="AM95"/>
  <c r="AN95"/>
  <c r="AM96"/>
  <c r="AN96"/>
  <c r="AM97"/>
  <c r="AN97"/>
  <c r="AM98"/>
  <c r="AN98"/>
  <c r="AM99"/>
  <c r="AN99"/>
  <c r="AM100"/>
  <c r="AN100"/>
  <c r="AN94"/>
  <c r="AM94"/>
  <c r="AM226" i="12"/>
  <c r="AN226"/>
  <c r="AM227"/>
  <c r="AN227"/>
  <c r="AM228"/>
  <c r="AN228"/>
  <c r="AM229"/>
  <c r="AN229"/>
  <c r="AM230"/>
  <c r="AN230"/>
  <c r="AM231"/>
  <c r="AN231"/>
  <c r="AM204"/>
  <c r="AN204"/>
  <c r="AM205"/>
  <c r="AN205"/>
  <c r="AM206"/>
  <c r="AN206"/>
  <c r="AM207"/>
  <c r="AN207"/>
  <c r="AM208"/>
  <c r="AN208"/>
  <c r="AM209"/>
  <c r="AN209"/>
  <c r="AM210"/>
  <c r="AN210"/>
  <c r="AM211"/>
  <c r="AN211"/>
  <c r="AM212"/>
  <c r="AN212"/>
  <c r="AM213"/>
  <c r="AN213"/>
  <c r="AM214"/>
  <c r="AN214"/>
  <c r="AM215"/>
  <c r="AN215"/>
  <c r="AM216"/>
  <c r="AN216"/>
  <c r="AM217"/>
  <c r="AN217"/>
  <c r="AM218"/>
  <c r="AN218"/>
  <c r="AM219"/>
  <c r="AN219"/>
  <c r="AM220"/>
  <c r="AN220"/>
  <c r="AM221"/>
  <c r="AN221"/>
  <c r="AM203"/>
  <c r="AM194"/>
  <c r="AN194" s="1"/>
  <c r="AM195"/>
  <c r="AN195" s="1"/>
  <c r="AM196"/>
  <c r="AN196" s="1"/>
  <c r="AM197"/>
  <c r="AN197" s="1"/>
  <c r="AM198"/>
  <c r="AN198" s="1"/>
  <c r="AM199"/>
  <c r="AN199" s="1"/>
  <c r="AM200"/>
  <c r="AN200" s="1"/>
  <c r="AM176"/>
  <c r="AN176"/>
  <c r="AM177"/>
  <c r="AN177"/>
  <c r="AM166"/>
  <c r="AN166"/>
  <c r="AM167"/>
  <c r="AN167"/>
  <c r="AM155"/>
  <c r="AN155"/>
  <c r="AM156"/>
  <c r="AN156" s="1"/>
  <c r="AM152"/>
  <c r="AN152"/>
  <c r="AM145"/>
  <c r="AN145" s="1"/>
  <c r="AM146"/>
  <c r="AN146" s="1"/>
  <c r="AM147"/>
  <c r="AN147" s="1"/>
  <c r="AM148"/>
  <c r="AN148" s="1"/>
  <c r="AM149"/>
  <c r="AN149" s="1"/>
  <c r="AM131"/>
  <c r="AN131"/>
  <c r="AS131" s="1"/>
  <c r="AM132"/>
  <c r="AN132"/>
  <c r="AV222"/>
  <c r="AW222"/>
  <c r="AV168"/>
  <c r="AW168"/>
  <c r="AX168"/>
  <c r="AY168"/>
  <c r="AZ168"/>
  <c r="BA168"/>
  <c r="AY136"/>
  <c r="AZ136"/>
  <c r="BA136"/>
  <c r="AM133"/>
  <c r="AN133" s="1"/>
  <c r="AM134"/>
  <c r="AN134"/>
  <c r="AM135"/>
  <c r="AN135" s="1"/>
  <c r="AB131"/>
  <c r="AM231" i="1"/>
  <c r="AN231" s="1"/>
  <c r="AS231" s="1"/>
  <c r="AC240"/>
  <c r="AC235"/>
  <c r="AS227" i="13" l="1"/>
  <c r="AT227" s="1"/>
  <c r="L226"/>
  <c r="M226"/>
  <c r="AQ226" s="1"/>
  <c r="T226"/>
  <c r="Y226"/>
  <c r="AA226"/>
  <c r="AB226" s="1"/>
  <c r="AC226"/>
  <c r="AS226"/>
  <c r="R94" i="1"/>
  <c r="S94"/>
  <c r="T94"/>
  <c r="U94"/>
  <c r="R95"/>
  <c r="S95"/>
  <c r="T95"/>
  <c r="U95"/>
  <c r="R96"/>
  <c r="S96"/>
  <c r="T96"/>
  <c r="U96"/>
  <c r="R97"/>
  <c r="S97"/>
  <c r="T97"/>
  <c r="U97"/>
  <c r="R98"/>
  <c r="S98"/>
  <c r="T98"/>
  <c r="U98"/>
  <c r="R99"/>
  <c r="S99"/>
  <c r="T99"/>
  <c r="U99"/>
  <c r="R100"/>
  <c r="S100"/>
  <c r="T100"/>
  <c r="U100"/>
  <c r="R101"/>
  <c r="S101"/>
  <c r="T101"/>
  <c r="U101"/>
  <c r="R102"/>
  <c r="S102"/>
  <c r="T102"/>
  <c r="U102"/>
  <c r="R103"/>
  <c r="S103"/>
  <c r="T103"/>
  <c r="U103"/>
  <c r="R104"/>
  <c r="S104"/>
  <c r="T104"/>
  <c r="U104"/>
  <c r="R105"/>
  <c r="S105"/>
  <c r="T105"/>
  <c r="U105"/>
  <c r="R106"/>
  <c r="S106"/>
  <c r="T106"/>
  <c r="U106"/>
  <c r="R107"/>
  <c r="S107"/>
  <c r="T107"/>
  <c r="U107"/>
  <c r="R108"/>
  <c r="S108"/>
  <c r="T108"/>
  <c r="U108"/>
  <c r="R109"/>
  <c r="S109"/>
  <c r="T109"/>
  <c r="U109"/>
  <c r="R110"/>
  <c r="S110"/>
  <c r="T110"/>
  <c r="U110"/>
  <c r="R111"/>
  <c r="S111"/>
  <c r="T111"/>
  <c r="U111"/>
  <c r="R112"/>
  <c r="S112"/>
  <c r="S113" s="1"/>
  <c r="T112"/>
  <c r="U112"/>
  <c r="R113"/>
  <c r="T113"/>
  <c r="U113"/>
  <c r="R114"/>
  <c r="S114"/>
  <c r="T114"/>
  <c r="U114"/>
  <c r="T115"/>
  <c r="R116"/>
  <c r="S116"/>
  <c r="T116"/>
  <c r="U116"/>
  <c r="R117"/>
  <c r="S117"/>
  <c r="T117"/>
  <c r="U117"/>
  <c r="R118"/>
  <c r="S118"/>
  <c r="T118"/>
  <c r="U118"/>
  <c r="R119"/>
  <c r="S119"/>
  <c r="T119"/>
  <c r="U119"/>
  <c r="R120"/>
  <c r="S120"/>
  <c r="T120"/>
  <c r="U120"/>
  <c r="R121"/>
  <c r="S121"/>
  <c r="T121"/>
  <c r="U121"/>
  <c r="R122"/>
  <c r="S122"/>
  <c r="T122"/>
  <c r="U122"/>
  <c r="R123"/>
  <c r="S123"/>
  <c r="T123"/>
  <c r="U123"/>
  <c r="R124"/>
  <c r="S124"/>
  <c r="T124"/>
  <c r="U124"/>
  <c r="R125"/>
  <c r="S125"/>
  <c r="T125"/>
  <c r="U125"/>
  <c r="R126"/>
  <c r="S126"/>
  <c r="T126"/>
  <c r="U126"/>
  <c r="R127"/>
  <c r="S127"/>
  <c r="T127"/>
  <c r="U127"/>
  <c r="R128"/>
  <c r="S128"/>
  <c r="T128"/>
  <c r="U128"/>
  <c r="R129"/>
  <c r="S129"/>
  <c r="T129"/>
  <c r="U129"/>
  <c r="T130"/>
  <c r="R131"/>
  <c r="S131"/>
  <c r="T131"/>
  <c r="U131"/>
  <c r="R132"/>
  <c r="S132"/>
  <c r="T132"/>
  <c r="U132"/>
  <c r="R133"/>
  <c r="S133"/>
  <c r="T133"/>
  <c r="U133"/>
  <c r="R134"/>
  <c r="S134"/>
  <c r="T134"/>
  <c r="U134"/>
  <c r="R135"/>
  <c r="S135"/>
  <c r="T135"/>
  <c r="U135"/>
  <c r="T136"/>
  <c r="R137"/>
  <c r="S137"/>
  <c r="T137"/>
  <c r="U137"/>
  <c r="R138"/>
  <c r="S138"/>
  <c r="T138"/>
  <c r="U138"/>
  <c r="R139"/>
  <c r="S139"/>
  <c r="T139"/>
  <c r="U139"/>
  <c r="R140"/>
  <c r="S140"/>
  <c r="T140"/>
  <c r="U140"/>
  <c r="R141"/>
  <c r="S141"/>
  <c r="T141"/>
  <c r="T142" s="1"/>
  <c r="U141"/>
  <c r="R142"/>
  <c r="S142"/>
  <c r="R144"/>
  <c r="S144"/>
  <c r="T144"/>
  <c r="U144"/>
  <c r="R145"/>
  <c r="S145"/>
  <c r="T145"/>
  <c r="U145"/>
  <c r="R146"/>
  <c r="S146"/>
  <c r="T146"/>
  <c r="U146"/>
  <c r="R147"/>
  <c r="S147"/>
  <c r="T147"/>
  <c r="U147"/>
  <c r="R148"/>
  <c r="S148"/>
  <c r="T148"/>
  <c r="U148"/>
  <c r="R149"/>
  <c r="S149"/>
  <c r="T149"/>
  <c r="U149"/>
  <c r="R150"/>
  <c r="S150"/>
  <c r="T150"/>
  <c r="U150"/>
  <c r="R151"/>
  <c r="S151"/>
  <c r="T151"/>
  <c r="U151"/>
  <c r="R152"/>
  <c r="S152"/>
  <c r="T152"/>
  <c r="U152"/>
  <c r="R153"/>
  <c r="S153"/>
  <c r="T153"/>
  <c r="U153"/>
  <c r="R154"/>
  <c r="S154"/>
  <c r="T154"/>
  <c r="U154"/>
  <c r="R155"/>
  <c r="S155"/>
  <c r="T155"/>
  <c r="U155"/>
  <c r="R156"/>
  <c r="S156"/>
  <c r="T156"/>
  <c r="U156"/>
  <c r="R157"/>
  <c r="S157"/>
  <c r="T157"/>
  <c r="U157"/>
  <c r="T158"/>
  <c r="R159"/>
  <c r="S159"/>
  <c r="T159"/>
  <c r="U159"/>
  <c r="R160"/>
  <c r="S160"/>
  <c r="T160"/>
  <c r="U160"/>
  <c r="R161"/>
  <c r="S161"/>
  <c r="T161"/>
  <c r="U161"/>
  <c r="R162"/>
  <c r="S162"/>
  <c r="T162"/>
  <c r="U162"/>
  <c r="R163"/>
  <c r="S163"/>
  <c r="T163"/>
  <c r="U163"/>
  <c r="R164"/>
  <c r="S164"/>
  <c r="T164"/>
  <c r="U164"/>
  <c r="R165"/>
  <c r="S165"/>
  <c r="T165"/>
  <c r="U165"/>
  <c r="R166"/>
  <c r="S166"/>
  <c r="T166"/>
  <c r="U166"/>
  <c r="R167"/>
  <c r="S167"/>
  <c r="T167"/>
  <c r="U167"/>
  <c r="S168"/>
  <c r="R169"/>
  <c r="S169"/>
  <c r="T169"/>
  <c r="U169"/>
  <c r="R170"/>
  <c r="S170"/>
  <c r="T170"/>
  <c r="U170"/>
  <c r="R171"/>
  <c r="S171"/>
  <c r="T171"/>
  <c r="U171"/>
  <c r="R172"/>
  <c r="S172"/>
  <c r="T172"/>
  <c r="U172"/>
  <c r="R173"/>
  <c r="S173"/>
  <c r="T173"/>
  <c r="U173"/>
  <c r="R174"/>
  <c r="S174"/>
  <c r="T174"/>
  <c r="U174"/>
  <c r="R175"/>
  <c r="S175"/>
  <c r="T175"/>
  <c r="U175"/>
  <c r="R176"/>
  <c r="S176"/>
  <c r="T176"/>
  <c r="U176"/>
  <c r="R177"/>
  <c r="S177"/>
  <c r="T177"/>
  <c r="U177"/>
  <c r="R178"/>
  <c r="S178"/>
  <c r="T178"/>
  <c r="U178"/>
  <c r="R180"/>
  <c r="S180"/>
  <c r="T180"/>
  <c r="U180"/>
  <c r="R181"/>
  <c r="S181"/>
  <c r="T181"/>
  <c r="U181"/>
  <c r="R182"/>
  <c r="S182"/>
  <c r="T182"/>
  <c r="U182"/>
  <c r="R183"/>
  <c r="S183"/>
  <c r="T183"/>
  <c r="U183"/>
  <c r="R184"/>
  <c r="S184"/>
  <c r="T184"/>
  <c r="U184"/>
  <c r="R185"/>
  <c r="S185"/>
  <c r="T185"/>
  <c r="U185"/>
  <c r="R186"/>
  <c r="S186"/>
  <c r="T186"/>
  <c r="U186"/>
  <c r="R187"/>
  <c r="S187"/>
  <c r="T187"/>
  <c r="U187"/>
  <c r="R188"/>
  <c r="S188"/>
  <c r="T188"/>
  <c r="U188"/>
  <c r="R189"/>
  <c r="S189"/>
  <c r="T189"/>
  <c r="U189"/>
  <c r="R190"/>
  <c r="S190"/>
  <c r="T190"/>
  <c r="U190"/>
  <c r="R191"/>
  <c r="S191"/>
  <c r="T191"/>
  <c r="U191"/>
  <c r="R192"/>
  <c r="S192"/>
  <c r="T192"/>
  <c r="U192"/>
  <c r="R193"/>
  <c r="S193"/>
  <c r="T193"/>
  <c r="U193"/>
  <c r="R194"/>
  <c r="S194"/>
  <c r="T194"/>
  <c r="U194"/>
  <c r="R195"/>
  <c r="S195"/>
  <c r="T195"/>
  <c r="U195"/>
  <c r="R196"/>
  <c r="S196"/>
  <c r="T196"/>
  <c r="U196"/>
  <c r="R197"/>
  <c r="S197"/>
  <c r="T197"/>
  <c r="U197"/>
  <c r="R198"/>
  <c r="S198"/>
  <c r="T198"/>
  <c r="U198"/>
  <c r="R199"/>
  <c r="S199"/>
  <c r="T199"/>
  <c r="U199"/>
  <c r="R200"/>
  <c r="S200"/>
  <c r="T200"/>
  <c r="U200"/>
  <c r="R201"/>
  <c r="R179" s="1"/>
  <c r="S201"/>
  <c r="S179" s="1"/>
  <c r="T201"/>
  <c r="T179" s="1"/>
  <c r="U201"/>
  <c r="U179" s="1"/>
  <c r="R203"/>
  <c r="S203"/>
  <c r="T203"/>
  <c r="U203"/>
  <c r="R204"/>
  <c r="S204"/>
  <c r="T204"/>
  <c r="U204"/>
  <c r="R205"/>
  <c r="S205"/>
  <c r="T205"/>
  <c r="U205"/>
  <c r="R206"/>
  <c r="S206"/>
  <c r="T206"/>
  <c r="U206"/>
  <c r="R207"/>
  <c r="S207"/>
  <c r="T207"/>
  <c r="U207"/>
  <c r="R208"/>
  <c r="S208"/>
  <c r="T208"/>
  <c r="U208"/>
  <c r="R209"/>
  <c r="S209"/>
  <c r="T209"/>
  <c r="U209"/>
  <c r="R210"/>
  <c r="S210"/>
  <c r="T210"/>
  <c r="U210"/>
  <c r="R211"/>
  <c r="S211"/>
  <c r="T211"/>
  <c r="U211"/>
  <c r="R212"/>
  <c r="S212"/>
  <c r="T212"/>
  <c r="U212"/>
  <c r="R213"/>
  <c r="S213"/>
  <c r="T213"/>
  <c r="U213"/>
  <c r="R214"/>
  <c r="S214"/>
  <c r="T214"/>
  <c r="U214"/>
  <c r="R215"/>
  <c r="S215"/>
  <c r="T215"/>
  <c r="U215"/>
  <c r="R216"/>
  <c r="S216"/>
  <c r="T216"/>
  <c r="U216"/>
  <c r="T217"/>
  <c r="R218"/>
  <c r="S218"/>
  <c r="T218"/>
  <c r="U218"/>
  <c r="R219"/>
  <c r="S219"/>
  <c r="T219"/>
  <c r="U219"/>
  <c r="R220"/>
  <c r="S220"/>
  <c r="T220"/>
  <c r="U220"/>
  <c r="R221"/>
  <c r="S221"/>
  <c r="T221"/>
  <c r="U221"/>
  <c r="U222"/>
  <c r="U202" s="1"/>
  <c r="R225"/>
  <c r="S225"/>
  <c r="T225"/>
  <c r="U225"/>
  <c r="R226"/>
  <c r="S226"/>
  <c r="T226"/>
  <c r="U226"/>
  <c r="U232" s="1"/>
  <c r="R227"/>
  <c r="S227"/>
  <c r="T227"/>
  <c r="U227"/>
  <c r="R228"/>
  <c r="S228"/>
  <c r="T228"/>
  <c r="U228"/>
  <c r="R229"/>
  <c r="S229"/>
  <c r="T229"/>
  <c r="U229"/>
  <c r="R230"/>
  <c r="S230"/>
  <c r="T230"/>
  <c r="U230"/>
  <c r="R231"/>
  <c r="S231"/>
  <c r="T231"/>
  <c r="U231"/>
  <c r="R232"/>
  <c r="S232"/>
  <c r="R233"/>
  <c r="S233"/>
  <c r="T233"/>
  <c r="U233"/>
  <c r="R234"/>
  <c r="S234"/>
  <c r="T234"/>
  <c r="U234"/>
  <c r="R235"/>
  <c r="S235"/>
  <c r="S236" s="1"/>
  <c r="T235"/>
  <c r="U235"/>
  <c r="R236"/>
  <c r="R237"/>
  <c r="S237"/>
  <c r="T237"/>
  <c r="U237"/>
  <c r="R238"/>
  <c r="S238"/>
  <c r="T238"/>
  <c r="U238"/>
  <c r="R239"/>
  <c r="S239"/>
  <c r="T239"/>
  <c r="U239"/>
  <c r="R240"/>
  <c r="S240"/>
  <c r="T240"/>
  <c r="U240"/>
  <c r="R241"/>
  <c r="S241"/>
  <c r="T241"/>
  <c r="U241"/>
  <c r="R242"/>
  <c r="S242"/>
  <c r="T242"/>
  <c r="U242"/>
  <c r="R94" i="13"/>
  <c r="S94"/>
  <c r="T94"/>
  <c r="U94"/>
  <c r="R95"/>
  <c r="S95"/>
  <c r="T95"/>
  <c r="U95"/>
  <c r="R96"/>
  <c r="S96"/>
  <c r="T96"/>
  <c r="U96"/>
  <c r="R97"/>
  <c r="S97"/>
  <c r="T97"/>
  <c r="U97"/>
  <c r="R98"/>
  <c r="S98"/>
  <c r="T98"/>
  <c r="U98"/>
  <c r="R99"/>
  <c r="S99"/>
  <c r="T99"/>
  <c r="U99"/>
  <c r="R100"/>
  <c r="S100"/>
  <c r="T100"/>
  <c r="U100"/>
  <c r="R101"/>
  <c r="S101"/>
  <c r="T101"/>
  <c r="U101"/>
  <c r="R102"/>
  <c r="S102"/>
  <c r="T102"/>
  <c r="U102"/>
  <c r="R103"/>
  <c r="S103"/>
  <c r="T103"/>
  <c r="U103"/>
  <c r="R104"/>
  <c r="S104"/>
  <c r="T104"/>
  <c r="U104"/>
  <c r="R105"/>
  <c r="S105"/>
  <c r="T105"/>
  <c r="U105"/>
  <c r="R106"/>
  <c r="S106"/>
  <c r="T106"/>
  <c r="U106"/>
  <c r="R107"/>
  <c r="S107"/>
  <c r="T107"/>
  <c r="U107"/>
  <c r="R108"/>
  <c r="S108"/>
  <c r="T108"/>
  <c r="R109"/>
  <c r="S109"/>
  <c r="T109"/>
  <c r="U109"/>
  <c r="T110"/>
  <c r="T111"/>
  <c r="R112"/>
  <c r="S112"/>
  <c r="T112"/>
  <c r="U112"/>
  <c r="R113"/>
  <c r="S113"/>
  <c r="T113"/>
  <c r="U113"/>
  <c r="R114"/>
  <c r="S114"/>
  <c r="T114"/>
  <c r="U114"/>
  <c r="T115"/>
  <c r="R116"/>
  <c r="S116"/>
  <c r="T116"/>
  <c r="U116"/>
  <c r="R117"/>
  <c r="S117"/>
  <c r="T117"/>
  <c r="U117"/>
  <c r="R118"/>
  <c r="S118"/>
  <c r="T118"/>
  <c r="U118"/>
  <c r="R119"/>
  <c r="S119"/>
  <c r="T119"/>
  <c r="U119"/>
  <c r="R120"/>
  <c r="S120"/>
  <c r="T120"/>
  <c r="U120"/>
  <c r="R121"/>
  <c r="S121"/>
  <c r="T121"/>
  <c r="U121"/>
  <c r="R122"/>
  <c r="S122"/>
  <c r="T122"/>
  <c r="U122"/>
  <c r="R123"/>
  <c r="S123"/>
  <c r="T123"/>
  <c r="U123"/>
  <c r="R124"/>
  <c r="S124"/>
  <c r="T124"/>
  <c r="U124"/>
  <c r="R125"/>
  <c r="S125"/>
  <c r="T125"/>
  <c r="U125"/>
  <c r="R126"/>
  <c r="S126"/>
  <c r="T126"/>
  <c r="U126"/>
  <c r="R127"/>
  <c r="S127"/>
  <c r="T127"/>
  <c r="U127"/>
  <c r="R128"/>
  <c r="S128"/>
  <c r="T128"/>
  <c r="U128"/>
  <c r="R129"/>
  <c r="S129"/>
  <c r="T129"/>
  <c r="U129"/>
  <c r="R130"/>
  <c r="S130"/>
  <c r="T130"/>
  <c r="U130"/>
  <c r="T131"/>
  <c r="T132"/>
  <c r="R133"/>
  <c r="S133"/>
  <c r="T133"/>
  <c r="U133"/>
  <c r="R134"/>
  <c r="S134"/>
  <c r="T134"/>
  <c r="U134"/>
  <c r="R135"/>
  <c r="S135"/>
  <c r="T135"/>
  <c r="U135"/>
  <c r="R136"/>
  <c r="S136"/>
  <c r="T136"/>
  <c r="U136"/>
  <c r="R137"/>
  <c r="S137"/>
  <c r="T137"/>
  <c r="U137"/>
  <c r="R138"/>
  <c r="S138"/>
  <c r="T138"/>
  <c r="U138"/>
  <c r="R139"/>
  <c r="S139"/>
  <c r="T139"/>
  <c r="U139"/>
  <c r="R140"/>
  <c r="S140"/>
  <c r="T140"/>
  <c r="U140"/>
  <c r="S141"/>
  <c r="T141"/>
  <c r="R142"/>
  <c r="S142"/>
  <c r="T142"/>
  <c r="U142"/>
  <c r="R144"/>
  <c r="S144"/>
  <c r="T144"/>
  <c r="U144"/>
  <c r="R145"/>
  <c r="S145"/>
  <c r="T145"/>
  <c r="U145"/>
  <c r="R146"/>
  <c r="S146"/>
  <c r="T146"/>
  <c r="U146"/>
  <c r="R147"/>
  <c r="S147"/>
  <c r="T147"/>
  <c r="U147"/>
  <c r="R148"/>
  <c r="S148"/>
  <c r="T148"/>
  <c r="U148"/>
  <c r="R149"/>
  <c r="S149"/>
  <c r="T149"/>
  <c r="U149"/>
  <c r="R150"/>
  <c r="S150"/>
  <c r="T150"/>
  <c r="U150"/>
  <c r="R151"/>
  <c r="S151"/>
  <c r="T151"/>
  <c r="U151"/>
  <c r="R152"/>
  <c r="S152"/>
  <c r="T152"/>
  <c r="U152"/>
  <c r="T153"/>
  <c r="R154"/>
  <c r="S154"/>
  <c r="T154"/>
  <c r="U154"/>
  <c r="R155"/>
  <c r="S155"/>
  <c r="T155"/>
  <c r="U155"/>
  <c r="R156"/>
  <c r="S156"/>
  <c r="T156"/>
  <c r="U156"/>
  <c r="R157"/>
  <c r="S157"/>
  <c r="T157"/>
  <c r="U157"/>
  <c r="T158"/>
  <c r="R159"/>
  <c r="S159"/>
  <c r="T159"/>
  <c r="U159"/>
  <c r="R160"/>
  <c r="S160"/>
  <c r="T160"/>
  <c r="U160"/>
  <c r="R161"/>
  <c r="S161"/>
  <c r="T161"/>
  <c r="U161"/>
  <c r="R162"/>
  <c r="S162"/>
  <c r="T162"/>
  <c r="U162"/>
  <c r="R163"/>
  <c r="S163"/>
  <c r="T163"/>
  <c r="U163"/>
  <c r="R164"/>
  <c r="S164"/>
  <c r="T164"/>
  <c r="U164"/>
  <c r="R165"/>
  <c r="S165"/>
  <c r="T165"/>
  <c r="U165"/>
  <c r="R166"/>
  <c r="S166"/>
  <c r="T166"/>
  <c r="U166"/>
  <c r="R167"/>
  <c r="S167"/>
  <c r="T167"/>
  <c r="U167"/>
  <c r="R168"/>
  <c r="S168"/>
  <c r="T168"/>
  <c r="U168"/>
  <c r="R169"/>
  <c r="S169"/>
  <c r="T169"/>
  <c r="U169"/>
  <c r="R170"/>
  <c r="S170"/>
  <c r="T170"/>
  <c r="U170"/>
  <c r="R171"/>
  <c r="S171"/>
  <c r="T171"/>
  <c r="U171"/>
  <c r="R172"/>
  <c r="S172"/>
  <c r="T172"/>
  <c r="U172"/>
  <c r="R173"/>
  <c r="S173"/>
  <c r="T173"/>
  <c r="U173"/>
  <c r="R174"/>
  <c r="S174"/>
  <c r="T174"/>
  <c r="U174"/>
  <c r="R175"/>
  <c r="S175"/>
  <c r="T175"/>
  <c r="R176"/>
  <c r="S176"/>
  <c r="T176"/>
  <c r="U176"/>
  <c r="T177"/>
  <c r="R178"/>
  <c r="S178"/>
  <c r="T178"/>
  <c r="U178"/>
  <c r="R180"/>
  <c r="S180"/>
  <c r="T180"/>
  <c r="U180"/>
  <c r="R181"/>
  <c r="S181"/>
  <c r="T181"/>
  <c r="U181"/>
  <c r="T182"/>
  <c r="R183"/>
  <c r="S183"/>
  <c r="T183"/>
  <c r="U183"/>
  <c r="R184"/>
  <c r="S184"/>
  <c r="T184"/>
  <c r="U184"/>
  <c r="R185"/>
  <c r="S185"/>
  <c r="T185"/>
  <c r="U185"/>
  <c r="R186"/>
  <c r="S186"/>
  <c r="T186"/>
  <c r="U186"/>
  <c r="R187"/>
  <c r="S187"/>
  <c r="T187"/>
  <c r="R188"/>
  <c r="S188"/>
  <c r="T188"/>
  <c r="U188"/>
  <c r="R189"/>
  <c r="S189"/>
  <c r="T189"/>
  <c r="U189"/>
  <c r="R191"/>
  <c r="S191"/>
  <c r="T191"/>
  <c r="U191"/>
  <c r="R192"/>
  <c r="S192"/>
  <c r="T192"/>
  <c r="U192"/>
  <c r="R193"/>
  <c r="S193"/>
  <c r="T193"/>
  <c r="U193"/>
  <c r="T194"/>
  <c r="R195"/>
  <c r="S195"/>
  <c r="T195"/>
  <c r="U195"/>
  <c r="R196"/>
  <c r="S196"/>
  <c r="T196"/>
  <c r="U196"/>
  <c r="T197"/>
  <c r="R198"/>
  <c r="S198"/>
  <c r="T198"/>
  <c r="U198"/>
  <c r="R199"/>
  <c r="S199"/>
  <c r="T199"/>
  <c r="U199"/>
  <c r="R200"/>
  <c r="S200"/>
  <c r="T200"/>
  <c r="U200"/>
  <c r="R201"/>
  <c r="R179" s="1"/>
  <c r="S201"/>
  <c r="S179" s="1"/>
  <c r="T201"/>
  <c r="T179" s="1"/>
  <c r="U201"/>
  <c r="U179" s="1"/>
  <c r="R203"/>
  <c r="S203"/>
  <c r="T203"/>
  <c r="U203"/>
  <c r="T204"/>
  <c r="R205"/>
  <c r="S205"/>
  <c r="T205"/>
  <c r="U205"/>
  <c r="R206"/>
  <c r="S206"/>
  <c r="T206"/>
  <c r="U206"/>
  <c r="R207"/>
  <c r="S207"/>
  <c r="T207"/>
  <c r="U207"/>
  <c r="T208"/>
  <c r="R209"/>
  <c r="S209"/>
  <c r="T209"/>
  <c r="U209"/>
  <c r="R210"/>
  <c r="S210"/>
  <c r="T210"/>
  <c r="U210"/>
  <c r="R211"/>
  <c r="S211"/>
  <c r="T211"/>
  <c r="U211"/>
  <c r="R212"/>
  <c r="S212"/>
  <c r="T212"/>
  <c r="U212"/>
  <c r="R214"/>
  <c r="S214"/>
  <c r="T214"/>
  <c r="U214"/>
  <c r="T215"/>
  <c r="R216"/>
  <c r="S216"/>
  <c r="T216"/>
  <c r="U216"/>
  <c r="R217"/>
  <c r="S217"/>
  <c r="T217"/>
  <c r="U217"/>
  <c r="T218"/>
  <c r="R219"/>
  <c r="S219"/>
  <c r="T219"/>
  <c r="U219"/>
  <c r="R220"/>
  <c r="S220"/>
  <c r="T220"/>
  <c r="U220"/>
  <c r="R221"/>
  <c r="S221"/>
  <c r="T221"/>
  <c r="U221"/>
  <c r="R222"/>
  <c r="R202" s="1"/>
  <c r="S222"/>
  <c r="S202" s="1"/>
  <c r="T222"/>
  <c r="T202" s="1"/>
  <c r="U222"/>
  <c r="U202" s="1"/>
  <c r="R225"/>
  <c r="S225"/>
  <c r="T225"/>
  <c r="U225"/>
  <c r="R227"/>
  <c r="S227"/>
  <c r="T227"/>
  <c r="U227"/>
  <c r="R228"/>
  <c r="S228"/>
  <c r="T228"/>
  <c r="U228"/>
  <c r="R229"/>
  <c r="S229"/>
  <c r="T229"/>
  <c r="U229"/>
  <c r="T230"/>
  <c r="R231"/>
  <c r="S231"/>
  <c r="T231"/>
  <c r="U231"/>
  <c r="R232"/>
  <c r="S232"/>
  <c r="T232"/>
  <c r="U232"/>
  <c r="R233"/>
  <c r="S233"/>
  <c r="T233"/>
  <c r="U233"/>
  <c r="R234"/>
  <c r="S234"/>
  <c r="T234"/>
  <c r="U234"/>
  <c r="R235"/>
  <c r="S235"/>
  <c r="T235"/>
  <c r="U235"/>
  <c r="R236"/>
  <c r="S236"/>
  <c r="T236"/>
  <c r="U236"/>
  <c r="R237"/>
  <c r="S237"/>
  <c r="T237"/>
  <c r="U237"/>
  <c r="R238"/>
  <c r="S238"/>
  <c r="T238"/>
  <c r="U238"/>
  <c r="R239"/>
  <c r="S239"/>
  <c r="T239"/>
  <c r="U239"/>
  <c r="R240"/>
  <c r="S240"/>
  <c r="T240"/>
  <c r="U240"/>
  <c r="T241"/>
  <c r="R242"/>
  <c r="S242"/>
  <c r="T242"/>
  <c r="U242"/>
  <c r="R168" i="1" l="1"/>
  <c r="U142"/>
  <c r="T232"/>
  <c r="R222"/>
  <c r="R202" s="1"/>
  <c r="U236"/>
  <c r="U224" s="1"/>
  <c r="U223" s="1"/>
  <c r="T236"/>
  <c r="U168"/>
  <c r="S136"/>
  <c r="S222"/>
  <c r="S202" s="1"/>
  <c r="T222"/>
  <c r="T202" s="1"/>
  <c r="T168"/>
  <c r="U136"/>
  <c r="R136"/>
  <c r="R224"/>
  <c r="R223" s="1"/>
  <c r="R143"/>
  <c r="S224"/>
  <c r="S223" s="1"/>
  <c r="S143"/>
  <c r="T224"/>
  <c r="T223" s="1"/>
  <c r="T143"/>
  <c r="U143"/>
  <c r="AF226" i="13"/>
  <c r="AR226" s="1"/>
  <c r="R224"/>
  <c r="R223" s="1"/>
  <c r="T143"/>
  <c r="S224"/>
  <c r="S223" s="1"/>
  <c r="U143"/>
  <c r="T224"/>
  <c r="T223" s="1"/>
  <c r="R143"/>
  <c r="U224"/>
  <c r="U223" s="1"/>
  <c r="S143"/>
  <c r="AT226" l="1"/>
  <c r="BB226" s="1"/>
  <c r="BF29" i="23"/>
  <c r="BE29"/>
  <c r="BG29"/>
  <c r="BH29"/>
  <c r="BI29"/>
  <c r="BI7" l="1"/>
  <c r="BH7"/>
  <c r="BG7"/>
  <c r="BF7"/>
  <c r="BE7"/>
  <c r="BD7"/>
  <c r="BJ220"/>
  <c r="BJ218"/>
  <c r="BJ216"/>
  <c r="BJ212"/>
  <c r="BJ210"/>
  <c r="BJ209"/>
  <c r="BJ208"/>
  <c r="BJ15"/>
  <c r="BJ17"/>
  <c r="BJ25"/>
  <c r="BJ232"/>
  <c r="BJ241"/>
  <c r="BA242"/>
  <c r="AZ242"/>
  <c r="AY242"/>
  <c r="AX242"/>
  <c r="AW242"/>
  <c r="AV242"/>
  <c r="AU242"/>
  <c r="BA236"/>
  <c r="AZ236"/>
  <c r="AZ224" s="1"/>
  <c r="AZ223" s="1"/>
  <c r="AY236"/>
  <c r="AX236"/>
  <c r="AW236"/>
  <c r="AV236"/>
  <c r="AU236"/>
  <c r="BA232"/>
  <c r="AZ232"/>
  <c r="AY232"/>
  <c r="AX232"/>
  <c r="AX224" s="1"/>
  <c r="AX223" s="1"/>
  <c r="AW232"/>
  <c r="AW224" s="1"/>
  <c r="AW223" s="1"/>
  <c r="AV232"/>
  <c r="AV224" s="1"/>
  <c r="AV223" s="1"/>
  <c r="AU232"/>
  <c r="AU224" s="1"/>
  <c r="AU223" s="1"/>
  <c r="BA224"/>
  <c r="BA223" s="1"/>
  <c r="AY224"/>
  <c r="AY223" s="1"/>
  <c r="BA222"/>
  <c r="BA202" s="1"/>
  <c r="AZ222"/>
  <c r="AY222"/>
  <c r="AX222"/>
  <c r="AW222"/>
  <c r="AV222"/>
  <c r="AU222"/>
  <c r="AZ202"/>
  <c r="AY202"/>
  <c r="AX202"/>
  <c r="AW202"/>
  <c r="AV202"/>
  <c r="AU202"/>
  <c r="BA201"/>
  <c r="AZ201"/>
  <c r="AY201"/>
  <c r="AX201"/>
  <c r="AW201"/>
  <c r="AW179" s="1"/>
  <c r="AV201"/>
  <c r="AU201"/>
  <c r="AU179" s="1"/>
  <c r="BA179"/>
  <c r="AZ179"/>
  <c r="AY179"/>
  <c r="AX179"/>
  <c r="AV179"/>
  <c r="BA178"/>
  <c r="AZ178"/>
  <c r="AY178"/>
  <c r="AX178"/>
  <c r="AW178"/>
  <c r="AV178"/>
  <c r="AV143" s="1"/>
  <c r="AU178"/>
  <c r="BA168"/>
  <c r="BA143" s="1"/>
  <c r="AZ168"/>
  <c r="AZ143" s="1"/>
  <c r="AY168"/>
  <c r="AX168"/>
  <c r="AW168"/>
  <c r="AV168"/>
  <c r="AU168"/>
  <c r="AY143"/>
  <c r="AX143"/>
  <c r="AW143"/>
  <c r="AU143"/>
  <c r="BA142"/>
  <c r="AZ142"/>
  <c r="AY142"/>
  <c r="AX142"/>
  <c r="AW142"/>
  <c r="AV142"/>
  <c r="AU142"/>
  <c r="BA139"/>
  <c r="AZ139"/>
  <c r="AY139"/>
  <c r="AX139"/>
  <c r="AW139"/>
  <c r="AW93" s="1"/>
  <c r="AW92" s="1"/>
  <c r="AV139"/>
  <c r="AU139"/>
  <c r="BA136"/>
  <c r="AZ136"/>
  <c r="AY136"/>
  <c r="AW136"/>
  <c r="AV136"/>
  <c r="AU127"/>
  <c r="AU136" s="1"/>
  <c r="AU93" s="1"/>
  <c r="AU126"/>
  <c r="AX116"/>
  <c r="AX136" s="1"/>
  <c r="AU116"/>
  <c r="BA113"/>
  <c r="AZ113"/>
  <c r="AY113"/>
  <c r="AX113"/>
  <c r="AW113"/>
  <c r="AV113"/>
  <c r="AU113"/>
  <c r="BA101"/>
  <c r="BA93" s="1"/>
  <c r="AZ101"/>
  <c r="AZ93" s="1"/>
  <c r="AY101"/>
  <c r="AY93" s="1"/>
  <c r="AY92" s="1"/>
  <c r="AX101"/>
  <c r="AX93" s="1"/>
  <c r="AX92" s="1"/>
  <c r="AW101"/>
  <c r="AV101"/>
  <c r="AU101"/>
  <c r="AV93"/>
  <c r="BA91"/>
  <c r="AZ91"/>
  <c r="AY91"/>
  <c r="AY80" s="1"/>
  <c r="AX91"/>
  <c r="AX80" s="1"/>
  <c r="AW91"/>
  <c r="AW80" s="1"/>
  <c r="AV91"/>
  <c r="AV80" s="1"/>
  <c r="AU91"/>
  <c r="AU80" s="1"/>
  <c r="BA80"/>
  <c r="AZ80"/>
  <c r="BA79"/>
  <c r="AZ79"/>
  <c r="AZ40" s="1"/>
  <c r="AZ31" s="1"/>
  <c r="AY79"/>
  <c r="AX79"/>
  <c r="AX40" s="1"/>
  <c r="AW79"/>
  <c r="AW40" s="1"/>
  <c r="AV79"/>
  <c r="AU79"/>
  <c r="BA59"/>
  <c r="AZ59"/>
  <c r="AY59"/>
  <c r="AX59"/>
  <c r="AW59"/>
  <c r="AV59"/>
  <c r="AV40" s="1"/>
  <c r="AU59"/>
  <c r="AU40" s="1"/>
  <c r="BA40"/>
  <c r="AY40"/>
  <c r="AY31" s="1"/>
  <c r="BA39"/>
  <c r="AZ39"/>
  <c r="AY39"/>
  <c r="AX39"/>
  <c r="AX32" s="1"/>
  <c r="AW39"/>
  <c r="AW32" s="1"/>
  <c r="AV39"/>
  <c r="AV32" s="1"/>
  <c r="AV31" s="1"/>
  <c r="AU39"/>
  <c r="AU32" s="1"/>
  <c r="BA32"/>
  <c r="BA31" s="1"/>
  <c r="AZ32"/>
  <c r="AY32"/>
  <c r="BA30"/>
  <c r="AZ30"/>
  <c r="AY30"/>
  <c r="AX30"/>
  <c r="AW30"/>
  <c r="AV30"/>
  <c r="AU30"/>
  <c r="BA25"/>
  <c r="AZ25"/>
  <c r="AY25"/>
  <c r="AY6" s="1"/>
  <c r="AY5" s="1"/>
  <c r="AX25"/>
  <c r="AX6" s="1"/>
  <c r="AX5" s="1"/>
  <c r="AW25"/>
  <c r="AV25"/>
  <c r="AU25"/>
  <c r="BA17"/>
  <c r="AZ17"/>
  <c r="AY17"/>
  <c r="AX17"/>
  <c r="AW17"/>
  <c r="AV17"/>
  <c r="AV6" s="1"/>
  <c r="AV5" s="1"/>
  <c r="AU17"/>
  <c r="BA15"/>
  <c r="BA6" s="1"/>
  <c r="BA5" s="1"/>
  <c r="AZ15"/>
  <c r="AZ6" s="1"/>
  <c r="AZ5" s="1"/>
  <c r="AY15"/>
  <c r="AX15"/>
  <c r="AW15"/>
  <c r="AV15"/>
  <c r="AU15"/>
  <c r="AW6"/>
  <c r="AW5" s="1"/>
  <c r="AU6"/>
  <c r="AU5" s="1"/>
  <c r="BA242" i="22"/>
  <c r="AZ242"/>
  <c r="AY242"/>
  <c r="AX242"/>
  <c r="AW242"/>
  <c r="AV242"/>
  <c r="AU242"/>
  <c r="BA236"/>
  <c r="BA224" s="1"/>
  <c r="BA223" s="1"/>
  <c r="AZ236"/>
  <c r="AY236"/>
  <c r="AX236"/>
  <c r="AW236"/>
  <c r="AW224" s="1"/>
  <c r="AW223" s="1"/>
  <c r="AV236"/>
  <c r="AU236"/>
  <c r="AU224" s="1"/>
  <c r="AU223" s="1"/>
  <c r="BA232"/>
  <c r="AZ232"/>
  <c r="AZ224" s="1"/>
  <c r="AZ223" s="1"/>
  <c r="AY232"/>
  <c r="AX232"/>
  <c r="AW232"/>
  <c r="AV232"/>
  <c r="AV224" s="1"/>
  <c r="AV223" s="1"/>
  <c r="AU232"/>
  <c r="AY224"/>
  <c r="AY223" s="1"/>
  <c r="AX224"/>
  <c r="AX223"/>
  <c r="BA222"/>
  <c r="BA202" s="1"/>
  <c r="AZ222"/>
  <c r="AY222"/>
  <c r="AY202" s="1"/>
  <c r="AX222"/>
  <c r="AW222"/>
  <c r="AW202" s="1"/>
  <c r="AV222"/>
  <c r="AU222"/>
  <c r="AZ202"/>
  <c r="AX202"/>
  <c r="AV202"/>
  <c r="AU202"/>
  <c r="BA201"/>
  <c r="BA179" s="1"/>
  <c r="AZ201"/>
  <c r="AY201"/>
  <c r="AY179" s="1"/>
  <c r="AX201"/>
  <c r="AW201"/>
  <c r="AV201"/>
  <c r="AU201"/>
  <c r="AU179" s="1"/>
  <c r="AZ179"/>
  <c r="AX179"/>
  <c r="AW179"/>
  <c r="AV179"/>
  <c r="BA178"/>
  <c r="BA143" s="1"/>
  <c r="AZ178"/>
  <c r="AY178"/>
  <c r="AX178"/>
  <c r="AW178"/>
  <c r="AW143" s="1"/>
  <c r="AV178"/>
  <c r="AU178"/>
  <c r="BA168"/>
  <c r="AZ168"/>
  <c r="AZ143" s="1"/>
  <c r="AY168"/>
  <c r="AX168"/>
  <c r="AX143" s="1"/>
  <c r="AW168"/>
  <c r="AV168"/>
  <c r="AV143" s="1"/>
  <c r="AU168"/>
  <c r="AY143"/>
  <c r="AU143"/>
  <c r="BA142"/>
  <c r="AZ142"/>
  <c r="AY142"/>
  <c r="AX142"/>
  <c r="AW142"/>
  <c r="AV142"/>
  <c r="AU142"/>
  <c r="BA139"/>
  <c r="AZ139"/>
  <c r="AY139"/>
  <c r="AX139"/>
  <c r="AW139"/>
  <c r="AW93" s="1"/>
  <c r="AW92" s="1"/>
  <c r="AV139"/>
  <c r="AU139"/>
  <c r="BA136"/>
  <c r="AZ136"/>
  <c r="AY136"/>
  <c r="AW136"/>
  <c r="AV136"/>
  <c r="AU127"/>
  <c r="AU136" s="1"/>
  <c r="AU126"/>
  <c r="AX116"/>
  <c r="AX136" s="1"/>
  <c r="AU116"/>
  <c r="BA113"/>
  <c r="BA93" s="1"/>
  <c r="BA92" s="1"/>
  <c r="AZ113"/>
  <c r="AY113"/>
  <c r="AY93" s="1"/>
  <c r="AY92" s="1"/>
  <c r="AX113"/>
  <c r="AW113"/>
  <c r="AV113"/>
  <c r="AU113"/>
  <c r="BA101"/>
  <c r="AZ101"/>
  <c r="AZ93" s="1"/>
  <c r="AZ92" s="1"/>
  <c r="AY101"/>
  <c r="AX101"/>
  <c r="AX93" s="1"/>
  <c r="AX92" s="1"/>
  <c r="AW101"/>
  <c r="AV101"/>
  <c r="AV93" s="1"/>
  <c r="AV92" s="1"/>
  <c r="AU101"/>
  <c r="BA91"/>
  <c r="AZ91"/>
  <c r="AY91"/>
  <c r="AY80" s="1"/>
  <c r="AX91"/>
  <c r="AW91"/>
  <c r="AW80" s="1"/>
  <c r="AV91"/>
  <c r="AU91"/>
  <c r="AU80" s="1"/>
  <c r="BA80"/>
  <c r="AZ80"/>
  <c r="AX80"/>
  <c r="AV80"/>
  <c r="BA79"/>
  <c r="BA40" s="1"/>
  <c r="AZ79"/>
  <c r="AY79"/>
  <c r="AX79"/>
  <c r="AW79"/>
  <c r="AW40" s="1"/>
  <c r="AV79"/>
  <c r="AU79"/>
  <c r="BA59"/>
  <c r="AZ59"/>
  <c r="AZ40" s="1"/>
  <c r="AZ31" s="1"/>
  <c r="AY59"/>
  <c r="AX59"/>
  <c r="AW59"/>
  <c r="AV59"/>
  <c r="AV40" s="1"/>
  <c r="AU59"/>
  <c r="AU40" s="1"/>
  <c r="AU31" s="1"/>
  <c r="AY40"/>
  <c r="AX40"/>
  <c r="BA39"/>
  <c r="AZ39"/>
  <c r="AY39"/>
  <c r="AX39"/>
  <c r="AX32" s="1"/>
  <c r="AX31" s="1"/>
  <c r="AW39"/>
  <c r="AV39"/>
  <c r="AV32" s="1"/>
  <c r="AU39"/>
  <c r="BA32"/>
  <c r="BA31" s="1"/>
  <c r="AZ32"/>
  <c r="AY32"/>
  <c r="AY31" s="1"/>
  <c r="AW32"/>
  <c r="AW31" s="1"/>
  <c r="AU32"/>
  <c r="BA30"/>
  <c r="AZ30"/>
  <c r="AY30"/>
  <c r="AX30"/>
  <c r="AW30"/>
  <c r="AV30"/>
  <c r="AU30"/>
  <c r="BA25"/>
  <c r="AZ25"/>
  <c r="AY25"/>
  <c r="AX25"/>
  <c r="AW25"/>
  <c r="AV25"/>
  <c r="AU25"/>
  <c r="BA17"/>
  <c r="BA6" s="1"/>
  <c r="BA5" s="1"/>
  <c r="AZ17"/>
  <c r="AY17"/>
  <c r="AX17"/>
  <c r="AW17"/>
  <c r="AW6" s="1"/>
  <c r="AW5" s="1"/>
  <c r="AV17"/>
  <c r="AU17"/>
  <c r="BA15"/>
  <c r="AZ15"/>
  <c r="AZ6" s="1"/>
  <c r="AZ5" s="1"/>
  <c r="AY15"/>
  <c r="AX15"/>
  <c r="AX6" s="1"/>
  <c r="AX5" s="1"/>
  <c r="AW15"/>
  <c r="AV15"/>
  <c r="AV6" s="1"/>
  <c r="AV5" s="1"/>
  <c r="AU15"/>
  <c r="AY6"/>
  <c r="AY5" s="1"/>
  <c r="AU6"/>
  <c r="AU5" s="1"/>
  <c r="BA242" i="21"/>
  <c r="AZ242"/>
  <c r="AY242"/>
  <c r="AX242"/>
  <c r="AW242"/>
  <c r="AV242"/>
  <c r="AU242"/>
  <c r="BA236"/>
  <c r="AZ236"/>
  <c r="AY236"/>
  <c r="AX236"/>
  <c r="AW236"/>
  <c r="AW224" s="1"/>
  <c r="AW223" s="1"/>
  <c r="AV236"/>
  <c r="AU236"/>
  <c r="BA232"/>
  <c r="BA224" s="1"/>
  <c r="BA223" s="1"/>
  <c r="AZ232"/>
  <c r="AY232"/>
  <c r="AX232"/>
  <c r="AX224" s="1"/>
  <c r="AX223" s="1"/>
  <c r="AW232"/>
  <c r="AV232"/>
  <c r="AU232"/>
  <c r="AZ224"/>
  <c r="AZ223" s="1"/>
  <c r="AY224"/>
  <c r="AY223" s="1"/>
  <c r="AV224"/>
  <c r="AV223" s="1"/>
  <c r="AU224"/>
  <c r="AU223"/>
  <c r="BA222"/>
  <c r="BA202" s="1"/>
  <c r="AZ222"/>
  <c r="AZ202" s="1"/>
  <c r="AY222"/>
  <c r="AY202" s="1"/>
  <c r="AX222"/>
  <c r="AX202" s="1"/>
  <c r="AW222"/>
  <c r="AV222"/>
  <c r="AU222"/>
  <c r="AU202" s="1"/>
  <c r="AW202"/>
  <c r="AV202"/>
  <c r="BA201"/>
  <c r="BA179" s="1"/>
  <c r="AZ201"/>
  <c r="AZ179" s="1"/>
  <c r="AY201"/>
  <c r="AX201"/>
  <c r="AW201"/>
  <c r="AW179" s="1"/>
  <c r="AV201"/>
  <c r="AU201"/>
  <c r="AY179"/>
  <c r="AX179"/>
  <c r="AV179"/>
  <c r="AU179"/>
  <c r="BA178"/>
  <c r="AZ178"/>
  <c r="AY178"/>
  <c r="AX178"/>
  <c r="AW178"/>
  <c r="AV178"/>
  <c r="AU178"/>
  <c r="BA168"/>
  <c r="BA143" s="1"/>
  <c r="BA92" s="1"/>
  <c r="AZ168"/>
  <c r="AZ143" s="1"/>
  <c r="AY168"/>
  <c r="AY143" s="1"/>
  <c r="AX168"/>
  <c r="AX143" s="1"/>
  <c r="AW168"/>
  <c r="AW143" s="1"/>
  <c r="AV168"/>
  <c r="AU168"/>
  <c r="AV143"/>
  <c r="AU143"/>
  <c r="BA142"/>
  <c r="AZ142"/>
  <c r="AY142"/>
  <c r="AX142"/>
  <c r="AW142"/>
  <c r="AV142"/>
  <c r="AU142"/>
  <c r="BA139"/>
  <c r="AZ139"/>
  <c r="AY139"/>
  <c r="AX139"/>
  <c r="AW139"/>
  <c r="AV139"/>
  <c r="AU139"/>
  <c r="BA136"/>
  <c r="AZ136"/>
  <c r="AY136"/>
  <c r="AW136"/>
  <c r="AV136"/>
  <c r="AU127"/>
  <c r="AU126"/>
  <c r="AX116"/>
  <c r="AX136" s="1"/>
  <c r="AU116"/>
  <c r="AU136" s="1"/>
  <c r="BA113"/>
  <c r="AZ113"/>
  <c r="AY113"/>
  <c r="AX113"/>
  <c r="AW113"/>
  <c r="AV113"/>
  <c r="AU113"/>
  <c r="BA101"/>
  <c r="AZ101"/>
  <c r="AY101"/>
  <c r="AY93" s="1"/>
  <c r="AX101"/>
  <c r="AX93" s="1"/>
  <c r="AW101"/>
  <c r="AW93" s="1"/>
  <c r="AV101"/>
  <c r="AV93" s="1"/>
  <c r="AV92" s="1"/>
  <c r="AU101"/>
  <c r="AU93" s="1"/>
  <c r="AU92" s="1"/>
  <c r="BA93"/>
  <c r="AZ93"/>
  <c r="BA91"/>
  <c r="BA80" s="1"/>
  <c r="AZ91"/>
  <c r="AY91"/>
  <c r="AX91"/>
  <c r="AW91"/>
  <c r="AV91"/>
  <c r="AV80" s="1"/>
  <c r="AV31" s="1"/>
  <c r="AU91"/>
  <c r="AU80" s="1"/>
  <c r="AZ80"/>
  <c r="AY80"/>
  <c r="AX80"/>
  <c r="AW80"/>
  <c r="BA79"/>
  <c r="AZ79"/>
  <c r="AY79"/>
  <c r="AX79"/>
  <c r="AW79"/>
  <c r="AW40" s="1"/>
  <c r="AW31" s="1"/>
  <c r="AV79"/>
  <c r="AU79"/>
  <c r="BA59"/>
  <c r="BA40" s="1"/>
  <c r="AZ59"/>
  <c r="AY59"/>
  <c r="AX59"/>
  <c r="AX40" s="1"/>
  <c r="AW59"/>
  <c r="AV59"/>
  <c r="AU59"/>
  <c r="AZ40"/>
  <c r="AY40"/>
  <c r="AV40"/>
  <c r="AU40"/>
  <c r="BA39"/>
  <c r="AZ39"/>
  <c r="AZ32" s="1"/>
  <c r="AZ31" s="1"/>
  <c r="AY39"/>
  <c r="AX39"/>
  <c r="AW39"/>
  <c r="AV39"/>
  <c r="AU39"/>
  <c r="AU32" s="1"/>
  <c r="AU31" s="1"/>
  <c r="BA32"/>
  <c r="BA31" s="1"/>
  <c r="AY32"/>
  <c r="AY31" s="1"/>
  <c r="AX32"/>
  <c r="AW32"/>
  <c r="AV32"/>
  <c r="BA30"/>
  <c r="AZ30"/>
  <c r="AY30"/>
  <c r="AX30"/>
  <c r="AW30"/>
  <c r="AV30"/>
  <c r="AU30"/>
  <c r="BA25"/>
  <c r="AZ25"/>
  <c r="AY25"/>
  <c r="AX25"/>
  <c r="AW25"/>
  <c r="AV25"/>
  <c r="AU25"/>
  <c r="BA17"/>
  <c r="AZ17"/>
  <c r="AY17"/>
  <c r="AX17"/>
  <c r="AW17"/>
  <c r="AV17"/>
  <c r="AU17"/>
  <c r="BA15"/>
  <c r="BA6" s="1"/>
  <c r="BA5" s="1"/>
  <c r="AZ15"/>
  <c r="AZ6" s="1"/>
  <c r="AZ5" s="1"/>
  <c r="AY15"/>
  <c r="AY6" s="1"/>
  <c r="AY5" s="1"/>
  <c r="AX15"/>
  <c r="AX6" s="1"/>
  <c r="AX5" s="1"/>
  <c r="AW15"/>
  <c r="AW6" s="1"/>
  <c r="AW5" s="1"/>
  <c r="AV15"/>
  <c r="AU15"/>
  <c r="AV6"/>
  <c r="AV5" s="1"/>
  <c r="AU6"/>
  <c r="AU5" s="1"/>
  <c r="AL242" i="23"/>
  <c r="AK242"/>
  <c r="AJ242"/>
  <c r="AL236"/>
  <c r="AK236"/>
  <c r="AJ236"/>
  <c r="AL232"/>
  <c r="AK232"/>
  <c r="AK224" s="1"/>
  <c r="AK223" s="1"/>
  <c r="AJ232"/>
  <c r="AL224"/>
  <c r="AL223" s="1"/>
  <c r="AJ224"/>
  <c r="AJ223" s="1"/>
  <c r="AL222"/>
  <c r="AL202" s="1"/>
  <c r="AK222"/>
  <c r="AJ222"/>
  <c r="AK202"/>
  <c r="AJ202"/>
  <c r="AL201"/>
  <c r="AL179" s="1"/>
  <c r="AK201"/>
  <c r="AJ201"/>
  <c r="AJ179" s="1"/>
  <c r="AK179"/>
  <c r="AL178"/>
  <c r="AK178"/>
  <c r="AJ178"/>
  <c r="AL168"/>
  <c r="AK168"/>
  <c r="AK143" s="1"/>
  <c r="AJ168"/>
  <c r="AL143"/>
  <c r="AJ143"/>
  <c r="AL142"/>
  <c r="AK142"/>
  <c r="AJ142"/>
  <c r="AL139"/>
  <c r="AK139"/>
  <c r="AJ139"/>
  <c r="AL136"/>
  <c r="AK136"/>
  <c r="AJ136"/>
  <c r="AL113"/>
  <c r="AK113"/>
  <c r="AJ113"/>
  <c r="AL101"/>
  <c r="AK101"/>
  <c r="AK93" s="1"/>
  <c r="AK92" s="1"/>
  <c r="AJ101"/>
  <c r="AJ93" s="1"/>
  <c r="AJ92" s="1"/>
  <c r="AL93"/>
  <c r="AL92" s="1"/>
  <c r="AL91"/>
  <c r="AL80" s="1"/>
  <c r="AK91"/>
  <c r="AJ91"/>
  <c r="AJ80" s="1"/>
  <c r="AK80"/>
  <c r="AL79"/>
  <c r="AK79"/>
  <c r="AJ79"/>
  <c r="AL59"/>
  <c r="AK59"/>
  <c r="AK40" s="1"/>
  <c r="AJ59"/>
  <c r="AL40"/>
  <c r="AJ40"/>
  <c r="AL39"/>
  <c r="AK39"/>
  <c r="AK32" s="1"/>
  <c r="AJ39"/>
  <c r="AJ32" s="1"/>
  <c r="AJ31" s="1"/>
  <c r="AL32"/>
  <c r="AL30"/>
  <c r="AK30"/>
  <c r="AJ30"/>
  <c r="AJ6" s="1"/>
  <c r="AJ5" s="1"/>
  <c r="AL25"/>
  <c r="AK25"/>
  <c r="AJ25"/>
  <c r="AL17"/>
  <c r="AK17"/>
  <c r="AJ17"/>
  <c r="AL15"/>
  <c r="AK15"/>
  <c r="AK6" s="1"/>
  <c r="AK5" s="1"/>
  <c r="AJ15"/>
  <c r="AL6"/>
  <c r="AL5" s="1"/>
  <c r="AL242" i="22"/>
  <c r="AK242"/>
  <c r="AJ242"/>
  <c r="AL236"/>
  <c r="AK236"/>
  <c r="AJ236"/>
  <c r="AL232"/>
  <c r="AK232"/>
  <c r="AK224" s="1"/>
  <c r="AK223" s="1"/>
  <c r="AJ232"/>
  <c r="AL224"/>
  <c r="AL223" s="1"/>
  <c r="AJ224"/>
  <c r="AJ223" s="1"/>
  <c r="AL222"/>
  <c r="AL202" s="1"/>
  <c r="AK222"/>
  <c r="AK202" s="1"/>
  <c r="AJ222"/>
  <c r="AJ202" s="1"/>
  <c r="AL201"/>
  <c r="AL179" s="1"/>
  <c r="AK201"/>
  <c r="AJ201"/>
  <c r="AJ179" s="1"/>
  <c r="AK179"/>
  <c r="AL178"/>
  <c r="AK178"/>
  <c r="AJ178"/>
  <c r="AL168"/>
  <c r="AK168"/>
  <c r="AK143" s="1"/>
  <c r="AJ168"/>
  <c r="AL143"/>
  <c r="AJ143"/>
  <c r="AL142"/>
  <c r="AK142"/>
  <c r="AJ142"/>
  <c r="AL139"/>
  <c r="AK139"/>
  <c r="AJ139"/>
  <c r="AL136"/>
  <c r="AK136"/>
  <c r="AJ136"/>
  <c r="AL113"/>
  <c r="AK113"/>
  <c r="AJ113"/>
  <c r="AL101"/>
  <c r="AK101"/>
  <c r="AJ101"/>
  <c r="AJ93" s="1"/>
  <c r="AL93"/>
  <c r="AL92" s="1"/>
  <c r="AK93"/>
  <c r="AL91"/>
  <c r="AL80" s="1"/>
  <c r="AK91"/>
  <c r="AJ91"/>
  <c r="AJ80" s="1"/>
  <c r="AK80"/>
  <c r="AL79"/>
  <c r="AL40" s="1"/>
  <c r="AK79"/>
  <c r="AJ79"/>
  <c r="AL59"/>
  <c r="AK59"/>
  <c r="AK40" s="1"/>
  <c r="AJ59"/>
  <c r="AJ40"/>
  <c r="AL39"/>
  <c r="AK39"/>
  <c r="AJ39"/>
  <c r="AJ32" s="1"/>
  <c r="AL32"/>
  <c r="AL31" s="1"/>
  <c r="AK32"/>
  <c r="AL30"/>
  <c r="AK30"/>
  <c r="AJ30"/>
  <c r="AL25"/>
  <c r="AK25"/>
  <c r="AJ25"/>
  <c r="AL17"/>
  <c r="AK17"/>
  <c r="AJ17"/>
  <c r="AL15"/>
  <c r="AK15"/>
  <c r="AK6" s="1"/>
  <c r="AK5" s="1"/>
  <c r="AJ15"/>
  <c r="AL6"/>
  <c r="AL5" s="1"/>
  <c r="AJ6"/>
  <c r="AJ5" s="1"/>
  <c r="AL242" i="21"/>
  <c r="AK242"/>
  <c r="AJ242"/>
  <c r="AL236"/>
  <c r="AL224" s="1"/>
  <c r="AL223" s="1"/>
  <c r="AK236"/>
  <c r="AJ236"/>
  <c r="AL232"/>
  <c r="AK232"/>
  <c r="AK224" s="1"/>
  <c r="AK223" s="1"/>
  <c r="AJ232"/>
  <c r="AJ224"/>
  <c r="AJ223" s="1"/>
  <c r="AL222"/>
  <c r="AL202" s="1"/>
  <c r="AK222"/>
  <c r="AK202" s="1"/>
  <c r="AJ222"/>
  <c r="AJ202" s="1"/>
  <c r="AL201"/>
  <c r="AL179" s="1"/>
  <c r="AK201"/>
  <c r="AJ201"/>
  <c r="AJ179" s="1"/>
  <c r="AK179"/>
  <c r="AL178"/>
  <c r="AL143" s="1"/>
  <c r="AK178"/>
  <c r="AJ178"/>
  <c r="AL168"/>
  <c r="AK168"/>
  <c r="AK143" s="1"/>
  <c r="AJ168"/>
  <c r="AJ143"/>
  <c r="AL142"/>
  <c r="AK142"/>
  <c r="AJ142"/>
  <c r="AL139"/>
  <c r="AK139"/>
  <c r="AJ139"/>
  <c r="AL136"/>
  <c r="AK136"/>
  <c r="AJ136"/>
  <c r="AL113"/>
  <c r="AK113"/>
  <c r="AJ113"/>
  <c r="AL101"/>
  <c r="AK101"/>
  <c r="AJ101"/>
  <c r="AJ93" s="1"/>
  <c r="AJ92" s="1"/>
  <c r="AL93"/>
  <c r="AL92" s="1"/>
  <c r="AK93"/>
  <c r="AL91"/>
  <c r="AL80" s="1"/>
  <c r="AK91"/>
  <c r="AJ91"/>
  <c r="AJ80" s="1"/>
  <c r="AK80"/>
  <c r="AL79"/>
  <c r="AL40" s="1"/>
  <c r="AK79"/>
  <c r="AJ79"/>
  <c r="AL59"/>
  <c r="AK59"/>
  <c r="AK40" s="1"/>
  <c r="AJ59"/>
  <c r="AJ40"/>
  <c r="AL39"/>
  <c r="AK39"/>
  <c r="AJ39"/>
  <c r="AJ32" s="1"/>
  <c r="AJ31" s="1"/>
  <c r="AL32"/>
  <c r="AK32"/>
  <c r="AL30"/>
  <c r="AK30"/>
  <c r="AJ30"/>
  <c r="AJ6" s="1"/>
  <c r="AJ5" s="1"/>
  <c r="AL25"/>
  <c r="AK25"/>
  <c r="AJ25"/>
  <c r="AL17"/>
  <c r="AL6" s="1"/>
  <c r="AL5" s="1"/>
  <c r="AK17"/>
  <c r="AJ17"/>
  <c r="AL15"/>
  <c r="AK15"/>
  <c r="AK6" s="1"/>
  <c r="AK5" s="1"/>
  <c r="AJ15"/>
  <c r="AD242" i="23"/>
  <c r="AC242"/>
  <c r="AD236"/>
  <c r="AC236"/>
  <c r="AD232"/>
  <c r="AD224" s="1"/>
  <c r="AD223" s="1"/>
  <c r="AC232"/>
  <c r="AC224" s="1"/>
  <c r="AC223" s="1"/>
  <c r="AD222"/>
  <c r="AC222"/>
  <c r="AC202" s="1"/>
  <c r="AD202"/>
  <c r="AD201"/>
  <c r="AC201"/>
  <c r="AC179" s="1"/>
  <c r="AD179"/>
  <c r="AD178"/>
  <c r="AC178"/>
  <c r="AD168"/>
  <c r="AD143" s="1"/>
  <c r="AC168"/>
  <c r="AC143"/>
  <c r="AD142"/>
  <c r="AC142"/>
  <c r="AD139"/>
  <c r="AC139"/>
  <c r="AD136"/>
  <c r="AC136"/>
  <c r="AD113"/>
  <c r="AC113"/>
  <c r="AD101"/>
  <c r="AD93" s="1"/>
  <c r="AC101"/>
  <c r="AC93"/>
  <c r="AD91"/>
  <c r="AD80" s="1"/>
  <c r="AC91"/>
  <c r="AC80" s="1"/>
  <c r="AD79"/>
  <c r="AC79"/>
  <c r="AD59"/>
  <c r="AD40" s="1"/>
  <c r="AC59"/>
  <c r="AC40"/>
  <c r="AD39"/>
  <c r="AD32" s="1"/>
  <c r="AD31" s="1"/>
  <c r="AC39"/>
  <c r="AC32" s="1"/>
  <c r="AC31" s="1"/>
  <c r="AD30"/>
  <c r="AC30"/>
  <c r="AD25"/>
  <c r="AC25"/>
  <c r="AD17"/>
  <c r="AC17"/>
  <c r="AD15"/>
  <c r="AD6" s="1"/>
  <c r="AD5" s="1"/>
  <c r="AC15"/>
  <c r="AC6" s="1"/>
  <c r="AC5" s="1"/>
  <c r="AD242" i="22"/>
  <c r="AC242"/>
  <c r="AD236"/>
  <c r="AC236"/>
  <c r="AC224" s="1"/>
  <c r="AC223" s="1"/>
  <c r="AD232"/>
  <c r="AD224" s="1"/>
  <c r="AD223" s="1"/>
  <c r="AC232"/>
  <c r="AD222"/>
  <c r="AD202" s="1"/>
  <c r="AC222"/>
  <c r="AC202" s="1"/>
  <c r="AD201"/>
  <c r="AC201"/>
  <c r="AC179" s="1"/>
  <c r="AD179"/>
  <c r="AD178"/>
  <c r="AC178"/>
  <c r="AD168"/>
  <c r="AC168"/>
  <c r="AD143"/>
  <c r="AC143"/>
  <c r="AD142"/>
  <c r="AC142"/>
  <c r="AD139"/>
  <c r="AC139"/>
  <c r="AD136"/>
  <c r="AD93" s="1"/>
  <c r="AD92" s="1"/>
  <c r="AC136"/>
  <c r="AD113"/>
  <c r="AC113"/>
  <c r="AD101"/>
  <c r="AC101"/>
  <c r="AC93"/>
  <c r="AD91"/>
  <c r="AD80" s="1"/>
  <c r="AD31" s="1"/>
  <c r="AC91"/>
  <c r="AC80" s="1"/>
  <c r="AD79"/>
  <c r="AC79"/>
  <c r="AD59"/>
  <c r="AC59"/>
  <c r="AD40"/>
  <c r="AC40"/>
  <c r="AD39"/>
  <c r="AC39"/>
  <c r="AD32"/>
  <c r="AC32"/>
  <c r="AC31" s="1"/>
  <c r="AD30"/>
  <c r="AC30"/>
  <c r="AD25"/>
  <c r="AC25"/>
  <c r="AD17"/>
  <c r="AC17"/>
  <c r="AC6" s="1"/>
  <c r="AC5" s="1"/>
  <c r="AD15"/>
  <c r="AC15"/>
  <c r="AD6"/>
  <c r="AD5" s="1"/>
  <c r="AD242" i="21"/>
  <c r="AC242"/>
  <c r="AD236"/>
  <c r="AD224" s="1"/>
  <c r="AD223" s="1"/>
  <c r="AC236"/>
  <c r="AD232"/>
  <c r="AC232"/>
  <c r="AC224" s="1"/>
  <c r="AC223" s="1"/>
  <c r="AD222"/>
  <c r="AC222"/>
  <c r="AC202" s="1"/>
  <c r="AD202"/>
  <c r="AD201"/>
  <c r="AD179" s="1"/>
  <c r="AC201"/>
  <c r="AC179" s="1"/>
  <c r="AD178"/>
  <c r="AC178"/>
  <c r="AD168"/>
  <c r="AD143" s="1"/>
  <c r="AC168"/>
  <c r="AC143"/>
  <c r="AD142"/>
  <c r="AC142"/>
  <c r="AD139"/>
  <c r="AC139"/>
  <c r="AD136"/>
  <c r="AC136"/>
  <c r="AD113"/>
  <c r="AC113"/>
  <c r="AD101"/>
  <c r="AD93" s="1"/>
  <c r="AC101"/>
  <c r="AC93"/>
  <c r="AC92" s="1"/>
  <c r="AD91"/>
  <c r="AD80" s="1"/>
  <c r="AC91"/>
  <c r="AC80"/>
  <c r="AD79"/>
  <c r="AC79"/>
  <c r="AD59"/>
  <c r="AD40" s="1"/>
  <c r="AC59"/>
  <c r="AC40"/>
  <c r="AC31" s="1"/>
  <c r="AD39"/>
  <c r="AC39"/>
  <c r="AD32"/>
  <c r="AC32"/>
  <c r="AD30"/>
  <c r="AC30"/>
  <c r="AD25"/>
  <c r="AC25"/>
  <c r="AD17"/>
  <c r="AC17"/>
  <c r="AC6" s="1"/>
  <c r="AC5" s="1"/>
  <c r="AD15"/>
  <c r="AC15"/>
  <c r="AD6"/>
  <c r="AD5" s="1"/>
  <c r="Z223" i="23"/>
  <c r="Z92"/>
  <c r="Z59"/>
  <c r="AA6"/>
  <c r="AA5" s="1"/>
  <c r="Z6"/>
  <c r="Z5" s="1"/>
  <c r="Z223" i="22"/>
  <c r="Z92"/>
  <c r="Z59"/>
  <c r="AA6"/>
  <c r="AA5" s="1"/>
  <c r="Z6"/>
  <c r="Z5" s="1"/>
  <c r="Z223" i="21"/>
  <c r="Z92"/>
  <c r="Z59"/>
  <c r="AA6"/>
  <c r="AA5" s="1"/>
  <c r="Z6"/>
  <c r="Z5" s="1"/>
  <c r="BJ118" i="23"/>
  <c r="BH114"/>
  <c r="BG114"/>
  <c r="BF114"/>
  <c r="BE114"/>
  <c r="BD114"/>
  <c r="BH112"/>
  <c r="BG112"/>
  <c r="BF112"/>
  <c r="BE112"/>
  <c r="BD112"/>
  <c r="BI111"/>
  <c r="BH111"/>
  <c r="BG111"/>
  <c r="BF111"/>
  <c r="BE111"/>
  <c r="BD111"/>
  <c r="BI110"/>
  <c r="BH110"/>
  <c r="BG110"/>
  <c r="BF110"/>
  <c r="BE110"/>
  <c r="BD110"/>
  <c r="BI109"/>
  <c r="BH109"/>
  <c r="BG109"/>
  <c r="BF109"/>
  <c r="BE109"/>
  <c r="BD109"/>
  <c r="BI108"/>
  <c r="BH108"/>
  <c r="BG108"/>
  <c r="BF108"/>
  <c r="BE108"/>
  <c r="BD108"/>
  <c r="BI107"/>
  <c r="BH107"/>
  <c r="BG107"/>
  <c r="BF107"/>
  <c r="BE107"/>
  <c r="BD107"/>
  <c r="BI106"/>
  <c r="BH106"/>
  <c r="BG106"/>
  <c r="BF106"/>
  <c r="BE106"/>
  <c r="BD106"/>
  <c r="BI105"/>
  <c r="BH105"/>
  <c r="BG105"/>
  <c r="BF105"/>
  <c r="BE105"/>
  <c r="BD105"/>
  <c r="BI104"/>
  <c r="BH104"/>
  <c r="BG104"/>
  <c r="BF104"/>
  <c r="BE104"/>
  <c r="BD104"/>
  <c r="BI103"/>
  <c r="BG103"/>
  <c r="BF103"/>
  <c r="BE103"/>
  <c r="BD103"/>
  <c r="BI102"/>
  <c r="BH102"/>
  <c r="BG102"/>
  <c r="BF102"/>
  <c r="BE102"/>
  <c r="BD102"/>
  <c r="BI100"/>
  <c r="BH100"/>
  <c r="BG100"/>
  <c r="BF100"/>
  <c r="BE100"/>
  <c r="BD100"/>
  <c r="BI99"/>
  <c r="BH99"/>
  <c r="BG99"/>
  <c r="BF99"/>
  <c r="BE99"/>
  <c r="BD99"/>
  <c r="BI98"/>
  <c r="BH98"/>
  <c r="BG98"/>
  <c r="BF98"/>
  <c r="BE98"/>
  <c r="BD98"/>
  <c r="BI97"/>
  <c r="BH97"/>
  <c r="BG97"/>
  <c r="BF97"/>
  <c r="BE97"/>
  <c r="BD97"/>
  <c r="BI96"/>
  <c r="BH96"/>
  <c r="BG96"/>
  <c r="BF96"/>
  <c r="BE96"/>
  <c r="BD96"/>
  <c r="BI95"/>
  <c r="BH95"/>
  <c r="BG95"/>
  <c r="BF95"/>
  <c r="BE95"/>
  <c r="BD95"/>
  <c r="BI94"/>
  <c r="BH94"/>
  <c r="BG94"/>
  <c r="BF94"/>
  <c r="BE94"/>
  <c r="BD94"/>
  <c r="BI90"/>
  <c r="BH90"/>
  <c r="BG90"/>
  <c r="BF90"/>
  <c r="BE90"/>
  <c r="BD90"/>
  <c r="BJ90" s="1"/>
  <c r="BI89"/>
  <c r="BH89"/>
  <c r="BG89"/>
  <c r="BF89"/>
  <c r="BE89"/>
  <c r="BD89"/>
  <c r="BI88"/>
  <c r="BH88"/>
  <c r="BG88"/>
  <c r="BF88"/>
  <c r="BE88"/>
  <c r="BD88"/>
  <c r="BI87"/>
  <c r="BH87"/>
  <c r="BG87"/>
  <c r="BF87"/>
  <c r="BE87"/>
  <c r="BD87"/>
  <c r="BI86"/>
  <c r="BH86"/>
  <c r="BG86"/>
  <c r="BF86"/>
  <c r="BE86"/>
  <c r="BD86"/>
  <c r="BI85"/>
  <c r="BH85"/>
  <c r="BG85"/>
  <c r="BF85"/>
  <c r="BE85"/>
  <c r="BD85"/>
  <c r="BI84"/>
  <c r="BH84"/>
  <c r="BG84"/>
  <c r="BF84"/>
  <c r="BE84"/>
  <c r="BD84"/>
  <c r="BI83"/>
  <c r="BH83"/>
  <c r="BG83"/>
  <c r="BF83"/>
  <c r="BE83"/>
  <c r="BD83"/>
  <c r="BI82"/>
  <c r="BH82"/>
  <c r="BG82"/>
  <c r="BF82"/>
  <c r="BE82"/>
  <c r="BD82"/>
  <c r="BI81"/>
  <c r="BH81"/>
  <c r="BG81"/>
  <c r="BF81"/>
  <c r="BE81"/>
  <c r="BD81"/>
  <c r="BI78"/>
  <c r="BH78"/>
  <c r="BG78"/>
  <c r="BF78"/>
  <c r="BE78"/>
  <c r="BD78"/>
  <c r="BJ78" s="1"/>
  <c r="BI77"/>
  <c r="BH77"/>
  <c r="BG77"/>
  <c r="BF77"/>
  <c r="BE77"/>
  <c r="BD77"/>
  <c r="BI76"/>
  <c r="BH76"/>
  <c r="BG76"/>
  <c r="BF76"/>
  <c r="BE76"/>
  <c r="BD76"/>
  <c r="BJ76" s="1"/>
  <c r="BI75"/>
  <c r="BH75"/>
  <c r="BG75"/>
  <c r="BF75"/>
  <c r="BE75"/>
  <c r="BD75"/>
  <c r="BI74"/>
  <c r="BH74"/>
  <c r="BG74"/>
  <c r="BF74"/>
  <c r="BE74"/>
  <c r="BD74"/>
  <c r="BJ74" s="1"/>
  <c r="BI73"/>
  <c r="BH73"/>
  <c r="BG73"/>
  <c r="BF73"/>
  <c r="BE73"/>
  <c r="BD73"/>
  <c r="BI72"/>
  <c r="BH72"/>
  <c r="BG72"/>
  <c r="BF72"/>
  <c r="BE72"/>
  <c r="BD72"/>
  <c r="BJ72" s="1"/>
  <c r="BI71"/>
  <c r="BH71"/>
  <c r="BG71"/>
  <c r="BF71"/>
  <c r="BE71"/>
  <c r="BD71"/>
  <c r="BI70"/>
  <c r="BH70"/>
  <c r="BG70"/>
  <c r="BF70"/>
  <c r="BE70"/>
  <c r="BD70"/>
  <c r="BJ70" s="1"/>
  <c r="BI69"/>
  <c r="BH69"/>
  <c r="BG69"/>
  <c r="BF69"/>
  <c r="BE69"/>
  <c r="BD69"/>
  <c r="BI68"/>
  <c r="BH68"/>
  <c r="BG68"/>
  <c r="BF68"/>
  <c r="BE68"/>
  <c r="BD68"/>
  <c r="BJ68" s="1"/>
  <c r="BI67"/>
  <c r="BH67"/>
  <c r="BG67"/>
  <c r="BF67"/>
  <c r="BE67"/>
  <c r="BD67"/>
  <c r="BI66"/>
  <c r="BH66"/>
  <c r="BG66"/>
  <c r="BF66"/>
  <c r="BE66"/>
  <c r="BD66"/>
  <c r="BI65"/>
  <c r="BH65"/>
  <c r="BG65"/>
  <c r="BF65"/>
  <c r="BE65"/>
  <c r="BD65"/>
  <c r="BI64"/>
  <c r="BH64"/>
  <c r="BG64"/>
  <c r="BF64"/>
  <c r="BE64"/>
  <c r="BD64"/>
  <c r="BJ64" s="1"/>
  <c r="BI63"/>
  <c r="BH63"/>
  <c r="BG63"/>
  <c r="BF63"/>
  <c r="BE63"/>
  <c r="BD63"/>
  <c r="BI62"/>
  <c r="BH62"/>
  <c r="BG62"/>
  <c r="BF62"/>
  <c r="BE62"/>
  <c r="BD62"/>
  <c r="BJ62" s="1"/>
  <c r="BI61"/>
  <c r="BH61"/>
  <c r="BG61"/>
  <c r="BF61"/>
  <c r="BE61"/>
  <c r="BD61"/>
  <c r="BI60"/>
  <c r="BH60"/>
  <c r="BG60"/>
  <c r="BF60"/>
  <c r="BE60"/>
  <c r="BD60"/>
  <c r="BJ60" s="1"/>
  <c r="BI58"/>
  <c r="BH58"/>
  <c r="BG58"/>
  <c r="BF58"/>
  <c r="BE58"/>
  <c r="BD58"/>
  <c r="BI57"/>
  <c r="BH57"/>
  <c r="BG57"/>
  <c r="BF57"/>
  <c r="BE57"/>
  <c r="BD57"/>
  <c r="BJ57" s="1"/>
  <c r="BI56"/>
  <c r="BH56"/>
  <c r="BG56"/>
  <c r="BF56"/>
  <c r="BE56"/>
  <c r="BD56"/>
  <c r="BI55"/>
  <c r="BH55"/>
  <c r="BG55"/>
  <c r="BF55"/>
  <c r="BE55"/>
  <c r="BD55"/>
  <c r="BJ55" s="1"/>
  <c r="BI54"/>
  <c r="BH54"/>
  <c r="BG54"/>
  <c r="BF54"/>
  <c r="BE54"/>
  <c r="BD54"/>
  <c r="BI53"/>
  <c r="BH53"/>
  <c r="BG53"/>
  <c r="BF53"/>
  <c r="BE53"/>
  <c r="BD53"/>
  <c r="BI52"/>
  <c r="BH52"/>
  <c r="BG52"/>
  <c r="BF52"/>
  <c r="BE52"/>
  <c r="BD52"/>
  <c r="BI51"/>
  <c r="BH51"/>
  <c r="BG51"/>
  <c r="BF51"/>
  <c r="BE51"/>
  <c r="BD51"/>
  <c r="BI50"/>
  <c r="BH50"/>
  <c r="BG50"/>
  <c r="BF50"/>
  <c r="BE50"/>
  <c r="BD50"/>
  <c r="BI49"/>
  <c r="BH49"/>
  <c r="BG49"/>
  <c r="BF49"/>
  <c r="BE49"/>
  <c r="BD49"/>
  <c r="BI48"/>
  <c r="BH48"/>
  <c r="BG48"/>
  <c r="BF48"/>
  <c r="BE48"/>
  <c r="BD48"/>
  <c r="BI47"/>
  <c r="BH47"/>
  <c r="BG47"/>
  <c r="BF47"/>
  <c r="BE47"/>
  <c r="BD47"/>
  <c r="BI46"/>
  <c r="BH46"/>
  <c r="BG46"/>
  <c r="BF46"/>
  <c r="BE46"/>
  <c r="BD46"/>
  <c r="BI45"/>
  <c r="BH45"/>
  <c r="BG45"/>
  <c r="BF45"/>
  <c r="BE45"/>
  <c r="BD45"/>
  <c r="BI44"/>
  <c r="BH44"/>
  <c r="BG44"/>
  <c r="BF44"/>
  <c r="BE44"/>
  <c r="BD44"/>
  <c r="BI43"/>
  <c r="BH43"/>
  <c r="BG43"/>
  <c r="BF43"/>
  <c r="BE43"/>
  <c r="BD43"/>
  <c r="BI42"/>
  <c r="BH42"/>
  <c r="BG42"/>
  <c r="BF42"/>
  <c r="BE42"/>
  <c r="BD42"/>
  <c r="BI41"/>
  <c r="BH41"/>
  <c r="BG41"/>
  <c r="BF41"/>
  <c r="BE41"/>
  <c r="BD41"/>
  <c r="BI38"/>
  <c r="BH38"/>
  <c r="BG38"/>
  <c r="BF38"/>
  <c r="BE38"/>
  <c r="BD38"/>
  <c r="BI37"/>
  <c r="BH37"/>
  <c r="BG37"/>
  <c r="BF37"/>
  <c r="BE37"/>
  <c r="BD37"/>
  <c r="BI36"/>
  <c r="BH36"/>
  <c r="BG36"/>
  <c r="BF36"/>
  <c r="BE36"/>
  <c r="BD36"/>
  <c r="BI35"/>
  <c r="BH35"/>
  <c r="BG35"/>
  <c r="BF35"/>
  <c r="BE35"/>
  <c r="BD35"/>
  <c r="BI34"/>
  <c r="BH34"/>
  <c r="BG34"/>
  <c r="BF34"/>
  <c r="BE34"/>
  <c r="BD34"/>
  <c r="BI33"/>
  <c r="BH33"/>
  <c r="BG33"/>
  <c r="BF33"/>
  <c r="BE33"/>
  <c r="BD33"/>
  <c r="BD29"/>
  <c r="BJ29" s="1"/>
  <c r="BI28"/>
  <c r="BH28"/>
  <c r="BG28"/>
  <c r="BF28"/>
  <c r="BE28"/>
  <c r="BD28"/>
  <c r="BI27"/>
  <c r="BH27"/>
  <c r="BG27"/>
  <c r="BF27"/>
  <c r="BE27"/>
  <c r="BD27"/>
  <c r="BI26"/>
  <c r="BH26"/>
  <c r="BG26"/>
  <c r="BF26"/>
  <c r="BE26"/>
  <c r="BD26"/>
  <c r="BI24"/>
  <c r="BH24"/>
  <c r="BG24"/>
  <c r="BF24"/>
  <c r="BE24"/>
  <c r="BD24"/>
  <c r="BI23"/>
  <c r="BH23"/>
  <c r="BG23"/>
  <c r="BF23"/>
  <c r="BE23"/>
  <c r="BD23"/>
  <c r="BI22"/>
  <c r="BH22"/>
  <c r="BG22"/>
  <c r="BF22"/>
  <c r="BE22"/>
  <c r="BD22"/>
  <c r="BI21"/>
  <c r="BH21"/>
  <c r="BG21"/>
  <c r="BF21"/>
  <c r="BE21"/>
  <c r="BD21"/>
  <c r="BI20"/>
  <c r="BH20"/>
  <c r="BG20"/>
  <c r="BF20"/>
  <c r="BE20"/>
  <c r="BD20"/>
  <c r="BI19"/>
  <c r="BH19"/>
  <c r="BG19"/>
  <c r="BF19"/>
  <c r="BE19"/>
  <c r="BD19"/>
  <c r="BI18"/>
  <c r="BH18"/>
  <c r="BG18"/>
  <c r="BF18"/>
  <c r="BE18"/>
  <c r="BD18"/>
  <c r="BD16"/>
  <c r="BI16"/>
  <c r="BH16"/>
  <c r="BG16"/>
  <c r="BF16"/>
  <c r="BE16"/>
  <c r="BD8"/>
  <c r="BE8"/>
  <c r="BF8"/>
  <c r="BG8"/>
  <c r="BH8"/>
  <c r="BI8"/>
  <c r="BD9"/>
  <c r="BE9"/>
  <c r="BF9"/>
  <c r="BG9"/>
  <c r="BH9"/>
  <c r="BI9"/>
  <c r="BD10"/>
  <c r="BE10"/>
  <c r="BF10"/>
  <c r="BG10"/>
  <c r="BH10"/>
  <c r="BI10"/>
  <c r="BD11"/>
  <c r="BE11"/>
  <c r="BF11"/>
  <c r="BG11"/>
  <c r="BH11"/>
  <c r="BI11"/>
  <c r="BD12"/>
  <c r="BE12"/>
  <c r="BF12"/>
  <c r="BG12"/>
  <c r="BH12"/>
  <c r="BI12"/>
  <c r="BD13"/>
  <c r="BE13"/>
  <c r="BF13"/>
  <c r="BG13"/>
  <c r="BH13"/>
  <c r="BI13"/>
  <c r="BD14"/>
  <c r="BE14"/>
  <c r="BF14"/>
  <c r="BG14"/>
  <c r="BH14"/>
  <c r="BI14"/>
  <c r="BJ53" l="1"/>
  <c r="BJ99"/>
  <c r="BJ97"/>
  <c r="BJ22"/>
  <c r="BJ34"/>
  <c r="BJ36"/>
  <c r="BJ38"/>
  <c r="BJ42"/>
  <c r="BJ44"/>
  <c r="BJ46"/>
  <c r="BJ48"/>
  <c r="BJ50"/>
  <c r="BJ63"/>
  <c r="BJ65"/>
  <c r="BJ67"/>
  <c r="BJ69"/>
  <c r="BJ71"/>
  <c r="BJ73"/>
  <c r="BJ77"/>
  <c r="BJ81"/>
  <c r="BJ83"/>
  <c r="BJ85"/>
  <c r="BJ87"/>
  <c r="BJ89"/>
  <c r="BJ94"/>
  <c r="BJ96"/>
  <c r="BJ66"/>
  <c r="BJ75"/>
  <c r="BJ105"/>
  <c r="BJ107"/>
  <c r="BJ109"/>
  <c r="BJ203"/>
  <c r="BJ219"/>
  <c r="BJ120"/>
  <c r="BJ122"/>
  <c r="BJ124"/>
  <c r="BJ126"/>
  <c r="BJ128"/>
  <c r="BJ239"/>
  <c r="BJ235"/>
  <c r="BJ225"/>
  <c r="BJ227"/>
  <c r="BJ221"/>
  <c r="BJ52"/>
  <c r="BJ54"/>
  <c r="BJ56"/>
  <c r="BJ58"/>
  <c r="BJ61"/>
  <c r="BJ119"/>
  <c r="BJ121"/>
  <c r="BJ123"/>
  <c r="BJ125"/>
  <c r="BJ127"/>
  <c r="BJ129"/>
  <c r="BJ131"/>
  <c r="BJ135"/>
  <c r="BJ138"/>
  <c r="BJ177"/>
  <c r="BJ185"/>
  <c r="BJ193"/>
  <c r="BJ195"/>
  <c r="BJ197"/>
  <c r="BJ199"/>
  <c r="BJ149"/>
  <c r="BJ151"/>
  <c r="BJ153"/>
  <c r="BJ155"/>
  <c r="BJ157"/>
  <c r="BJ228"/>
  <c r="BJ130"/>
  <c r="BJ132"/>
  <c r="BJ134"/>
  <c r="BJ137"/>
  <c r="BJ140"/>
  <c r="BJ167"/>
  <c r="BJ170"/>
  <c r="BJ172"/>
  <c r="BJ174"/>
  <c r="BJ176"/>
  <c r="BJ180"/>
  <c r="BJ182"/>
  <c r="BJ184"/>
  <c r="BJ186"/>
  <c r="BJ188"/>
  <c r="BJ190"/>
  <c r="BJ192"/>
  <c r="BJ194"/>
  <c r="BJ196"/>
  <c r="BJ104"/>
  <c r="BJ106"/>
  <c r="BJ108"/>
  <c r="BJ18"/>
  <c r="BJ20"/>
  <c r="BJ24"/>
  <c r="BJ27"/>
  <c r="BJ110"/>
  <c r="BJ112"/>
  <c r="BJ150"/>
  <c r="BJ152"/>
  <c r="BJ154"/>
  <c r="BJ156"/>
  <c r="BJ158"/>
  <c r="BJ160"/>
  <c r="BJ162"/>
  <c r="BJ164"/>
  <c r="BJ117"/>
  <c r="BJ141"/>
  <c r="BJ169"/>
  <c r="BJ171"/>
  <c r="BJ173"/>
  <c r="BJ175"/>
  <c r="BJ181"/>
  <c r="BJ183"/>
  <c r="BJ187"/>
  <c r="BJ189"/>
  <c r="BJ191"/>
  <c r="BJ159"/>
  <c r="BJ161"/>
  <c r="BJ163"/>
  <c r="BJ165"/>
  <c r="BJ238"/>
  <c r="BJ240"/>
  <c r="BJ102"/>
  <c r="BJ144"/>
  <c r="BJ198"/>
  <c r="BJ14"/>
  <c r="BJ12"/>
  <c r="BJ10"/>
  <c r="BD5"/>
  <c r="BJ33"/>
  <c r="BJ35"/>
  <c r="BJ37"/>
  <c r="BJ41"/>
  <c r="BJ43"/>
  <c r="BJ45"/>
  <c r="BJ47"/>
  <c r="BJ49"/>
  <c r="BJ51"/>
  <c r="BJ82"/>
  <c r="BJ84"/>
  <c r="BJ86"/>
  <c r="BJ88"/>
  <c r="BJ95"/>
  <c r="BJ115"/>
  <c r="BJ133"/>
  <c r="BJ145"/>
  <c r="BJ147"/>
  <c r="BJ13"/>
  <c r="BJ11"/>
  <c r="BJ9"/>
  <c r="BJ16"/>
  <c r="BJ98"/>
  <c r="BJ100"/>
  <c r="BJ111"/>
  <c r="BJ114"/>
  <c r="BJ237"/>
  <c r="BJ19"/>
  <c r="BJ21"/>
  <c r="BJ23"/>
  <c r="BJ26"/>
  <c r="BJ28"/>
  <c r="BJ146"/>
  <c r="BJ207"/>
  <c r="BJ8"/>
  <c r="BJ229"/>
  <c r="BJ234"/>
  <c r="BJ233"/>
  <c r="BJ7"/>
  <c r="AV92"/>
  <c r="AU31"/>
  <c r="AW31"/>
  <c r="AZ92"/>
  <c r="AU92"/>
  <c r="AX31"/>
  <c r="BA92"/>
  <c r="AV31" i="22"/>
  <c r="AU93"/>
  <c r="AU92" s="1"/>
  <c r="AX92" i="21"/>
  <c r="AY92"/>
  <c r="AX31"/>
  <c r="AZ92"/>
  <c r="AW92"/>
  <c r="AL31" i="23"/>
  <c r="AK31"/>
  <c r="AK31" i="22"/>
  <c r="AJ31"/>
  <c r="AK92"/>
  <c r="AJ92"/>
  <c r="AK31" i="21"/>
  <c r="AL31"/>
  <c r="AK92"/>
  <c r="AC92" i="23"/>
  <c r="AD92"/>
  <c r="AC92" i="22"/>
  <c r="AD31" i="21"/>
  <c r="AD92"/>
  <c r="AC87" i="16" l="1"/>
  <c r="AC84"/>
  <c r="AC82"/>
  <c r="AC78"/>
  <c r="AC72"/>
  <c r="AC64"/>
  <c r="AC63"/>
  <c r="AC60"/>
  <c r="AC58"/>
  <c r="AC33"/>
  <c r="AU25"/>
  <c r="AV25"/>
  <c r="AW25"/>
  <c r="AX25"/>
  <c r="AY25"/>
  <c r="AZ25"/>
  <c r="BA25"/>
  <c r="AC26"/>
  <c r="AC24"/>
  <c r="AC20"/>
  <c r="AC19"/>
  <c r="AC10"/>
  <c r="AC9"/>
  <c r="AC8"/>
  <c r="AC7"/>
  <c r="AC87" i="15"/>
  <c r="AC84"/>
  <c r="AC82"/>
  <c r="AC78"/>
  <c r="AC72"/>
  <c r="AC64"/>
  <c r="AC63"/>
  <c r="AC60"/>
  <c r="AC58"/>
  <c r="AC26"/>
  <c r="AC24"/>
  <c r="AC87" i="14"/>
  <c r="AC84"/>
  <c r="AC82"/>
  <c r="AC78"/>
  <c r="AC72"/>
  <c r="AC64"/>
  <c r="AC63"/>
  <c r="AC60"/>
  <c r="AC58"/>
  <c r="AC53"/>
  <c r="AC43"/>
  <c r="AC36"/>
  <c r="AC26"/>
  <c r="AC24"/>
  <c r="AC10"/>
  <c r="AC9"/>
  <c r="AC8"/>
  <c r="AC7"/>
  <c r="AC87" i="13"/>
  <c r="AC84"/>
  <c r="AC82"/>
  <c r="AC78"/>
  <c r="AC72"/>
  <c r="AC64"/>
  <c r="AC63"/>
  <c r="AC60"/>
  <c r="AC58"/>
  <c r="AC53"/>
  <c r="AC52"/>
  <c r="AC50"/>
  <c r="AC26"/>
  <c r="AC24"/>
  <c r="AC10"/>
  <c r="AC9"/>
  <c r="AL82" i="12"/>
  <c r="AC87"/>
  <c r="AC84"/>
  <c r="AC82"/>
  <c r="AC78"/>
  <c r="AC72"/>
  <c r="AC64"/>
  <c r="AC63"/>
  <c r="AC60"/>
  <c r="AC56"/>
  <c r="AC55"/>
  <c r="AC53"/>
  <c r="AC52"/>
  <c r="AC51"/>
  <c r="AC50"/>
  <c r="AC49"/>
  <c r="AC46"/>
  <c r="AC45"/>
  <c r="AC16"/>
  <c r="AC10"/>
  <c r="AC9"/>
  <c r="AJ39" i="1" l="1"/>
  <c r="AK39"/>
  <c r="AL39"/>
  <c r="CF37" i="18" l="1"/>
  <c r="BY36"/>
  <c r="BZ36"/>
  <c r="CA36"/>
  <c r="CB36"/>
  <c r="CC36"/>
  <c r="CD36"/>
  <c r="CE36"/>
  <c r="BV37"/>
  <c r="BW37"/>
  <c r="BX37"/>
  <c r="BY37"/>
  <c r="BZ37"/>
  <c r="CA37"/>
  <c r="CB37"/>
  <c r="CC37"/>
  <c r="CD37"/>
  <c r="CE37"/>
  <c r="BW38"/>
  <c r="BY38"/>
  <c r="BZ38"/>
  <c r="CA38"/>
  <c r="CB38"/>
  <c r="CC38"/>
  <c r="CD38"/>
  <c r="CE38"/>
  <c r="BW33"/>
  <c r="BY33"/>
  <c r="BZ33"/>
  <c r="CA33"/>
  <c r="CB33"/>
  <c r="CC33"/>
  <c r="CD33"/>
  <c r="CE33"/>
  <c r="BW31"/>
  <c r="BY31"/>
  <c r="BZ31"/>
  <c r="CA31"/>
  <c r="CB31"/>
  <c r="CC31"/>
  <c r="CD31"/>
  <c r="CE31"/>
  <c r="BW28"/>
  <c r="BY28"/>
  <c r="BZ28"/>
  <c r="CA28"/>
  <c r="CB28"/>
  <c r="CC28"/>
  <c r="CD28"/>
  <c r="CE28"/>
  <c r="BW29"/>
  <c r="BY29"/>
  <c r="BZ29"/>
  <c r="CA29"/>
  <c r="CB29"/>
  <c r="CC29"/>
  <c r="CD29"/>
  <c r="CE29"/>
  <c r="BV22"/>
  <c r="BY22"/>
  <c r="BZ22"/>
  <c r="CA22"/>
  <c r="CB22"/>
  <c r="CC22"/>
  <c r="CD22"/>
  <c r="CE22"/>
  <c r="BY23"/>
  <c r="BZ23"/>
  <c r="CA23"/>
  <c r="CB23"/>
  <c r="CC23"/>
  <c r="CD23"/>
  <c r="CE23"/>
  <c r="BY24"/>
  <c r="BZ24"/>
  <c r="CA24"/>
  <c r="CB24"/>
  <c r="CC24"/>
  <c r="CD24"/>
  <c r="CE24"/>
  <c r="BV25"/>
  <c r="BY25"/>
  <c r="BZ25"/>
  <c r="CA25"/>
  <c r="CB25"/>
  <c r="CC25"/>
  <c r="CD25"/>
  <c r="CE25"/>
  <c r="BV26"/>
  <c r="BY26"/>
  <c r="BZ26"/>
  <c r="CA26"/>
  <c r="CB26"/>
  <c r="CC26"/>
  <c r="CD26"/>
  <c r="CE26"/>
  <c r="BW16"/>
  <c r="BW17"/>
  <c r="BW14"/>
  <c r="BW8"/>
  <c r="BV9"/>
  <c r="BW9"/>
  <c r="BY10"/>
  <c r="BZ10"/>
  <c r="CA10"/>
  <c r="CB10"/>
  <c r="CC10"/>
  <c r="CD10"/>
  <c r="CE10"/>
  <c r="BU38"/>
  <c r="BR38"/>
  <c r="BU37"/>
  <c r="BR37"/>
  <c r="BU36"/>
  <c r="BR36"/>
  <c r="BU33"/>
  <c r="BR33"/>
  <c r="BU31"/>
  <c r="BR31"/>
  <c r="BU29"/>
  <c r="BR29"/>
  <c r="BU28"/>
  <c r="BR28"/>
  <c r="BU26"/>
  <c r="BR26"/>
  <c r="BU25"/>
  <c r="BR25"/>
  <c r="BU24"/>
  <c r="BR24"/>
  <c r="BU23"/>
  <c r="BR23"/>
  <c r="BU22"/>
  <c r="BR22"/>
  <c r="BU14"/>
  <c r="BR14"/>
  <c r="BS37"/>
  <c r="BL36"/>
  <c r="BM36"/>
  <c r="BN36"/>
  <c r="BO36"/>
  <c r="BP36"/>
  <c r="BQ36"/>
  <c r="BI37"/>
  <c r="BJ37"/>
  <c r="BK37"/>
  <c r="BL37"/>
  <c r="BM37"/>
  <c r="BN37"/>
  <c r="BO37"/>
  <c r="BP37"/>
  <c r="BQ37"/>
  <c r="BJ38"/>
  <c r="BL38"/>
  <c r="BM38"/>
  <c r="BN38"/>
  <c r="BO38"/>
  <c r="BP38"/>
  <c r="BQ38"/>
  <c r="BJ33"/>
  <c r="BL33"/>
  <c r="BM33"/>
  <c r="BN33"/>
  <c r="BO33"/>
  <c r="BP33"/>
  <c r="BQ33"/>
  <c r="BJ31"/>
  <c r="BL31"/>
  <c r="BM31"/>
  <c r="BN31"/>
  <c r="BO31"/>
  <c r="BP31"/>
  <c r="BQ31"/>
  <c r="BJ28"/>
  <c r="BL28"/>
  <c r="BM28"/>
  <c r="BN28"/>
  <c r="BO28"/>
  <c r="BP28"/>
  <c r="BQ28"/>
  <c r="BJ29"/>
  <c r="BL29"/>
  <c r="BM29"/>
  <c r="BN29"/>
  <c r="BO29"/>
  <c r="BP29"/>
  <c r="BQ29"/>
  <c r="BI22"/>
  <c r="BL22"/>
  <c r="BM22"/>
  <c r="BN22"/>
  <c r="BO22"/>
  <c r="BP22"/>
  <c r="BQ22"/>
  <c r="BL23"/>
  <c r="BM23"/>
  <c r="BN23"/>
  <c r="BO23"/>
  <c r="BP23"/>
  <c r="BQ23"/>
  <c r="BL24"/>
  <c r="BM24"/>
  <c r="BN24"/>
  <c r="BO24"/>
  <c r="BP24"/>
  <c r="BQ24"/>
  <c r="BI25"/>
  <c r="BL25"/>
  <c r="BM25"/>
  <c r="BN25"/>
  <c r="BO25"/>
  <c r="BP25"/>
  <c r="BQ25"/>
  <c r="BL26"/>
  <c r="BM26"/>
  <c r="BN26"/>
  <c r="BO26"/>
  <c r="BP26"/>
  <c r="BQ26"/>
  <c r="BJ16"/>
  <c r="BJ17"/>
  <c r="BJ14"/>
  <c r="BM14"/>
  <c r="BN14"/>
  <c r="BO14"/>
  <c r="BP14"/>
  <c r="BQ14"/>
  <c r="BJ8"/>
  <c r="BJ9"/>
  <c r="BH38"/>
  <c r="BE38"/>
  <c r="BH37"/>
  <c r="BE37"/>
  <c r="BH36"/>
  <c r="BE36"/>
  <c r="BH33"/>
  <c r="BE33"/>
  <c r="BH31"/>
  <c r="BE31"/>
  <c r="BH29"/>
  <c r="BE29"/>
  <c r="BH28"/>
  <c r="BE28"/>
  <c r="BH26"/>
  <c r="BE26"/>
  <c r="BH25"/>
  <c r="BE25"/>
  <c r="BH24"/>
  <c r="BE24"/>
  <c r="BH23"/>
  <c r="BE23"/>
  <c r="BH22"/>
  <c r="BE22"/>
  <c r="BH14"/>
  <c r="BF37"/>
  <c r="AY36"/>
  <c r="AZ36"/>
  <c r="BA36"/>
  <c r="BB36"/>
  <c r="BC36"/>
  <c r="BD36"/>
  <c r="AV37"/>
  <c r="AW37"/>
  <c r="AX37"/>
  <c r="AY37"/>
  <c r="AZ37"/>
  <c r="BA37"/>
  <c r="BB37"/>
  <c r="BC37"/>
  <c r="BD37"/>
  <c r="AW38"/>
  <c r="AY38"/>
  <c r="AZ38"/>
  <c r="BA38"/>
  <c r="BB38"/>
  <c r="BC38"/>
  <c r="BD38"/>
  <c r="AW33"/>
  <c r="AY33"/>
  <c r="AZ33"/>
  <c r="BA33"/>
  <c r="BB33"/>
  <c r="BC33"/>
  <c r="BD33"/>
  <c r="AW31"/>
  <c r="AY31"/>
  <c r="AZ31"/>
  <c r="BA31"/>
  <c r="BB31"/>
  <c r="BC31"/>
  <c r="BD31"/>
  <c r="AW28"/>
  <c r="AY28"/>
  <c r="AZ28"/>
  <c r="BA28"/>
  <c r="BB28"/>
  <c r="BC28"/>
  <c r="BD28"/>
  <c r="AW29"/>
  <c r="AY29"/>
  <c r="AZ29"/>
  <c r="BA29"/>
  <c r="BB29"/>
  <c r="BC29"/>
  <c r="BD29"/>
  <c r="AV22"/>
  <c r="AY22"/>
  <c r="AZ22"/>
  <c r="BA22"/>
  <c r="BB22"/>
  <c r="BC22"/>
  <c r="BD22"/>
  <c r="AY23"/>
  <c r="AZ23"/>
  <c r="BA23"/>
  <c r="BB23"/>
  <c r="BC23"/>
  <c r="BD23"/>
  <c r="AV25"/>
  <c r="AY25"/>
  <c r="AZ25"/>
  <c r="BA25"/>
  <c r="BB25"/>
  <c r="BC25"/>
  <c r="BD25"/>
  <c r="AY26"/>
  <c r="AZ26"/>
  <c r="BA26"/>
  <c r="BB26"/>
  <c r="BC26"/>
  <c r="BD26"/>
  <c r="AW16"/>
  <c r="AW17"/>
  <c r="AW14"/>
  <c r="AW8"/>
  <c r="AW9"/>
  <c r="AU38"/>
  <c r="AU37"/>
  <c r="AU36"/>
  <c r="AU33"/>
  <c r="AU31"/>
  <c r="AU29"/>
  <c r="AU28"/>
  <c r="AU26"/>
  <c r="AU25"/>
  <c r="AU23"/>
  <c r="AU22"/>
  <c r="AL25"/>
  <c r="AM25"/>
  <c r="AN25"/>
  <c r="AO25"/>
  <c r="AP25"/>
  <c r="Z33"/>
  <c r="AA33"/>
  <c r="EF35" l="1"/>
  <c r="EE35"/>
  <c r="ED35"/>
  <c r="EC35"/>
  <c r="EB35"/>
  <c r="EA35"/>
  <c r="DZ35"/>
  <c r="DY35"/>
  <c r="DX35"/>
  <c r="DW35"/>
  <c r="DV35"/>
  <c r="DU35"/>
  <c r="EF34"/>
  <c r="EE34"/>
  <c r="ED34"/>
  <c r="EC34"/>
  <c r="EB34"/>
  <c r="EA34"/>
  <c r="DZ34"/>
  <c r="DY34"/>
  <c r="DX34"/>
  <c r="DW34"/>
  <c r="DV34"/>
  <c r="DU34"/>
  <c r="EF32"/>
  <c r="EE32"/>
  <c r="ED32"/>
  <c r="EC32"/>
  <c r="EB32"/>
  <c r="EA32"/>
  <c r="DZ32"/>
  <c r="DY32"/>
  <c r="DX32"/>
  <c r="DW32"/>
  <c r="DV32"/>
  <c r="DV20" s="1"/>
  <c r="DU32"/>
  <c r="DS32"/>
  <c r="DR32"/>
  <c r="DQ32"/>
  <c r="DQ20" s="1"/>
  <c r="DP32"/>
  <c r="DO32"/>
  <c r="DN32"/>
  <c r="DM32"/>
  <c r="DL32"/>
  <c r="DL20" s="1"/>
  <c r="DK32"/>
  <c r="DK20" s="1"/>
  <c r="DJ32"/>
  <c r="DI32"/>
  <c r="DH32"/>
  <c r="DH20" s="1"/>
  <c r="EF30"/>
  <c r="EE30"/>
  <c r="ED30"/>
  <c r="EC30"/>
  <c r="EB30"/>
  <c r="EA30"/>
  <c r="DZ30"/>
  <c r="DY30"/>
  <c r="DX30"/>
  <c r="DW30"/>
  <c r="DV30"/>
  <c r="DU30"/>
  <c r="EF27"/>
  <c r="EE27"/>
  <c r="ED27"/>
  <c r="EC27"/>
  <c r="EB27"/>
  <c r="EA27"/>
  <c r="DZ27"/>
  <c r="DY27"/>
  <c r="DX27"/>
  <c r="DW27"/>
  <c r="DV27"/>
  <c r="DU27"/>
  <c r="EF21"/>
  <c r="EE21"/>
  <c r="ED21"/>
  <c r="EC21"/>
  <c r="EB21"/>
  <c r="EA21"/>
  <c r="DZ21"/>
  <c r="DY21"/>
  <c r="DX21"/>
  <c r="DW21"/>
  <c r="DV21"/>
  <c r="DU21"/>
  <c r="EF20"/>
  <c r="EE20"/>
  <c r="ED20"/>
  <c r="EC20"/>
  <c r="EB20"/>
  <c r="EA20"/>
  <c r="DZ20"/>
  <c r="DY20"/>
  <c r="DX20"/>
  <c r="DW20"/>
  <c r="EF18"/>
  <c r="EE18"/>
  <c r="ED18"/>
  <c r="EC18"/>
  <c r="EB18"/>
  <c r="EA18"/>
  <c r="DZ18"/>
  <c r="DY18"/>
  <c r="DX18"/>
  <c r="DW18"/>
  <c r="DV18"/>
  <c r="DU18"/>
  <c r="EF15"/>
  <c r="EE15"/>
  <c r="ED15"/>
  <c r="EC15"/>
  <c r="EB15"/>
  <c r="EA15"/>
  <c r="DZ15"/>
  <c r="DY15"/>
  <c r="DX15"/>
  <c r="DW15"/>
  <c r="DV15"/>
  <c r="DU15"/>
  <c r="EF13"/>
  <c r="EE13"/>
  <c r="ED13"/>
  <c r="EC13"/>
  <c r="EB13"/>
  <c r="EA13"/>
  <c r="DZ13"/>
  <c r="DY13"/>
  <c r="DX13"/>
  <c r="DW13"/>
  <c r="DV13"/>
  <c r="DU13"/>
  <c r="EF12"/>
  <c r="EE12"/>
  <c r="ED12"/>
  <c r="EC12"/>
  <c r="EB12"/>
  <c r="EA12"/>
  <c r="DZ12"/>
  <c r="DY12"/>
  <c r="DX12"/>
  <c r="DW12"/>
  <c r="DV12"/>
  <c r="DU12"/>
  <c r="EF7"/>
  <c r="EE7"/>
  <c r="ED7"/>
  <c r="EC7"/>
  <c r="EB7"/>
  <c r="EA7"/>
  <c r="DZ7"/>
  <c r="DY7"/>
  <c r="DX7"/>
  <c r="DW7"/>
  <c r="DV7"/>
  <c r="DU7"/>
  <c r="DU6" s="1"/>
  <c r="EF6"/>
  <c r="EE6"/>
  <c r="ED6"/>
  <c r="EC6"/>
  <c r="EB6"/>
  <c r="EA6"/>
  <c r="DZ6"/>
  <c r="DY6"/>
  <c r="DX6"/>
  <c r="DW6"/>
  <c r="DV6"/>
  <c r="DS35"/>
  <c r="DR35"/>
  <c r="DQ35"/>
  <c r="DP35"/>
  <c r="DO35"/>
  <c r="DN35"/>
  <c r="DM35"/>
  <c r="DL35"/>
  <c r="DK35"/>
  <c r="DJ35"/>
  <c r="DI35"/>
  <c r="DH35"/>
  <c r="DH34" s="1"/>
  <c r="DS34"/>
  <c r="DR34"/>
  <c r="DQ34"/>
  <c r="DP34"/>
  <c r="DO34"/>
  <c r="DN34"/>
  <c r="DM34"/>
  <c r="DL34"/>
  <c r="DK34"/>
  <c r="DJ34"/>
  <c r="DI34"/>
  <c r="CU35"/>
  <c r="CU34" s="1"/>
  <c r="CV35"/>
  <c r="CV34" s="1"/>
  <c r="CW35"/>
  <c r="CW34" s="1"/>
  <c r="CX35"/>
  <c r="CX34" s="1"/>
  <c r="CY35"/>
  <c r="CY34" s="1"/>
  <c r="CZ35"/>
  <c r="CZ34" s="1"/>
  <c r="DA35"/>
  <c r="DA34" s="1"/>
  <c r="DB35"/>
  <c r="DB34" s="1"/>
  <c r="DC35"/>
  <c r="DC34" s="1"/>
  <c r="DD35"/>
  <c r="DD34" s="1"/>
  <c r="DE35"/>
  <c r="DE34" s="1"/>
  <c r="DF35"/>
  <c r="DF34" s="1"/>
  <c r="DF32"/>
  <c r="DF20" s="1"/>
  <c r="DE32"/>
  <c r="DD32"/>
  <c r="DD20" s="1"/>
  <c r="DC32"/>
  <c r="DB32"/>
  <c r="DB20" s="1"/>
  <c r="DA32"/>
  <c r="CZ32"/>
  <c r="CZ20" s="1"/>
  <c r="CY32"/>
  <c r="CX32"/>
  <c r="CW32"/>
  <c r="CV32"/>
  <c r="CU32"/>
  <c r="DS30"/>
  <c r="DR30"/>
  <c r="DQ30"/>
  <c r="DP30"/>
  <c r="DO30"/>
  <c r="DN30"/>
  <c r="DM30"/>
  <c r="DL30"/>
  <c r="DK30"/>
  <c r="DJ30"/>
  <c r="DI30"/>
  <c r="DH30"/>
  <c r="DS27"/>
  <c r="DR27"/>
  <c r="DQ27"/>
  <c r="DP27"/>
  <c r="DO27"/>
  <c r="DN27"/>
  <c r="DM27"/>
  <c r="DL27"/>
  <c r="DK27"/>
  <c r="DJ27"/>
  <c r="DI27"/>
  <c r="DI20" s="1"/>
  <c r="DH27"/>
  <c r="DS21"/>
  <c r="DR21"/>
  <c r="DQ21"/>
  <c r="DP21"/>
  <c r="DO21"/>
  <c r="DN21"/>
  <c r="DM21"/>
  <c r="DL21"/>
  <c r="DK21"/>
  <c r="DJ21"/>
  <c r="DI21"/>
  <c r="DH21"/>
  <c r="DS20"/>
  <c r="DR20"/>
  <c r="DP20"/>
  <c r="DO20"/>
  <c r="DN20"/>
  <c r="DM20"/>
  <c r="DJ20"/>
  <c r="DS18"/>
  <c r="DR18"/>
  <c r="DQ18"/>
  <c r="DP18"/>
  <c r="DO18"/>
  <c r="DN18"/>
  <c r="DM18"/>
  <c r="DL18"/>
  <c r="DK18"/>
  <c r="DJ18"/>
  <c r="DI18"/>
  <c r="DH18"/>
  <c r="DS15"/>
  <c r="DR15"/>
  <c r="DQ15"/>
  <c r="DP15"/>
  <c r="DO15"/>
  <c r="DN15"/>
  <c r="DM15"/>
  <c r="DL15"/>
  <c r="DK15"/>
  <c r="DJ15"/>
  <c r="DI15"/>
  <c r="DH15"/>
  <c r="DS13"/>
  <c r="DR13"/>
  <c r="DQ13"/>
  <c r="DP13"/>
  <c r="DO13"/>
  <c r="DN13"/>
  <c r="DM13"/>
  <c r="DL13"/>
  <c r="DK13"/>
  <c r="DJ13"/>
  <c r="DI13"/>
  <c r="DI12" s="1"/>
  <c r="DH13"/>
  <c r="DS12"/>
  <c r="DR12"/>
  <c r="DQ12"/>
  <c r="DP12"/>
  <c r="DO12"/>
  <c r="DN12"/>
  <c r="DM12"/>
  <c r="DL12"/>
  <c r="DK12"/>
  <c r="DJ12"/>
  <c r="DS7"/>
  <c r="DR7"/>
  <c r="DQ7"/>
  <c r="DP7"/>
  <c r="DO7"/>
  <c r="DN7"/>
  <c r="DM7"/>
  <c r="DL7"/>
  <c r="DK7"/>
  <c r="DJ7"/>
  <c r="DI7"/>
  <c r="DH7"/>
  <c r="DS6"/>
  <c r="DR6"/>
  <c r="DQ6"/>
  <c r="DP6"/>
  <c r="DO6"/>
  <c r="DN6"/>
  <c r="DM6"/>
  <c r="DL6"/>
  <c r="DK6"/>
  <c r="DJ6"/>
  <c r="DI6"/>
  <c r="DH6"/>
  <c r="DF30"/>
  <c r="DE30"/>
  <c r="DD30"/>
  <c r="DC30"/>
  <c r="DB30"/>
  <c r="DA30"/>
  <c r="CZ30"/>
  <c r="CY30"/>
  <c r="CX30"/>
  <c r="CW30"/>
  <c r="CV30"/>
  <c r="CU30"/>
  <c r="DF27"/>
  <c r="DE27"/>
  <c r="DD27"/>
  <c r="DC27"/>
  <c r="DB27"/>
  <c r="DA27"/>
  <c r="CZ27"/>
  <c r="CY27"/>
  <c r="CX27"/>
  <c r="CW27"/>
  <c r="CV27"/>
  <c r="CU27"/>
  <c r="DF21"/>
  <c r="DE21"/>
  <c r="DD21"/>
  <c r="DC21"/>
  <c r="DB21"/>
  <c r="DA21"/>
  <c r="CZ21"/>
  <c r="CY21"/>
  <c r="CX21"/>
  <c r="CW21"/>
  <c r="CV21"/>
  <c r="CU21"/>
  <c r="DE20"/>
  <c r="DC20"/>
  <c r="DA20"/>
  <c r="CY20"/>
  <c r="CX20"/>
  <c r="CV20"/>
  <c r="DF18"/>
  <c r="DE18"/>
  <c r="DD18"/>
  <c r="DC18"/>
  <c r="DB18"/>
  <c r="DA18"/>
  <c r="CZ18"/>
  <c r="CY18"/>
  <c r="CX18"/>
  <c r="CW18"/>
  <c r="CV18"/>
  <c r="CU18"/>
  <c r="DF15"/>
  <c r="DE15"/>
  <c r="DD15"/>
  <c r="DC15"/>
  <c r="DB15"/>
  <c r="DA15"/>
  <c r="CZ15"/>
  <c r="CY15"/>
  <c r="CX15"/>
  <c r="CW15"/>
  <c r="CV15"/>
  <c r="CU15"/>
  <c r="DF13"/>
  <c r="DE13"/>
  <c r="DD13"/>
  <c r="DC13"/>
  <c r="DB13"/>
  <c r="DA13"/>
  <c r="CZ13"/>
  <c r="CY13"/>
  <c r="CX13"/>
  <c r="CW13"/>
  <c r="CV13"/>
  <c r="CU13"/>
  <c r="DF12"/>
  <c r="DE12"/>
  <c r="DD12"/>
  <c r="DC12"/>
  <c r="DB12"/>
  <c r="DA12"/>
  <c r="CZ12"/>
  <c r="CY12"/>
  <c r="CX12"/>
  <c r="CW12"/>
  <c r="CV12"/>
  <c r="DF7"/>
  <c r="DE7"/>
  <c r="DD7"/>
  <c r="DC7"/>
  <c r="DB7"/>
  <c r="DA7"/>
  <c r="CZ7"/>
  <c r="CZ6" s="1"/>
  <c r="CY7"/>
  <c r="CX7"/>
  <c r="CW7"/>
  <c r="CV7"/>
  <c r="CU7"/>
  <c r="DF6"/>
  <c r="DE6"/>
  <c r="DD6"/>
  <c r="DC6"/>
  <c r="DB6"/>
  <c r="DA6"/>
  <c r="CY6"/>
  <c r="CX6"/>
  <c r="CW6"/>
  <c r="CV6"/>
  <c r="CU6"/>
  <c r="CS35"/>
  <c r="CR35"/>
  <c r="CQ35"/>
  <c r="CP35"/>
  <c r="CO35"/>
  <c r="CN35"/>
  <c r="CM35"/>
  <c r="CL35"/>
  <c r="CK35"/>
  <c r="CJ35"/>
  <c r="CI35"/>
  <c r="CH35"/>
  <c r="CH34" s="1"/>
  <c r="CS34"/>
  <c r="CR34"/>
  <c r="CQ34"/>
  <c r="CP34"/>
  <c r="CO34"/>
  <c r="CN34"/>
  <c r="CM34"/>
  <c r="CL34"/>
  <c r="CK34"/>
  <c r="CJ34"/>
  <c r="CI34"/>
  <c r="CS32"/>
  <c r="CR32"/>
  <c r="CQ32"/>
  <c r="CP32"/>
  <c r="CO32"/>
  <c r="CN32"/>
  <c r="CN20" s="1"/>
  <c r="CM32"/>
  <c r="CL32"/>
  <c r="CK32"/>
  <c r="CJ32"/>
  <c r="CI32"/>
  <c r="CH32"/>
  <c r="CS30"/>
  <c r="CR30"/>
  <c r="CQ30"/>
  <c r="CP30"/>
  <c r="CP20" s="1"/>
  <c r="CO30"/>
  <c r="CN30"/>
  <c r="CM30"/>
  <c r="CM20" s="1"/>
  <c r="CL30"/>
  <c r="CK30"/>
  <c r="CJ30"/>
  <c r="CJ20" s="1"/>
  <c r="CI30"/>
  <c r="CH30"/>
  <c r="CS27"/>
  <c r="CR27"/>
  <c r="CQ27"/>
  <c r="CP27"/>
  <c r="CO27"/>
  <c r="CO20" s="1"/>
  <c r="CN27"/>
  <c r="CM27"/>
  <c r="CL27"/>
  <c r="CL20" s="1"/>
  <c r="CK27"/>
  <c r="CJ27"/>
  <c r="CI27"/>
  <c r="CH27"/>
  <c r="CS21"/>
  <c r="CS20" s="1"/>
  <c r="CR21"/>
  <c r="CQ21"/>
  <c r="CP21"/>
  <c r="CO21"/>
  <c r="CN21"/>
  <c r="CM21"/>
  <c r="CL21"/>
  <c r="CK21"/>
  <c r="CJ21"/>
  <c r="CI21"/>
  <c r="CH21"/>
  <c r="CR20"/>
  <c r="CQ20"/>
  <c r="CS18"/>
  <c r="CR18"/>
  <c r="CQ18"/>
  <c r="CP18"/>
  <c r="CO18"/>
  <c r="CN18"/>
  <c r="CM18"/>
  <c r="CL18"/>
  <c r="CK18"/>
  <c r="CJ18"/>
  <c r="CJ12" s="1"/>
  <c r="CI18"/>
  <c r="CI12" s="1"/>
  <c r="CH18"/>
  <c r="CS15"/>
  <c r="CR15"/>
  <c r="CQ15"/>
  <c r="CQ12" s="1"/>
  <c r="CP15"/>
  <c r="CO15"/>
  <c r="CO12" s="1"/>
  <c r="CN15"/>
  <c r="CN12" s="1"/>
  <c r="CM15"/>
  <c r="CL15"/>
  <c r="CK15"/>
  <c r="CK12" s="1"/>
  <c r="CJ15"/>
  <c r="CI15"/>
  <c r="CH15"/>
  <c r="CS13"/>
  <c r="CR13"/>
  <c r="CR12" s="1"/>
  <c r="CQ13"/>
  <c r="CP13"/>
  <c r="CO13"/>
  <c r="CN13"/>
  <c r="CM13"/>
  <c r="CL13"/>
  <c r="CK13"/>
  <c r="CJ13"/>
  <c r="CI13"/>
  <c r="CH13"/>
  <c r="CS12"/>
  <c r="CP12"/>
  <c r="CM12"/>
  <c r="CL12"/>
  <c r="CS7"/>
  <c r="CR7"/>
  <c r="CQ7"/>
  <c r="CP7"/>
  <c r="CP6" s="1"/>
  <c r="CO7"/>
  <c r="CN7"/>
  <c r="CM7"/>
  <c r="CL7"/>
  <c r="CK7"/>
  <c r="CJ7"/>
  <c r="CI7"/>
  <c r="CI6" s="1"/>
  <c r="CH7"/>
  <c r="CH6" s="1"/>
  <c r="CS6"/>
  <c r="CR6"/>
  <c r="CQ6"/>
  <c r="CO6"/>
  <c r="CN6"/>
  <c r="CM6"/>
  <c r="CL6"/>
  <c r="CK6"/>
  <c r="CJ6"/>
  <c r="CE35"/>
  <c r="CD35"/>
  <c r="CC35"/>
  <c r="CB35"/>
  <c r="CA35"/>
  <c r="BZ35"/>
  <c r="BY35"/>
  <c r="BU35"/>
  <c r="CE34"/>
  <c r="CD34"/>
  <c r="CC34"/>
  <c r="CB34"/>
  <c r="CA34"/>
  <c r="BZ34"/>
  <c r="BY34"/>
  <c r="BU34"/>
  <c r="CE32"/>
  <c r="CD32"/>
  <c r="CC32"/>
  <c r="CB32"/>
  <c r="CA32"/>
  <c r="BZ32"/>
  <c r="BY32"/>
  <c r="BW32"/>
  <c r="BU32"/>
  <c r="CE30"/>
  <c r="CD30"/>
  <c r="CC30"/>
  <c r="CB30"/>
  <c r="CA30"/>
  <c r="BZ30"/>
  <c r="BZ20" s="1"/>
  <c r="BY30"/>
  <c r="BY20" s="1"/>
  <c r="BW30"/>
  <c r="BU30"/>
  <c r="CE27"/>
  <c r="CD27"/>
  <c r="CC27"/>
  <c r="CC20" s="1"/>
  <c r="CB27"/>
  <c r="CB20" s="1"/>
  <c r="CA27"/>
  <c r="CA20" s="1"/>
  <c r="BZ27"/>
  <c r="BY27"/>
  <c r="BW27"/>
  <c r="BU27"/>
  <c r="CE21"/>
  <c r="CD21"/>
  <c r="CD20" s="1"/>
  <c r="CC21"/>
  <c r="CB21"/>
  <c r="CA21"/>
  <c r="BZ21"/>
  <c r="BY21"/>
  <c r="BU21"/>
  <c r="CE20"/>
  <c r="BW15"/>
  <c r="BW13"/>
  <c r="BU13"/>
  <c r="BR35"/>
  <c r="BR34" s="1"/>
  <c r="BQ35"/>
  <c r="BP35"/>
  <c r="BO35"/>
  <c r="BN35"/>
  <c r="BM35"/>
  <c r="BM34" s="1"/>
  <c r="BL35"/>
  <c r="BH35"/>
  <c r="BH34" s="1"/>
  <c r="BQ34"/>
  <c r="BP34"/>
  <c r="BO34"/>
  <c r="BN34"/>
  <c r="BL34"/>
  <c r="BR32"/>
  <c r="BQ32"/>
  <c r="BP32"/>
  <c r="BO32"/>
  <c r="BN32"/>
  <c r="BM32"/>
  <c r="BL32"/>
  <c r="BJ32"/>
  <c r="BH32"/>
  <c r="BR30"/>
  <c r="BQ30"/>
  <c r="BP30"/>
  <c r="BO30"/>
  <c r="BN30"/>
  <c r="BM30"/>
  <c r="BL30"/>
  <c r="BJ30"/>
  <c r="BH30"/>
  <c r="BR27"/>
  <c r="BQ27"/>
  <c r="BP27"/>
  <c r="BO27"/>
  <c r="BN27"/>
  <c r="BM27"/>
  <c r="BL27"/>
  <c r="BJ27"/>
  <c r="BH27"/>
  <c r="BR21"/>
  <c r="BQ21"/>
  <c r="BP21"/>
  <c r="BO21"/>
  <c r="BN21"/>
  <c r="BM21"/>
  <c r="BL21"/>
  <c r="BL20" s="1"/>
  <c r="BH21"/>
  <c r="BH20" s="1"/>
  <c r="BR20"/>
  <c r="BQ20"/>
  <c r="BP20"/>
  <c r="BO20"/>
  <c r="BN20"/>
  <c r="BE21"/>
  <c r="BJ15"/>
  <c r="BR13"/>
  <c r="BQ13"/>
  <c r="BP13"/>
  <c r="BO13"/>
  <c r="BN13"/>
  <c r="BM13"/>
  <c r="BJ13"/>
  <c r="BH13"/>
  <c r="BE35"/>
  <c r="BE34" s="1"/>
  <c r="BD35"/>
  <c r="BD34" s="1"/>
  <c r="BC35"/>
  <c r="BB35"/>
  <c r="BB34" s="1"/>
  <c r="BA35"/>
  <c r="BA34" s="1"/>
  <c r="AZ35"/>
  <c r="AZ34" s="1"/>
  <c r="AY35"/>
  <c r="AU35"/>
  <c r="AU34" s="1"/>
  <c r="BC34"/>
  <c r="AY34"/>
  <c r="BE32"/>
  <c r="BD32"/>
  <c r="BC32"/>
  <c r="BB32"/>
  <c r="BA32"/>
  <c r="AZ32"/>
  <c r="AY32"/>
  <c r="AW32"/>
  <c r="AU32"/>
  <c r="BE30"/>
  <c r="BD30"/>
  <c r="BC30"/>
  <c r="BB30"/>
  <c r="BA30"/>
  <c r="AZ30"/>
  <c r="AY30"/>
  <c r="AW30"/>
  <c r="AU30"/>
  <c r="BE27"/>
  <c r="BD27"/>
  <c r="BC27"/>
  <c r="BB27"/>
  <c r="BA27"/>
  <c r="AZ27"/>
  <c r="AY27"/>
  <c r="AW27"/>
  <c r="AU27"/>
  <c r="AW15"/>
  <c r="AW13"/>
  <c r="AA32"/>
  <c r="Z32"/>
  <c r="EF38"/>
  <c r="DS38"/>
  <c r="DF38"/>
  <c r="EF37"/>
  <c r="DS37"/>
  <c r="DF37"/>
  <c r="EF36"/>
  <c r="DS36"/>
  <c r="DF36"/>
  <c r="EF33"/>
  <c r="DS33"/>
  <c r="DF33"/>
  <c r="EF31"/>
  <c r="DS31"/>
  <c r="DF31"/>
  <c r="EF29"/>
  <c r="DS29"/>
  <c r="DF29"/>
  <c r="EF23"/>
  <c r="DS23"/>
  <c r="DF23"/>
  <c r="EF24"/>
  <c r="DS24"/>
  <c r="DF24"/>
  <c r="EF22"/>
  <c r="DS22"/>
  <c r="DF22"/>
  <c r="EF26"/>
  <c r="DS26"/>
  <c r="DF26"/>
  <c r="EF19"/>
  <c r="DS19"/>
  <c r="DF19"/>
  <c r="BM20" l="1"/>
  <c r="BE20"/>
  <c r="DU20"/>
  <c r="CW20"/>
  <c r="DH12"/>
  <c r="CU20"/>
  <c r="CU12"/>
  <c r="CK20"/>
  <c r="CI20"/>
  <c r="CH20"/>
  <c r="CH12"/>
  <c r="BU20"/>
  <c r="AX92" i="16"/>
  <c r="AY92"/>
  <c r="AU93"/>
  <c r="AU92" s="1"/>
  <c r="AV93"/>
  <c r="AV92" s="1"/>
  <c r="AW93"/>
  <c r="AW92" s="1"/>
  <c r="AX93"/>
  <c r="AY93"/>
  <c r="AZ93"/>
  <c r="AZ92" s="1"/>
  <c r="BA93"/>
  <c r="BA92" s="1"/>
  <c r="AR101"/>
  <c r="AU101"/>
  <c r="AV101"/>
  <c r="AW101"/>
  <c r="AX101"/>
  <c r="AY101"/>
  <c r="AZ101"/>
  <c r="BA101"/>
  <c r="AU113"/>
  <c r="AV113"/>
  <c r="AW113"/>
  <c r="AX113"/>
  <c r="AY113"/>
  <c r="AZ113"/>
  <c r="BA113"/>
  <c r="AU136"/>
  <c r="AV136"/>
  <c r="AW136"/>
  <c r="AX136"/>
  <c r="AY136"/>
  <c r="AZ136"/>
  <c r="BA136"/>
  <c r="AR139"/>
  <c r="AU139"/>
  <c r="AV139"/>
  <c r="AW139"/>
  <c r="AX139"/>
  <c r="AY139"/>
  <c r="AZ139"/>
  <c r="BA139"/>
  <c r="AR142"/>
  <c r="AU142"/>
  <c r="AV142"/>
  <c r="AW142"/>
  <c r="AX142"/>
  <c r="AY142"/>
  <c r="AZ142"/>
  <c r="BA142"/>
  <c r="AU143"/>
  <c r="AV143"/>
  <c r="AW143"/>
  <c r="AX143"/>
  <c r="AY143"/>
  <c r="AZ143"/>
  <c r="BA143"/>
  <c r="AU168"/>
  <c r="AV168"/>
  <c r="AW168"/>
  <c r="AX168"/>
  <c r="AY168"/>
  <c r="AZ168"/>
  <c r="BA168"/>
  <c r="AU178"/>
  <c r="AV178"/>
  <c r="AW178"/>
  <c r="AX178"/>
  <c r="AY178"/>
  <c r="AZ178"/>
  <c r="BA178"/>
  <c r="AU179"/>
  <c r="AV179"/>
  <c r="AW179"/>
  <c r="AX179"/>
  <c r="AY179"/>
  <c r="AZ179"/>
  <c r="BA179"/>
  <c r="AU201"/>
  <c r="AV201"/>
  <c r="AW201"/>
  <c r="AX201"/>
  <c r="AY201"/>
  <c r="AZ201"/>
  <c r="BA201"/>
  <c r="AU202"/>
  <c r="AV202"/>
  <c r="AW202"/>
  <c r="AX202"/>
  <c r="AY202"/>
  <c r="AZ202"/>
  <c r="BA202"/>
  <c r="AU222"/>
  <c r="AV222"/>
  <c r="AW222"/>
  <c r="AX222"/>
  <c r="AY222"/>
  <c r="AZ222"/>
  <c r="BA222"/>
  <c r="AW223"/>
  <c r="AY223"/>
  <c r="AU224"/>
  <c r="AU223" s="1"/>
  <c r="AV224"/>
  <c r="AV223" s="1"/>
  <c r="AW224"/>
  <c r="AX224"/>
  <c r="AX223" s="1"/>
  <c r="AY224"/>
  <c r="AZ224"/>
  <c r="AZ223" s="1"/>
  <c r="BA224"/>
  <c r="BA223" s="1"/>
  <c r="AU232"/>
  <c r="AV232"/>
  <c r="AW232"/>
  <c r="AX232"/>
  <c r="AY232"/>
  <c r="AZ232"/>
  <c r="BA232"/>
  <c r="AS242"/>
  <c r="AU242"/>
  <c r="AV242"/>
  <c r="AW242"/>
  <c r="AX242"/>
  <c r="AY242"/>
  <c r="AZ242"/>
  <c r="BA242"/>
  <c r="AR236"/>
  <c r="AS236"/>
  <c r="AT236"/>
  <c r="AU236"/>
  <c r="AV236"/>
  <c r="AW236"/>
  <c r="AX236"/>
  <c r="AY236"/>
  <c r="AZ236"/>
  <c r="BA236"/>
  <c r="BB236"/>
  <c r="AL242"/>
  <c r="AK242"/>
  <c r="AJ242"/>
  <c r="AL236"/>
  <c r="AL224" s="1"/>
  <c r="AL223" s="1"/>
  <c r="AK236"/>
  <c r="AJ236"/>
  <c r="AL232"/>
  <c r="AK232"/>
  <c r="AJ232"/>
  <c r="AK224"/>
  <c r="AK223" s="1"/>
  <c r="AJ224"/>
  <c r="AJ223" s="1"/>
  <c r="AL222"/>
  <c r="AL202" s="1"/>
  <c r="AK222"/>
  <c r="AK202" s="1"/>
  <c r="AJ222"/>
  <c r="AJ202"/>
  <c r="AL201"/>
  <c r="AK201"/>
  <c r="AK179" s="1"/>
  <c r="AJ201"/>
  <c r="AJ179" s="1"/>
  <c r="AL179"/>
  <c r="AL178"/>
  <c r="AL143" s="1"/>
  <c r="AK178"/>
  <c r="AJ178"/>
  <c r="AL168"/>
  <c r="AK168"/>
  <c r="AJ168"/>
  <c r="AK143"/>
  <c r="AJ143"/>
  <c r="AL142"/>
  <c r="AK142"/>
  <c r="AJ142"/>
  <c r="AL139"/>
  <c r="AK139"/>
  <c r="AJ139"/>
  <c r="AL136"/>
  <c r="AK136"/>
  <c r="AJ136"/>
  <c r="AL113"/>
  <c r="AK113"/>
  <c r="AJ113"/>
  <c r="AJ93" s="1"/>
  <c r="AJ92" s="1"/>
  <c r="AL101"/>
  <c r="AK101"/>
  <c r="AJ101"/>
  <c r="AD242"/>
  <c r="AC241"/>
  <c r="AC242" s="1"/>
  <c r="AD236"/>
  <c r="AC236"/>
  <c r="AD232"/>
  <c r="AD224" s="1"/>
  <c r="AD223" s="1"/>
  <c r="AC232"/>
  <c r="AC224" s="1"/>
  <c r="AC223" s="1"/>
  <c r="AC230"/>
  <c r="AD222"/>
  <c r="AC215"/>
  <c r="AC208"/>
  <c r="AC204"/>
  <c r="AC222" s="1"/>
  <c r="AC202" s="1"/>
  <c r="AD202"/>
  <c r="AD201"/>
  <c r="AC197"/>
  <c r="AC194"/>
  <c r="AC190"/>
  <c r="AC188"/>
  <c r="AC187"/>
  <c r="AC183"/>
  <c r="AD179"/>
  <c r="AD178"/>
  <c r="AC178"/>
  <c r="AC177"/>
  <c r="AD168"/>
  <c r="AC165"/>
  <c r="AC158"/>
  <c r="AC153"/>
  <c r="AC144"/>
  <c r="AD143"/>
  <c r="AD142"/>
  <c r="AC142"/>
  <c r="AD139"/>
  <c r="AC139"/>
  <c r="AD136"/>
  <c r="AC132"/>
  <c r="AC131"/>
  <c r="AC121"/>
  <c r="AC115"/>
  <c r="AC136" s="1"/>
  <c r="AD113"/>
  <c r="AC111"/>
  <c r="AC108"/>
  <c r="AC104"/>
  <c r="AC113" s="1"/>
  <c r="AD101"/>
  <c r="AC100"/>
  <c r="AC96"/>
  <c r="AC101" s="1"/>
  <c r="Z223"/>
  <c r="AA190"/>
  <c r="AA153"/>
  <c r="AS242" i="15"/>
  <c r="AU242"/>
  <c r="AV242"/>
  <c r="AV224" s="1"/>
  <c r="AV223" s="1"/>
  <c r="AW242"/>
  <c r="AX242"/>
  <c r="AY242"/>
  <c r="AZ242"/>
  <c r="BA242"/>
  <c r="AR236"/>
  <c r="AS236"/>
  <c r="AT236"/>
  <c r="AU236"/>
  <c r="AV236"/>
  <c r="AW236"/>
  <c r="AX236"/>
  <c r="AY236"/>
  <c r="AZ236"/>
  <c r="BA236"/>
  <c r="BB236"/>
  <c r="AU232"/>
  <c r="AU224" s="1"/>
  <c r="AU223" s="1"/>
  <c r="AV232"/>
  <c r="AW232"/>
  <c r="AX232"/>
  <c r="AY232"/>
  <c r="AZ232"/>
  <c r="BA232"/>
  <c r="AU222"/>
  <c r="AV222"/>
  <c r="AV202" s="1"/>
  <c r="AW222"/>
  <c r="AX222"/>
  <c r="AY222"/>
  <c r="AZ222"/>
  <c r="BA222"/>
  <c r="BA202" s="1"/>
  <c r="AW224"/>
  <c r="AW223" s="1"/>
  <c r="AX224"/>
  <c r="AX223" s="1"/>
  <c r="AZ224"/>
  <c r="AZ223" s="1"/>
  <c r="AU201"/>
  <c r="AU179" s="1"/>
  <c r="AV201"/>
  <c r="AV179" s="1"/>
  <c r="AW201"/>
  <c r="AX201"/>
  <c r="AY201"/>
  <c r="AZ201"/>
  <c r="AZ179" s="1"/>
  <c r="BA201"/>
  <c r="BA179" s="1"/>
  <c r="AU202"/>
  <c r="AW202"/>
  <c r="AX202"/>
  <c r="AY202"/>
  <c r="AZ202"/>
  <c r="AU178"/>
  <c r="AU143" s="1"/>
  <c r="AV178"/>
  <c r="AW178"/>
  <c r="AX178"/>
  <c r="AY178"/>
  <c r="AZ178"/>
  <c r="BA178"/>
  <c r="AW179"/>
  <c r="AX179"/>
  <c r="AY179"/>
  <c r="AU168"/>
  <c r="AV168"/>
  <c r="AW168"/>
  <c r="AX168"/>
  <c r="AX143" s="1"/>
  <c r="AY168"/>
  <c r="AZ168"/>
  <c r="BA168"/>
  <c r="AU142"/>
  <c r="AV142"/>
  <c r="AW142"/>
  <c r="AX142"/>
  <c r="AY142"/>
  <c r="AZ142"/>
  <c r="BA142"/>
  <c r="AV143"/>
  <c r="AW143"/>
  <c r="BA143"/>
  <c r="AU136"/>
  <c r="AV136"/>
  <c r="AW136"/>
  <c r="AX136"/>
  <c r="AY136"/>
  <c r="AZ136"/>
  <c r="BA136"/>
  <c r="AU113"/>
  <c r="AV113"/>
  <c r="AW113"/>
  <c r="AX113"/>
  <c r="AY113"/>
  <c r="AZ113"/>
  <c r="BA113"/>
  <c r="AR101"/>
  <c r="AU101"/>
  <c r="AV101"/>
  <c r="AW101"/>
  <c r="AX101"/>
  <c r="AY101"/>
  <c r="AZ101"/>
  <c r="BA101"/>
  <c r="AV93"/>
  <c r="AW93"/>
  <c r="AL242"/>
  <c r="AK242"/>
  <c r="AJ242"/>
  <c r="AL236"/>
  <c r="AL224" s="1"/>
  <c r="AL223" s="1"/>
  <c r="AK236"/>
  <c r="AJ236"/>
  <c r="AL232"/>
  <c r="AK232"/>
  <c r="AK224" s="1"/>
  <c r="AK223" s="1"/>
  <c r="AJ232"/>
  <c r="AJ224"/>
  <c r="AJ223" s="1"/>
  <c r="AL222"/>
  <c r="AL202" s="1"/>
  <c r="AK222"/>
  <c r="AK202" s="1"/>
  <c r="AJ222"/>
  <c r="AJ202" s="1"/>
  <c r="AL201"/>
  <c r="AL179" s="1"/>
  <c r="AK201"/>
  <c r="AJ201"/>
  <c r="AJ179" s="1"/>
  <c r="AK179"/>
  <c r="AL178"/>
  <c r="AL143" s="1"/>
  <c r="AK178"/>
  <c r="AJ178"/>
  <c r="AL168"/>
  <c r="AK168"/>
  <c r="AK143" s="1"/>
  <c r="AJ168"/>
  <c r="AJ143"/>
  <c r="AL142"/>
  <c r="AK142"/>
  <c r="AJ142"/>
  <c r="AL139"/>
  <c r="AK139"/>
  <c r="AJ139"/>
  <c r="AL136"/>
  <c r="AK136"/>
  <c r="AJ136"/>
  <c r="AL113"/>
  <c r="AK113"/>
  <c r="AJ113"/>
  <c r="AJ93" s="1"/>
  <c r="AJ92" s="1"/>
  <c r="AL101"/>
  <c r="AK101"/>
  <c r="AJ101"/>
  <c r="AD242"/>
  <c r="AC241"/>
  <c r="AC242" s="1"/>
  <c r="AC224" s="1"/>
  <c r="AC223" s="1"/>
  <c r="AD236"/>
  <c r="AC236"/>
  <c r="AD232"/>
  <c r="AC232"/>
  <c r="AC230"/>
  <c r="AD224"/>
  <c r="AD223" s="1"/>
  <c r="AD222"/>
  <c r="AD202" s="1"/>
  <c r="AC215"/>
  <c r="AC210"/>
  <c r="AC208"/>
  <c r="AC222" s="1"/>
  <c r="AC202" s="1"/>
  <c r="AC207"/>
  <c r="AC204"/>
  <c r="AD201"/>
  <c r="AD179" s="1"/>
  <c r="AC197"/>
  <c r="AC194"/>
  <c r="AC190"/>
  <c r="AC188"/>
  <c r="AC187"/>
  <c r="AC183"/>
  <c r="AC201" s="1"/>
  <c r="AC179" s="1"/>
  <c r="AD178"/>
  <c r="AC178"/>
  <c r="AC177"/>
  <c r="AD168"/>
  <c r="AC168"/>
  <c r="AC143" s="1"/>
  <c r="AC165"/>
  <c r="AC158"/>
  <c r="AC153"/>
  <c r="AC144"/>
  <c r="AD143"/>
  <c r="AD142"/>
  <c r="AC142"/>
  <c r="AD139"/>
  <c r="AC139"/>
  <c r="AD136"/>
  <c r="AC132"/>
  <c r="AC131"/>
  <c r="AC136" s="1"/>
  <c r="AC121"/>
  <c r="AC115"/>
  <c r="AD113"/>
  <c r="AC111"/>
  <c r="AC108"/>
  <c r="AC104"/>
  <c r="AC113" s="1"/>
  <c r="AD101"/>
  <c r="AC100"/>
  <c r="AC96"/>
  <c r="AC101" s="1"/>
  <c r="Z223"/>
  <c r="AA190"/>
  <c r="AA153"/>
  <c r="AU101" i="13"/>
  <c r="AL22" i="18" s="1"/>
  <c r="AV101" i="13"/>
  <c r="AM22" i="18" s="1"/>
  <c r="AW101" i="13"/>
  <c r="AN22" i="18" s="1"/>
  <c r="AX101" i="13"/>
  <c r="AO22" i="18" s="1"/>
  <c r="AY101" i="13"/>
  <c r="AP22" i="18" s="1"/>
  <c r="AZ101" i="13"/>
  <c r="AQ22" i="18" s="1"/>
  <c r="BA101" i="13"/>
  <c r="AR22" i="18" s="1"/>
  <c r="AL23"/>
  <c r="AM23"/>
  <c r="AN23"/>
  <c r="AO23"/>
  <c r="AY113" i="13"/>
  <c r="AP23" i="18" s="1"/>
  <c r="BA113" i="13"/>
  <c r="AR23" i="18" s="1"/>
  <c r="AU136" i="13"/>
  <c r="AL24" i="18" s="1"/>
  <c r="AV136" i="13"/>
  <c r="AM24" i="18" s="1"/>
  <c r="AW136" i="13"/>
  <c r="AN24" i="18" s="1"/>
  <c r="AX136" i="13"/>
  <c r="AO24" i="18" s="1"/>
  <c r="AY136" i="13"/>
  <c r="AP24" i="18" s="1"/>
  <c r="AZ136" i="13"/>
  <c r="AQ24" i="18" s="1"/>
  <c r="BA136" i="13"/>
  <c r="AR24" i="18" s="1"/>
  <c r="AU142" i="13"/>
  <c r="AL26" i="18" s="1"/>
  <c r="AV142" i="13"/>
  <c r="AM26" i="18" s="1"/>
  <c r="AW142" i="13"/>
  <c r="AN26" i="18" s="1"/>
  <c r="AX142" i="13"/>
  <c r="AO26" i="18" s="1"/>
  <c r="AY142" i="13"/>
  <c r="AP26" i="18" s="1"/>
  <c r="AZ142" i="13"/>
  <c r="AQ26" i="18" s="1"/>
  <c r="BA142" i="13"/>
  <c r="AR26" i="18" s="1"/>
  <c r="AU168" i="13"/>
  <c r="AL28" i="18" s="1"/>
  <c r="AV168" i="13"/>
  <c r="AM28" i="18" s="1"/>
  <c r="AW168" i="13"/>
  <c r="AN28" i="18" s="1"/>
  <c r="AX168" i="13"/>
  <c r="AO28" i="18" s="1"/>
  <c r="AY168" i="13"/>
  <c r="AP28" i="18" s="1"/>
  <c r="AZ168" i="13"/>
  <c r="AQ28" i="18" s="1"/>
  <c r="BA168" i="13"/>
  <c r="AR28" i="18" s="1"/>
  <c r="AU178" i="13"/>
  <c r="AL29" i="18" s="1"/>
  <c r="AV178" i="13"/>
  <c r="AM29" i="18" s="1"/>
  <c r="AW178" i="13"/>
  <c r="AN29" i="18" s="1"/>
  <c r="AX178" i="13"/>
  <c r="AO29" i="18" s="1"/>
  <c r="AY178" i="13"/>
  <c r="AP29" i="18" s="1"/>
  <c r="AZ178" i="13"/>
  <c r="AQ29" i="18" s="1"/>
  <c r="BA178" i="13"/>
  <c r="AR29" i="18" s="1"/>
  <c r="AU201" i="13"/>
  <c r="AL31" i="18" s="1"/>
  <c r="AL30" s="1"/>
  <c r="AV201" i="13"/>
  <c r="AM31" i="18" s="1"/>
  <c r="AW201" i="13"/>
  <c r="AN31" i="18" s="1"/>
  <c r="AX201" i="13"/>
  <c r="AO31" i="18" s="1"/>
  <c r="AO30" s="1"/>
  <c r="AY201" i="13"/>
  <c r="AP31" i="18" s="1"/>
  <c r="AP30" s="1"/>
  <c r="AZ201" i="13"/>
  <c r="AQ31" i="18" s="1"/>
  <c r="BA201" i="13"/>
  <c r="AR31" i="18" s="1"/>
  <c r="AU222" i="13"/>
  <c r="AL33" i="18" s="1"/>
  <c r="AV222" i="13"/>
  <c r="AM33" i="18" s="1"/>
  <c r="AW222" i="13"/>
  <c r="AN33" i="18" s="1"/>
  <c r="AX222" i="13"/>
  <c r="AO33" i="18" s="1"/>
  <c r="AY222" i="13"/>
  <c r="AP33" i="18" s="1"/>
  <c r="AZ222" i="13"/>
  <c r="AQ33" i="18" s="1"/>
  <c r="BA222" i="13"/>
  <c r="AR33" i="18" s="1"/>
  <c r="AU232" i="13"/>
  <c r="AL36" i="18" s="1"/>
  <c r="AV232" i="13"/>
  <c r="AM36" i="18" s="1"/>
  <c r="AW232" i="13"/>
  <c r="AN36" i="18" s="1"/>
  <c r="AX232" i="13"/>
  <c r="AO36" i="18" s="1"/>
  <c r="AY232" i="13"/>
  <c r="AP36" i="18" s="1"/>
  <c r="AZ232" i="13"/>
  <c r="AQ36" i="18" s="1"/>
  <c r="BA232" i="13"/>
  <c r="AR36" i="18" s="1"/>
  <c r="AU236" i="13"/>
  <c r="AL37" i="18" s="1"/>
  <c r="AV236" i="13"/>
  <c r="AM37" i="18" s="1"/>
  <c r="AW236" i="13"/>
  <c r="AN37" i="18" s="1"/>
  <c r="AX236" i="13"/>
  <c r="AO37" i="18" s="1"/>
  <c r="AY236" i="13"/>
  <c r="AP37" i="18" s="1"/>
  <c r="AZ236" i="13"/>
  <c r="AQ37" i="18" s="1"/>
  <c r="BA236" i="13"/>
  <c r="AR37" i="18" s="1"/>
  <c r="AU242" i="13"/>
  <c r="AL38" i="18" s="1"/>
  <c r="AV242" i="13"/>
  <c r="AM38" i="18" s="1"/>
  <c r="AW242" i="13"/>
  <c r="AN38" i="18" s="1"/>
  <c r="AX242" i="13"/>
  <c r="AO38" i="18" s="1"/>
  <c r="AY242" i="13"/>
  <c r="AP38" i="18" s="1"/>
  <c r="AZ242" i="13"/>
  <c r="AQ38" i="18" s="1"/>
  <c r="BA242" i="13"/>
  <c r="AR38" i="18" s="1"/>
  <c r="AZ139" i="13"/>
  <c r="AQ25" i="18" s="1"/>
  <c r="BA139" i="13"/>
  <c r="AR25" i="18" s="1"/>
  <c r="AZ103" i="13"/>
  <c r="BH103" i="23" s="1"/>
  <c r="BJ103" s="1"/>
  <c r="AU223" i="14"/>
  <c r="AW223"/>
  <c r="AZ223"/>
  <c r="BA223"/>
  <c r="AU224"/>
  <c r="AV224"/>
  <c r="AV223" s="1"/>
  <c r="AW224"/>
  <c r="AX224"/>
  <c r="AX223" s="1"/>
  <c r="AY224"/>
  <c r="AY223" s="1"/>
  <c r="AZ224"/>
  <c r="BA224"/>
  <c r="AU202"/>
  <c r="AV202"/>
  <c r="AW202"/>
  <c r="AX202"/>
  <c r="AY202"/>
  <c r="AZ202"/>
  <c r="BA202"/>
  <c r="AU179"/>
  <c r="AV179"/>
  <c r="AW179"/>
  <c r="AX179"/>
  <c r="AY179"/>
  <c r="AZ179"/>
  <c r="BA179"/>
  <c r="AU136"/>
  <c r="AV136"/>
  <c r="AZ24" i="18" s="1"/>
  <c r="AZ21" s="1"/>
  <c r="AZ20" s="1"/>
  <c r="AW136" i="14"/>
  <c r="BA24" i="18" s="1"/>
  <c r="BA21" s="1"/>
  <c r="BA20" s="1"/>
  <c r="AX136" i="14"/>
  <c r="BB24" i="18" s="1"/>
  <c r="BB21" s="1"/>
  <c r="BB20" s="1"/>
  <c r="AY136" i="14"/>
  <c r="BC24" i="18" s="1"/>
  <c r="BC21" s="1"/>
  <c r="BC20" s="1"/>
  <c r="AZ136" i="14"/>
  <c r="BD24" i="18" s="1"/>
  <c r="BD21" s="1"/>
  <c r="BD20" s="1"/>
  <c r="BA136" i="14"/>
  <c r="BA93" s="1"/>
  <c r="AY93"/>
  <c r="AV93"/>
  <c r="AV92" s="1"/>
  <c r="AW93"/>
  <c r="AW92" s="1"/>
  <c r="AX93"/>
  <c r="AX92" s="1"/>
  <c r="AZ93"/>
  <c r="AR101"/>
  <c r="AU101"/>
  <c r="AV101"/>
  <c r="AW101"/>
  <c r="AX101"/>
  <c r="AY101"/>
  <c r="AZ101"/>
  <c r="BA101"/>
  <c r="AU113"/>
  <c r="AV113"/>
  <c r="AW113"/>
  <c r="AX113"/>
  <c r="AY113"/>
  <c r="AZ113"/>
  <c r="BA113"/>
  <c r="AU143"/>
  <c r="AV143"/>
  <c r="AW143"/>
  <c r="AX143"/>
  <c r="AY143"/>
  <c r="AZ143"/>
  <c r="BA143"/>
  <c r="AU168"/>
  <c r="AV168"/>
  <c r="AW168"/>
  <c r="AX168"/>
  <c r="AY168"/>
  <c r="AZ168"/>
  <c r="BA168"/>
  <c r="AU178"/>
  <c r="AV178"/>
  <c r="AW178"/>
  <c r="AX178"/>
  <c r="AY178"/>
  <c r="AZ178"/>
  <c r="BA178"/>
  <c r="AU201"/>
  <c r="AV201"/>
  <c r="AW201"/>
  <c r="AX201"/>
  <c r="AY201"/>
  <c r="AZ201"/>
  <c r="BA201"/>
  <c r="AZ185"/>
  <c r="AZ199"/>
  <c r="AL242"/>
  <c r="AK242"/>
  <c r="AJ242"/>
  <c r="AL236"/>
  <c r="AK236"/>
  <c r="AJ236"/>
  <c r="AL232"/>
  <c r="AK232"/>
  <c r="AK224" s="1"/>
  <c r="AK223" s="1"/>
  <c r="AJ232"/>
  <c r="AL224"/>
  <c r="AL223" s="1"/>
  <c r="AJ224"/>
  <c r="AJ223" s="1"/>
  <c r="AL222"/>
  <c r="AL202" s="1"/>
  <c r="AK222"/>
  <c r="AK202" s="1"/>
  <c r="AJ222"/>
  <c r="AJ202" s="1"/>
  <c r="AL201"/>
  <c r="AL179" s="1"/>
  <c r="AK201"/>
  <c r="AJ201"/>
  <c r="AJ179" s="1"/>
  <c r="AK179"/>
  <c r="AL178"/>
  <c r="AK178"/>
  <c r="AJ178"/>
  <c r="AL168"/>
  <c r="AK168"/>
  <c r="AK143" s="1"/>
  <c r="AJ168"/>
  <c r="AL143"/>
  <c r="AJ143"/>
  <c r="AL142"/>
  <c r="AK142"/>
  <c r="AJ142"/>
  <c r="AL139"/>
  <c r="AK139"/>
  <c r="AJ139"/>
  <c r="AL136"/>
  <c r="AK136"/>
  <c r="AJ136"/>
  <c r="AL113"/>
  <c r="AK113"/>
  <c r="AJ113"/>
  <c r="AL101"/>
  <c r="AK101"/>
  <c r="AJ101"/>
  <c r="AD242"/>
  <c r="AC241"/>
  <c r="AC242" s="1"/>
  <c r="AD236"/>
  <c r="AC236"/>
  <c r="AD232"/>
  <c r="AC230"/>
  <c r="AC232" s="1"/>
  <c r="AC224" s="1"/>
  <c r="AC223" s="1"/>
  <c r="AD224"/>
  <c r="AD223" s="1"/>
  <c r="AD222"/>
  <c r="AC218"/>
  <c r="AC215"/>
  <c r="AC210"/>
  <c r="AC208"/>
  <c r="AC207"/>
  <c r="AC204"/>
  <c r="AC222" s="1"/>
  <c r="AC202" s="1"/>
  <c r="AD202"/>
  <c r="AD201"/>
  <c r="AD179" s="1"/>
  <c r="AC201"/>
  <c r="AC179" s="1"/>
  <c r="AC197"/>
  <c r="AC194"/>
  <c r="AC190"/>
  <c r="AC188"/>
  <c r="AC187"/>
  <c r="AC183"/>
  <c r="AD178"/>
  <c r="AC178"/>
  <c r="AC177"/>
  <c r="AD168"/>
  <c r="AD143" s="1"/>
  <c r="AC165"/>
  <c r="AC158"/>
  <c r="AC153"/>
  <c r="AC144"/>
  <c r="AC168" s="1"/>
  <c r="AC143" s="1"/>
  <c r="AD142"/>
  <c r="AC142"/>
  <c r="AD139"/>
  <c r="AC139"/>
  <c r="AD136"/>
  <c r="AD93" s="1"/>
  <c r="AD92" s="1"/>
  <c r="AC132"/>
  <c r="AC131"/>
  <c r="AC121"/>
  <c r="AC115"/>
  <c r="AD113"/>
  <c r="AC112"/>
  <c r="AC111"/>
  <c r="AC110"/>
  <c r="AC108"/>
  <c r="AC113" s="1"/>
  <c r="AC104"/>
  <c r="AD101"/>
  <c r="AC100"/>
  <c r="AC96"/>
  <c r="AC101" s="1"/>
  <c r="Z223"/>
  <c r="AA190"/>
  <c r="AA153"/>
  <c r="AL242" i="13"/>
  <c r="AK242"/>
  <c r="AK224" s="1"/>
  <c r="AK223" s="1"/>
  <c r="AJ242"/>
  <c r="AL236"/>
  <c r="AK236"/>
  <c r="AJ236"/>
  <c r="AJ224" s="1"/>
  <c r="AJ223" s="1"/>
  <c r="AL232"/>
  <c r="AK232"/>
  <c r="AJ232"/>
  <c r="AL224"/>
  <c r="AL223" s="1"/>
  <c r="AL222"/>
  <c r="AK222"/>
  <c r="AK202" s="1"/>
  <c r="AJ222"/>
  <c r="AL202"/>
  <c r="AJ202"/>
  <c r="AL201"/>
  <c r="AL179" s="1"/>
  <c r="AK201"/>
  <c r="AK179" s="1"/>
  <c r="AJ201"/>
  <c r="AJ179" s="1"/>
  <c r="AL178"/>
  <c r="AK178"/>
  <c r="AJ178"/>
  <c r="AL168"/>
  <c r="AK168"/>
  <c r="AK143" s="1"/>
  <c r="AJ168"/>
  <c r="AJ143" s="1"/>
  <c r="AL142"/>
  <c r="AK142"/>
  <c r="AJ142"/>
  <c r="AL139"/>
  <c r="AK139"/>
  <c r="AJ139"/>
  <c r="AL136"/>
  <c r="AK136"/>
  <c r="AJ136"/>
  <c r="AL113"/>
  <c r="AK113"/>
  <c r="AJ113"/>
  <c r="AL101"/>
  <c r="AK101"/>
  <c r="AJ101"/>
  <c r="AD242"/>
  <c r="AC241"/>
  <c r="AC240"/>
  <c r="AD236"/>
  <c r="AC236"/>
  <c r="AD232"/>
  <c r="AC230"/>
  <c r="AC232" s="1"/>
  <c r="AD222"/>
  <c r="AD202" s="1"/>
  <c r="AC218"/>
  <c r="AC217"/>
  <c r="AC215"/>
  <c r="AC213"/>
  <c r="AC212"/>
  <c r="AC210"/>
  <c r="AC208"/>
  <c r="AC207"/>
  <c r="AC222" s="1"/>
  <c r="AC202" s="1"/>
  <c r="AC204"/>
  <c r="AD201"/>
  <c r="AD179" s="1"/>
  <c r="AC199"/>
  <c r="AC197"/>
  <c r="AC194"/>
  <c r="AC190"/>
  <c r="AC188"/>
  <c r="AC187"/>
  <c r="AC185"/>
  <c r="AC184"/>
  <c r="AC183"/>
  <c r="AC182"/>
  <c r="AC181"/>
  <c r="AC180"/>
  <c r="AD178"/>
  <c r="AC178"/>
  <c r="AC177"/>
  <c r="AD168"/>
  <c r="AD143" s="1"/>
  <c r="AC165"/>
  <c r="AC161"/>
  <c r="AC159"/>
  <c r="AC158"/>
  <c r="AC156"/>
  <c r="AC153"/>
  <c r="AC150"/>
  <c r="AC148"/>
  <c r="AC144"/>
  <c r="AD142"/>
  <c r="AC140"/>
  <c r="AC142" s="1"/>
  <c r="AD139"/>
  <c r="AC139"/>
  <c r="AD136"/>
  <c r="AC132"/>
  <c r="AC131"/>
  <c r="AC121"/>
  <c r="AC116"/>
  <c r="AC115"/>
  <c r="AD113"/>
  <c r="AC112"/>
  <c r="AC111"/>
  <c r="AC110"/>
  <c r="AC108"/>
  <c r="AC107"/>
  <c r="AC104"/>
  <c r="AC103"/>
  <c r="AC102"/>
  <c r="AC113" s="1"/>
  <c r="AD101"/>
  <c r="AC100"/>
  <c r="AC99"/>
  <c r="AC98"/>
  <c r="AC96"/>
  <c r="AC95"/>
  <c r="AC94"/>
  <c r="Z223"/>
  <c r="AA190"/>
  <c r="AA153"/>
  <c r="AC241" i="12"/>
  <c r="AC240"/>
  <c r="AA241"/>
  <c r="AC230"/>
  <c r="AC226"/>
  <c r="AC218"/>
  <c r="AC217"/>
  <c r="AC215"/>
  <c r="AC213"/>
  <c r="AC212"/>
  <c r="AC210"/>
  <c r="AC208"/>
  <c r="AC207"/>
  <c r="AC204"/>
  <c r="AC203"/>
  <c r="AY201"/>
  <c r="AC199"/>
  <c r="AC197"/>
  <c r="AC196"/>
  <c r="AC194"/>
  <c r="AC193"/>
  <c r="AC191"/>
  <c r="AC190"/>
  <c r="AC188"/>
  <c r="AC185"/>
  <c r="AC184"/>
  <c r="AC183"/>
  <c r="AC182"/>
  <c r="AC181"/>
  <c r="AC180"/>
  <c r="AA190"/>
  <c r="AA182"/>
  <c r="AY178"/>
  <c r="AC29" i="18" s="1"/>
  <c r="AC177" i="12"/>
  <c r="AA177"/>
  <c r="AA175"/>
  <c r="AC165"/>
  <c r="AC159"/>
  <c r="AC158"/>
  <c r="AC157"/>
  <c r="AC156"/>
  <c r="AC153"/>
  <c r="AC150"/>
  <c r="AC149"/>
  <c r="AC148"/>
  <c r="AC144"/>
  <c r="AA167"/>
  <c r="AC100"/>
  <c r="AC96"/>
  <c r="AC95"/>
  <c r="AM241"/>
  <c r="AM240"/>
  <c r="AM239"/>
  <c r="AM238"/>
  <c r="AM237"/>
  <c r="AM235"/>
  <c r="AM234"/>
  <c r="AM233"/>
  <c r="AS229"/>
  <c r="AM225"/>
  <c r="AM193"/>
  <c r="AM192"/>
  <c r="AM191"/>
  <c r="AM190"/>
  <c r="AM189"/>
  <c r="AM188"/>
  <c r="AM187"/>
  <c r="AM186"/>
  <c r="AM185"/>
  <c r="AM184"/>
  <c r="AM183"/>
  <c r="AM182"/>
  <c r="AM181"/>
  <c r="AM180"/>
  <c r="AM175"/>
  <c r="AM174"/>
  <c r="AM173"/>
  <c r="AM172"/>
  <c r="AM171"/>
  <c r="AM170"/>
  <c r="AM169"/>
  <c r="AM165"/>
  <c r="AM164"/>
  <c r="AM163"/>
  <c r="AM162"/>
  <c r="AM161"/>
  <c r="AM160"/>
  <c r="AM159"/>
  <c r="AN159" s="1"/>
  <c r="AS159" s="1"/>
  <c r="AM158"/>
  <c r="AM157"/>
  <c r="AM154"/>
  <c r="AM153"/>
  <c r="AM151"/>
  <c r="AM150"/>
  <c r="AM144"/>
  <c r="AM130"/>
  <c r="AM129"/>
  <c r="AM128"/>
  <c r="AN128" s="1"/>
  <c r="AS128" s="1"/>
  <c r="AM127"/>
  <c r="AM126"/>
  <c r="AM125"/>
  <c r="AM122"/>
  <c r="AM121"/>
  <c r="AM120"/>
  <c r="AM119"/>
  <c r="AM118"/>
  <c r="AM117"/>
  <c r="AM116"/>
  <c r="AM115"/>
  <c r="AM114"/>
  <c r="AM110"/>
  <c r="AM109"/>
  <c r="AM108"/>
  <c r="AM107"/>
  <c r="AM106"/>
  <c r="AM105"/>
  <c r="AM104"/>
  <c r="AM103"/>
  <c r="AM102"/>
  <c r="AM98"/>
  <c r="AM97"/>
  <c r="AM96"/>
  <c r="AM95"/>
  <c r="AM94"/>
  <c r="AM90"/>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M50"/>
  <c r="AM49"/>
  <c r="AM48"/>
  <c r="AM47"/>
  <c r="AM46"/>
  <c r="AM45"/>
  <c r="AM44"/>
  <c r="AM43"/>
  <c r="AM42"/>
  <c r="AM41"/>
  <c r="AM38"/>
  <c r="AM37"/>
  <c r="AN37" s="1"/>
  <c r="AS37" s="1"/>
  <c r="AM36"/>
  <c r="AM35"/>
  <c r="AM34"/>
  <c r="AM33"/>
  <c r="AM29"/>
  <c r="AM28"/>
  <c r="AM27"/>
  <c r="AM26"/>
  <c r="AM24"/>
  <c r="AM23"/>
  <c r="AM22"/>
  <c r="AM21"/>
  <c r="AM20"/>
  <c r="AM19"/>
  <c r="AM16"/>
  <c r="AM14"/>
  <c r="AM13"/>
  <c r="AM12"/>
  <c r="AM11"/>
  <c r="AM10"/>
  <c r="AM9"/>
  <c r="AM8"/>
  <c r="AM7"/>
  <c r="AS235" i="13"/>
  <c r="AS186"/>
  <c r="AS182"/>
  <c r="AS172"/>
  <c r="AS167"/>
  <c r="AS165"/>
  <c r="AS147"/>
  <c r="AS133"/>
  <c r="AS131"/>
  <c r="AS119"/>
  <c r="AS108"/>
  <c r="AM90"/>
  <c r="AN90" s="1"/>
  <c r="AM89"/>
  <c r="AM88"/>
  <c r="AM87"/>
  <c r="AM86"/>
  <c r="AM85"/>
  <c r="AM84"/>
  <c r="AM83"/>
  <c r="AM82"/>
  <c r="AM81"/>
  <c r="AM78"/>
  <c r="AM77"/>
  <c r="AM76"/>
  <c r="AN76" s="1"/>
  <c r="AM75"/>
  <c r="AM74"/>
  <c r="AM73"/>
  <c r="AM72"/>
  <c r="AM71"/>
  <c r="AM70"/>
  <c r="AM69"/>
  <c r="AM68"/>
  <c r="AM67"/>
  <c r="AM66"/>
  <c r="AM65"/>
  <c r="AM64"/>
  <c r="AN64" s="1"/>
  <c r="AM63"/>
  <c r="AM62"/>
  <c r="AM61"/>
  <c r="AM60"/>
  <c r="AM58"/>
  <c r="AM57"/>
  <c r="AM56"/>
  <c r="AM55"/>
  <c r="AM54"/>
  <c r="AM53"/>
  <c r="AM52"/>
  <c r="AM51"/>
  <c r="AN51" s="1"/>
  <c r="AM50"/>
  <c r="AM49"/>
  <c r="AM48"/>
  <c r="AM47"/>
  <c r="AM46"/>
  <c r="AM45"/>
  <c r="AM44"/>
  <c r="AM43"/>
  <c r="AM42"/>
  <c r="AM41"/>
  <c r="AM38"/>
  <c r="AM37"/>
  <c r="AM36"/>
  <c r="AM35"/>
  <c r="AM34"/>
  <c r="AM33"/>
  <c r="AM29"/>
  <c r="AM28"/>
  <c r="AM27"/>
  <c r="AM26"/>
  <c r="AM24"/>
  <c r="AM23"/>
  <c r="AM22"/>
  <c r="AM21"/>
  <c r="AN21" s="1"/>
  <c r="AM20"/>
  <c r="AM19"/>
  <c r="AM16"/>
  <c r="AM14"/>
  <c r="AM13"/>
  <c r="AM12"/>
  <c r="AM11"/>
  <c r="AM10"/>
  <c r="AM9"/>
  <c r="AM8"/>
  <c r="AM7"/>
  <c r="AM241" i="14"/>
  <c r="AM240"/>
  <c r="AM239"/>
  <c r="AM238"/>
  <c r="AM237"/>
  <c r="AM235"/>
  <c r="AM234"/>
  <c r="AM233"/>
  <c r="AM230"/>
  <c r="AM229"/>
  <c r="AM228"/>
  <c r="AM227"/>
  <c r="AM226"/>
  <c r="AM225"/>
  <c r="AM221"/>
  <c r="AM220"/>
  <c r="AM219"/>
  <c r="AM218"/>
  <c r="AM217"/>
  <c r="AM216"/>
  <c r="AM215"/>
  <c r="AM214"/>
  <c r="AM213"/>
  <c r="AM212"/>
  <c r="AM211"/>
  <c r="AM210"/>
  <c r="AM209"/>
  <c r="AM208"/>
  <c r="AM207"/>
  <c r="AM206"/>
  <c r="AM205"/>
  <c r="AM204"/>
  <c r="AM203"/>
  <c r="AM200"/>
  <c r="AM199"/>
  <c r="AM198"/>
  <c r="AM197"/>
  <c r="AM196"/>
  <c r="AM195"/>
  <c r="AM194"/>
  <c r="AM193"/>
  <c r="AM192"/>
  <c r="AM191"/>
  <c r="AM190"/>
  <c r="AM189"/>
  <c r="AM188"/>
  <c r="AM187"/>
  <c r="AM186"/>
  <c r="AN186" s="1"/>
  <c r="AM185"/>
  <c r="AM184"/>
  <c r="AM183"/>
  <c r="AM182"/>
  <c r="AM181"/>
  <c r="AM180"/>
  <c r="AM177"/>
  <c r="AM176"/>
  <c r="AM175"/>
  <c r="AM174"/>
  <c r="AM173"/>
  <c r="AM172"/>
  <c r="AM171"/>
  <c r="AM170"/>
  <c r="AM169"/>
  <c r="AM167"/>
  <c r="AM166"/>
  <c r="AM165"/>
  <c r="AM164"/>
  <c r="AM163"/>
  <c r="AM162"/>
  <c r="AM161"/>
  <c r="AM160"/>
  <c r="AM159"/>
  <c r="AN159" s="1"/>
  <c r="AS159" s="1"/>
  <c r="AM158"/>
  <c r="AM157"/>
  <c r="AM156"/>
  <c r="AM155"/>
  <c r="AM154"/>
  <c r="AM153"/>
  <c r="AM152"/>
  <c r="AM151"/>
  <c r="AM150"/>
  <c r="AM149"/>
  <c r="AM148"/>
  <c r="AM147"/>
  <c r="AM146"/>
  <c r="AM145"/>
  <c r="AM144"/>
  <c r="AM133"/>
  <c r="AM132"/>
  <c r="AM131"/>
  <c r="AM130"/>
  <c r="AM129"/>
  <c r="AM128"/>
  <c r="AM127"/>
  <c r="AM126"/>
  <c r="AM125"/>
  <c r="AM122"/>
  <c r="AM121"/>
  <c r="AM120"/>
  <c r="AM119"/>
  <c r="AM118"/>
  <c r="AM117"/>
  <c r="AM116"/>
  <c r="AM115"/>
  <c r="AM114"/>
  <c r="AM110"/>
  <c r="AM109"/>
  <c r="AM108"/>
  <c r="AM107"/>
  <c r="AM106"/>
  <c r="AM105"/>
  <c r="AM104"/>
  <c r="AM103"/>
  <c r="AM102"/>
  <c r="AM98"/>
  <c r="AM97"/>
  <c r="AM96"/>
  <c r="AM95"/>
  <c r="AM94"/>
  <c r="AM90"/>
  <c r="AN90" s="1"/>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M59" s="1"/>
  <c r="AM50"/>
  <c r="AM49"/>
  <c r="AM48"/>
  <c r="AM47"/>
  <c r="AM46"/>
  <c r="AM45"/>
  <c r="AM44"/>
  <c r="AM43"/>
  <c r="AM42"/>
  <c r="AM41"/>
  <c r="AM38"/>
  <c r="AM37"/>
  <c r="AN37" s="1"/>
  <c r="AS37" s="1"/>
  <c r="AM36"/>
  <c r="AM35"/>
  <c r="AM34"/>
  <c r="AM33"/>
  <c r="AM29"/>
  <c r="AM28"/>
  <c r="AM27"/>
  <c r="AM26"/>
  <c r="AM24"/>
  <c r="AM23"/>
  <c r="AM22"/>
  <c r="AM21"/>
  <c r="AM20"/>
  <c r="AM19"/>
  <c r="AM16"/>
  <c r="AM14"/>
  <c r="AM13"/>
  <c r="AM12"/>
  <c r="AM11"/>
  <c r="AM10"/>
  <c r="AM9"/>
  <c r="AM8"/>
  <c r="AM7"/>
  <c r="AM241" i="15"/>
  <c r="AM240"/>
  <c r="AM239"/>
  <c r="AM238"/>
  <c r="AM237"/>
  <c r="AM235"/>
  <c r="AM234"/>
  <c r="AM233"/>
  <c r="AM230"/>
  <c r="AM229"/>
  <c r="AM228"/>
  <c r="AN228" s="1"/>
  <c r="AS228" s="1"/>
  <c r="AM227"/>
  <c r="AM226"/>
  <c r="AM225"/>
  <c r="AM221"/>
  <c r="AM220"/>
  <c r="AM219"/>
  <c r="AM218"/>
  <c r="AM217"/>
  <c r="AM216"/>
  <c r="AM215"/>
  <c r="AM214"/>
  <c r="AM213"/>
  <c r="AN213" s="1"/>
  <c r="AS213" s="1"/>
  <c r="AM212"/>
  <c r="AN212" s="1"/>
  <c r="AS212" s="1"/>
  <c r="AM211"/>
  <c r="AM210"/>
  <c r="AM209"/>
  <c r="AM208"/>
  <c r="AM207"/>
  <c r="AM206"/>
  <c r="AM205"/>
  <c r="AM204"/>
  <c r="AM203"/>
  <c r="AM200"/>
  <c r="AM199"/>
  <c r="AN199" s="1"/>
  <c r="AS199" s="1"/>
  <c r="AM198"/>
  <c r="AN198" s="1"/>
  <c r="AS198" s="1"/>
  <c r="AM197"/>
  <c r="AM196"/>
  <c r="AM195"/>
  <c r="AM194"/>
  <c r="AM193"/>
  <c r="AM192"/>
  <c r="AM191"/>
  <c r="AM190"/>
  <c r="AM189"/>
  <c r="AM188"/>
  <c r="AM187"/>
  <c r="AM186"/>
  <c r="AN186" s="1"/>
  <c r="AS186" s="1"/>
  <c r="AM185"/>
  <c r="AM184"/>
  <c r="AM183"/>
  <c r="AM182"/>
  <c r="AM181"/>
  <c r="AM180"/>
  <c r="AM177"/>
  <c r="AM176"/>
  <c r="AM175"/>
  <c r="AM174"/>
  <c r="AM173"/>
  <c r="AM172"/>
  <c r="AM171"/>
  <c r="AM170"/>
  <c r="AM169"/>
  <c r="AM167"/>
  <c r="AM166"/>
  <c r="AM165"/>
  <c r="AM164"/>
  <c r="AM163"/>
  <c r="AM162"/>
  <c r="AM161"/>
  <c r="AM160"/>
  <c r="AM159"/>
  <c r="AM158"/>
  <c r="AM157"/>
  <c r="AM156"/>
  <c r="AM155"/>
  <c r="AM154"/>
  <c r="AM153"/>
  <c r="AM152"/>
  <c r="AM151"/>
  <c r="AM150"/>
  <c r="AM149"/>
  <c r="AM148"/>
  <c r="AN148" s="1"/>
  <c r="AS148" s="1"/>
  <c r="AM147"/>
  <c r="AN147" s="1"/>
  <c r="AS147" s="1"/>
  <c r="AM146"/>
  <c r="AM145"/>
  <c r="AM144"/>
  <c r="AM132"/>
  <c r="AM131"/>
  <c r="AM130"/>
  <c r="AM129"/>
  <c r="AM128"/>
  <c r="AM127"/>
  <c r="AM126"/>
  <c r="AM125"/>
  <c r="AN125" s="1"/>
  <c r="AS125" s="1"/>
  <c r="AM122"/>
  <c r="AM121"/>
  <c r="AM120"/>
  <c r="AM119"/>
  <c r="AM118"/>
  <c r="AM117"/>
  <c r="AM116"/>
  <c r="AM115"/>
  <c r="AM114"/>
  <c r="AM110"/>
  <c r="AM109"/>
  <c r="AM108"/>
  <c r="AN108" s="1"/>
  <c r="AS108" s="1"/>
  <c r="AM107"/>
  <c r="AM106"/>
  <c r="AM105"/>
  <c r="AM104"/>
  <c r="AM103"/>
  <c r="AM102"/>
  <c r="AM98"/>
  <c r="AM97"/>
  <c r="AM96"/>
  <c r="AM95"/>
  <c r="AM94"/>
  <c r="AM90"/>
  <c r="AM89"/>
  <c r="AM88"/>
  <c r="AM87"/>
  <c r="AM86"/>
  <c r="AM85"/>
  <c r="AM84"/>
  <c r="AM83"/>
  <c r="AM82"/>
  <c r="AM81"/>
  <c r="AM78"/>
  <c r="AM77"/>
  <c r="AM76"/>
  <c r="AM75"/>
  <c r="AM74"/>
  <c r="AM73"/>
  <c r="AM72"/>
  <c r="AM71"/>
  <c r="AM70"/>
  <c r="AM69"/>
  <c r="AM68"/>
  <c r="AM67"/>
  <c r="AM66"/>
  <c r="AM65"/>
  <c r="AM64"/>
  <c r="AN64" s="1"/>
  <c r="AM63"/>
  <c r="AM62"/>
  <c r="AM61"/>
  <c r="AM60"/>
  <c r="AM58"/>
  <c r="AM57"/>
  <c r="AM56"/>
  <c r="AM55"/>
  <c r="AM54"/>
  <c r="AM53"/>
  <c r="AM52"/>
  <c r="AM51"/>
  <c r="AN51" s="1"/>
  <c r="AS51" s="1"/>
  <c r="AM50"/>
  <c r="AM49"/>
  <c r="AM48"/>
  <c r="AM47"/>
  <c r="AM46"/>
  <c r="AM45"/>
  <c r="AM44"/>
  <c r="AM43"/>
  <c r="AM42"/>
  <c r="AM41"/>
  <c r="AM38"/>
  <c r="AM37"/>
  <c r="AN37" s="1"/>
  <c r="AS37" s="1"/>
  <c r="AM36"/>
  <c r="AM35"/>
  <c r="AM34"/>
  <c r="AM33"/>
  <c r="AM29"/>
  <c r="AM28"/>
  <c r="AM27"/>
  <c r="AM26"/>
  <c r="AM24"/>
  <c r="AM23"/>
  <c r="AM22"/>
  <c r="AM21"/>
  <c r="AM20"/>
  <c r="AM19"/>
  <c r="AM16"/>
  <c r="AM14"/>
  <c r="AM13"/>
  <c r="AM12"/>
  <c r="AM11"/>
  <c r="AM10"/>
  <c r="AM9"/>
  <c r="AM8"/>
  <c r="AM7"/>
  <c r="AM241" i="16"/>
  <c r="AM240"/>
  <c r="AM239"/>
  <c r="AM238"/>
  <c r="AM237"/>
  <c r="AM235"/>
  <c r="AN235" s="1"/>
  <c r="AS235" s="1"/>
  <c r="AM234"/>
  <c r="AM233"/>
  <c r="AM230"/>
  <c r="AM229"/>
  <c r="AM228"/>
  <c r="AM227"/>
  <c r="AM226"/>
  <c r="AM225"/>
  <c r="AM221"/>
  <c r="AM220"/>
  <c r="AM219"/>
  <c r="AM218"/>
  <c r="AM217"/>
  <c r="AM216"/>
  <c r="AM215"/>
  <c r="AM214"/>
  <c r="AM213"/>
  <c r="AM212"/>
  <c r="AM211"/>
  <c r="AM210"/>
  <c r="AM209"/>
  <c r="AN209" s="1"/>
  <c r="AS209" s="1"/>
  <c r="AM208"/>
  <c r="AM207"/>
  <c r="AM206"/>
  <c r="AM205"/>
  <c r="AM204"/>
  <c r="AM203"/>
  <c r="AM200"/>
  <c r="AM199"/>
  <c r="AM198"/>
  <c r="AM197"/>
  <c r="AM196"/>
  <c r="AM195"/>
  <c r="AM194"/>
  <c r="AM193"/>
  <c r="AM192"/>
  <c r="AN192" s="1"/>
  <c r="AS192" s="1"/>
  <c r="AM191"/>
  <c r="AM190"/>
  <c r="AM189"/>
  <c r="AM188"/>
  <c r="AM187"/>
  <c r="AM186"/>
  <c r="AM185"/>
  <c r="AM184"/>
  <c r="AM183"/>
  <c r="AM182"/>
  <c r="AM181"/>
  <c r="AM180"/>
  <c r="AN180" s="1"/>
  <c r="AS180" s="1"/>
  <c r="AM177"/>
  <c r="AM176"/>
  <c r="AM175"/>
  <c r="AM174"/>
  <c r="AM173"/>
  <c r="AM172"/>
  <c r="AM171"/>
  <c r="AM170"/>
  <c r="AM169"/>
  <c r="AM167"/>
  <c r="AM166"/>
  <c r="AM165"/>
  <c r="AM164"/>
  <c r="AM163"/>
  <c r="AM162"/>
  <c r="AM161"/>
  <c r="AM160"/>
  <c r="AM159"/>
  <c r="AM158"/>
  <c r="AM157"/>
  <c r="AM156"/>
  <c r="AM155"/>
  <c r="AM154"/>
  <c r="AM153"/>
  <c r="AN153" s="1"/>
  <c r="AS153" s="1"/>
  <c r="AM152"/>
  <c r="AM151"/>
  <c r="AM150"/>
  <c r="AM149"/>
  <c r="AM148"/>
  <c r="AM147"/>
  <c r="AM146"/>
  <c r="AM145"/>
  <c r="AM144"/>
  <c r="AM133"/>
  <c r="AM132"/>
  <c r="AM131"/>
  <c r="AN131" s="1"/>
  <c r="AM130"/>
  <c r="AM129"/>
  <c r="AM128"/>
  <c r="AM127"/>
  <c r="AM126"/>
  <c r="AM125"/>
  <c r="AN125" s="1"/>
  <c r="AS125" s="1"/>
  <c r="AM122"/>
  <c r="AM121"/>
  <c r="AM120"/>
  <c r="AM119"/>
  <c r="AM118"/>
  <c r="AM117"/>
  <c r="AN117" s="1"/>
  <c r="AS117" s="1"/>
  <c r="AM116"/>
  <c r="AM115"/>
  <c r="AM114"/>
  <c r="AM110"/>
  <c r="AM109"/>
  <c r="AM108"/>
  <c r="AM107"/>
  <c r="AM106"/>
  <c r="AM105"/>
  <c r="AM104"/>
  <c r="AM103"/>
  <c r="AM102"/>
  <c r="AN102" s="1"/>
  <c r="AS102" s="1"/>
  <c r="AM98"/>
  <c r="AM97"/>
  <c r="AM96"/>
  <c r="AM95"/>
  <c r="AM94"/>
  <c r="AM90"/>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N51" s="1"/>
  <c r="AS51" s="1"/>
  <c r="AM50"/>
  <c r="AM49"/>
  <c r="AM48"/>
  <c r="AM47"/>
  <c r="AM46"/>
  <c r="AM45"/>
  <c r="AM44"/>
  <c r="AM43"/>
  <c r="AM42"/>
  <c r="AM41"/>
  <c r="AM38"/>
  <c r="AM37"/>
  <c r="AM39" s="1"/>
  <c r="AM32" s="1"/>
  <c r="AM36"/>
  <c r="AM35"/>
  <c r="AM34"/>
  <c r="AM33"/>
  <c r="AM29"/>
  <c r="AM28"/>
  <c r="AM27"/>
  <c r="AM26"/>
  <c r="AM24"/>
  <c r="AM23"/>
  <c r="AM22"/>
  <c r="AM21"/>
  <c r="AS21" s="1"/>
  <c r="AM20"/>
  <c r="AM19"/>
  <c r="AM16"/>
  <c r="AM14"/>
  <c r="AM13"/>
  <c r="AM12"/>
  <c r="AM11"/>
  <c r="AM10"/>
  <c r="AM9"/>
  <c r="AM8"/>
  <c r="AM7"/>
  <c r="AM241" i="17"/>
  <c r="AM240"/>
  <c r="AM239"/>
  <c r="AM238"/>
  <c r="AM237"/>
  <c r="AM235"/>
  <c r="AM234"/>
  <c r="AM233"/>
  <c r="AM230"/>
  <c r="AM229"/>
  <c r="AM228"/>
  <c r="AM227"/>
  <c r="AM226"/>
  <c r="AM225"/>
  <c r="AM221"/>
  <c r="AM220"/>
  <c r="AM219"/>
  <c r="AM218"/>
  <c r="AM217"/>
  <c r="AM216"/>
  <c r="AM215"/>
  <c r="AM214"/>
  <c r="AM213"/>
  <c r="AM212"/>
  <c r="AN212" s="1"/>
  <c r="AS212" s="1"/>
  <c r="AM211"/>
  <c r="AM210"/>
  <c r="AM209"/>
  <c r="AM208"/>
  <c r="AM207"/>
  <c r="AM206"/>
  <c r="AM205"/>
  <c r="AM204"/>
  <c r="AM203"/>
  <c r="AM200"/>
  <c r="AM199"/>
  <c r="AM198"/>
  <c r="AN198" s="1"/>
  <c r="AS198" s="1"/>
  <c r="AM197"/>
  <c r="AM196"/>
  <c r="AM195"/>
  <c r="AM194"/>
  <c r="AM193"/>
  <c r="AM192"/>
  <c r="AM191"/>
  <c r="AM190"/>
  <c r="AM189"/>
  <c r="AM188"/>
  <c r="AM187"/>
  <c r="AM186"/>
  <c r="AM185"/>
  <c r="AM184"/>
  <c r="AM183"/>
  <c r="AM182"/>
  <c r="AM181"/>
  <c r="AM180"/>
  <c r="AM177"/>
  <c r="AM176"/>
  <c r="AM175"/>
  <c r="AM174"/>
  <c r="AM173"/>
  <c r="AM172"/>
  <c r="AM171"/>
  <c r="AM170"/>
  <c r="AM169"/>
  <c r="AM167"/>
  <c r="AM166"/>
  <c r="AM165"/>
  <c r="AM164"/>
  <c r="AM163"/>
  <c r="AM162"/>
  <c r="AM161"/>
  <c r="AM160"/>
  <c r="AM159"/>
  <c r="AN159" s="1"/>
  <c r="AS159" s="1"/>
  <c r="AM158"/>
  <c r="AM157"/>
  <c r="AM156"/>
  <c r="AM155"/>
  <c r="AM168" s="1"/>
  <c r="AM154"/>
  <c r="AM153"/>
  <c r="AM152"/>
  <c r="AM151"/>
  <c r="AM150"/>
  <c r="AM149"/>
  <c r="AM148"/>
  <c r="AM147"/>
  <c r="AM146"/>
  <c r="AM145"/>
  <c r="AM144"/>
  <c r="AM133"/>
  <c r="AM132"/>
  <c r="AM131"/>
  <c r="AM130"/>
  <c r="AM129"/>
  <c r="AM128"/>
  <c r="AM127"/>
  <c r="AM126"/>
  <c r="AM125"/>
  <c r="AN125" s="1"/>
  <c r="AM122"/>
  <c r="AM121"/>
  <c r="AM120"/>
  <c r="AM119"/>
  <c r="AM118"/>
  <c r="AM117"/>
  <c r="AM116"/>
  <c r="AM115"/>
  <c r="AM114"/>
  <c r="AM110"/>
  <c r="AM109"/>
  <c r="AM108"/>
  <c r="AM107"/>
  <c r="AM106"/>
  <c r="AM105"/>
  <c r="AM104"/>
  <c r="AM103"/>
  <c r="AM102"/>
  <c r="AM98"/>
  <c r="AM97"/>
  <c r="AM96"/>
  <c r="AM95"/>
  <c r="AM94"/>
  <c r="AM90"/>
  <c r="AN90" s="1"/>
  <c r="AS90" s="1"/>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N51" s="1"/>
  <c r="AS51" s="1"/>
  <c r="AM50"/>
  <c r="AM49"/>
  <c r="AM48"/>
  <c r="AM47"/>
  <c r="AM46"/>
  <c r="AM45"/>
  <c r="AM44"/>
  <c r="AM43"/>
  <c r="AM42"/>
  <c r="AM41"/>
  <c r="AM38"/>
  <c r="AM37"/>
  <c r="AN37" s="1"/>
  <c r="AS37" s="1"/>
  <c r="AM36"/>
  <c r="AM35"/>
  <c r="AM34"/>
  <c r="AM33"/>
  <c r="AM29"/>
  <c r="AM28"/>
  <c r="AM27"/>
  <c r="AM26"/>
  <c r="AM24"/>
  <c r="AM23"/>
  <c r="AM22"/>
  <c r="AM21"/>
  <c r="AM20"/>
  <c r="AM19"/>
  <c r="AM16"/>
  <c r="AM14"/>
  <c r="AM13"/>
  <c r="AM12"/>
  <c r="AM11"/>
  <c r="AM10"/>
  <c r="AM9"/>
  <c r="AM8"/>
  <c r="AM7"/>
  <c r="AM241" i="21"/>
  <c r="AM240"/>
  <c r="AM239"/>
  <c r="AM238"/>
  <c r="AM237"/>
  <c r="AM235"/>
  <c r="AM234"/>
  <c r="AM233"/>
  <c r="AM230"/>
  <c r="AM229"/>
  <c r="AM228"/>
  <c r="AM227"/>
  <c r="AN227" s="1"/>
  <c r="AM226"/>
  <c r="AM225"/>
  <c r="AM221"/>
  <c r="AM220"/>
  <c r="AM219"/>
  <c r="AM218"/>
  <c r="AM217"/>
  <c r="AM216"/>
  <c r="AM215"/>
  <c r="AM214"/>
  <c r="AM213"/>
  <c r="AM212"/>
  <c r="AN212" s="1"/>
  <c r="AM211"/>
  <c r="AM210"/>
  <c r="AM209"/>
  <c r="AM208"/>
  <c r="AM207"/>
  <c r="AM206"/>
  <c r="AM205"/>
  <c r="AM204"/>
  <c r="AM203"/>
  <c r="AM200"/>
  <c r="AM199"/>
  <c r="AM198"/>
  <c r="AN198" s="1"/>
  <c r="AS198" s="1"/>
  <c r="AM197"/>
  <c r="AM196"/>
  <c r="AM195"/>
  <c r="AM194"/>
  <c r="AM193"/>
  <c r="AM192"/>
  <c r="AM191"/>
  <c r="AM190"/>
  <c r="AM189"/>
  <c r="AM188"/>
  <c r="AM187"/>
  <c r="AM186"/>
  <c r="AM185"/>
  <c r="AM184"/>
  <c r="AM183"/>
  <c r="AM182"/>
  <c r="AM181"/>
  <c r="AM180"/>
  <c r="AM177"/>
  <c r="AM176"/>
  <c r="AM175"/>
  <c r="AM174"/>
  <c r="AM173"/>
  <c r="AM172"/>
  <c r="AM171"/>
  <c r="AM170"/>
  <c r="AM169"/>
  <c r="AM167"/>
  <c r="AM166"/>
  <c r="AM165"/>
  <c r="AM164"/>
  <c r="AM163"/>
  <c r="AM162"/>
  <c r="AM161"/>
  <c r="AM160"/>
  <c r="AM159"/>
  <c r="AM158"/>
  <c r="AM157"/>
  <c r="AM156"/>
  <c r="AM155"/>
  <c r="AM154"/>
  <c r="AM153"/>
  <c r="AM152"/>
  <c r="AM151"/>
  <c r="AM150"/>
  <c r="AM149"/>
  <c r="AM148"/>
  <c r="AM147"/>
  <c r="AN147" s="1"/>
  <c r="AS147" s="1"/>
  <c r="AM146"/>
  <c r="AM145"/>
  <c r="AM144"/>
  <c r="AM133"/>
  <c r="AM132"/>
  <c r="AM131"/>
  <c r="AM130"/>
  <c r="AM129"/>
  <c r="AM128"/>
  <c r="AM127"/>
  <c r="AM126"/>
  <c r="AM125"/>
  <c r="AM122"/>
  <c r="AM121"/>
  <c r="AM120"/>
  <c r="AM119"/>
  <c r="AM118"/>
  <c r="AM117"/>
  <c r="AM116"/>
  <c r="AM115"/>
  <c r="AM114"/>
  <c r="AM110"/>
  <c r="AM109"/>
  <c r="AM108"/>
  <c r="AM107"/>
  <c r="AM106"/>
  <c r="AM105"/>
  <c r="AM104"/>
  <c r="AM103"/>
  <c r="AM102"/>
  <c r="AM98"/>
  <c r="AM97"/>
  <c r="AM96"/>
  <c r="AM95"/>
  <c r="AM94"/>
  <c r="AM90"/>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M50"/>
  <c r="AM49"/>
  <c r="AM48"/>
  <c r="AM47"/>
  <c r="AM46"/>
  <c r="AM45"/>
  <c r="AM44"/>
  <c r="AM43"/>
  <c r="AM42"/>
  <c r="AM41"/>
  <c r="AM38"/>
  <c r="AM37"/>
  <c r="AM36"/>
  <c r="AM35"/>
  <c r="AM34"/>
  <c r="AM33"/>
  <c r="AM29"/>
  <c r="AM28"/>
  <c r="AM27"/>
  <c r="AM26"/>
  <c r="AM24"/>
  <c r="AM23"/>
  <c r="AM22"/>
  <c r="AM21"/>
  <c r="AM20"/>
  <c r="AM19"/>
  <c r="AM16"/>
  <c r="AM14"/>
  <c r="AM13"/>
  <c r="AM12"/>
  <c r="AM11"/>
  <c r="AM10"/>
  <c r="AM9"/>
  <c r="AM8"/>
  <c r="AM7"/>
  <c r="AM241" i="22"/>
  <c r="AM240"/>
  <c r="AM239"/>
  <c r="AM238"/>
  <c r="AM237"/>
  <c r="AM235"/>
  <c r="AM234"/>
  <c r="AM233"/>
  <c r="AM230"/>
  <c r="AM229"/>
  <c r="AM228"/>
  <c r="AM227"/>
  <c r="AM226"/>
  <c r="AM225"/>
  <c r="AM221"/>
  <c r="AM220"/>
  <c r="AM219"/>
  <c r="AM218"/>
  <c r="AM217"/>
  <c r="AM216"/>
  <c r="AM215"/>
  <c r="AM214"/>
  <c r="AM213"/>
  <c r="AM212"/>
  <c r="AN212" s="1"/>
  <c r="AS212" s="1"/>
  <c r="AM211"/>
  <c r="AM210"/>
  <c r="AM209"/>
  <c r="AM208"/>
  <c r="AM207"/>
  <c r="AM206"/>
  <c r="AM205"/>
  <c r="AM204"/>
  <c r="AM203"/>
  <c r="AM200"/>
  <c r="AM199"/>
  <c r="AM198"/>
  <c r="AN198" s="1"/>
  <c r="AS198" s="1"/>
  <c r="AM197"/>
  <c r="AM196"/>
  <c r="AM195"/>
  <c r="AM194"/>
  <c r="AM193"/>
  <c r="AM192"/>
  <c r="AM191"/>
  <c r="AM190"/>
  <c r="AM189"/>
  <c r="AM188"/>
  <c r="AM187"/>
  <c r="AM186"/>
  <c r="AM185"/>
  <c r="AM184"/>
  <c r="AM183"/>
  <c r="AM182"/>
  <c r="AM181"/>
  <c r="AM180"/>
  <c r="AM177"/>
  <c r="AM176"/>
  <c r="AM175"/>
  <c r="AM174"/>
  <c r="AM173"/>
  <c r="AM172"/>
  <c r="AM171"/>
  <c r="AM170"/>
  <c r="AM169"/>
  <c r="AM167"/>
  <c r="AM166"/>
  <c r="AM165"/>
  <c r="AM164"/>
  <c r="AM163"/>
  <c r="AM162"/>
  <c r="AM161"/>
  <c r="AM160"/>
  <c r="AM159"/>
  <c r="AN159" s="1"/>
  <c r="AS159" s="1"/>
  <c r="AM158"/>
  <c r="AM157"/>
  <c r="AM156"/>
  <c r="AM155"/>
  <c r="AM154"/>
  <c r="AM153"/>
  <c r="AM152"/>
  <c r="AM151"/>
  <c r="AM150"/>
  <c r="AM149"/>
  <c r="AM148"/>
  <c r="AM147"/>
  <c r="AN147" s="1"/>
  <c r="AS147" s="1"/>
  <c r="AM146"/>
  <c r="AM145"/>
  <c r="AM144"/>
  <c r="AM133"/>
  <c r="AM132"/>
  <c r="AM131"/>
  <c r="AN131" s="1"/>
  <c r="AS131" s="1"/>
  <c r="AM130"/>
  <c r="AM129"/>
  <c r="AM128"/>
  <c r="AM127"/>
  <c r="AM126"/>
  <c r="AM125"/>
  <c r="AM122"/>
  <c r="AM121"/>
  <c r="AM120"/>
  <c r="AM119"/>
  <c r="AM118"/>
  <c r="AM117"/>
  <c r="AM116"/>
  <c r="AM115"/>
  <c r="AM114"/>
  <c r="AM110"/>
  <c r="AM109"/>
  <c r="AM108"/>
  <c r="AM107"/>
  <c r="AM106"/>
  <c r="AM105"/>
  <c r="AM104"/>
  <c r="AM103"/>
  <c r="AM102"/>
  <c r="AM98"/>
  <c r="AM97"/>
  <c r="AM96"/>
  <c r="AM95"/>
  <c r="AM94"/>
  <c r="AM90"/>
  <c r="AN90" s="1"/>
  <c r="AS90" s="1"/>
  <c r="AM89"/>
  <c r="AM88"/>
  <c r="AM87"/>
  <c r="AM86"/>
  <c r="AM85"/>
  <c r="AM84"/>
  <c r="AM83"/>
  <c r="AM82"/>
  <c r="AM81"/>
  <c r="AM78"/>
  <c r="AM77"/>
  <c r="AM76"/>
  <c r="AN76" s="1"/>
  <c r="AS76" s="1"/>
  <c r="AM75"/>
  <c r="AM74"/>
  <c r="AM73"/>
  <c r="AM72"/>
  <c r="AM71"/>
  <c r="AM70"/>
  <c r="AM69"/>
  <c r="AM68"/>
  <c r="AM67"/>
  <c r="AM66"/>
  <c r="AM65"/>
  <c r="AM64"/>
  <c r="AN64" s="1"/>
  <c r="AS64" s="1"/>
  <c r="AM63"/>
  <c r="AM62"/>
  <c r="AM61"/>
  <c r="AM60"/>
  <c r="AM58"/>
  <c r="AM57"/>
  <c r="AM56"/>
  <c r="AM55"/>
  <c r="AM54"/>
  <c r="AM53"/>
  <c r="AM52"/>
  <c r="AM51"/>
  <c r="AM50"/>
  <c r="AM49"/>
  <c r="AM48"/>
  <c r="AM47"/>
  <c r="AM46"/>
  <c r="AM45"/>
  <c r="AM44"/>
  <c r="AM43"/>
  <c r="AM42"/>
  <c r="AM41"/>
  <c r="AM38"/>
  <c r="AM37"/>
  <c r="AM36"/>
  <c r="AM35"/>
  <c r="AM34"/>
  <c r="AM33"/>
  <c r="AM29"/>
  <c r="AM28"/>
  <c r="AM27"/>
  <c r="AM26"/>
  <c r="AM24"/>
  <c r="AM23"/>
  <c r="AM22"/>
  <c r="AM21"/>
  <c r="AN21" s="1"/>
  <c r="AM20"/>
  <c r="AM19"/>
  <c r="AM16"/>
  <c r="AM14"/>
  <c r="AM13"/>
  <c r="AM12"/>
  <c r="AM11"/>
  <c r="AM10"/>
  <c r="AM9"/>
  <c r="AM8"/>
  <c r="AM7"/>
  <c r="AM241" i="23"/>
  <c r="AM240"/>
  <c r="AM239"/>
  <c r="AM238"/>
  <c r="AM237"/>
  <c r="AM235"/>
  <c r="AM234"/>
  <c r="AM233"/>
  <c r="AM230"/>
  <c r="AM229"/>
  <c r="AM228"/>
  <c r="AM227"/>
  <c r="AM226"/>
  <c r="AM225"/>
  <c r="AM221"/>
  <c r="AM220"/>
  <c r="AM219"/>
  <c r="AM218"/>
  <c r="AM217"/>
  <c r="AM216"/>
  <c r="AM215"/>
  <c r="AM214"/>
  <c r="AM213"/>
  <c r="AM212"/>
  <c r="AN212" s="1"/>
  <c r="AS212" s="1"/>
  <c r="AM211"/>
  <c r="AM210"/>
  <c r="AM209"/>
  <c r="AM208"/>
  <c r="AM207"/>
  <c r="AM206"/>
  <c r="AM205"/>
  <c r="AM204"/>
  <c r="AM203"/>
  <c r="AM200"/>
  <c r="AM199"/>
  <c r="AM198"/>
  <c r="AN198" s="1"/>
  <c r="AS198" s="1"/>
  <c r="AM197"/>
  <c r="AM196"/>
  <c r="AM195"/>
  <c r="AM194"/>
  <c r="AM193"/>
  <c r="AM192"/>
  <c r="AM191"/>
  <c r="AM190"/>
  <c r="AM189"/>
  <c r="AM188"/>
  <c r="AM187"/>
  <c r="AM186"/>
  <c r="AN186" s="1"/>
  <c r="AS186" s="1"/>
  <c r="AM185"/>
  <c r="AM184"/>
  <c r="AM183"/>
  <c r="AM182"/>
  <c r="AM181"/>
  <c r="AM180"/>
  <c r="AM177"/>
  <c r="AM176"/>
  <c r="AM175"/>
  <c r="AM174"/>
  <c r="AM173"/>
  <c r="AM172"/>
  <c r="AN172" s="1"/>
  <c r="AS172" s="1"/>
  <c r="AM171"/>
  <c r="AM170"/>
  <c r="AM169"/>
  <c r="AM167"/>
  <c r="AM166"/>
  <c r="AM165"/>
  <c r="AM164"/>
  <c r="AM163"/>
  <c r="AM162"/>
  <c r="AM161"/>
  <c r="AM160"/>
  <c r="AM159"/>
  <c r="AN159" s="1"/>
  <c r="AS159" s="1"/>
  <c r="AM158"/>
  <c r="AM157"/>
  <c r="AM156"/>
  <c r="AM155"/>
  <c r="AM154"/>
  <c r="AM153"/>
  <c r="AM152"/>
  <c r="AN152" s="1"/>
  <c r="AS152" s="1"/>
  <c r="AM151"/>
  <c r="AM150"/>
  <c r="AM149"/>
  <c r="AM148"/>
  <c r="AM147"/>
  <c r="AN147" s="1"/>
  <c r="AM146"/>
  <c r="AM145"/>
  <c r="AM144"/>
  <c r="AM133"/>
  <c r="AM132"/>
  <c r="AM131"/>
  <c r="AM130"/>
  <c r="AM129"/>
  <c r="AM128"/>
  <c r="AM127"/>
  <c r="AM126"/>
  <c r="AM125"/>
  <c r="AM122"/>
  <c r="AM121"/>
  <c r="AM120"/>
  <c r="AM119"/>
  <c r="AM118"/>
  <c r="AM117"/>
  <c r="AM116"/>
  <c r="AM115"/>
  <c r="AM114"/>
  <c r="AM110"/>
  <c r="AM109"/>
  <c r="AM108"/>
  <c r="AM107"/>
  <c r="AM106"/>
  <c r="AM105"/>
  <c r="AM104"/>
  <c r="AM103"/>
  <c r="AM102"/>
  <c r="AM98"/>
  <c r="AM97"/>
  <c r="AM96"/>
  <c r="AM95"/>
  <c r="AM94"/>
  <c r="AM90"/>
  <c r="AN90" s="1"/>
  <c r="AM89"/>
  <c r="AM88"/>
  <c r="AM87"/>
  <c r="AM86"/>
  <c r="AM85"/>
  <c r="AM84"/>
  <c r="AM83"/>
  <c r="AM82"/>
  <c r="AM81"/>
  <c r="AM78"/>
  <c r="AM77"/>
  <c r="AM76"/>
  <c r="AM75"/>
  <c r="AM74"/>
  <c r="AM73"/>
  <c r="AM72"/>
  <c r="AM71"/>
  <c r="AM70"/>
  <c r="AM69"/>
  <c r="AM68"/>
  <c r="AM67"/>
  <c r="AM66"/>
  <c r="AM65"/>
  <c r="AM64"/>
  <c r="AM63"/>
  <c r="AM62"/>
  <c r="AM61"/>
  <c r="AM60"/>
  <c r="AM58"/>
  <c r="AM57"/>
  <c r="AM56"/>
  <c r="AM55"/>
  <c r="AM54"/>
  <c r="AM53"/>
  <c r="AM52"/>
  <c r="AM51"/>
  <c r="AM50"/>
  <c r="AM49"/>
  <c r="AM48"/>
  <c r="AM47"/>
  <c r="AM46"/>
  <c r="AM45"/>
  <c r="AM44"/>
  <c r="AM43"/>
  <c r="AM42"/>
  <c r="AM41"/>
  <c r="AM38"/>
  <c r="AM37"/>
  <c r="AN37" s="1"/>
  <c r="AS37" s="1"/>
  <c r="AM36"/>
  <c r="AM35"/>
  <c r="AM34"/>
  <c r="AM33"/>
  <c r="AM29"/>
  <c r="AM28"/>
  <c r="AM27"/>
  <c r="AM26"/>
  <c r="AM24"/>
  <c r="AM23"/>
  <c r="AM22"/>
  <c r="AM21"/>
  <c r="AN21" s="1"/>
  <c r="AS21" s="1"/>
  <c r="AM20"/>
  <c r="AM19"/>
  <c r="AM16"/>
  <c r="AM14"/>
  <c r="AM13"/>
  <c r="AM12"/>
  <c r="AM11"/>
  <c r="AM10"/>
  <c r="AM9"/>
  <c r="AM8"/>
  <c r="AM7"/>
  <c r="AB241"/>
  <c r="Y241"/>
  <c r="U241"/>
  <c r="T241"/>
  <c r="S241"/>
  <c r="R241"/>
  <c r="L241"/>
  <c r="AB240"/>
  <c r="Y240"/>
  <c r="U240"/>
  <c r="T240"/>
  <c r="S240"/>
  <c r="R240"/>
  <c r="L240"/>
  <c r="M240" s="1"/>
  <c r="AN239"/>
  <c r="AS239" s="1"/>
  <c r="AB239"/>
  <c r="Y239"/>
  <c r="U239"/>
  <c r="T239"/>
  <c r="S239"/>
  <c r="R239"/>
  <c r="L239"/>
  <c r="AN238"/>
  <c r="AB238"/>
  <c r="Y238"/>
  <c r="U238"/>
  <c r="T238"/>
  <c r="S238"/>
  <c r="R238"/>
  <c r="M238"/>
  <c r="L238"/>
  <c r="AB237"/>
  <c r="AB242" s="1"/>
  <c r="Y237"/>
  <c r="U237"/>
  <c r="U242" s="1"/>
  <c r="T237"/>
  <c r="S237"/>
  <c r="S242" s="1"/>
  <c r="R237"/>
  <c r="L237"/>
  <c r="AN235"/>
  <c r="AS235" s="1"/>
  <c r="AB235"/>
  <c r="Y235"/>
  <c r="U235"/>
  <c r="T235"/>
  <c r="S235"/>
  <c r="R235"/>
  <c r="L235"/>
  <c r="AB234"/>
  <c r="Y234"/>
  <c r="U234"/>
  <c r="T234"/>
  <c r="S234"/>
  <c r="R234"/>
  <c r="L234"/>
  <c r="AB233"/>
  <c r="Y233"/>
  <c r="Y236" s="1"/>
  <c r="U233"/>
  <c r="T233"/>
  <c r="S233"/>
  <c r="S236" s="1"/>
  <c r="R233"/>
  <c r="L233"/>
  <c r="M233" s="1"/>
  <c r="AM231"/>
  <c r="AN231" s="1"/>
  <c r="AB231"/>
  <c r="Y231"/>
  <c r="U231"/>
  <c r="T231"/>
  <c r="S231"/>
  <c r="R231"/>
  <c r="L231"/>
  <c r="M231" s="1"/>
  <c r="AN230"/>
  <c r="AS230" s="1"/>
  <c r="AB230"/>
  <c r="Y230"/>
  <c r="U230"/>
  <c r="T230"/>
  <c r="S230"/>
  <c r="R230"/>
  <c r="L230"/>
  <c r="M230" s="1"/>
  <c r="AN229"/>
  <c r="AB229"/>
  <c r="Y229"/>
  <c r="U229"/>
  <c r="T229"/>
  <c r="S229"/>
  <c r="R229"/>
  <c r="L229"/>
  <c r="M229" s="1"/>
  <c r="AN228"/>
  <c r="AS228" s="1"/>
  <c r="AB228"/>
  <c r="Y228"/>
  <c r="U228"/>
  <c r="T228"/>
  <c r="S228"/>
  <c r="R228"/>
  <c r="L228"/>
  <c r="M228" s="1"/>
  <c r="AB227"/>
  <c r="Y227"/>
  <c r="U227"/>
  <c r="T227"/>
  <c r="S227"/>
  <c r="R227"/>
  <c r="L227"/>
  <c r="AB226"/>
  <c r="Y226"/>
  <c r="U226"/>
  <c r="T226"/>
  <c r="S226"/>
  <c r="R226"/>
  <c r="L226"/>
  <c r="M226" s="1"/>
  <c r="AN225"/>
  <c r="AB225"/>
  <c r="Y225"/>
  <c r="AE225" s="1"/>
  <c r="U225"/>
  <c r="T225"/>
  <c r="S225"/>
  <c r="R225"/>
  <c r="L225"/>
  <c r="M225" s="1"/>
  <c r="AN221"/>
  <c r="AS221" s="1"/>
  <c r="AB221"/>
  <c r="Y221"/>
  <c r="U221"/>
  <c r="T221"/>
  <c r="S221"/>
  <c r="R221"/>
  <c r="L221"/>
  <c r="M221" s="1"/>
  <c r="AB220"/>
  <c r="Y220"/>
  <c r="U220"/>
  <c r="T220"/>
  <c r="S220"/>
  <c r="R220"/>
  <c r="L220"/>
  <c r="M220" s="1"/>
  <c r="AB219"/>
  <c r="Y219"/>
  <c r="U219"/>
  <c r="T219"/>
  <c r="S219"/>
  <c r="R219"/>
  <c r="L219"/>
  <c r="M219" s="1"/>
  <c r="AN218"/>
  <c r="AS218" s="1"/>
  <c r="AB218"/>
  <c r="Y218"/>
  <c r="U218"/>
  <c r="T218"/>
  <c r="AE218" s="1"/>
  <c r="AF218" s="1"/>
  <c r="AR218" s="1"/>
  <c r="S218"/>
  <c r="R218"/>
  <c r="L218"/>
  <c r="M218" s="1"/>
  <c r="AN217"/>
  <c r="AB217"/>
  <c r="AE217" s="1"/>
  <c r="AF217" s="1"/>
  <c r="AR217" s="1"/>
  <c r="Y217"/>
  <c r="U217"/>
  <c r="T217"/>
  <c r="S217"/>
  <c r="R217"/>
  <c r="L217"/>
  <c r="M217" s="1"/>
  <c r="AB216"/>
  <c r="Y216"/>
  <c r="U216"/>
  <c r="T216"/>
  <c r="S216"/>
  <c r="R216"/>
  <c r="L216"/>
  <c r="AN215"/>
  <c r="AB215"/>
  <c r="Y215"/>
  <c r="U215"/>
  <c r="AE215" s="1"/>
  <c r="AF215" s="1"/>
  <c r="AR215" s="1"/>
  <c r="T215"/>
  <c r="S215"/>
  <c r="R215"/>
  <c r="L215"/>
  <c r="M215" s="1"/>
  <c r="AB214"/>
  <c r="Y214"/>
  <c r="U214"/>
  <c r="T214"/>
  <c r="S214"/>
  <c r="R214"/>
  <c r="L214"/>
  <c r="AN213"/>
  <c r="AS213" s="1"/>
  <c r="AB213"/>
  <c r="Y213"/>
  <c r="U213"/>
  <c r="T213"/>
  <c r="S213"/>
  <c r="R213"/>
  <c r="L213"/>
  <c r="M213" s="1"/>
  <c r="AB212"/>
  <c r="Y212"/>
  <c r="U212"/>
  <c r="T212"/>
  <c r="S212"/>
  <c r="R212"/>
  <c r="M212"/>
  <c r="L212"/>
  <c r="AN211"/>
  <c r="AS211" s="1"/>
  <c r="AB211"/>
  <c r="Y211"/>
  <c r="U211"/>
  <c r="T211"/>
  <c r="S211"/>
  <c r="R211"/>
  <c r="L211"/>
  <c r="M211" s="1"/>
  <c r="AN210"/>
  <c r="AS210" s="1"/>
  <c r="AB210"/>
  <c r="Y210"/>
  <c r="U210"/>
  <c r="T210"/>
  <c r="S210"/>
  <c r="R210"/>
  <c r="L210"/>
  <c r="M210" s="1"/>
  <c r="AN209"/>
  <c r="AS209" s="1"/>
  <c r="AB209"/>
  <c r="Y209"/>
  <c r="U209"/>
  <c r="T209"/>
  <c r="S209"/>
  <c r="R209"/>
  <c r="L209"/>
  <c r="M209" s="1"/>
  <c r="AN208"/>
  <c r="AB208"/>
  <c r="Y208"/>
  <c r="U208"/>
  <c r="T208"/>
  <c r="S208"/>
  <c r="R208"/>
  <c r="L208"/>
  <c r="M208" s="1"/>
  <c r="AN207"/>
  <c r="AS207" s="1"/>
  <c r="AB207"/>
  <c r="Y207"/>
  <c r="U207"/>
  <c r="T207"/>
  <c r="S207"/>
  <c r="R207"/>
  <c r="L207"/>
  <c r="M207" s="1"/>
  <c r="AB206"/>
  <c r="Y206"/>
  <c r="U206"/>
  <c r="T206"/>
  <c r="S206"/>
  <c r="R206"/>
  <c r="M206"/>
  <c r="L206"/>
  <c r="AB205"/>
  <c r="Y205"/>
  <c r="U205"/>
  <c r="T205"/>
  <c r="S205"/>
  <c r="R205"/>
  <c r="L205"/>
  <c r="M205" s="1"/>
  <c r="AN204"/>
  <c r="AS204" s="1"/>
  <c r="AB204"/>
  <c r="Y204"/>
  <c r="U204"/>
  <c r="T204"/>
  <c r="AE204" s="1"/>
  <c r="AF204" s="1"/>
  <c r="AR204" s="1"/>
  <c r="S204"/>
  <c r="R204"/>
  <c r="L204"/>
  <c r="M204" s="1"/>
  <c r="AN203"/>
  <c r="AB203"/>
  <c r="Y203"/>
  <c r="U203"/>
  <c r="T203"/>
  <c r="AE203" s="1"/>
  <c r="S203"/>
  <c r="R203"/>
  <c r="L203"/>
  <c r="M203" s="1"/>
  <c r="AN200"/>
  <c r="AS200" s="1"/>
  <c r="AB200"/>
  <c r="Y200"/>
  <c r="AE200" s="1"/>
  <c r="AF200" s="1"/>
  <c r="AR200" s="1"/>
  <c r="U200"/>
  <c r="T200"/>
  <c r="S200"/>
  <c r="R200"/>
  <c r="M200"/>
  <c r="AQ200" s="1"/>
  <c r="L200"/>
  <c r="AN199"/>
  <c r="AS199" s="1"/>
  <c r="AB199"/>
  <c r="Y199"/>
  <c r="U199"/>
  <c r="T199"/>
  <c r="S199"/>
  <c r="R199"/>
  <c r="L199"/>
  <c r="M199" s="1"/>
  <c r="AB198"/>
  <c r="Y198"/>
  <c r="U198"/>
  <c r="T198"/>
  <c r="S198"/>
  <c r="R198"/>
  <c r="L198"/>
  <c r="AN197"/>
  <c r="AS197" s="1"/>
  <c r="AB197"/>
  <c r="Y197"/>
  <c r="U197"/>
  <c r="T197"/>
  <c r="S197"/>
  <c r="R197"/>
  <c r="L197"/>
  <c r="M197" s="1"/>
  <c r="AB196"/>
  <c r="Y196"/>
  <c r="U196"/>
  <c r="T196"/>
  <c r="S196"/>
  <c r="R196"/>
  <c r="L196"/>
  <c r="M196" s="1"/>
  <c r="AN195"/>
  <c r="AS195" s="1"/>
  <c r="AB195"/>
  <c r="Y195"/>
  <c r="U195"/>
  <c r="T195"/>
  <c r="S195"/>
  <c r="R195"/>
  <c r="L195"/>
  <c r="M195" s="1"/>
  <c r="AN194"/>
  <c r="AB194"/>
  <c r="Y194"/>
  <c r="U194"/>
  <c r="T194"/>
  <c r="S194"/>
  <c r="R194"/>
  <c r="M194"/>
  <c r="L194"/>
  <c r="AB193"/>
  <c r="Y193"/>
  <c r="U193"/>
  <c r="T193"/>
  <c r="S193"/>
  <c r="R193"/>
  <c r="L193"/>
  <c r="AQ192"/>
  <c r="AN192"/>
  <c r="AB192"/>
  <c r="Y192"/>
  <c r="U192"/>
  <c r="T192"/>
  <c r="S192"/>
  <c r="R192"/>
  <c r="L192"/>
  <c r="M192" s="1"/>
  <c r="AB191"/>
  <c r="Y191"/>
  <c r="U191"/>
  <c r="T191"/>
  <c r="S191"/>
  <c r="R191"/>
  <c r="L191"/>
  <c r="AN190"/>
  <c r="AS190" s="1"/>
  <c r="AB190"/>
  <c r="Y190"/>
  <c r="U190"/>
  <c r="T190"/>
  <c r="S190"/>
  <c r="R190"/>
  <c r="L190"/>
  <c r="M190" s="1"/>
  <c r="AN189"/>
  <c r="AS189" s="1"/>
  <c r="AB189"/>
  <c r="Y189"/>
  <c r="U189"/>
  <c r="T189"/>
  <c r="S189"/>
  <c r="R189"/>
  <c r="M189"/>
  <c r="L189"/>
  <c r="AN188"/>
  <c r="AS188" s="1"/>
  <c r="AB188"/>
  <c r="Y188"/>
  <c r="U188"/>
  <c r="T188"/>
  <c r="S188"/>
  <c r="R188"/>
  <c r="L188"/>
  <c r="M188" s="1"/>
  <c r="AQ188" s="1"/>
  <c r="AB187"/>
  <c r="AE187" s="1"/>
  <c r="AF187" s="1"/>
  <c r="AR187" s="1"/>
  <c r="Y187"/>
  <c r="U187"/>
  <c r="T187"/>
  <c r="S187"/>
  <c r="R187"/>
  <c r="L187"/>
  <c r="M187" s="1"/>
  <c r="AB186"/>
  <c r="Y186"/>
  <c r="U186"/>
  <c r="T186"/>
  <c r="S186"/>
  <c r="R186"/>
  <c r="L186"/>
  <c r="M186" s="1"/>
  <c r="AN185"/>
  <c r="AB185"/>
  <c r="Y185"/>
  <c r="U185"/>
  <c r="AE185" s="1"/>
  <c r="AF185" s="1"/>
  <c r="AR185" s="1"/>
  <c r="T185"/>
  <c r="S185"/>
  <c r="R185"/>
  <c r="M185"/>
  <c r="L185"/>
  <c r="AB184"/>
  <c r="Y184"/>
  <c r="AE184" s="1"/>
  <c r="AF184" s="1"/>
  <c r="AR184" s="1"/>
  <c r="U184"/>
  <c r="T184"/>
  <c r="S184"/>
  <c r="R184"/>
  <c r="M184"/>
  <c r="L184"/>
  <c r="AN183"/>
  <c r="AS183" s="1"/>
  <c r="AB183"/>
  <c r="Y183"/>
  <c r="U183"/>
  <c r="T183"/>
  <c r="S183"/>
  <c r="R183"/>
  <c r="M183"/>
  <c r="L183"/>
  <c r="AN182"/>
  <c r="AS182" s="1"/>
  <c r="AB182"/>
  <c r="Y182"/>
  <c r="U182"/>
  <c r="T182"/>
  <c r="S182"/>
  <c r="R182"/>
  <c r="L182"/>
  <c r="M182" s="1"/>
  <c r="AN181"/>
  <c r="AS181" s="1"/>
  <c r="AB181"/>
  <c r="Y181"/>
  <c r="U181"/>
  <c r="T181"/>
  <c r="S181"/>
  <c r="R181"/>
  <c r="M181"/>
  <c r="AQ181" s="1"/>
  <c r="L181"/>
  <c r="AB180"/>
  <c r="Y180"/>
  <c r="U180"/>
  <c r="T180"/>
  <c r="S180"/>
  <c r="R180"/>
  <c r="L180"/>
  <c r="AB177"/>
  <c r="Y177"/>
  <c r="U177"/>
  <c r="T177"/>
  <c r="S177"/>
  <c r="R177"/>
  <c r="L177"/>
  <c r="AN176"/>
  <c r="AS176" s="1"/>
  <c r="AB176"/>
  <c r="Y176"/>
  <c r="U176"/>
  <c r="T176"/>
  <c r="S176"/>
  <c r="R176"/>
  <c r="L176"/>
  <c r="M176" s="1"/>
  <c r="AN175"/>
  <c r="AS175" s="1"/>
  <c r="AB175"/>
  <c r="Y175"/>
  <c r="U175"/>
  <c r="T175"/>
  <c r="S175"/>
  <c r="R175"/>
  <c r="L175"/>
  <c r="AN174"/>
  <c r="AB174"/>
  <c r="Y174"/>
  <c r="U174"/>
  <c r="T174"/>
  <c r="S174"/>
  <c r="R174"/>
  <c r="M174"/>
  <c r="L174"/>
  <c r="AB173"/>
  <c r="Y173"/>
  <c r="U173"/>
  <c r="T173"/>
  <c r="S173"/>
  <c r="R173"/>
  <c r="L173"/>
  <c r="M173" s="1"/>
  <c r="AB172"/>
  <c r="Y172"/>
  <c r="U172"/>
  <c r="T172"/>
  <c r="S172"/>
  <c r="AE172" s="1"/>
  <c r="AF172" s="1"/>
  <c r="AR172" s="1"/>
  <c r="R172"/>
  <c r="L172"/>
  <c r="M172" s="1"/>
  <c r="AB171"/>
  <c r="Y171"/>
  <c r="U171"/>
  <c r="T171"/>
  <c r="S171"/>
  <c r="R171"/>
  <c r="M171"/>
  <c r="L171"/>
  <c r="AB170"/>
  <c r="Y170"/>
  <c r="U170"/>
  <c r="T170"/>
  <c r="S170"/>
  <c r="R170"/>
  <c r="M170"/>
  <c r="L170"/>
  <c r="AN169"/>
  <c r="AS169" s="1"/>
  <c r="AB169"/>
  <c r="Y169"/>
  <c r="U169"/>
  <c r="T169"/>
  <c r="AE169" s="1"/>
  <c r="AF169" s="1"/>
  <c r="S169"/>
  <c r="R169"/>
  <c r="L169"/>
  <c r="AN167"/>
  <c r="AS167" s="1"/>
  <c r="AB167"/>
  <c r="Y167"/>
  <c r="U167"/>
  <c r="T167"/>
  <c r="S167"/>
  <c r="R167"/>
  <c r="L167"/>
  <c r="M167" s="1"/>
  <c r="AB166"/>
  <c r="Y166"/>
  <c r="U166"/>
  <c r="T166"/>
  <c r="S166"/>
  <c r="R166"/>
  <c r="L166"/>
  <c r="M166" s="1"/>
  <c r="AN165"/>
  <c r="AS165" s="1"/>
  <c r="AB165"/>
  <c r="Y165"/>
  <c r="U165"/>
  <c r="T165"/>
  <c r="S165"/>
  <c r="R165"/>
  <c r="AE165" s="1"/>
  <c r="AF165" s="1"/>
  <c r="AR165" s="1"/>
  <c r="L165"/>
  <c r="M165" s="1"/>
  <c r="AB164"/>
  <c r="Y164"/>
  <c r="U164"/>
  <c r="T164"/>
  <c r="S164"/>
  <c r="R164"/>
  <c r="L164"/>
  <c r="AN163"/>
  <c r="AB163"/>
  <c r="Y163"/>
  <c r="U163"/>
  <c r="T163"/>
  <c r="S163"/>
  <c r="R163"/>
  <c r="L163"/>
  <c r="M163" s="1"/>
  <c r="AN162"/>
  <c r="AS162" s="1"/>
  <c r="AB162"/>
  <c r="Y162"/>
  <c r="U162"/>
  <c r="T162"/>
  <c r="S162"/>
  <c r="R162"/>
  <c r="L162"/>
  <c r="M162" s="1"/>
  <c r="AN161"/>
  <c r="AS161" s="1"/>
  <c r="AB161"/>
  <c r="Y161"/>
  <c r="U161"/>
  <c r="T161"/>
  <c r="S161"/>
  <c r="R161"/>
  <c r="L161"/>
  <c r="M161" s="1"/>
  <c r="AQ161" s="1"/>
  <c r="AN160"/>
  <c r="AS160" s="1"/>
  <c r="AB160"/>
  <c r="Y160"/>
  <c r="U160"/>
  <c r="T160"/>
  <c r="S160"/>
  <c r="R160"/>
  <c r="L160"/>
  <c r="M160" s="1"/>
  <c r="AB159"/>
  <c r="Y159"/>
  <c r="U159"/>
  <c r="T159"/>
  <c r="S159"/>
  <c r="R159"/>
  <c r="L159"/>
  <c r="AN158"/>
  <c r="AS158"/>
  <c r="AB158"/>
  <c r="Y158"/>
  <c r="U158"/>
  <c r="T158"/>
  <c r="S158"/>
  <c r="R158"/>
  <c r="L158"/>
  <c r="M158" s="1"/>
  <c r="AB157"/>
  <c r="Y157"/>
  <c r="U157"/>
  <c r="T157"/>
  <c r="S157"/>
  <c r="R157"/>
  <c r="L157"/>
  <c r="M157" s="1"/>
  <c r="AN156"/>
  <c r="AS156" s="1"/>
  <c r="AB156"/>
  <c r="Y156"/>
  <c r="U156"/>
  <c r="T156"/>
  <c r="S156"/>
  <c r="R156"/>
  <c r="L156"/>
  <c r="M156" s="1"/>
  <c r="AN155"/>
  <c r="AB155"/>
  <c r="AE155" s="1"/>
  <c r="AF155" s="1"/>
  <c r="AR155" s="1"/>
  <c r="Y155"/>
  <c r="U155"/>
  <c r="T155"/>
  <c r="S155"/>
  <c r="R155"/>
  <c r="M155"/>
  <c r="L155"/>
  <c r="AN154"/>
  <c r="AS154" s="1"/>
  <c r="AB154"/>
  <c r="Y154"/>
  <c r="U154"/>
  <c r="T154"/>
  <c r="S154"/>
  <c r="R154"/>
  <c r="L154"/>
  <c r="M154" s="1"/>
  <c r="AQ154" s="1"/>
  <c r="AN153"/>
  <c r="AS153" s="1"/>
  <c r="AB153"/>
  <c r="Y153"/>
  <c r="U153"/>
  <c r="T153"/>
  <c r="S153"/>
  <c r="R153"/>
  <c r="L153"/>
  <c r="M153" s="1"/>
  <c r="AB152"/>
  <c r="Y152"/>
  <c r="U152"/>
  <c r="T152"/>
  <c r="S152"/>
  <c r="R152"/>
  <c r="L152"/>
  <c r="M152" s="1"/>
  <c r="AB151"/>
  <c r="Y151"/>
  <c r="U151"/>
  <c r="T151"/>
  <c r="S151"/>
  <c r="R151"/>
  <c r="L151"/>
  <c r="M151" s="1"/>
  <c r="AB150"/>
  <c r="Y150"/>
  <c r="U150"/>
  <c r="T150"/>
  <c r="S150"/>
  <c r="R150"/>
  <c r="L150"/>
  <c r="M150" s="1"/>
  <c r="AN149"/>
  <c r="AB149"/>
  <c r="Y149"/>
  <c r="U149"/>
  <c r="T149"/>
  <c r="S149"/>
  <c r="R149"/>
  <c r="L149"/>
  <c r="AN148"/>
  <c r="AS148" s="1"/>
  <c r="AB148"/>
  <c r="Y148"/>
  <c r="U148"/>
  <c r="T148"/>
  <c r="S148"/>
  <c r="R148"/>
  <c r="L148"/>
  <c r="M148" s="1"/>
  <c r="AB147"/>
  <c r="Y147"/>
  <c r="U147"/>
  <c r="T147"/>
  <c r="S147"/>
  <c r="R147"/>
  <c r="L147"/>
  <c r="AN146"/>
  <c r="AS146" s="1"/>
  <c r="AB146"/>
  <c r="Y146"/>
  <c r="U146"/>
  <c r="T146"/>
  <c r="S146"/>
  <c r="R146"/>
  <c r="L146"/>
  <c r="M146" s="1"/>
  <c r="AN145"/>
  <c r="AS145" s="1"/>
  <c r="AB145"/>
  <c r="Y145"/>
  <c r="U145"/>
  <c r="T145"/>
  <c r="S145"/>
  <c r="R145"/>
  <c r="L145"/>
  <c r="M145" s="1"/>
  <c r="AB144"/>
  <c r="Y144"/>
  <c r="U144"/>
  <c r="T144"/>
  <c r="S144"/>
  <c r="R144"/>
  <c r="L144"/>
  <c r="AM141"/>
  <c r="AN141" s="1"/>
  <c r="AS141" s="1"/>
  <c r="AB141"/>
  <c r="Y141"/>
  <c r="U141"/>
  <c r="T141"/>
  <c r="T142" s="1"/>
  <c r="S141"/>
  <c r="R141"/>
  <c r="L141"/>
  <c r="M141" s="1"/>
  <c r="M142" s="1"/>
  <c r="AM140"/>
  <c r="AB140"/>
  <c r="AB142" s="1"/>
  <c r="Y140"/>
  <c r="U140"/>
  <c r="U142" s="1"/>
  <c r="T140"/>
  <c r="S140"/>
  <c r="R140"/>
  <c r="R142" s="1"/>
  <c r="M140"/>
  <c r="L140"/>
  <c r="AE139"/>
  <c r="R139"/>
  <c r="AM138"/>
  <c r="AN138" s="1"/>
  <c r="AS138" s="1"/>
  <c r="AB138"/>
  <c r="Y138"/>
  <c r="U138"/>
  <c r="T138"/>
  <c r="S138"/>
  <c r="R138"/>
  <c r="L138"/>
  <c r="M138" s="1"/>
  <c r="AQ138" s="1"/>
  <c r="AM137"/>
  <c r="AN137" s="1"/>
  <c r="AN139" s="1"/>
  <c r="AB137"/>
  <c r="Y137"/>
  <c r="U137"/>
  <c r="U139" s="1"/>
  <c r="T137"/>
  <c r="T139" s="1"/>
  <c r="S137"/>
  <c r="S139" s="1"/>
  <c r="R137"/>
  <c r="L137"/>
  <c r="L139" s="1"/>
  <c r="AB135"/>
  <c r="Y135"/>
  <c r="U135"/>
  <c r="T135"/>
  <c r="S135"/>
  <c r="AE135" s="1"/>
  <c r="AF135" s="1"/>
  <c r="AR135" s="1"/>
  <c r="R135"/>
  <c r="L135"/>
  <c r="AM134"/>
  <c r="AN134" s="1"/>
  <c r="AS134" s="1"/>
  <c r="AB134"/>
  <c r="Y134"/>
  <c r="U134"/>
  <c r="T134"/>
  <c r="S134"/>
  <c r="R134"/>
  <c r="L134"/>
  <c r="M134" s="1"/>
  <c r="AN133"/>
  <c r="AS133" s="1"/>
  <c r="AB133"/>
  <c r="Y133"/>
  <c r="U133"/>
  <c r="T133"/>
  <c r="S133"/>
  <c r="R133"/>
  <c r="L133"/>
  <c r="AN132"/>
  <c r="AS132" s="1"/>
  <c r="AB132"/>
  <c r="Y132"/>
  <c r="U132"/>
  <c r="T132"/>
  <c r="S132"/>
  <c r="R132"/>
  <c r="M132"/>
  <c r="L132"/>
  <c r="AN131"/>
  <c r="AS131" s="1"/>
  <c r="AB131"/>
  <c r="Y131"/>
  <c r="U131"/>
  <c r="T131"/>
  <c r="S131"/>
  <c r="R131"/>
  <c r="L131"/>
  <c r="M131" s="1"/>
  <c r="AN130"/>
  <c r="AS130" s="1"/>
  <c r="AB130"/>
  <c r="Y130"/>
  <c r="U130"/>
  <c r="T130"/>
  <c r="S130"/>
  <c r="R130"/>
  <c r="L130"/>
  <c r="AN129"/>
  <c r="AS129" s="1"/>
  <c r="AB129"/>
  <c r="Y129"/>
  <c r="U129"/>
  <c r="T129"/>
  <c r="S129"/>
  <c r="R129"/>
  <c r="L129"/>
  <c r="M129" s="1"/>
  <c r="AB128"/>
  <c r="AE128" s="1"/>
  <c r="AF128" s="1"/>
  <c r="AR128" s="1"/>
  <c r="Y128"/>
  <c r="U128"/>
  <c r="T128"/>
  <c r="S128"/>
  <c r="R128"/>
  <c r="M128"/>
  <c r="L128"/>
  <c r="AN127"/>
  <c r="AS127" s="1"/>
  <c r="AB127"/>
  <c r="Y127"/>
  <c r="U127"/>
  <c r="T127"/>
  <c r="S127"/>
  <c r="R127"/>
  <c r="M127"/>
  <c r="L127"/>
  <c r="AB126"/>
  <c r="Y126"/>
  <c r="U126"/>
  <c r="T126"/>
  <c r="S126"/>
  <c r="R126"/>
  <c r="M126"/>
  <c r="L126"/>
  <c r="AB125"/>
  <c r="Y125"/>
  <c r="U125"/>
  <c r="T125"/>
  <c r="S125"/>
  <c r="R125"/>
  <c r="M125"/>
  <c r="L125"/>
  <c r="AB124"/>
  <c r="Y124"/>
  <c r="U124"/>
  <c r="T124"/>
  <c r="S124"/>
  <c r="R124"/>
  <c r="L124"/>
  <c r="AN123"/>
  <c r="AM123"/>
  <c r="AB123"/>
  <c r="AE123" s="1"/>
  <c r="AF123" s="1"/>
  <c r="AR123" s="1"/>
  <c r="Y123"/>
  <c r="U123"/>
  <c r="T123"/>
  <c r="S123"/>
  <c r="R123"/>
  <c r="M123"/>
  <c r="L123"/>
  <c r="AN122"/>
  <c r="AS122" s="1"/>
  <c r="AB122"/>
  <c r="Y122"/>
  <c r="U122"/>
  <c r="T122"/>
  <c r="S122"/>
  <c r="R122"/>
  <c r="L122"/>
  <c r="M122" s="1"/>
  <c r="AN121"/>
  <c r="AS121" s="1"/>
  <c r="AB121"/>
  <c r="Y121"/>
  <c r="U121"/>
  <c r="T121"/>
  <c r="S121"/>
  <c r="R121"/>
  <c r="M121"/>
  <c r="L121"/>
  <c r="AN120"/>
  <c r="AS120" s="1"/>
  <c r="AB120"/>
  <c r="Y120"/>
  <c r="U120"/>
  <c r="T120"/>
  <c r="S120"/>
  <c r="R120"/>
  <c r="M120"/>
  <c r="L120"/>
  <c r="AN119"/>
  <c r="AS119" s="1"/>
  <c r="AB119"/>
  <c r="Y119"/>
  <c r="U119"/>
  <c r="T119"/>
  <c r="S119"/>
  <c r="R119"/>
  <c r="L119"/>
  <c r="M119" s="1"/>
  <c r="AN118"/>
  <c r="AS118" s="1"/>
  <c r="AB118"/>
  <c r="Y118"/>
  <c r="U118"/>
  <c r="T118"/>
  <c r="S118"/>
  <c r="R118"/>
  <c r="L118"/>
  <c r="M118" s="1"/>
  <c r="AN117"/>
  <c r="AS117" s="1"/>
  <c r="AB117"/>
  <c r="AE117" s="1"/>
  <c r="AF117" s="1"/>
  <c r="AR117" s="1"/>
  <c r="Y117"/>
  <c r="U117"/>
  <c r="T117"/>
  <c r="S117"/>
  <c r="R117"/>
  <c r="L117"/>
  <c r="AN116"/>
  <c r="AS116" s="1"/>
  <c r="AB116"/>
  <c r="Y116"/>
  <c r="U116"/>
  <c r="AE116" s="1"/>
  <c r="AF116" s="1"/>
  <c r="AR116" s="1"/>
  <c r="T116"/>
  <c r="S116"/>
  <c r="R116"/>
  <c r="L116"/>
  <c r="M116" s="1"/>
  <c r="AQ116" s="1"/>
  <c r="AN115"/>
  <c r="AS115" s="1"/>
  <c r="AB115"/>
  <c r="Y115"/>
  <c r="U115"/>
  <c r="T115"/>
  <c r="S115"/>
  <c r="R115"/>
  <c r="L115"/>
  <c r="AN114"/>
  <c r="AS114" s="1"/>
  <c r="AB114"/>
  <c r="AB136" s="1"/>
  <c r="Y114"/>
  <c r="U114"/>
  <c r="T114"/>
  <c r="S114"/>
  <c r="R114"/>
  <c r="L114"/>
  <c r="AM112"/>
  <c r="AB112"/>
  <c r="Y112"/>
  <c r="U112"/>
  <c r="T112"/>
  <c r="S112"/>
  <c r="R112"/>
  <c r="L112"/>
  <c r="M112" s="1"/>
  <c r="AM111"/>
  <c r="AN111" s="1"/>
  <c r="AB111"/>
  <c r="Y111"/>
  <c r="U111"/>
  <c r="T111"/>
  <c r="S111"/>
  <c r="R111"/>
  <c r="L111"/>
  <c r="M111" s="1"/>
  <c r="AB110"/>
  <c r="Y110"/>
  <c r="U110"/>
  <c r="T110"/>
  <c r="S110"/>
  <c r="R110"/>
  <c r="L110"/>
  <c r="AN109"/>
  <c r="AS109" s="1"/>
  <c r="AB109"/>
  <c r="Y109"/>
  <c r="U109"/>
  <c r="T109"/>
  <c r="S109"/>
  <c r="R109"/>
  <c r="M109"/>
  <c r="L109"/>
  <c r="AB108"/>
  <c r="Y108"/>
  <c r="U108"/>
  <c r="T108"/>
  <c r="S108"/>
  <c r="R108"/>
  <c r="M108"/>
  <c r="L108"/>
  <c r="AN107"/>
  <c r="AB107"/>
  <c r="Y107"/>
  <c r="U107"/>
  <c r="T107"/>
  <c r="S107"/>
  <c r="R107"/>
  <c r="M107"/>
  <c r="L107"/>
  <c r="AN106"/>
  <c r="AS106" s="1"/>
  <c r="AB106"/>
  <c r="Y106"/>
  <c r="U106"/>
  <c r="T106"/>
  <c r="S106"/>
  <c r="R106"/>
  <c r="L106"/>
  <c r="M106" s="1"/>
  <c r="AN105"/>
  <c r="AB105"/>
  <c r="Y105"/>
  <c r="U105"/>
  <c r="T105"/>
  <c r="S105"/>
  <c r="R105"/>
  <c r="M105"/>
  <c r="L105"/>
  <c r="AN104"/>
  <c r="AB104"/>
  <c r="Y104"/>
  <c r="U104"/>
  <c r="T104"/>
  <c r="S104"/>
  <c r="R104"/>
  <c r="L104"/>
  <c r="AN103"/>
  <c r="AS103" s="1"/>
  <c r="AB103"/>
  <c r="Y103"/>
  <c r="U103"/>
  <c r="T103"/>
  <c r="S103"/>
  <c r="R103"/>
  <c r="L103"/>
  <c r="M103" s="1"/>
  <c r="AN102"/>
  <c r="AS102" s="1"/>
  <c r="AB102"/>
  <c r="Y102"/>
  <c r="U102"/>
  <c r="T102"/>
  <c r="S102"/>
  <c r="R102"/>
  <c r="L102"/>
  <c r="AM100"/>
  <c r="AN100" s="1"/>
  <c r="AB100"/>
  <c r="AE100" s="1"/>
  <c r="AF100" s="1"/>
  <c r="AR100" s="1"/>
  <c r="Y100"/>
  <c r="U100"/>
  <c r="T100"/>
  <c r="S100"/>
  <c r="R100"/>
  <c r="L100"/>
  <c r="M100" s="1"/>
  <c r="AM99"/>
  <c r="AB99"/>
  <c r="Y99"/>
  <c r="U99"/>
  <c r="T99"/>
  <c r="S99"/>
  <c r="R99"/>
  <c r="L99"/>
  <c r="M99" s="1"/>
  <c r="AB98"/>
  <c r="Y98"/>
  <c r="U98"/>
  <c r="T98"/>
  <c r="S98"/>
  <c r="R98"/>
  <c r="AE98" s="1"/>
  <c r="AF98" s="1"/>
  <c r="AR98" s="1"/>
  <c r="L98"/>
  <c r="AN97"/>
  <c r="AS97" s="1"/>
  <c r="AB97"/>
  <c r="Y97"/>
  <c r="U97"/>
  <c r="T97"/>
  <c r="S97"/>
  <c r="R97"/>
  <c r="L97"/>
  <c r="M97" s="1"/>
  <c r="AN96"/>
  <c r="AS96" s="1"/>
  <c r="AB96"/>
  <c r="Y96"/>
  <c r="AE96" s="1"/>
  <c r="AF96" s="1"/>
  <c r="AR96" s="1"/>
  <c r="U96"/>
  <c r="T96"/>
  <c r="S96"/>
  <c r="R96"/>
  <c r="L96"/>
  <c r="AN95"/>
  <c r="AS95" s="1"/>
  <c r="AB95"/>
  <c r="Y95"/>
  <c r="U95"/>
  <c r="T95"/>
  <c r="S95"/>
  <c r="R95"/>
  <c r="L95"/>
  <c r="M95" s="1"/>
  <c r="AN94"/>
  <c r="AB94"/>
  <c r="AB101" s="1"/>
  <c r="Y94"/>
  <c r="U94"/>
  <c r="U101" s="1"/>
  <c r="T94"/>
  <c r="S94"/>
  <c r="R94"/>
  <c r="L94"/>
  <c r="AB90"/>
  <c r="Y90"/>
  <c r="U90"/>
  <c r="T90"/>
  <c r="AE90" s="1"/>
  <c r="AF90" s="1"/>
  <c r="AR90" s="1"/>
  <c r="S90"/>
  <c r="R90"/>
  <c r="L90"/>
  <c r="M90" s="1"/>
  <c r="AN89"/>
  <c r="AS89" s="1"/>
  <c r="AB89"/>
  <c r="Y89"/>
  <c r="U89"/>
  <c r="T89"/>
  <c r="S89"/>
  <c r="R89"/>
  <c r="M89"/>
  <c r="L89"/>
  <c r="AN88"/>
  <c r="AB88"/>
  <c r="Y88"/>
  <c r="U88"/>
  <c r="T88"/>
  <c r="S88"/>
  <c r="R88"/>
  <c r="L88"/>
  <c r="M88" s="1"/>
  <c r="AN87"/>
  <c r="AB87"/>
  <c r="Y87"/>
  <c r="U87"/>
  <c r="T87"/>
  <c r="S87"/>
  <c r="R87"/>
  <c r="L87"/>
  <c r="AB86"/>
  <c r="Y86"/>
  <c r="U86"/>
  <c r="T86"/>
  <c r="S86"/>
  <c r="R86"/>
  <c r="L86"/>
  <c r="AB85"/>
  <c r="Y85"/>
  <c r="U85"/>
  <c r="T85"/>
  <c r="S85"/>
  <c r="R85"/>
  <c r="L85"/>
  <c r="M85" s="1"/>
  <c r="AN84"/>
  <c r="AS84" s="1"/>
  <c r="AB84"/>
  <c r="Y84"/>
  <c r="U84"/>
  <c r="T84"/>
  <c r="S84"/>
  <c r="R84"/>
  <c r="L84"/>
  <c r="M84" s="1"/>
  <c r="AN83"/>
  <c r="AS83" s="1"/>
  <c r="AB83"/>
  <c r="Y83"/>
  <c r="U83"/>
  <c r="T83"/>
  <c r="S83"/>
  <c r="R83"/>
  <c r="L83"/>
  <c r="M83" s="1"/>
  <c r="AB82"/>
  <c r="Y82"/>
  <c r="U82"/>
  <c r="T82"/>
  <c r="S82"/>
  <c r="R82"/>
  <c r="L82"/>
  <c r="M82" s="1"/>
  <c r="AN81"/>
  <c r="AS81" s="1"/>
  <c r="AB81"/>
  <c r="Y81"/>
  <c r="U81"/>
  <c r="T81"/>
  <c r="S81"/>
  <c r="S91" s="1"/>
  <c r="S80" s="1"/>
  <c r="R81"/>
  <c r="L81"/>
  <c r="AN78"/>
  <c r="AS78" s="1"/>
  <c r="AB78"/>
  <c r="Y78"/>
  <c r="U78"/>
  <c r="T78"/>
  <c r="S78"/>
  <c r="R78"/>
  <c r="L78"/>
  <c r="AS77"/>
  <c r="AN77"/>
  <c r="AB77"/>
  <c r="Y77"/>
  <c r="U77"/>
  <c r="T77"/>
  <c r="S77"/>
  <c r="R77"/>
  <c r="L77"/>
  <c r="M77" s="1"/>
  <c r="AB76"/>
  <c r="Y76"/>
  <c r="U76"/>
  <c r="T76"/>
  <c r="S76"/>
  <c r="R76"/>
  <c r="L76"/>
  <c r="AN75"/>
  <c r="AS75" s="1"/>
  <c r="AB75"/>
  <c r="AE75" s="1"/>
  <c r="AF75" s="1"/>
  <c r="AR75" s="1"/>
  <c r="Y75"/>
  <c r="U75"/>
  <c r="T75"/>
  <c r="S75"/>
  <c r="R75"/>
  <c r="L75"/>
  <c r="M75" s="1"/>
  <c r="AN74"/>
  <c r="AS74" s="1"/>
  <c r="AB74"/>
  <c r="Y74"/>
  <c r="U74"/>
  <c r="T74"/>
  <c r="S74"/>
  <c r="R74"/>
  <c r="L74"/>
  <c r="M74" s="1"/>
  <c r="AB73"/>
  <c r="Y73"/>
  <c r="U73"/>
  <c r="T73"/>
  <c r="S73"/>
  <c r="R73"/>
  <c r="L73"/>
  <c r="M73" s="1"/>
  <c r="AB72"/>
  <c r="Y72"/>
  <c r="U72"/>
  <c r="T72"/>
  <c r="S72"/>
  <c r="R72"/>
  <c r="L72"/>
  <c r="M72" s="1"/>
  <c r="AB71"/>
  <c r="Y71"/>
  <c r="U71"/>
  <c r="T71"/>
  <c r="S71"/>
  <c r="AE71" s="1"/>
  <c r="AF71" s="1"/>
  <c r="AR71" s="1"/>
  <c r="R71"/>
  <c r="L71"/>
  <c r="M71" s="1"/>
  <c r="AE70"/>
  <c r="AF70" s="1"/>
  <c r="AR70" s="1"/>
  <c r="AB70"/>
  <c r="Y70"/>
  <c r="U70"/>
  <c r="T70"/>
  <c r="S70"/>
  <c r="R70"/>
  <c r="L70"/>
  <c r="AN69"/>
  <c r="AE69"/>
  <c r="AF69" s="1"/>
  <c r="AR69" s="1"/>
  <c r="AB69"/>
  <c r="Y69"/>
  <c r="U69"/>
  <c r="T69"/>
  <c r="S69"/>
  <c r="R69"/>
  <c r="M69"/>
  <c r="L69"/>
  <c r="AN68"/>
  <c r="AS68" s="1"/>
  <c r="AB68"/>
  <c r="Y68"/>
  <c r="U68"/>
  <c r="T68"/>
  <c r="S68"/>
  <c r="R68"/>
  <c r="L68"/>
  <c r="AN67"/>
  <c r="AB67"/>
  <c r="Y67"/>
  <c r="U67"/>
  <c r="T67"/>
  <c r="S67"/>
  <c r="R67"/>
  <c r="L67"/>
  <c r="AN66"/>
  <c r="AS66" s="1"/>
  <c r="AB66"/>
  <c r="Y66"/>
  <c r="U66"/>
  <c r="T66"/>
  <c r="S66"/>
  <c r="R66"/>
  <c r="L66"/>
  <c r="AS65"/>
  <c r="AN65"/>
  <c r="AB65"/>
  <c r="Y65"/>
  <c r="U65"/>
  <c r="T65"/>
  <c r="S65"/>
  <c r="R65"/>
  <c r="L65"/>
  <c r="M65" s="1"/>
  <c r="AB64"/>
  <c r="Y64"/>
  <c r="U64"/>
  <c r="T64"/>
  <c r="S64"/>
  <c r="R64"/>
  <c r="L64"/>
  <c r="AN63"/>
  <c r="AS63" s="1"/>
  <c r="AB63"/>
  <c r="Y63"/>
  <c r="U63"/>
  <c r="T63"/>
  <c r="S63"/>
  <c r="R63"/>
  <c r="L63"/>
  <c r="M63" s="1"/>
  <c r="AN62"/>
  <c r="AS62" s="1"/>
  <c r="AB62"/>
  <c r="Y62"/>
  <c r="U62"/>
  <c r="T62"/>
  <c r="S62"/>
  <c r="R62"/>
  <c r="L62"/>
  <c r="M62" s="1"/>
  <c r="AB61"/>
  <c r="Y61"/>
  <c r="U61"/>
  <c r="T61"/>
  <c r="S61"/>
  <c r="R61"/>
  <c r="L61"/>
  <c r="M61" s="1"/>
  <c r="AB60"/>
  <c r="AE60" s="1"/>
  <c r="Y60"/>
  <c r="U60"/>
  <c r="T60"/>
  <c r="S60"/>
  <c r="R60"/>
  <c r="L60"/>
  <c r="M60" s="1"/>
  <c r="AN58"/>
  <c r="AS58" s="1"/>
  <c r="AB58"/>
  <c r="Y58"/>
  <c r="U58"/>
  <c r="T58"/>
  <c r="S58"/>
  <c r="R58"/>
  <c r="L58"/>
  <c r="M58" s="1"/>
  <c r="AN57"/>
  <c r="AS57" s="1"/>
  <c r="AB57"/>
  <c r="Y57"/>
  <c r="U57"/>
  <c r="T57"/>
  <c r="S57"/>
  <c r="R57"/>
  <c r="L57"/>
  <c r="AN56"/>
  <c r="AS56" s="1"/>
  <c r="AB56"/>
  <c r="Y56"/>
  <c r="U56"/>
  <c r="T56"/>
  <c r="S56"/>
  <c r="R56"/>
  <c r="L56"/>
  <c r="M56" s="1"/>
  <c r="AN55"/>
  <c r="AS55" s="1"/>
  <c r="AB55"/>
  <c r="Y55"/>
  <c r="U55"/>
  <c r="T55"/>
  <c r="S55"/>
  <c r="R55"/>
  <c r="L55"/>
  <c r="M55" s="1"/>
  <c r="AB54"/>
  <c r="Y54"/>
  <c r="U54"/>
  <c r="T54"/>
  <c r="S54"/>
  <c r="R54"/>
  <c r="L54"/>
  <c r="M54" s="1"/>
  <c r="AB53"/>
  <c r="Y53"/>
  <c r="U53"/>
  <c r="T53"/>
  <c r="S53"/>
  <c r="R53"/>
  <c r="L53"/>
  <c r="M53" s="1"/>
  <c r="AB52"/>
  <c r="Y52"/>
  <c r="U52"/>
  <c r="AE52" s="1"/>
  <c r="AF52" s="1"/>
  <c r="AR52" s="1"/>
  <c r="T52"/>
  <c r="S52"/>
  <c r="R52"/>
  <c r="L52"/>
  <c r="M52" s="1"/>
  <c r="AB51"/>
  <c r="Y51"/>
  <c r="U51"/>
  <c r="T51"/>
  <c r="S51"/>
  <c r="R51"/>
  <c r="M51"/>
  <c r="L51"/>
  <c r="AN50"/>
  <c r="AB50"/>
  <c r="Y50"/>
  <c r="AE50" s="1"/>
  <c r="AF50" s="1"/>
  <c r="AR50" s="1"/>
  <c r="U50"/>
  <c r="T50"/>
  <c r="S50"/>
  <c r="R50"/>
  <c r="L50"/>
  <c r="M50" s="1"/>
  <c r="AQ50" s="1"/>
  <c r="AN49"/>
  <c r="AS49" s="1"/>
  <c r="AB49"/>
  <c r="Y49"/>
  <c r="U49"/>
  <c r="T49"/>
  <c r="S49"/>
  <c r="R49"/>
  <c r="L49"/>
  <c r="AN48"/>
  <c r="AB48"/>
  <c r="Y48"/>
  <c r="U48"/>
  <c r="T48"/>
  <c r="S48"/>
  <c r="AE48" s="1"/>
  <c r="AF48" s="1"/>
  <c r="AR48" s="1"/>
  <c r="R48"/>
  <c r="L48"/>
  <c r="AN47"/>
  <c r="AS47" s="1"/>
  <c r="AB47"/>
  <c r="Y47"/>
  <c r="U47"/>
  <c r="T47"/>
  <c r="S47"/>
  <c r="R47"/>
  <c r="L47"/>
  <c r="AN46"/>
  <c r="AS46" s="1"/>
  <c r="AB46"/>
  <c r="Y46"/>
  <c r="U46"/>
  <c r="T46"/>
  <c r="S46"/>
  <c r="R46"/>
  <c r="L46"/>
  <c r="M46" s="1"/>
  <c r="AN45"/>
  <c r="AS45" s="1"/>
  <c r="AB45"/>
  <c r="Y45"/>
  <c r="U45"/>
  <c r="T45"/>
  <c r="S45"/>
  <c r="R45"/>
  <c r="L45"/>
  <c r="M45" s="1"/>
  <c r="AN44"/>
  <c r="AS44" s="1"/>
  <c r="AB44"/>
  <c r="Y44"/>
  <c r="U44"/>
  <c r="T44"/>
  <c r="S44"/>
  <c r="R44"/>
  <c r="L44"/>
  <c r="M44" s="1"/>
  <c r="AN43"/>
  <c r="AS43" s="1"/>
  <c r="AB43"/>
  <c r="Y43"/>
  <c r="U43"/>
  <c r="T43"/>
  <c r="S43"/>
  <c r="R43"/>
  <c r="L43"/>
  <c r="M43" s="1"/>
  <c r="AN42"/>
  <c r="AB42"/>
  <c r="Y42"/>
  <c r="U42"/>
  <c r="T42"/>
  <c r="S42"/>
  <c r="R42"/>
  <c r="M42"/>
  <c r="AQ42" s="1"/>
  <c r="L42"/>
  <c r="AB41"/>
  <c r="Y41"/>
  <c r="U41"/>
  <c r="T41"/>
  <c r="T59" s="1"/>
  <c r="S41"/>
  <c r="R41"/>
  <c r="L41"/>
  <c r="AB38"/>
  <c r="Y38"/>
  <c r="U38"/>
  <c r="T38"/>
  <c r="S38"/>
  <c r="R38"/>
  <c r="L38"/>
  <c r="M38" s="1"/>
  <c r="AQ38" s="1"/>
  <c r="AB37"/>
  <c r="Y37"/>
  <c r="U37"/>
  <c r="T37"/>
  <c r="S37"/>
  <c r="R37"/>
  <c r="L37"/>
  <c r="M37" s="1"/>
  <c r="AB36"/>
  <c r="Y36"/>
  <c r="U36"/>
  <c r="T36"/>
  <c r="S36"/>
  <c r="R36"/>
  <c r="L36"/>
  <c r="AN35"/>
  <c r="AS35" s="1"/>
  <c r="AB35"/>
  <c r="Y35"/>
  <c r="U35"/>
  <c r="T35"/>
  <c r="S35"/>
  <c r="R35"/>
  <c r="L35"/>
  <c r="M35" s="1"/>
  <c r="AN34"/>
  <c r="AS34" s="1"/>
  <c r="AB34"/>
  <c r="Y34"/>
  <c r="U34"/>
  <c r="T34"/>
  <c r="S34"/>
  <c r="R34"/>
  <c r="L34"/>
  <c r="M34" s="1"/>
  <c r="AB33"/>
  <c r="Y33"/>
  <c r="U33"/>
  <c r="T33"/>
  <c r="T39" s="1"/>
  <c r="T32" s="1"/>
  <c r="S33"/>
  <c r="R33"/>
  <c r="M33"/>
  <c r="L33"/>
  <c r="AB29"/>
  <c r="Y29"/>
  <c r="U29"/>
  <c r="T29"/>
  <c r="S29"/>
  <c r="R29"/>
  <c r="L29"/>
  <c r="M29" s="1"/>
  <c r="AQ28"/>
  <c r="AN28"/>
  <c r="AB28"/>
  <c r="Y28"/>
  <c r="U28"/>
  <c r="T28"/>
  <c r="S28"/>
  <c r="R28"/>
  <c r="L28"/>
  <c r="M28" s="1"/>
  <c r="AE27"/>
  <c r="AF27" s="1"/>
  <c r="AR27" s="1"/>
  <c r="AB27"/>
  <c r="AB30" s="1"/>
  <c r="Y27"/>
  <c r="U27"/>
  <c r="T27"/>
  <c r="T30" s="1"/>
  <c r="S27"/>
  <c r="R27"/>
  <c r="L27"/>
  <c r="M27" s="1"/>
  <c r="AB26"/>
  <c r="Y26"/>
  <c r="U26"/>
  <c r="T26"/>
  <c r="S26"/>
  <c r="R26"/>
  <c r="R30" s="1"/>
  <c r="L26"/>
  <c r="AN24"/>
  <c r="AS24"/>
  <c r="AB24"/>
  <c r="Y24"/>
  <c r="U24"/>
  <c r="T24"/>
  <c r="S24"/>
  <c r="R24"/>
  <c r="L24"/>
  <c r="AN23"/>
  <c r="AS23" s="1"/>
  <c r="AB23"/>
  <c r="Y23"/>
  <c r="U23"/>
  <c r="T23"/>
  <c r="S23"/>
  <c r="R23"/>
  <c r="M23"/>
  <c r="L23"/>
  <c r="AQ23" s="1"/>
  <c r="AQ22"/>
  <c r="AN22"/>
  <c r="AS22" s="1"/>
  <c r="AB22"/>
  <c r="AE22" s="1"/>
  <c r="AF22" s="1"/>
  <c r="AR22" s="1"/>
  <c r="Y22"/>
  <c r="U22"/>
  <c r="T22"/>
  <c r="S22"/>
  <c r="R22"/>
  <c r="L22"/>
  <c r="M22" s="1"/>
  <c r="AB21"/>
  <c r="Y21"/>
  <c r="U21"/>
  <c r="T21"/>
  <c r="S21"/>
  <c r="R21"/>
  <c r="L21"/>
  <c r="M21" s="1"/>
  <c r="AN20"/>
  <c r="AS20" s="1"/>
  <c r="AB20"/>
  <c r="Y20"/>
  <c r="U20"/>
  <c r="T20"/>
  <c r="S20"/>
  <c r="R20"/>
  <c r="L20"/>
  <c r="M20" s="1"/>
  <c r="AQ20" s="1"/>
  <c r="AN19"/>
  <c r="AB19"/>
  <c r="Y19"/>
  <c r="U19"/>
  <c r="T19"/>
  <c r="S19"/>
  <c r="R19"/>
  <c r="L19"/>
  <c r="AM18"/>
  <c r="AN18" s="1"/>
  <c r="AB18"/>
  <c r="Y18"/>
  <c r="U18"/>
  <c r="U25" s="1"/>
  <c r="T18"/>
  <c r="S18"/>
  <c r="R18"/>
  <c r="R25" s="1"/>
  <c r="L18"/>
  <c r="AB16"/>
  <c r="AB17" s="1"/>
  <c r="Y16"/>
  <c r="Y17" s="1"/>
  <c r="U16"/>
  <c r="U17" s="1"/>
  <c r="T16"/>
  <c r="T17" s="1"/>
  <c r="S16"/>
  <c r="S17" s="1"/>
  <c r="R16"/>
  <c r="R17" s="1"/>
  <c r="L16"/>
  <c r="AN14"/>
  <c r="AS14" s="1"/>
  <c r="AB14"/>
  <c r="Y14"/>
  <c r="U14"/>
  <c r="T14"/>
  <c r="S14"/>
  <c r="R14"/>
  <c r="M14"/>
  <c r="L14"/>
  <c r="AN13"/>
  <c r="AS13" s="1"/>
  <c r="AB13"/>
  <c r="Y13"/>
  <c r="U13"/>
  <c r="T13"/>
  <c r="S13"/>
  <c r="R13"/>
  <c r="L13"/>
  <c r="AN12"/>
  <c r="AS12" s="1"/>
  <c r="AB12"/>
  <c r="Y12"/>
  <c r="AE12" s="1"/>
  <c r="AF12" s="1"/>
  <c r="AR12" s="1"/>
  <c r="U12"/>
  <c r="T12"/>
  <c r="S12"/>
  <c r="R12"/>
  <c r="L12"/>
  <c r="AN11"/>
  <c r="AS11" s="1"/>
  <c r="AB11"/>
  <c r="Y11"/>
  <c r="U11"/>
  <c r="T11"/>
  <c r="S11"/>
  <c r="R11"/>
  <c r="L11"/>
  <c r="AN10"/>
  <c r="AS10" s="1"/>
  <c r="AB10"/>
  <c r="Y10"/>
  <c r="U10"/>
  <c r="T10"/>
  <c r="S10"/>
  <c r="R10"/>
  <c r="L10"/>
  <c r="AN9"/>
  <c r="AS9" s="1"/>
  <c r="AB9"/>
  <c r="Y9"/>
  <c r="U9"/>
  <c r="T9"/>
  <c r="S9"/>
  <c r="R9"/>
  <c r="L9"/>
  <c r="M9" s="1"/>
  <c r="AN8"/>
  <c r="AS8" s="1"/>
  <c r="AB8"/>
  <c r="Y8"/>
  <c r="U8"/>
  <c r="T8"/>
  <c r="S8"/>
  <c r="R8"/>
  <c r="L8"/>
  <c r="M8" s="1"/>
  <c r="AN7"/>
  <c r="AB7"/>
  <c r="Y7"/>
  <c r="U7"/>
  <c r="T7"/>
  <c r="S7"/>
  <c r="R7"/>
  <c r="L7"/>
  <c r="AB241" i="22"/>
  <c r="Y241"/>
  <c r="U241"/>
  <c r="T241"/>
  <c r="S241"/>
  <c r="R241"/>
  <c r="L241"/>
  <c r="M241" s="1"/>
  <c r="AB240"/>
  <c r="Y240"/>
  <c r="U240"/>
  <c r="T240"/>
  <c r="S240"/>
  <c r="R240"/>
  <c r="L240"/>
  <c r="M240" s="1"/>
  <c r="AB239"/>
  <c r="Y239"/>
  <c r="U239"/>
  <c r="T239"/>
  <c r="S239"/>
  <c r="R239"/>
  <c r="L239"/>
  <c r="M239" s="1"/>
  <c r="AM242"/>
  <c r="AB238"/>
  <c r="Y238"/>
  <c r="U238"/>
  <c r="T238"/>
  <c r="S238"/>
  <c r="R238"/>
  <c r="L238"/>
  <c r="M238" s="1"/>
  <c r="AN237"/>
  <c r="AB237"/>
  <c r="AB242" s="1"/>
  <c r="Y237"/>
  <c r="Y242" s="1"/>
  <c r="U237"/>
  <c r="U242" s="1"/>
  <c r="T237"/>
  <c r="T242" s="1"/>
  <c r="S237"/>
  <c r="R237"/>
  <c r="R242" s="1"/>
  <c r="L237"/>
  <c r="AN235"/>
  <c r="AS235" s="1"/>
  <c r="AB235"/>
  <c r="Y235"/>
  <c r="U235"/>
  <c r="T235"/>
  <c r="S235"/>
  <c r="R235"/>
  <c r="L235"/>
  <c r="AB234"/>
  <c r="Y234"/>
  <c r="U234"/>
  <c r="T234"/>
  <c r="S234"/>
  <c r="R234"/>
  <c r="L234"/>
  <c r="M234" s="1"/>
  <c r="AB233"/>
  <c r="Y233"/>
  <c r="Y236" s="1"/>
  <c r="U233"/>
  <c r="T233"/>
  <c r="T236" s="1"/>
  <c r="S233"/>
  <c r="S236" s="1"/>
  <c r="R233"/>
  <c r="R236" s="1"/>
  <c r="L233"/>
  <c r="M233" s="1"/>
  <c r="AM231"/>
  <c r="AN231" s="1"/>
  <c r="AB231"/>
  <c r="Y231"/>
  <c r="U231"/>
  <c r="T231"/>
  <c r="S231"/>
  <c r="R231"/>
  <c r="L231"/>
  <c r="AB230"/>
  <c r="Y230"/>
  <c r="U230"/>
  <c r="T230"/>
  <c r="S230"/>
  <c r="R230"/>
  <c r="L230"/>
  <c r="M230" s="1"/>
  <c r="AN229"/>
  <c r="AS229" s="1"/>
  <c r="AB229"/>
  <c r="Y229"/>
  <c r="U229"/>
  <c r="T229"/>
  <c r="S229"/>
  <c r="R229"/>
  <c r="L229"/>
  <c r="M229" s="1"/>
  <c r="AN228"/>
  <c r="AS228" s="1"/>
  <c r="AB228"/>
  <c r="Y228"/>
  <c r="U228"/>
  <c r="T228"/>
  <c r="S228"/>
  <c r="R228"/>
  <c r="L228"/>
  <c r="M228" s="1"/>
  <c r="AB227"/>
  <c r="Y227"/>
  <c r="U227"/>
  <c r="T227"/>
  <c r="S227"/>
  <c r="R227"/>
  <c r="L227"/>
  <c r="M227" s="1"/>
  <c r="AB226"/>
  <c r="Y226"/>
  <c r="U226"/>
  <c r="T226"/>
  <c r="S226"/>
  <c r="R226"/>
  <c r="L226"/>
  <c r="M226" s="1"/>
  <c r="AE225"/>
  <c r="AF225" s="1"/>
  <c r="AB225"/>
  <c r="Y225"/>
  <c r="U225"/>
  <c r="U232" s="1"/>
  <c r="T225"/>
  <c r="S225"/>
  <c r="R225"/>
  <c r="M225"/>
  <c r="L225"/>
  <c r="AN221"/>
  <c r="AS221" s="1"/>
  <c r="AB221"/>
  <c r="AE221" s="1"/>
  <c r="AF221" s="1"/>
  <c r="AR221" s="1"/>
  <c r="Y221"/>
  <c r="U221"/>
  <c r="T221"/>
  <c r="S221"/>
  <c r="R221"/>
  <c r="L221"/>
  <c r="M221" s="1"/>
  <c r="AN220"/>
  <c r="AB220"/>
  <c r="Y220"/>
  <c r="U220"/>
  <c r="T220"/>
  <c r="S220"/>
  <c r="R220"/>
  <c r="L220"/>
  <c r="M220" s="1"/>
  <c r="AB219"/>
  <c r="Y219"/>
  <c r="U219"/>
  <c r="T219"/>
  <c r="S219"/>
  <c r="R219"/>
  <c r="L219"/>
  <c r="M219" s="1"/>
  <c r="AB218"/>
  <c r="Y218"/>
  <c r="U218"/>
  <c r="AE218" s="1"/>
  <c r="AF218" s="1"/>
  <c r="AR218" s="1"/>
  <c r="T218"/>
  <c r="S218"/>
  <c r="R218"/>
  <c r="L218"/>
  <c r="M218" s="1"/>
  <c r="AN217"/>
  <c r="AB217"/>
  <c r="Y217"/>
  <c r="U217"/>
  <c r="T217"/>
  <c r="S217"/>
  <c r="R217"/>
  <c r="L217"/>
  <c r="AB216"/>
  <c r="Y216"/>
  <c r="U216"/>
  <c r="T216"/>
  <c r="S216"/>
  <c r="R216"/>
  <c r="L216"/>
  <c r="AN215"/>
  <c r="AB215"/>
  <c r="Y215"/>
  <c r="U215"/>
  <c r="T215"/>
  <c r="S215"/>
  <c r="R215"/>
  <c r="L215"/>
  <c r="M215" s="1"/>
  <c r="AB214"/>
  <c r="Y214"/>
  <c r="U214"/>
  <c r="T214"/>
  <c r="S214"/>
  <c r="R214"/>
  <c r="L214"/>
  <c r="AN213"/>
  <c r="AS213" s="1"/>
  <c r="AB213"/>
  <c r="Y213"/>
  <c r="U213"/>
  <c r="T213"/>
  <c r="S213"/>
  <c r="R213"/>
  <c r="M213"/>
  <c r="L213"/>
  <c r="AB212"/>
  <c r="Y212"/>
  <c r="AE212" s="1"/>
  <c r="AF212" s="1"/>
  <c r="AR212" s="1"/>
  <c r="U212"/>
  <c r="T212"/>
  <c r="S212"/>
  <c r="R212"/>
  <c r="L212"/>
  <c r="AN211"/>
  <c r="AS211" s="1"/>
  <c r="AB211"/>
  <c r="Y211"/>
  <c r="U211"/>
  <c r="T211"/>
  <c r="S211"/>
  <c r="R211"/>
  <c r="M211"/>
  <c r="L211"/>
  <c r="AN210"/>
  <c r="AS210" s="1"/>
  <c r="AB210"/>
  <c r="Y210"/>
  <c r="U210"/>
  <c r="T210"/>
  <c r="S210"/>
  <c r="R210"/>
  <c r="L210"/>
  <c r="M210" s="1"/>
  <c r="AN209"/>
  <c r="AB209"/>
  <c r="Y209"/>
  <c r="U209"/>
  <c r="T209"/>
  <c r="S209"/>
  <c r="R209"/>
  <c r="L209"/>
  <c r="M209" s="1"/>
  <c r="AN208"/>
  <c r="AS208" s="1"/>
  <c r="AB208"/>
  <c r="Y208"/>
  <c r="U208"/>
  <c r="T208"/>
  <c r="S208"/>
  <c r="R208"/>
  <c r="L208"/>
  <c r="M208" s="1"/>
  <c r="AN207"/>
  <c r="AS207" s="1"/>
  <c r="AB207"/>
  <c r="Y207"/>
  <c r="U207"/>
  <c r="T207"/>
  <c r="S207"/>
  <c r="R207"/>
  <c r="L207"/>
  <c r="M207" s="1"/>
  <c r="AN206"/>
  <c r="AS206" s="1"/>
  <c r="AB206"/>
  <c r="Y206"/>
  <c r="U206"/>
  <c r="T206"/>
  <c r="S206"/>
  <c r="R206"/>
  <c r="L206"/>
  <c r="M206" s="1"/>
  <c r="AB205"/>
  <c r="Y205"/>
  <c r="U205"/>
  <c r="T205"/>
  <c r="S205"/>
  <c r="R205"/>
  <c r="L205"/>
  <c r="M205" s="1"/>
  <c r="AB204"/>
  <c r="Y204"/>
  <c r="U204"/>
  <c r="T204"/>
  <c r="S204"/>
  <c r="R204"/>
  <c r="L204"/>
  <c r="M204" s="1"/>
  <c r="AN203"/>
  <c r="AB203"/>
  <c r="Y203"/>
  <c r="U203"/>
  <c r="T203"/>
  <c r="S203"/>
  <c r="R203"/>
  <c r="L203"/>
  <c r="AN200"/>
  <c r="AS200" s="1"/>
  <c r="AB200"/>
  <c r="Y200"/>
  <c r="U200"/>
  <c r="T200"/>
  <c r="S200"/>
  <c r="R200"/>
  <c r="M200"/>
  <c r="AQ200" s="1"/>
  <c r="L200"/>
  <c r="AN199"/>
  <c r="AS199" s="1"/>
  <c r="AB199"/>
  <c r="Y199"/>
  <c r="U199"/>
  <c r="T199"/>
  <c r="S199"/>
  <c r="R199"/>
  <c r="M199"/>
  <c r="L199"/>
  <c r="AB198"/>
  <c r="Y198"/>
  <c r="U198"/>
  <c r="T198"/>
  <c r="S198"/>
  <c r="R198"/>
  <c r="L198"/>
  <c r="AN197"/>
  <c r="AS197" s="1"/>
  <c r="AB197"/>
  <c r="Y197"/>
  <c r="U197"/>
  <c r="T197"/>
  <c r="S197"/>
  <c r="R197"/>
  <c r="L197"/>
  <c r="M197" s="1"/>
  <c r="AB196"/>
  <c r="Y196"/>
  <c r="U196"/>
  <c r="T196"/>
  <c r="S196"/>
  <c r="R196"/>
  <c r="L196"/>
  <c r="M196" s="1"/>
  <c r="AN195"/>
  <c r="AB195"/>
  <c r="Y195"/>
  <c r="U195"/>
  <c r="T195"/>
  <c r="S195"/>
  <c r="R195"/>
  <c r="L195"/>
  <c r="M195" s="1"/>
  <c r="AN194"/>
  <c r="AB194"/>
  <c r="Y194"/>
  <c r="U194"/>
  <c r="T194"/>
  <c r="S194"/>
  <c r="R194"/>
  <c r="M194"/>
  <c r="L194"/>
  <c r="AB193"/>
  <c r="Y193"/>
  <c r="U193"/>
  <c r="T193"/>
  <c r="AE193" s="1"/>
  <c r="AF193" s="1"/>
  <c r="AR193" s="1"/>
  <c r="S193"/>
  <c r="R193"/>
  <c r="M193"/>
  <c r="L193"/>
  <c r="AN192"/>
  <c r="AS192" s="1"/>
  <c r="AB192"/>
  <c r="Y192"/>
  <c r="U192"/>
  <c r="T192"/>
  <c r="S192"/>
  <c r="R192"/>
  <c r="L192"/>
  <c r="M192" s="1"/>
  <c r="AB191"/>
  <c r="Y191"/>
  <c r="U191"/>
  <c r="T191"/>
  <c r="S191"/>
  <c r="R191"/>
  <c r="L191"/>
  <c r="AN190"/>
  <c r="AS190" s="1"/>
  <c r="AB190"/>
  <c r="Y190"/>
  <c r="U190"/>
  <c r="T190"/>
  <c r="S190"/>
  <c r="R190"/>
  <c r="M190"/>
  <c r="L190"/>
  <c r="AN189"/>
  <c r="AS189" s="1"/>
  <c r="AB189"/>
  <c r="Y189"/>
  <c r="U189"/>
  <c r="T189"/>
  <c r="S189"/>
  <c r="R189"/>
  <c r="L189"/>
  <c r="AN188"/>
  <c r="AS188" s="1"/>
  <c r="AB188"/>
  <c r="Y188"/>
  <c r="U188"/>
  <c r="T188"/>
  <c r="S188"/>
  <c r="R188"/>
  <c r="L188"/>
  <c r="M188" s="1"/>
  <c r="AB187"/>
  <c r="Y187"/>
  <c r="U187"/>
  <c r="T187"/>
  <c r="S187"/>
  <c r="R187"/>
  <c r="L187"/>
  <c r="M187" s="1"/>
  <c r="AB186"/>
  <c r="Y186"/>
  <c r="U186"/>
  <c r="T186"/>
  <c r="S186"/>
  <c r="R186"/>
  <c r="L186"/>
  <c r="M186" s="1"/>
  <c r="AN185"/>
  <c r="AB185"/>
  <c r="Y185"/>
  <c r="U185"/>
  <c r="T185"/>
  <c r="S185"/>
  <c r="R185"/>
  <c r="L185"/>
  <c r="AB184"/>
  <c r="Y184"/>
  <c r="AE184" s="1"/>
  <c r="AF184" s="1"/>
  <c r="AR184" s="1"/>
  <c r="U184"/>
  <c r="T184"/>
  <c r="S184"/>
  <c r="R184"/>
  <c r="M184"/>
  <c r="L184"/>
  <c r="AN183"/>
  <c r="AS183" s="1"/>
  <c r="AB183"/>
  <c r="Y183"/>
  <c r="U183"/>
  <c r="T183"/>
  <c r="S183"/>
  <c r="R183"/>
  <c r="L183"/>
  <c r="AN182"/>
  <c r="AS182" s="1"/>
  <c r="AB182"/>
  <c r="Y182"/>
  <c r="U182"/>
  <c r="T182"/>
  <c r="S182"/>
  <c r="R182"/>
  <c r="L182"/>
  <c r="AN181"/>
  <c r="AS181" s="1"/>
  <c r="AB181"/>
  <c r="Y181"/>
  <c r="U181"/>
  <c r="T181"/>
  <c r="S181"/>
  <c r="R181"/>
  <c r="L181"/>
  <c r="AB180"/>
  <c r="Y180"/>
  <c r="U180"/>
  <c r="T180"/>
  <c r="S180"/>
  <c r="S201" s="1"/>
  <c r="S179" s="1"/>
  <c r="R180"/>
  <c r="L180"/>
  <c r="M180" s="1"/>
  <c r="AB177"/>
  <c r="Y177"/>
  <c r="U177"/>
  <c r="T177"/>
  <c r="S177"/>
  <c r="R177"/>
  <c r="L177"/>
  <c r="M177" s="1"/>
  <c r="AN176"/>
  <c r="AS176" s="1"/>
  <c r="AB176"/>
  <c r="Y176"/>
  <c r="U176"/>
  <c r="T176"/>
  <c r="S176"/>
  <c r="R176"/>
  <c r="L176"/>
  <c r="AB175"/>
  <c r="Y175"/>
  <c r="U175"/>
  <c r="T175"/>
  <c r="S175"/>
  <c r="R175"/>
  <c r="L175"/>
  <c r="AN174"/>
  <c r="AS174" s="1"/>
  <c r="AB174"/>
  <c r="Y174"/>
  <c r="U174"/>
  <c r="T174"/>
  <c r="S174"/>
  <c r="R174"/>
  <c r="L174"/>
  <c r="M174" s="1"/>
  <c r="AN173"/>
  <c r="AS173" s="1"/>
  <c r="AB173"/>
  <c r="Y173"/>
  <c r="U173"/>
  <c r="T173"/>
  <c r="S173"/>
  <c r="R173"/>
  <c r="L173"/>
  <c r="M173" s="1"/>
  <c r="AB172"/>
  <c r="Y172"/>
  <c r="U172"/>
  <c r="T172"/>
  <c r="S172"/>
  <c r="R172"/>
  <c r="L172"/>
  <c r="M172" s="1"/>
  <c r="AN171"/>
  <c r="AB171"/>
  <c r="Y171"/>
  <c r="U171"/>
  <c r="T171"/>
  <c r="S171"/>
  <c r="R171"/>
  <c r="L171"/>
  <c r="M171" s="1"/>
  <c r="AB170"/>
  <c r="Y170"/>
  <c r="U170"/>
  <c r="T170"/>
  <c r="S170"/>
  <c r="R170"/>
  <c r="AE170" s="1"/>
  <c r="AF170" s="1"/>
  <c r="AR170" s="1"/>
  <c r="L170"/>
  <c r="M170" s="1"/>
  <c r="AB169"/>
  <c r="Y169"/>
  <c r="U169"/>
  <c r="T169"/>
  <c r="S169"/>
  <c r="R169"/>
  <c r="R178" s="1"/>
  <c r="L169"/>
  <c r="M169" s="1"/>
  <c r="AN167"/>
  <c r="AB167"/>
  <c r="Y167"/>
  <c r="U167"/>
  <c r="T167"/>
  <c r="S167"/>
  <c r="R167"/>
  <c r="L167"/>
  <c r="AN166"/>
  <c r="AS166" s="1"/>
  <c r="AB166"/>
  <c r="Y166"/>
  <c r="U166"/>
  <c r="T166"/>
  <c r="S166"/>
  <c r="R166"/>
  <c r="L166"/>
  <c r="M166" s="1"/>
  <c r="AN165"/>
  <c r="AB165"/>
  <c r="Y165"/>
  <c r="U165"/>
  <c r="T165"/>
  <c r="S165"/>
  <c r="R165"/>
  <c r="L165"/>
  <c r="M165" s="1"/>
  <c r="AN164"/>
  <c r="AB164"/>
  <c r="Y164"/>
  <c r="U164"/>
  <c r="T164"/>
  <c r="S164"/>
  <c r="R164"/>
  <c r="L164"/>
  <c r="AB163"/>
  <c r="Y163"/>
  <c r="U163"/>
  <c r="T163"/>
  <c r="S163"/>
  <c r="R163"/>
  <c r="L163"/>
  <c r="M163" s="1"/>
  <c r="AN162"/>
  <c r="AS162" s="1"/>
  <c r="AB162"/>
  <c r="Y162"/>
  <c r="U162"/>
  <c r="T162"/>
  <c r="S162"/>
  <c r="R162"/>
  <c r="L162"/>
  <c r="AB161"/>
  <c r="Y161"/>
  <c r="U161"/>
  <c r="T161"/>
  <c r="S161"/>
  <c r="R161"/>
  <c r="L161"/>
  <c r="M161" s="1"/>
  <c r="AB160"/>
  <c r="Y160"/>
  <c r="AE160" s="1"/>
  <c r="AF160" s="1"/>
  <c r="AR160" s="1"/>
  <c r="U160"/>
  <c r="T160"/>
  <c r="S160"/>
  <c r="R160"/>
  <c r="L160"/>
  <c r="AB159"/>
  <c r="Y159"/>
  <c r="U159"/>
  <c r="T159"/>
  <c r="S159"/>
  <c r="R159"/>
  <c r="L159"/>
  <c r="M159" s="1"/>
  <c r="AN158"/>
  <c r="AS158" s="1"/>
  <c r="AB158"/>
  <c r="Y158"/>
  <c r="U158"/>
  <c r="T158"/>
  <c r="S158"/>
  <c r="R158"/>
  <c r="L158"/>
  <c r="M158" s="1"/>
  <c r="AB157"/>
  <c r="Y157"/>
  <c r="AE157" s="1"/>
  <c r="AF157" s="1"/>
  <c r="AR157" s="1"/>
  <c r="U157"/>
  <c r="T157"/>
  <c r="S157"/>
  <c r="R157"/>
  <c r="L157"/>
  <c r="M157" s="1"/>
  <c r="AB156"/>
  <c r="Y156"/>
  <c r="U156"/>
  <c r="T156"/>
  <c r="S156"/>
  <c r="R156"/>
  <c r="L156"/>
  <c r="AN155"/>
  <c r="AS155" s="1"/>
  <c r="AB155"/>
  <c r="Y155"/>
  <c r="U155"/>
  <c r="T155"/>
  <c r="S155"/>
  <c r="R155"/>
  <c r="L155"/>
  <c r="AN154"/>
  <c r="AS154" s="1"/>
  <c r="AB154"/>
  <c r="Y154"/>
  <c r="U154"/>
  <c r="T154"/>
  <c r="S154"/>
  <c r="R154"/>
  <c r="L154"/>
  <c r="AN153"/>
  <c r="AS153" s="1"/>
  <c r="AB153"/>
  <c r="Y153"/>
  <c r="U153"/>
  <c r="T153"/>
  <c r="S153"/>
  <c r="R153"/>
  <c r="L153"/>
  <c r="M153" s="1"/>
  <c r="AQ153" s="1"/>
  <c r="AN152"/>
  <c r="AS152" s="1"/>
  <c r="AB152"/>
  <c r="Y152"/>
  <c r="U152"/>
  <c r="T152"/>
  <c r="S152"/>
  <c r="R152"/>
  <c r="L152"/>
  <c r="M152" s="1"/>
  <c r="AN151"/>
  <c r="AS151" s="1"/>
  <c r="AB151"/>
  <c r="Y151"/>
  <c r="U151"/>
  <c r="T151"/>
  <c r="S151"/>
  <c r="R151"/>
  <c r="L151"/>
  <c r="M151" s="1"/>
  <c r="AB150"/>
  <c r="Y150"/>
  <c r="U150"/>
  <c r="T150"/>
  <c r="S150"/>
  <c r="R150"/>
  <c r="L150"/>
  <c r="M150" s="1"/>
  <c r="AQ150" s="1"/>
  <c r="AN149"/>
  <c r="AS149" s="1"/>
  <c r="AB149"/>
  <c r="Y149"/>
  <c r="U149"/>
  <c r="T149"/>
  <c r="S149"/>
  <c r="AE149" s="1"/>
  <c r="AF149" s="1"/>
  <c r="AR149" s="1"/>
  <c r="R149"/>
  <c r="L149"/>
  <c r="AN148"/>
  <c r="AS148" s="1"/>
  <c r="AB148"/>
  <c r="Y148"/>
  <c r="U148"/>
  <c r="T148"/>
  <c r="S148"/>
  <c r="R148"/>
  <c r="L148"/>
  <c r="M148" s="1"/>
  <c r="AB147"/>
  <c r="Y147"/>
  <c r="U147"/>
  <c r="T147"/>
  <c r="S147"/>
  <c r="R147"/>
  <c r="L147"/>
  <c r="M147" s="1"/>
  <c r="AN146"/>
  <c r="AS146" s="1"/>
  <c r="AB146"/>
  <c r="Y146"/>
  <c r="U146"/>
  <c r="T146"/>
  <c r="S146"/>
  <c r="R146"/>
  <c r="M146"/>
  <c r="L146"/>
  <c r="AN145"/>
  <c r="AS145" s="1"/>
  <c r="AB145"/>
  <c r="Y145"/>
  <c r="U145"/>
  <c r="T145"/>
  <c r="S145"/>
  <c r="R145"/>
  <c r="L145"/>
  <c r="M145" s="1"/>
  <c r="AN144"/>
  <c r="AS144" s="1"/>
  <c r="AB144"/>
  <c r="Y144"/>
  <c r="U144"/>
  <c r="T144"/>
  <c r="S144"/>
  <c r="R144"/>
  <c r="L144"/>
  <c r="AM141"/>
  <c r="AB141"/>
  <c r="Y141"/>
  <c r="U141"/>
  <c r="T141"/>
  <c r="S141"/>
  <c r="R141"/>
  <c r="L141"/>
  <c r="M141" s="1"/>
  <c r="AM140"/>
  <c r="AM142" s="1"/>
  <c r="AB140"/>
  <c r="AB142" s="1"/>
  <c r="Y140"/>
  <c r="Y142" s="1"/>
  <c r="U140"/>
  <c r="U142" s="1"/>
  <c r="T140"/>
  <c r="T142" s="1"/>
  <c r="S140"/>
  <c r="R140"/>
  <c r="L140"/>
  <c r="M140" s="1"/>
  <c r="M142" s="1"/>
  <c r="AE139"/>
  <c r="AM138"/>
  <c r="AN138" s="1"/>
  <c r="AS138" s="1"/>
  <c r="AB138"/>
  <c r="Y138"/>
  <c r="U138"/>
  <c r="T138"/>
  <c r="S138"/>
  <c r="R138"/>
  <c r="M138"/>
  <c r="L138"/>
  <c r="AQ138" s="1"/>
  <c r="AM137"/>
  <c r="AB137"/>
  <c r="AF137" s="1"/>
  <c r="Y137"/>
  <c r="U137"/>
  <c r="U139" s="1"/>
  <c r="T137"/>
  <c r="T139" s="1"/>
  <c r="S137"/>
  <c r="R137"/>
  <c r="R139" s="1"/>
  <c r="L137"/>
  <c r="M137" s="1"/>
  <c r="AQ137" s="1"/>
  <c r="AB135"/>
  <c r="Y135"/>
  <c r="U135"/>
  <c r="T135"/>
  <c r="S135"/>
  <c r="R135"/>
  <c r="L135"/>
  <c r="AM134"/>
  <c r="AN134" s="1"/>
  <c r="AS134" s="1"/>
  <c r="AB134"/>
  <c r="Y134"/>
  <c r="U134"/>
  <c r="T134"/>
  <c r="S134"/>
  <c r="R134"/>
  <c r="L134"/>
  <c r="M134" s="1"/>
  <c r="AN133"/>
  <c r="AS133" s="1"/>
  <c r="AB133"/>
  <c r="Y133"/>
  <c r="U133"/>
  <c r="T133"/>
  <c r="S133"/>
  <c r="R133"/>
  <c r="L133"/>
  <c r="AB132"/>
  <c r="Y132"/>
  <c r="U132"/>
  <c r="T132"/>
  <c r="S132"/>
  <c r="R132"/>
  <c r="L132"/>
  <c r="M132" s="1"/>
  <c r="AB131"/>
  <c r="Y131"/>
  <c r="U131"/>
  <c r="T131"/>
  <c r="S131"/>
  <c r="R131"/>
  <c r="L131"/>
  <c r="M131" s="1"/>
  <c r="AN130"/>
  <c r="AS130" s="1"/>
  <c r="AB130"/>
  <c r="Y130"/>
  <c r="U130"/>
  <c r="AE130" s="1"/>
  <c r="AF130" s="1"/>
  <c r="AR130" s="1"/>
  <c r="T130"/>
  <c r="S130"/>
  <c r="R130"/>
  <c r="L130"/>
  <c r="AN129"/>
  <c r="AB129"/>
  <c r="Y129"/>
  <c r="U129"/>
  <c r="T129"/>
  <c r="S129"/>
  <c r="R129"/>
  <c r="L129"/>
  <c r="AN128"/>
  <c r="AS128" s="1"/>
  <c r="AB128"/>
  <c r="AE128" s="1"/>
  <c r="AF128" s="1"/>
  <c r="AR128" s="1"/>
  <c r="Y128"/>
  <c r="U128"/>
  <c r="T128"/>
  <c r="S128"/>
  <c r="R128"/>
  <c r="L128"/>
  <c r="M128" s="1"/>
  <c r="AN127"/>
  <c r="AS127" s="1"/>
  <c r="AB127"/>
  <c r="Y127"/>
  <c r="U127"/>
  <c r="T127"/>
  <c r="S127"/>
  <c r="R127"/>
  <c r="L127"/>
  <c r="M127" s="1"/>
  <c r="AN126"/>
  <c r="AS126" s="1"/>
  <c r="AB126"/>
  <c r="Y126"/>
  <c r="U126"/>
  <c r="T126"/>
  <c r="S126"/>
  <c r="R126"/>
  <c r="L126"/>
  <c r="M126" s="1"/>
  <c r="AB125"/>
  <c r="Y125"/>
  <c r="AE125" s="1"/>
  <c r="AF125" s="1"/>
  <c r="AR125" s="1"/>
  <c r="U125"/>
  <c r="T125"/>
  <c r="S125"/>
  <c r="R125"/>
  <c r="L125"/>
  <c r="M125" s="1"/>
  <c r="AQ125" s="1"/>
  <c r="AB124"/>
  <c r="Y124"/>
  <c r="U124"/>
  <c r="T124"/>
  <c r="S124"/>
  <c r="R124"/>
  <c r="L124"/>
  <c r="M124" s="1"/>
  <c r="AQ124" s="1"/>
  <c r="AM123"/>
  <c r="AB123"/>
  <c r="Y123"/>
  <c r="U123"/>
  <c r="T123"/>
  <c r="S123"/>
  <c r="R123"/>
  <c r="L123"/>
  <c r="M123" s="1"/>
  <c r="AB122"/>
  <c r="Y122"/>
  <c r="U122"/>
  <c r="T122"/>
  <c r="S122"/>
  <c r="R122"/>
  <c r="L122"/>
  <c r="M122" s="1"/>
  <c r="AN121"/>
  <c r="AS121" s="1"/>
  <c r="AB121"/>
  <c r="Y121"/>
  <c r="U121"/>
  <c r="T121"/>
  <c r="S121"/>
  <c r="R121"/>
  <c r="M121"/>
  <c r="L121"/>
  <c r="AN120"/>
  <c r="AS120" s="1"/>
  <c r="AB120"/>
  <c r="Y120"/>
  <c r="U120"/>
  <c r="T120"/>
  <c r="S120"/>
  <c r="R120"/>
  <c r="M120"/>
  <c r="L120"/>
  <c r="AN119"/>
  <c r="AS119" s="1"/>
  <c r="AB119"/>
  <c r="Y119"/>
  <c r="U119"/>
  <c r="T119"/>
  <c r="S119"/>
  <c r="R119"/>
  <c r="L119"/>
  <c r="M119" s="1"/>
  <c r="AN118"/>
  <c r="AS118" s="1"/>
  <c r="AB118"/>
  <c r="AE118" s="1"/>
  <c r="AF118" s="1"/>
  <c r="AR118" s="1"/>
  <c r="Y118"/>
  <c r="U118"/>
  <c r="T118"/>
  <c r="S118"/>
  <c r="R118"/>
  <c r="L118"/>
  <c r="AB117"/>
  <c r="Y117"/>
  <c r="U117"/>
  <c r="T117"/>
  <c r="S117"/>
  <c r="R117"/>
  <c r="L117"/>
  <c r="M117" s="1"/>
  <c r="AN116"/>
  <c r="AS116"/>
  <c r="AB116"/>
  <c r="Y116"/>
  <c r="U116"/>
  <c r="T116"/>
  <c r="S116"/>
  <c r="R116"/>
  <c r="L116"/>
  <c r="AN115"/>
  <c r="AB115"/>
  <c r="Y115"/>
  <c r="U115"/>
  <c r="T115"/>
  <c r="S115"/>
  <c r="R115"/>
  <c r="L115"/>
  <c r="M115" s="1"/>
  <c r="AQ115" s="1"/>
  <c r="AN114"/>
  <c r="AB114"/>
  <c r="Y114"/>
  <c r="U114"/>
  <c r="T114"/>
  <c r="S114"/>
  <c r="R114"/>
  <c r="L114"/>
  <c r="AM112"/>
  <c r="AB112"/>
  <c r="Y112"/>
  <c r="U112"/>
  <c r="T112"/>
  <c r="S112"/>
  <c r="R112"/>
  <c r="L112"/>
  <c r="M112" s="1"/>
  <c r="AM111"/>
  <c r="AN111" s="1"/>
  <c r="AB111"/>
  <c r="Y111"/>
  <c r="U111"/>
  <c r="T111"/>
  <c r="S111"/>
  <c r="R111"/>
  <c r="L111"/>
  <c r="AN110"/>
  <c r="AS110" s="1"/>
  <c r="AB110"/>
  <c r="Y110"/>
  <c r="U110"/>
  <c r="T110"/>
  <c r="S110"/>
  <c r="R110"/>
  <c r="L110"/>
  <c r="AN109"/>
  <c r="AS109" s="1"/>
  <c r="AB109"/>
  <c r="Y109"/>
  <c r="U109"/>
  <c r="T109"/>
  <c r="S109"/>
  <c r="R109"/>
  <c r="M109"/>
  <c r="L109"/>
  <c r="AB108"/>
  <c r="Y108"/>
  <c r="U108"/>
  <c r="T108"/>
  <c r="S108"/>
  <c r="R108"/>
  <c r="L108"/>
  <c r="AB107"/>
  <c r="Y107"/>
  <c r="U107"/>
  <c r="T107"/>
  <c r="S107"/>
  <c r="R107"/>
  <c r="L107"/>
  <c r="M107" s="1"/>
  <c r="AB106"/>
  <c r="Y106"/>
  <c r="U106"/>
  <c r="T106"/>
  <c r="S106"/>
  <c r="R106"/>
  <c r="L106"/>
  <c r="M106" s="1"/>
  <c r="AN105"/>
  <c r="AB105"/>
  <c r="Y105"/>
  <c r="U105"/>
  <c r="T105"/>
  <c r="S105"/>
  <c r="R105"/>
  <c r="L105"/>
  <c r="AN104"/>
  <c r="AS104" s="1"/>
  <c r="AB104"/>
  <c r="Y104"/>
  <c r="U104"/>
  <c r="T104"/>
  <c r="S104"/>
  <c r="R104"/>
  <c r="L104"/>
  <c r="AN103"/>
  <c r="AS103" s="1"/>
  <c r="AB103"/>
  <c r="Y103"/>
  <c r="U103"/>
  <c r="T103"/>
  <c r="S103"/>
  <c r="R103"/>
  <c r="L103"/>
  <c r="M103" s="1"/>
  <c r="AN102"/>
  <c r="AS102" s="1"/>
  <c r="AB102"/>
  <c r="Y102"/>
  <c r="U102"/>
  <c r="U113" s="1"/>
  <c r="T102"/>
  <c r="T113" s="1"/>
  <c r="S102"/>
  <c r="R102"/>
  <c r="L102"/>
  <c r="AM100"/>
  <c r="AN100" s="1"/>
  <c r="AB100"/>
  <c r="Y100"/>
  <c r="U100"/>
  <c r="T100"/>
  <c r="S100"/>
  <c r="R100"/>
  <c r="L100"/>
  <c r="M100" s="1"/>
  <c r="AM99"/>
  <c r="AN99" s="1"/>
  <c r="AB99"/>
  <c r="Y99"/>
  <c r="U99"/>
  <c r="T99"/>
  <c r="S99"/>
  <c r="R99"/>
  <c r="L99"/>
  <c r="AN98"/>
  <c r="AS98" s="1"/>
  <c r="AB98"/>
  <c r="Y98"/>
  <c r="U98"/>
  <c r="T98"/>
  <c r="S98"/>
  <c r="R98"/>
  <c r="M98"/>
  <c r="L98"/>
  <c r="AN97"/>
  <c r="AS97" s="1"/>
  <c r="AB97"/>
  <c r="Y97"/>
  <c r="U97"/>
  <c r="T97"/>
  <c r="S97"/>
  <c r="R97"/>
  <c r="L97"/>
  <c r="M97" s="1"/>
  <c r="AQ97" s="1"/>
  <c r="AN96"/>
  <c r="AB96"/>
  <c r="Y96"/>
  <c r="U96"/>
  <c r="T96"/>
  <c r="S96"/>
  <c r="R96"/>
  <c r="L96"/>
  <c r="M96" s="1"/>
  <c r="AQ96" s="1"/>
  <c r="AB95"/>
  <c r="Y95"/>
  <c r="Y101" s="1"/>
  <c r="U95"/>
  <c r="T95"/>
  <c r="S95"/>
  <c r="R95"/>
  <c r="L95"/>
  <c r="M95" s="1"/>
  <c r="AB94"/>
  <c r="AB101" s="1"/>
  <c r="Y94"/>
  <c r="U94"/>
  <c r="T94"/>
  <c r="S94"/>
  <c r="R94"/>
  <c r="L94"/>
  <c r="M94" s="1"/>
  <c r="AB90"/>
  <c r="Y90"/>
  <c r="U90"/>
  <c r="T90"/>
  <c r="S90"/>
  <c r="R90"/>
  <c r="L90"/>
  <c r="M90" s="1"/>
  <c r="AN89"/>
  <c r="AS89" s="1"/>
  <c r="AB89"/>
  <c r="Y89"/>
  <c r="U89"/>
  <c r="T89"/>
  <c r="S89"/>
  <c r="R89"/>
  <c r="L89"/>
  <c r="AN88"/>
  <c r="AS88" s="1"/>
  <c r="AB88"/>
  <c r="Y88"/>
  <c r="U88"/>
  <c r="T88"/>
  <c r="S88"/>
  <c r="R88"/>
  <c r="L88"/>
  <c r="M88" s="1"/>
  <c r="AN87"/>
  <c r="AS87" s="1"/>
  <c r="AB87"/>
  <c r="Y87"/>
  <c r="U87"/>
  <c r="T87"/>
  <c r="S87"/>
  <c r="R87"/>
  <c r="L87"/>
  <c r="M87" s="1"/>
  <c r="AB86"/>
  <c r="Y86"/>
  <c r="U86"/>
  <c r="T86"/>
  <c r="S86"/>
  <c r="R86"/>
  <c r="L86"/>
  <c r="M86" s="1"/>
  <c r="AB85"/>
  <c r="Y85"/>
  <c r="AE85" s="1"/>
  <c r="AF85" s="1"/>
  <c r="AR85" s="1"/>
  <c r="U85"/>
  <c r="T85"/>
  <c r="S85"/>
  <c r="R85"/>
  <c r="L85"/>
  <c r="M85" s="1"/>
  <c r="AN84"/>
  <c r="AS84" s="1"/>
  <c r="AB84"/>
  <c r="Y84"/>
  <c r="U84"/>
  <c r="T84"/>
  <c r="S84"/>
  <c r="R84"/>
  <c r="L84"/>
  <c r="AN83"/>
  <c r="AS83" s="1"/>
  <c r="AB83"/>
  <c r="Y83"/>
  <c r="U83"/>
  <c r="T83"/>
  <c r="S83"/>
  <c r="R83"/>
  <c r="L83"/>
  <c r="AN82"/>
  <c r="AS82" s="1"/>
  <c r="AB82"/>
  <c r="Y82"/>
  <c r="U82"/>
  <c r="T82"/>
  <c r="S82"/>
  <c r="R82"/>
  <c r="L82"/>
  <c r="M82" s="1"/>
  <c r="AN81"/>
  <c r="AS81" s="1"/>
  <c r="AB81"/>
  <c r="AB91" s="1"/>
  <c r="AB80" s="1"/>
  <c r="Y81"/>
  <c r="Y91" s="1"/>
  <c r="Y80" s="1"/>
  <c r="U81"/>
  <c r="U91" s="1"/>
  <c r="U80" s="1"/>
  <c r="T81"/>
  <c r="S81"/>
  <c r="R81"/>
  <c r="R91" s="1"/>
  <c r="R80" s="1"/>
  <c r="L81"/>
  <c r="AN78"/>
  <c r="AS78" s="1"/>
  <c r="AB78"/>
  <c r="Y78"/>
  <c r="U78"/>
  <c r="T78"/>
  <c r="S78"/>
  <c r="R78"/>
  <c r="L78"/>
  <c r="M78" s="1"/>
  <c r="AN77"/>
  <c r="AS77" s="1"/>
  <c r="AB77"/>
  <c r="Y77"/>
  <c r="U77"/>
  <c r="T77"/>
  <c r="S77"/>
  <c r="R77"/>
  <c r="L77"/>
  <c r="M77" s="1"/>
  <c r="AB76"/>
  <c r="Y76"/>
  <c r="U76"/>
  <c r="T76"/>
  <c r="S76"/>
  <c r="R76"/>
  <c r="L76"/>
  <c r="M76" s="1"/>
  <c r="AN75"/>
  <c r="AB75"/>
  <c r="Y75"/>
  <c r="U75"/>
  <c r="T75"/>
  <c r="S75"/>
  <c r="R75"/>
  <c r="L75"/>
  <c r="M75" s="1"/>
  <c r="AB74"/>
  <c r="Y74"/>
  <c r="U74"/>
  <c r="T74"/>
  <c r="S74"/>
  <c r="R74"/>
  <c r="L74"/>
  <c r="M74" s="1"/>
  <c r="AB73"/>
  <c r="Y73"/>
  <c r="U73"/>
  <c r="T73"/>
  <c r="S73"/>
  <c r="R73"/>
  <c r="L73"/>
  <c r="M73" s="1"/>
  <c r="AN72"/>
  <c r="AS72" s="1"/>
  <c r="AB72"/>
  <c r="Y72"/>
  <c r="U72"/>
  <c r="T72"/>
  <c r="S72"/>
  <c r="R72"/>
  <c r="L72"/>
  <c r="AN71"/>
  <c r="AS71" s="1"/>
  <c r="AB71"/>
  <c r="Y71"/>
  <c r="U71"/>
  <c r="AE71" s="1"/>
  <c r="AF71" s="1"/>
  <c r="AR71" s="1"/>
  <c r="T71"/>
  <c r="S71"/>
  <c r="R71"/>
  <c r="L71"/>
  <c r="AN70"/>
  <c r="AS70" s="1"/>
  <c r="AB70"/>
  <c r="Y70"/>
  <c r="U70"/>
  <c r="T70"/>
  <c r="S70"/>
  <c r="R70"/>
  <c r="M70"/>
  <c r="L70"/>
  <c r="AQ70" s="1"/>
  <c r="AN69"/>
  <c r="AS69" s="1"/>
  <c r="AB69"/>
  <c r="AE69" s="1"/>
  <c r="AF69" s="1"/>
  <c r="AR69" s="1"/>
  <c r="Y69"/>
  <c r="U69"/>
  <c r="T69"/>
  <c r="S69"/>
  <c r="R69"/>
  <c r="L69"/>
  <c r="M69" s="1"/>
  <c r="AB68"/>
  <c r="Y68"/>
  <c r="U68"/>
  <c r="T68"/>
  <c r="S68"/>
  <c r="R68"/>
  <c r="L68"/>
  <c r="M68" s="1"/>
  <c r="AB67"/>
  <c r="Y67"/>
  <c r="U67"/>
  <c r="T67"/>
  <c r="S67"/>
  <c r="R67"/>
  <c r="L67"/>
  <c r="M67" s="1"/>
  <c r="AN66"/>
  <c r="AS66" s="1"/>
  <c r="AB66"/>
  <c r="Y66"/>
  <c r="U66"/>
  <c r="T66"/>
  <c r="S66"/>
  <c r="R66"/>
  <c r="L66"/>
  <c r="M66" s="1"/>
  <c r="AN65"/>
  <c r="AS65" s="1"/>
  <c r="AB65"/>
  <c r="Y65"/>
  <c r="U65"/>
  <c r="T65"/>
  <c r="S65"/>
  <c r="R65"/>
  <c r="L65"/>
  <c r="AB64"/>
  <c r="Y64"/>
  <c r="U64"/>
  <c r="T64"/>
  <c r="S64"/>
  <c r="R64"/>
  <c r="L64"/>
  <c r="M64" s="1"/>
  <c r="AN63"/>
  <c r="AS63" s="1"/>
  <c r="AB63"/>
  <c r="Y63"/>
  <c r="U63"/>
  <c r="T63"/>
  <c r="S63"/>
  <c r="R63"/>
  <c r="L63"/>
  <c r="M63" s="1"/>
  <c r="AB62"/>
  <c r="Y62"/>
  <c r="U62"/>
  <c r="T62"/>
  <c r="S62"/>
  <c r="R62"/>
  <c r="L62"/>
  <c r="M62" s="1"/>
  <c r="AB61"/>
  <c r="Y61"/>
  <c r="U61"/>
  <c r="T61"/>
  <c r="S61"/>
  <c r="R61"/>
  <c r="L61"/>
  <c r="M61" s="1"/>
  <c r="AN60"/>
  <c r="AB60"/>
  <c r="Y60"/>
  <c r="U60"/>
  <c r="T60"/>
  <c r="S60"/>
  <c r="R60"/>
  <c r="L60"/>
  <c r="AN58"/>
  <c r="AS58" s="1"/>
  <c r="AB58"/>
  <c r="Y58"/>
  <c r="U58"/>
  <c r="T58"/>
  <c r="S58"/>
  <c r="R58"/>
  <c r="L58"/>
  <c r="AN57"/>
  <c r="AS57" s="1"/>
  <c r="AB57"/>
  <c r="Y57"/>
  <c r="U57"/>
  <c r="T57"/>
  <c r="S57"/>
  <c r="R57"/>
  <c r="L57"/>
  <c r="M57" s="1"/>
  <c r="AQ57" s="1"/>
  <c r="AN56"/>
  <c r="AS56" s="1"/>
  <c r="AB56"/>
  <c r="Y56"/>
  <c r="U56"/>
  <c r="T56"/>
  <c r="S56"/>
  <c r="R56"/>
  <c r="L56"/>
  <c r="M56" s="1"/>
  <c r="AB55"/>
  <c r="Y55"/>
  <c r="U55"/>
  <c r="T55"/>
  <c r="S55"/>
  <c r="R55"/>
  <c r="L55"/>
  <c r="M55" s="1"/>
  <c r="AB54"/>
  <c r="Y54"/>
  <c r="U54"/>
  <c r="T54"/>
  <c r="S54"/>
  <c r="R54"/>
  <c r="L54"/>
  <c r="AN53"/>
  <c r="AS53" s="1"/>
  <c r="AB53"/>
  <c r="Y53"/>
  <c r="U53"/>
  <c r="T53"/>
  <c r="S53"/>
  <c r="AE53" s="1"/>
  <c r="AF53" s="1"/>
  <c r="AR53" s="1"/>
  <c r="R53"/>
  <c r="M53"/>
  <c r="L53"/>
  <c r="AN52"/>
  <c r="AS52" s="1"/>
  <c r="AB52"/>
  <c r="Y52"/>
  <c r="U52"/>
  <c r="T52"/>
  <c r="S52"/>
  <c r="R52"/>
  <c r="L52"/>
  <c r="M52" s="1"/>
  <c r="AB51"/>
  <c r="AE51" s="1"/>
  <c r="AF51" s="1"/>
  <c r="AR51" s="1"/>
  <c r="Y51"/>
  <c r="U51"/>
  <c r="T51"/>
  <c r="S51"/>
  <c r="R51"/>
  <c r="L51"/>
  <c r="AN50"/>
  <c r="AS50" s="1"/>
  <c r="AB50"/>
  <c r="Y50"/>
  <c r="U50"/>
  <c r="T50"/>
  <c r="S50"/>
  <c r="R50"/>
  <c r="L50"/>
  <c r="M50" s="1"/>
  <c r="AB49"/>
  <c r="Y49"/>
  <c r="U49"/>
  <c r="T49"/>
  <c r="S49"/>
  <c r="R49"/>
  <c r="L49"/>
  <c r="M49" s="1"/>
  <c r="AB48"/>
  <c r="Y48"/>
  <c r="U48"/>
  <c r="T48"/>
  <c r="S48"/>
  <c r="R48"/>
  <c r="L48"/>
  <c r="M48" s="1"/>
  <c r="AN47"/>
  <c r="AS47" s="1"/>
  <c r="AB47"/>
  <c r="Y47"/>
  <c r="U47"/>
  <c r="T47"/>
  <c r="S47"/>
  <c r="R47"/>
  <c r="L47"/>
  <c r="M47" s="1"/>
  <c r="AN46"/>
  <c r="AS46" s="1"/>
  <c r="AB46"/>
  <c r="Y46"/>
  <c r="U46"/>
  <c r="T46"/>
  <c r="S46"/>
  <c r="R46"/>
  <c r="AE46" s="1"/>
  <c r="AF46" s="1"/>
  <c r="AR46" s="1"/>
  <c r="L46"/>
  <c r="AN45"/>
  <c r="AS45" s="1"/>
  <c r="AB45"/>
  <c r="Y45"/>
  <c r="U45"/>
  <c r="T45"/>
  <c r="S45"/>
  <c r="R45"/>
  <c r="L45"/>
  <c r="AN44"/>
  <c r="AS44" s="1"/>
  <c r="AB44"/>
  <c r="Y44"/>
  <c r="U44"/>
  <c r="T44"/>
  <c r="S44"/>
  <c r="R44"/>
  <c r="L44"/>
  <c r="M44" s="1"/>
  <c r="AB43"/>
  <c r="Y43"/>
  <c r="U43"/>
  <c r="T43"/>
  <c r="S43"/>
  <c r="R43"/>
  <c r="L43"/>
  <c r="M43" s="1"/>
  <c r="AB42"/>
  <c r="Y42"/>
  <c r="U42"/>
  <c r="T42"/>
  <c r="S42"/>
  <c r="R42"/>
  <c r="L42"/>
  <c r="AN41"/>
  <c r="AS41" s="1"/>
  <c r="AB41"/>
  <c r="Y41"/>
  <c r="U41"/>
  <c r="AE41" s="1"/>
  <c r="T41"/>
  <c r="S41"/>
  <c r="R41"/>
  <c r="L41"/>
  <c r="AN38"/>
  <c r="AS38" s="1"/>
  <c r="AB38"/>
  <c r="AE38" s="1"/>
  <c r="AF38" s="1"/>
  <c r="AR38" s="1"/>
  <c r="Y38"/>
  <c r="U38"/>
  <c r="T38"/>
  <c r="S38"/>
  <c r="R38"/>
  <c r="L38"/>
  <c r="M38" s="1"/>
  <c r="AB37"/>
  <c r="Y37"/>
  <c r="U37"/>
  <c r="T37"/>
  <c r="S37"/>
  <c r="R37"/>
  <c r="L37"/>
  <c r="M37" s="1"/>
  <c r="AB36"/>
  <c r="Y36"/>
  <c r="U36"/>
  <c r="T36"/>
  <c r="S36"/>
  <c r="R36"/>
  <c r="L36"/>
  <c r="M36" s="1"/>
  <c r="AN35"/>
  <c r="AB35"/>
  <c r="Y35"/>
  <c r="U35"/>
  <c r="T35"/>
  <c r="S35"/>
  <c r="R35"/>
  <c r="L35"/>
  <c r="M35" s="1"/>
  <c r="AN34"/>
  <c r="AS34" s="1"/>
  <c r="AB34"/>
  <c r="Y34"/>
  <c r="U34"/>
  <c r="T34"/>
  <c r="S34"/>
  <c r="R34"/>
  <c r="M34"/>
  <c r="L34"/>
  <c r="AN33"/>
  <c r="AS33" s="1"/>
  <c r="AB33"/>
  <c r="AB39" s="1"/>
  <c r="AB32" s="1"/>
  <c r="Y33"/>
  <c r="Y39" s="1"/>
  <c r="Y32" s="1"/>
  <c r="U33"/>
  <c r="T33"/>
  <c r="S33"/>
  <c r="R33"/>
  <c r="L33"/>
  <c r="AN29"/>
  <c r="AS29" s="1"/>
  <c r="AB29"/>
  <c r="AE29" s="1"/>
  <c r="AF29" s="1"/>
  <c r="AR29" s="1"/>
  <c r="Y29"/>
  <c r="U29"/>
  <c r="T29"/>
  <c r="S29"/>
  <c r="R29"/>
  <c r="L29"/>
  <c r="M29" s="1"/>
  <c r="AN28"/>
  <c r="AS28" s="1"/>
  <c r="AB28"/>
  <c r="Y28"/>
  <c r="U28"/>
  <c r="T28"/>
  <c r="S28"/>
  <c r="R28"/>
  <c r="L28"/>
  <c r="M28" s="1"/>
  <c r="AN27"/>
  <c r="AS27" s="1"/>
  <c r="AB27"/>
  <c r="Y27"/>
  <c r="U27"/>
  <c r="T27"/>
  <c r="S27"/>
  <c r="R27"/>
  <c r="L27"/>
  <c r="M27" s="1"/>
  <c r="AM30"/>
  <c r="AB26"/>
  <c r="Y26"/>
  <c r="U26"/>
  <c r="T26"/>
  <c r="T30" s="1"/>
  <c r="S26"/>
  <c r="R26"/>
  <c r="L26"/>
  <c r="AN24"/>
  <c r="AS24" s="1"/>
  <c r="AB24"/>
  <c r="Y24"/>
  <c r="U24"/>
  <c r="T24"/>
  <c r="S24"/>
  <c r="R24"/>
  <c r="L24"/>
  <c r="AN23"/>
  <c r="AS23" s="1"/>
  <c r="AB23"/>
  <c r="Y23"/>
  <c r="U23"/>
  <c r="T23"/>
  <c r="S23"/>
  <c r="R23"/>
  <c r="L23"/>
  <c r="AN22"/>
  <c r="AS22" s="1"/>
  <c r="AB22"/>
  <c r="Y22"/>
  <c r="U22"/>
  <c r="T22"/>
  <c r="S22"/>
  <c r="R22"/>
  <c r="L22"/>
  <c r="M22" s="1"/>
  <c r="AB21"/>
  <c r="Y21"/>
  <c r="U21"/>
  <c r="T21"/>
  <c r="S21"/>
  <c r="R21"/>
  <c r="L21"/>
  <c r="M21" s="1"/>
  <c r="AB20"/>
  <c r="Y20"/>
  <c r="U20"/>
  <c r="T20"/>
  <c r="S20"/>
  <c r="R20"/>
  <c r="L20"/>
  <c r="M20" s="1"/>
  <c r="AB19"/>
  <c r="Y19"/>
  <c r="U19"/>
  <c r="T19"/>
  <c r="S19"/>
  <c r="R19"/>
  <c r="L19"/>
  <c r="M19" s="1"/>
  <c r="AM18"/>
  <c r="AN18" s="1"/>
  <c r="AB18"/>
  <c r="AB25" s="1"/>
  <c r="Y18"/>
  <c r="Y25" s="1"/>
  <c r="U18"/>
  <c r="T18"/>
  <c r="S18"/>
  <c r="R18"/>
  <c r="L18"/>
  <c r="AM17"/>
  <c r="AN16"/>
  <c r="AN17" s="1"/>
  <c r="AB16"/>
  <c r="AB17" s="1"/>
  <c r="Y16"/>
  <c r="Y17" s="1"/>
  <c r="U16"/>
  <c r="U17" s="1"/>
  <c r="T16"/>
  <c r="T17" s="1"/>
  <c r="S16"/>
  <c r="S17" s="1"/>
  <c r="R16"/>
  <c r="R17" s="1"/>
  <c r="L16"/>
  <c r="L17" s="1"/>
  <c r="AB14"/>
  <c r="Y14"/>
  <c r="U14"/>
  <c r="T14"/>
  <c r="S14"/>
  <c r="R14"/>
  <c r="L14"/>
  <c r="M14" s="1"/>
  <c r="AN13"/>
  <c r="AB13"/>
  <c r="Y13"/>
  <c r="U13"/>
  <c r="T13"/>
  <c r="S13"/>
  <c r="R13"/>
  <c r="L13"/>
  <c r="M13" s="1"/>
  <c r="AN12"/>
  <c r="AS12" s="1"/>
  <c r="AB12"/>
  <c r="Y12"/>
  <c r="U12"/>
  <c r="T12"/>
  <c r="S12"/>
  <c r="R12"/>
  <c r="M12"/>
  <c r="L12"/>
  <c r="AN11"/>
  <c r="AS11" s="1"/>
  <c r="AB11"/>
  <c r="Y11"/>
  <c r="U11"/>
  <c r="T11"/>
  <c r="S11"/>
  <c r="R11"/>
  <c r="L11"/>
  <c r="AN10"/>
  <c r="AS10" s="1"/>
  <c r="AB10"/>
  <c r="Y10"/>
  <c r="U10"/>
  <c r="T10"/>
  <c r="S10"/>
  <c r="R10"/>
  <c r="L10"/>
  <c r="M10" s="1"/>
  <c r="AN9"/>
  <c r="AS9" s="1"/>
  <c r="AB9"/>
  <c r="Y9"/>
  <c r="U9"/>
  <c r="T9"/>
  <c r="S9"/>
  <c r="R9"/>
  <c r="L9"/>
  <c r="AB8"/>
  <c r="Y8"/>
  <c r="U8"/>
  <c r="T8"/>
  <c r="S8"/>
  <c r="R8"/>
  <c r="L8"/>
  <c r="M8" s="1"/>
  <c r="AM15"/>
  <c r="AB7"/>
  <c r="Y7"/>
  <c r="U7"/>
  <c r="T7"/>
  <c r="S7"/>
  <c r="R7"/>
  <c r="L7"/>
  <c r="M7" s="1"/>
  <c r="AN241" i="21"/>
  <c r="AS241" s="1"/>
  <c r="AB241"/>
  <c r="Y241"/>
  <c r="U241"/>
  <c r="T241"/>
  <c r="S241"/>
  <c r="R241"/>
  <c r="L241"/>
  <c r="M241" s="1"/>
  <c r="AB240"/>
  <c r="AE240" s="1"/>
  <c r="AF240" s="1"/>
  <c r="AR240" s="1"/>
  <c r="Y240"/>
  <c r="U240"/>
  <c r="T240"/>
  <c r="S240"/>
  <c r="R240"/>
  <c r="L240"/>
  <c r="M240" s="1"/>
  <c r="AB239"/>
  <c r="Y239"/>
  <c r="U239"/>
  <c r="T239"/>
  <c r="S239"/>
  <c r="R239"/>
  <c r="L239"/>
  <c r="M239" s="1"/>
  <c r="AN238"/>
  <c r="AB238"/>
  <c r="Y238"/>
  <c r="U238"/>
  <c r="U242" s="1"/>
  <c r="T238"/>
  <c r="S238"/>
  <c r="R238"/>
  <c r="M238"/>
  <c r="L238"/>
  <c r="AB237"/>
  <c r="Y237"/>
  <c r="U237"/>
  <c r="T237"/>
  <c r="S237"/>
  <c r="R237"/>
  <c r="L237"/>
  <c r="M237" s="1"/>
  <c r="AM236"/>
  <c r="AN235"/>
  <c r="AS235" s="1"/>
  <c r="AB235"/>
  <c r="Y235"/>
  <c r="U235"/>
  <c r="T235"/>
  <c r="AE235" s="1"/>
  <c r="AF235" s="1"/>
  <c r="AR235" s="1"/>
  <c r="S235"/>
  <c r="R235"/>
  <c r="L235"/>
  <c r="AN234"/>
  <c r="AS234" s="1"/>
  <c r="AB234"/>
  <c r="AE234" s="1"/>
  <c r="AF234" s="1"/>
  <c r="AR234" s="1"/>
  <c r="Y234"/>
  <c r="U234"/>
  <c r="T234"/>
  <c r="S234"/>
  <c r="R234"/>
  <c r="L234"/>
  <c r="M234" s="1"/>
  <c r="AB233"/>
  <c r="Y233"/>
  <c r="Y236" s="1"/>
  <c r="U233"/>
  <c r="U236" s="1"/>
  <c r="T233"/>
  <c r="S233"/>
  <c r="S236" s="1"/>
  <c r="R233"/>
  <c r="L233"/>
  <c r="M233" s="1"/>
  <c r="AM231"/>
  <c r="AN231" s="1"/>
  <c r="AB231"/>
  <c r="Y231"/>
  <c r="U231"/>
  <c r="T231"/>
  <c r="S231"/>
  <c r="R231"/>
  <c r="L231"/>
  <c r="AN230"/>
  <c r="AS230" s="1"/>
  <c r="AB230"/>
  <c r="Y230"/>
  <c r="U230"/>
  <c r="T230"/>
  <c r="S230"/>
  <c r="R230"/>
  <c r="L230"/>
  <c r="M230" s="1"/>
  <c r="AN229"/>
  <c r="AS229" s="1"/>
  <c r="AB229"/>
  <c r="Y229"/>
  <c r="U229"/>
  <c r="T229"/>
  <c r="S229"/>
  <c r="R229"/>
  <c r="L229"/>
  <c r="M229" s="1"/>
  <c r="AB228"/>
  <c r="Y228"/>
  <c r="U228"/>
  <c r="T228"/>
  <c r="S228"/>
  <c r="R228"/>
  <c r="L228"/>
  <c r="M228" s="1"/>
  <c r="AB227"/>
  <c r="Y227"/>
  <c r="U227"/>
  <c r="T227"/>
  <c r="S227"/>
  <c r="R227"/>
  <c r="L227"/>
  <c r="AB226"/>
  <c r="Y226"/>
  <c r="U226"/>
  <c r="T226"/>
  <c r="S226"/>
  <c r="R226"/>
  <c r="L226"/>
  <c r="M226" s="1"/>
  <c r="AB225"/>
  <c r="Y225"/>
  <c r="Y232" s="1"/>
  <c r="U225"/>
  <c r="T225"/>
  <c r="S225"/>
  <c r="R225"/>
  <c r="L225"/>
  <c r="M225" s="1"/>
  <c r="AB221"/>
  <c r="Y221"/>
  <c r="U221"/>
  <c r="T221"/>
  <c r="S221"/>
  <c r="R221"/>
  <c r="L221"/>
  <c r="M221" s="1"/>
  <c r="AN220"/>
  <c r="AB220"/>
  <c r="Y220"/>
  <c r="U220"/>
  <c r="T220"/>
  <c r="S220"/>
  <c r="R220"/>
  <c r="L220"/>
  <c r="AN219"/>
  <c r="AS219" s="1"/>
  <c r="AB219"/>
  <c r="Y219"/>
  <c r="U219"/>
  <c r="T219"/>
  <c r="S219"/>
  <c r="R219"/>
  <c r="L219"/>
  <c r="M219" s="1"/>
  <c r="AB218"/>
  <c r="AE218" s="1"/>
  <c r="AF218" s="1"/>
  <c r="AR218" s="1"/>
  <c r="Y218"/>
  <c r="U218"/>
  <c r="T218"/>
  <c r="S218"/>
  <c r="R218"/>
  <c r="L218"/>
  <c r="M218" s="1"/>
  <c r="AN217"/>
  <c r="AB217"/>
  <c r="Y217"/>
  <c r="U217"/>
  <c r="T217"/>
  <c r="S217"/>
  <c r="R217"/>
  <c r="L217"/>
  <c r="M217" s="1"/>
  <c r="AB216"/>
  <c r="Y216"/>
  <c r="U216"/>
  <c r="T216"/>
  <c r="S216"/>
  <c r="R216"/>
  <c r="L216"/>
  <c r="AN215"/>
  <c r="AB215"/>
  <c r="Y215"/>
  <c r="U215"/>
  <c r="T215"/>
  <c r="S215"/>
  <c r="R215"/>
  <c r="L215"/>
  <c r="M215" s="1"/>
  <c r="AB214"/>
  <c r="Y214"/>
  <c r="U214"/>
  <c r="T214"/>
  <c r="S214"/>
  <c r="R214"/>
  <c r="L214"/>
  <c r="M214" s="1"/>
  <c r="AN213"/>
  <c r="AB213"/>
  <c r="Y213"/>
  <c r="U213"/>
  <c r="T213"/>
  <c r="S213"/>
  <c r="R213"/>
  <c r="L213"/>
  <c r="AB212"/>
  <c r="Y212"/>
  <c r="U212"/>
  <c r="T212"/>
  <c r="S212"/>
  <c r="R212"/>
  <c r="L212"/>
  <c r="M212" s="1"/>
  <c r="AN211"/>
  <c r="AB211"/>
  <c r="Y211"/>
  <c r="U211"/>
  <c r="AE211" s="1"/>
  <c r="AF211" s="1"/>
  <c r="AR211" s="1"/>
  <c r="T211"/>
  <c r="S211"/>
  <c r="R211"/>
  <c r="L211"/>
  <c r="AN210"/>
  <c r="AS210" s="1"/>
  <c r="AB210"/>
  <c r="Y210"/>
  <c r="U210"/>
  <c r="T210"/>
  <c r="S210"/>
  <c r="R210"/>
  <c r="L210"/>
  <c r="AN209"/>
  <c r="AS209" s="1"/>
  <c r="AB209"/>
  <c r="Y209"/>
  <c r="U209"/>
  <c r="T209"/>
  <c r="S209"/>
  <c r="R209"/>
  <c r="L209"/>
  <c r="M209" s="1"/>
  <c r="AN208"/>
  <c r="AS208" s="1"/>
  <c r="AB208"/>
  <c r="Y208"/>
  <c r="U208"/>
  <c r="T208"/>
  <c r="S208"/>
  <c r="R208"/>
  <c r="L208"/>
  <c r="M208" s="1"/>
  <c r="AB207"/>
  <c r="Y207"/>
  <c r="U207"/>
  <c r="T207"/>
  <c r="S207"/>
  <c r="R207"/>
  <c r="L207"/>
  <c r="M207" s="1"/>
  <c r="AB206"/>
  <c r="Y206"/>
  <c r="U206"/>
  <c r="T206"/>
  <c r="S206"/>
  <c r="R206"/>
  <c r="L206"/>
  <c r="M206" s="1"/>
  <c r="AN205"/>
  <c r="AS205" s="1"/>
  <c r="AB205"/>
  <c r="Y205"/>
  <c r="U205"/>
  <c r="T205"/>
  <c r="S205"/>
  <c r="R205"/>
  <c r="L205"/>
  <c r="AB204"/>
  <c r="Y204"/>
  <c r="U204"/>
  <c r="T204"/>
  <c r="AE204" s="1"/>
  <c r="AF204" s="1"/>
  <c r="AR204" s="1"/>
  <c r="S204"/>
  <c r="R204"/>
  <c r="L204"/>
  <c r="M204" s="1"/>
  <c r="AN203"/>
  <c r="AS203" s="1"/>
  <c r="AB203"/>
  <c r="Y203"/>
  <c r="U203"/>
  <c r="T203"/>
  <c r="S203"/>
  <c r="R203"/>
  <c r="M203"/>
  <c r="L203"/>
  <c r="AB200"/>
  <c r="Y200"/>
  <c r="U200"/>
  <c r="T200"/>
  <c r="S200"/>
  <c r="R200"/>
  <c r="M200"/>
  <c r="AQ200" s="1"/>
  <c r="L200"/>
  <c r="AN199"/>
  <c r="AS199" s="1"/>
  <c r="AB199"/>
  <c r="Y199"/>
  <c r="U199"/>
  <c r="T199"/>
  <c r="S199"/>
  <c r="R199"/>
  <c r="M199"/>
  <c r="L199"/>
  <c r="AB198"/>
  <c r="Y198"/>
  <c r="U198"/>
  <c r="AE198" s="1"/>
  <c r="AF198" s="1"/>
  <c r="AR198" s="1"/>
  <c r="T198"/>
  <c r="S198"/>
  <c r="R198"/>
  <c r="L198"/>
  <c r="M198" s="1"/>
  <c r="AN197"/>
  <c r="AB197"/>
  <c r="Y197"/>
  <c r="U197"/>
  <c r="T197"/>
  <c r="S197"/>
  <c r="R197"/>
  <c r="M197"/>
  <c r="L197"/>
  <c r="AN196"/>
  <c r="AS196" s="1"/>
  <c r="AB196"/>
  <c r="Y196"/>
  <c r="U196"/>
  <c r="T196"/>
  <c r="S196"/>
  <c r="R196"/>
  <c r="L196"/>
  <c r="M196" s="1"/>
  <c r="AB195"/>
  <c r="AE195" s="1"/>
  <c r="AF195" s="1"/>
  <c r="AR195" s="1"/>
  <c r="Y195"/>
  <c r="U195"/>
  <c r="T195"/>
  <c r="S195"/>
  <c r="R195"/>
  <c r="L195"/>
  <c r="M195" s="1"/>
  <c r="AN194"/>
  <c r="AB194"/>
  <c r="Y194"/>
  <c r="U194"/>
  <c r="T194"/>
  <c r="S194"/>
  <c r="R194"/>
  <c r="L194"/>
  <c r="M194" s="1"/>
  <c r="AB193"/>
  <c r="Y193"/>
  <c r="U193"/>
  <c r="T193"/>
  <c r="S193"/>
  <c r="R193"/>
  <c r="M193"/>
  <c r="L193"/>
  <c r="AN192"/>
  <c r="AS192" s="1"/>
  <c r="AB192"/>
  <c r="AE192" s="1"/>
  <c r="AF192" s="1"/>
  <c r="AR192" s="1"/>
  <c r="Y192"/>
  <c r="U192"/>
  <c r="T192"/>
  <c r="S192"/>
  <c r="R192"/>
  <c r="L192"/>
  <c r="M192" s="1"/>
  <c r="AB191"/>
  <c r="Y191"/>
  <c r="AE191" s="1"/>
  <c r="AF191" s="1"/>
  <c r="AR191" s="1"/>
  <c r="U191"/>
  <c r="T191"/>
  <c r="S191"/>
  <c r="R191"/>
  <c r="L191"/>
  <c r="AN190"/>
  <c r="AB190"/>
  <c r="Y190"/>
  <c r="U190"/>
  <c r="T190"/>
  <c r="S190"/>
  <c r="R190"/>
  <c r="L190"/>
  <c r="M190" s="1"/>
  <c r="AN189"/>
  <c r="AS189" s="1"/>
  <c r="AB189"/>
  <c r="Y189"/>
  <c r="U189"/>
  <c r="T189"/>
  <c r="S189"/>
  <c r="R189"/>
  <c r="L189"/>
  <c r="AN188"/>
  <c r="AS188" s="1"/>
  <c r="AB188"/>
  <c r="Y188"/>
  <c r="U188"/>
  <c r="T188"/>
  <c r="S188"/>
  <c r="R188"/>
  <c r="L188"/>
  <c r="AN187"/>
  <c r="AS187" s="1"/>
  <c r="AB187"/>
  <c r="Y187"/>
  <c r="U187"/>
  <c r="T187"/>
  <c r="S187"/>
  <c r="R187"/>
  <c r="L187"/>
  <c r="M187" s="1"/>
  <c r="AB186"/>
  <c r="Y186"/>
  <c r="U186"/>
  <c r="T186"/>
  <c r="S186"/>
  <c r="R186"/>
  <c r="L186"/>
  <c r="AN185"/>
  <c r="AB185"/>
  <c r="Y185"/>
  <c r="U185"/>
  <c r="T185"/>
  <c r="S185"/>
  <c r="R185"/>
  <c r="L185"/>
  <c r="M185" s="1"/>
  <c r="AB184"/>
  <c r="Y184"/>
  <c r="U184"/>
  <c r="T184"/>
  <c r="S184"/>
  <c r="R184"/>
  <c r="M184"/>
  <c r="L184"/>
  <c r="AM201"/>
  <c r="AM179" s="1"/>
  <c r="AB183"/>
  <c r="Y183"/>
  <c r="U183"/>
  <c r="T183"/>
  <c r="S183"/>
  <c r="R183"/>
  <c r="M183"/>
  <c r="L183"/>
  <c r="AN182"/>
  <c r="AS182" s="1"/>
  <c r="AB182"/>
  <c r="Y182"/>
  <c r="U182"/>
  <c r="T182"/>
  <c r="S182"/>
  <c r="R182"/>
  <c r="M182"/>
  <c r="L182"/>
  <c r="AN181"/>
  <c r="AS181" s="1"/>
  <c r="AB181"/>
  <c r="Y181"/>
  <c r="U181"/>
  <c r="T181"/>
  <c r="S181"/>
  <c r="R181"/>
  <c r="L181"/>
  <c r="AN180"/>
  <c r="AS180" s="1"/>
  <c r="AB180"/>
  <c r="Y180"/>
  <c r="U180"/>
  <c r="T180"/>
  <c r="S180"/>
  <c r="R180"/>
  <c r="L180"/>
  <c r="M180" s="1"/>
  <c r="AB177"/>
  <c r="Y177"/>
  <c r="U177"/>
  <c r="AE177" s="1"/>
  <c r="AF177" s="1"/>
  <c r="AR177" s="1"/>
  <c r="T177"/>
  <c r="S177"/>
  <c r="R177"/>
  <c r="L177"/>
  <c r="AN176"/>
  <c r="AB176"/>
  <c r="Y176"/>
  <c r="U176"/>
  <c r="T176"/>
  <c r="S176"/>
  <c r="R176"/>
  <c r="M176"/>
  <c r="L176"/>
  <c r="AN175"/>
  <c r="AS175" s="1"/>
  <c r="AB175"/>
  <c r="Y175"/>
  <c r="U175"/>
  <c r="T175"/>
  <c r="S175"/>
  <c r="R175"/>
  <c r="L175"/>
  <c r="AN174"/>
  <c r="AS174" s="1"/>
  <c r="AB174"/>
  <c r="Y174"/>
  <c r="U174"/>
  <c r="T174"/>
  <c r="S174"/>
  <c r="R174"/>
  <c r="L174"/>
  <c r="M174" s="1"/>
  <c r="AN173"/>
  <c r="AS173" s="1"/>
  <c r="AB173"/>
  <c r="Y173"/>
  <c r="U173"/>
  <c r="T173"/>
  <c r="S173"/>
  <c r="R173"/>
  <c r="L173"/>
  <c r="AB172"/>
  <c r="Y172"/>
  <c r="U172"/>
  <c r="T172"/>
  <c r="S172"/>
  <c r="R172"/>
  <c r="L172"/>
  <c r="M172" s="1"/>
  <c r="AN171"/>
  <c r="AB171"/>
  <c r="Y171"/>
  <c r="U171"/>
  <c r="T171"/>
  <c r="S171"/>
  <c r="R171"/>
  <c r="M171"/>
  <c r="L171"/>
  <c r="AB170"/>
  <c r="Y170"/>
  <c r="U170"/>
  <c r="T170"/>
  <c r="S170"/>
  <c r="R170"/>
  <c r="L170"/>
  <c r="M170" s="1"/>
  <c r="AB169"/>
  <c r="Y169"/>
  <c r="U169"/>
  <c r="T169"/>
  <c r="S169"/>
  <c r="R169"/>
  <c r="L169"/>
  <c r="M169" s="1"/>
  <c r="AN167"/>
  <c r="AS167" s="1"/>
  <c r="AB167"/>
  <c r="Y167"/>
  <c r="U167"/>
  <c r="T167"/>
  <c r="S167"/>
  <c r="R167"/>
  <c r="L167"/>
  <c r="M167" s="1"/>
  <c r="AN166"/>
  <c r="AS166" s="1"/>
  <c r="AB166"/>
  <c r="Y166"/>
  <c r="U166"/>
  <c r="T166"/>
  <c r="S166"/>
  <c r="R166"/>
  <c r="L166"/>
  <c r="M166" s="1"/>
  <c r="AB165"/>
  <c r="Y165"/>
  <c r="U165"/>
  <c r="T165"/>
  <c r="S165"/>
  <c r="R165"/>
  <c r="L165"/>
  <c r="M165" s="1"/>
  <c r="AN164"/>
  <c r="AB164"/>
  <c r="Y164"/>
  <c r="U164"/>
  <c r="T164"/>
  <c r="S164"/>
  <c r="R164"/>
  <c r="L164"/>
  <c r="M164" s="1"/>
  <c r="AQ164" s="1"/>
  <c r="AB163"/>
  <c r="Y163"/>
  <c r="U163"/>
  <c r="T163"/>
  <c r="AE163" s="1"/>
  <c r="AF163" s="1"/>
  <c r="AR163" s="1"/>
  <c r="S163"/>
  <c r="R163"/>
  <c r="L163"/>
  <c r="M163" s="1"/>
  <c r="AQ163" s="1"/>
  <c r="AN162"/>
  <c r="AS162" s="1"/>
  <c r="AB162"/>
  <c r="Y162"/>
  <c r="U162"/>
  <c r="T162"/>
  <c r="S162"/>
  <c r="R162"/>
  <c r="L162"/>
  <c r="AN161"/>
  <c r="AS161" s="1"/>
  <c r="AB161"/>
  <c r="Y161"/>
  <c r="U161"/>
  <c r="T161"/>
  <c r="S161"/>
  <c r="R161"/>
  <c r="M161"/>
  <c r="L161"/>
  <c r="AB160"/>
  <c r="Y160"/>
  <c r="U160"/>
  <c r="T160"/>
  <c r="S160"/>
  <c r="R160"/>
  <c r="L160"/>
  <c r="M160" s="1"/>
  <c r="AB159"/>
  <c r="Y159"/>
  <c r="U159"/>
  <c r="T159"/>
  <c r="S159"/>
  <c r="R159"/>
  <c r="L159"/>
  <c r="M159" s="1"/>
  <c r="AN158"/>
  <c r="AS158" s="1"/>
  <c r="AB158"/>
  <c r="Y158"/>
  <c r="U158"/>
  <c r="T158"/>
  <c r="S158"/>
  <c r="R158"/>
  <c r="L158"/>
  <c r="M158" s="1"/>
  <c r="AN157"/>
  <c r="AB157"/>
  <c r="Y157"/>
  <c r="U157"/>
  <c r="T157"/>
  <c r="S157"/>
  <c r="R157"/>
  <c r="L157"/>
  <c r="M157" s="1"/>
  <c r="AB156"/>
  <c r="Y156"/>
  <c r="U156"/>
  <c r="T156"/>
  <c r="S156"/>
  <c r="R156"/>
  <c r="L156"/>
  <c r="M156" s="1"/>
  <c r="AN155"/>
  <c r="AB155"/>
  <c r="Y155"/>
  <c r="U155"/>
  <c r="T155"/>
  <c r="S155"/>
  <c r="R155"/>
  <c r="L155"/>
  <c r="M155" s="1"/>
  <c r="AB154"/>
  <c r="Y154"/>
  <c r="U154"/>
  <c r="T154"/>
  <c r="S154"/>
  <c r="R154"/>
  <c r="L154"/>
  <c r="AB153"/>
  <c r="Y153"/>
  <c r="U153"/>
  <c r="T153"/>
  <c r="S153"/>
  <c r="R153"/>
  <c r="L153"/>
  <c r="AN152"/>
  <c r="AS152" s="1"/>
  <c r="AB152"/>
  <c r="Y152"/>
  <c r="U152"/>
  <c r="T152"/>
  <c r="S152"/>
  <c r="R152"/>
  <c r="L152"/>
  <c r="M152" s="1"/>
  <c r="AN151"/>
  <c r="AS151" s="1"/>
  <c r="AB151"/>
  <c r="Y151"/>
  <c r="AE151" s="1"/>
  <c r="AF151" s="1"/>
  <c r="AR151" s="1"/>
  <c r="U151"/>
  <c r="T151"/>
  <c r="S151"/>
  <c r="R151"/>
  <c r="L151"/>
  <c r="M151" s="1"/>
  <c r="AN150"/>
  <c r="AB150"/>
  <c r="Y150"/>
  <c r="U150"/>
  <c r="T150"/>
  <c r="S150"/>
  <c r="R150"/>
  <c r="L150"/>
  <c r="M150" s="1"/>
  <c r="AN149"/>
  <c r="AS149" s="1"/>
  <c r="AB149"/>
  <c r="Y149"/>
  <c r="U149"/>
  <c r="T149"/>
  <c r="S149"/>
  <c r="R149"/>
  <c r="L149"/>
  <c r="AN148"/>
  <c r="AB148"/>
  <c r="Y148"/>
  <c r="U148"/>
  <c r="T148"/>
  <c r="S148"/>
  <c r="R148"/>
  <c r="L148"/>
  <c r="M148" s="1"/>
  <c r="AB147"/>
  <c r="Y147"/>
  <c r="U147"/>
  <c r="T147"/>
  <c r="S147"/>
  <c r="R147"/>
  <c r="L147"/>
  <c r="M147" s="1"/>
  <c r="AN146"/>
  <c r="AS146" s="1"/>
  <c r="AB146"/>
  <c r="Y146"/>
  <c r="U146"/>
  <c r="T146"/>
  <c r="S146"/>
  <c r="R146"/>
  <c r="L146"/>
  <c r="M146" s="1"/>
  <c r="AN145"/>
  <c r="AS145" s="1"/>
  <c r="AB145"/>
  <c r="Y145"/>
  <c r="U145"/>
  <c r="T145"/>
  <c r="S145"/>
  <c r="R145"/>
  <c r="L145"/>
  <c r="M145" s="1"/>
  <c r="AB144"/>
  <c r="AE144" s="1"/>
  <c r="Y144"/>
  <c r="U144"/>
  <c r="T144"/>
  <c r="S144"/>
  <c r="R144"/>
  <c r="L144"/>
  <c r="M144" s="1"/>
  <c r="AQ144" s="1"/>
  <c r="AQ141"/>
  <c r="AM141"/>
  <c r="AN141" s="1"/>
  <c r="AB141"/>
  <c r="Y141"/>
  <c r="U141"/>
  <c r="T141"/>
  <c r="S141"/>
  <c r="R141"/>
  <c r="L141"/>
  <c r="M141" s="1"/>
  <c r="M142" s="1"/>
  <c r="AM140"/>
  <c r="AM142" s="1"/>
  <c r="AB140"/>
  <c r="AB142" s="1"/>
  <c r="Y140"/>
  <c r="Y142" s="1"/>
  <c r="U140"/>
  <c r="T140"/>
  <c r="S140"/>
  <c r="S142" s="1"/>
  <c r="R140"/>
  <c r="R142" s="1"/>
  <c r="M140"/>
  <c r="L140"/>
  <c r="AQ140" s="1"/>
  <c r="AE139"/>
  <c r="AM138"/>
  <c r="AB138"/>
  <c r="Y138"/>
  <c r="U138"/>
  <c r="T138"/>
  <c r="S138"/>
  <c r="R138"/>
  <c r="L138"/>
  <c r="M138" s="1"/>
  <c r="AQ138" s="1"/>
  <c r="AM137"/>
  <c r="AB137"/>
  <c r="AB139" s="1"/>
  <c r="Y137"/>
  <c r="U137"/>
  <c r="U139" s="1"/>
  <c r="T137"/>
  <c r="T139" s="1"/>
  <c r="S137"/>
  <c r="S139" s="1"/>
  <c r="R137"/>
  <c r="L137"/>
  <c r="M137" s="1"/>
  <c r="AB135"/>
  <c r="Y135"/>
  <c r="U135"/>
  <c r="T135"/>
  <c r="S135"/>
  <c r="R135"/>
  <c r="L135"/>
  <c r="AM134"/>
  <c r="AB134"/>
  <c r="AE134" s="1"/>
  <c r="AF134" s="1"/>
  <c r="AR134" s="1"/>
  <c r="Y134"/>
  <c r="U134"/>
  <c r="T134"/>
  <c r="S134"/>
  <c r="R134"/>
  <c r="L134"/>
  <c r="M134" s="1"/>
  <c r="AN133"/>
  <c r="AS133" s="1"/>
  <c r="AB133"/>
  <c r="Y133"/>
  <c r="U133"/>
  <c r="T133"/>
  <c r="S133"/>
  <c r="R133"/>
  <c r="L133"/>
  <c r="M133" s="1"/>
  <c r="AN132"/>
  <c r="AB132"/>
  <c r="Y132"/>
  <c r="U132"/>
  <c r="T132"/>
  <c r="S132"/>
  <c r="R132"/>
  <c r="L132"/>
  <c r="AN131"/>
  <c r="AB131"/>
  <c r="Y131"/>
  <c r="U131"/>
  <c r="T131"/>
  <c r="S131"/>
  <c r="R131"/>
  <c r="L131"/>
  <c r="M131" s="1"/>
  <c r="AN130"/>
  <c r="AS130" s="1"/>
  <c r="AB130"/>
  <c r="Y130"/>
  <c r="U130"/>
  <c r="T130"/>
  <c r="S130"/>
  <c r="R130"/>
  <c r="L130"/>
  <c r="AN129"/>
  <c r="AB129"/>
  <c r="Y129"/>
  <c r="U129"/>
  <c r="T129"/>
  <c r="S129"/>
  <c r="R129"/>
  <c r="L129"/>
  <c r="M129" s="1"/>
  <c r="AB128"/>
  <c r="Y128"/>
  <c r="U128"/>
  <c r="T128"/>
  <c r="S128"/>
  <c r="R128"/>
  <c r="L128"/>
  <c r="AN127"/>
  <c r="AS127" s="1"/>
  <c r="AB127"/>
  <c r="Y127"/>
  <c r="U127"/>
  <c r="T127"/>
  <c r="S127"/>
  <c r="R127"/>
  <c r="L127"/>
  <c r="M127" s="1"/>
  <c r="AB126"/>
  <c r="Y126"/>
  <c r="U126"/>
  <c r="T126"/>
  <c r="AE126" s="1"/>
  <c r="AF126" s="1"/>
  <c r="AR126" s="1"/>
  <c r="S126"/>
  <c r="R126"/>
  <c r="L126"/>
  <c r="AB125"/>
  <c r="Y125"/>
  <c r="U125"/>
  <c r="T125"/>
  <c r="S125"/>
  <c r="R125"/>
  <c r="L125"/>
  <c r="M125" s="1"/>
  <c r="AB124"/>
  <c r="Y124"/>
  <c r="U124"/>
  <c r="T124"/>
  <c r="S124"/>
  <c r="R124"/>
  <c r="L124"/>
  <c r="M124" s="1"/>
  <c r="AM123"/>
  <c r="AN123" s="1"/>
  <c r="AB123"/>
  <c r="Y123"/>
  <c r="U123"/>
  <c r="T123"/>
  <c r="S123"/>
  <c r="R123"/>
  <c r="L123"/>
  <c r="AN122"/>
  <c r="AB122"/>
  <c r="Y122"/>
  <c r="U122"/>
  <c r="T122"/>
  <c r="S122"/>
  <c r="R122"/>
  <c r="L122"/>
  <c r="M122" s="1"/>
  <c r="AN121"/>
  <c r="AS121" s="1"/>
  <c r="AB121"/>
  <c r="Y121"/>
  <c r="U121"/>
  <c r="T121"/>
  <c r="S121"/>
  <c r="R121"/>
  <c r="L121"/>
  <c r="AN120"/>
  <c r="AS120" s="1"/>
  <c r="AB120"/>
  <c r="Y120"/>
  <c r="U120"/>
  <c r="T120"/>
  <c r="S120"/>
  <c r="R120"/>
  <c r="L120"/>
  <c r="AN119"/>
  <c r="AS119" s="1"/>
  <c r="AB119"/>
  <c r="Y119"/>
  <c r="U119"/>
  <c r="T119"/>
  <c r="S119"/>
  <c r="R119"/>
  <c r="L119"/>
  <c r="M119" s="1"/>
  <c r="AN118"/>
  <c r="AS118" s="1"/>
  <c r="AB118"/>
  <c r="AE118" s="1"/>
  <c r="AF118" s="1"/>
  <c r="AR118" s="1"/>
  <c r="Y118"/>
  <c r="U118"/>
  <c r="T118"/>
  <c r="S118"/>
  <c r="R118"/>
  <c r="L118"/>
  <c r="M118" s="1"/>
  <c r="AN117"/>
  <c r="AB117"/>
  <c r="Y117"/>
  <c r="U117"/>
  <c r="T117"/>
  <c r="S117"/>
  <c r="R117"/>
  <c r="L117"/>
  <c r="M117" s="1"/>
  <c r="AQ117" s="1"/>
  <c r="AN116"/>
  <c r="AS116" s="1"/>
  <c r="AB116"/>
  <c r="Y116"/>
  <c r="U116"/>
  <c r="T116"/>
  <c r="S116"/>
  <c r="R116"/>
  <c r="M116"/>
  <c r="L116"/>
  <c r="AQ116" s="1"/>
  <c r="AN115"/>
  <c r="AS115" s="1"/>
  <c r="AB115"/>
  <c r="Y115"/>
  <c r="U115"/>
  <c r="T115"/>
  <c r="S115"/>
  <c r="R115"/>
  <c r="L115"/>
  <c r="AN114"/>
  <c r="AS114" s="1"/>
  <c r="AB114"/>
  <c r="AB136" s="1"/>
  <c r="Y114"/>
  <c r="U114"/>
  <c r="T114"/>
  <c r="S114"/>
  <c r="R114"/>
  <c r="L114"/>
  <c r="AM112"/>
  <c r="AB112"/>
  <c r="Y112"/>
  <c r="U112"/>
  <c r="T112"/>
  <c r="S112"/>
  <c r="R112"/>
  <c r="L112"/>
  <c r="AM111"/>
  <c r="AN111" s="1"/>
  <c r="AB111"/>
  <c r="Y111"/>
  <c r="U111"/>
  <c r="T111"/>
  <c r="S111"/>
  <c r="R111"/>
  <c r="L111"/>
  <c r="M111" s="1"/>
  <c r="AB110"/>
  <c r="Y110"/>
  <c r="U110"/>
  <c r="T110"/>
  <c r="S110"/>
  <c r="R110"/>
  <c r="L110"/>
  <c r="AB109"/>
  <c r="Y109"/>
  <c r="U109"/>
  <c r="T109"/>
  <c r="S109"/>
  <c r="R109"/>
  <c r="L109"/>
  <c r="AB108"/>
  <c r="Y108"/>
  <c r="U108"/>
  <c r="T108"/>
  <c r="S108"/>
  <c r="R108"/>
  <c r="AE108" s="1"/>
  <c r="AF108" s="1"/>
  <c r="AR108" s="1"/>
  <c r="L108"/>
  <c r="M108" s="1"/>
  <c r="AN107"/>
  <c r="AS107" s="1"/>
  <c r="AB107"/>
  <c r="Y107"/>
  <c r="U107"/>
  <c r="T107"/>
  <c r="S107"/>
  <c r="R107"/>
  <c r="L107"/>
  <c r="M107" s="1"/>
  <c r="AN106"/>
  <c r="AS106"/>
  <c r="AB106"/>
  <c r="Y106"/>
  <c r="U106"/>
  <c r="T106"/>
  <c r="S106"/>
  <c r="R106"/>
  <c r="L106"/>
  <c r="M106" s="1"/>
  <c r="AN105"/>
  <c r="AS105" s="1"/>
  <c r="AB105"/>
  <c r="Y105"/>
  <c r="U105"/>
  <c r="T105"/>
  <c r="S105"/>
  <c r="R105"/>
  <c r="L105"/>
  <c r="M105" s="1"/>
  <c r="AN104"/>
  <c r="AB104"/>
  <c r="Y104"/>
  <c r="U104"/>
  <c r="T104"/>
  <c r="S104"/>
  <c r="R104"/>
  <c r="L104"/>
  <c r="M104" s="1"/>
  <c r="AN103"/>
  <c r="AS103" s="1"/>
  <c r="AB103"/>
  <c r="Y103"/>
  <c r="U103"/>
  <c r="T103"/>
  <c r="S103"/>
  <c r="R103"/>
  <c r="L103"/>
  <c r="M103" s="1"/>
  <c r="AN102"/>
  <c r="AB102"/>
  <c r="Y102"/>
  <c r="U102"/>
  <c r="U113" s="1"/>
  <c r="T102"/>
  <c r="T113" s="1"/>
  <c r="S102"/>
  <c r="R102"/>
  <c r="L102"/>
  <c r="M102" s="1"/>
  <c r="AM100"/>
  <c r="AB100"/>
  <c r="Y100"/>
  <c r="U100"/>
  <c r="T100"/>
  <c r="S100"/>
  <c r="R100"/>
  <c r="L100"/>
  <c r="AM99"/>
  <c r="AB99"/>
  <c r="Y99"/>
  <c r="U99"/>
  <c r="T99"/>
  <c r="S99"/>
  <c r="R99"/>
  <c r="L99"/>
  <c r="M99" s="1"/>
  <c r="AB98"/>
  <c r="Y98"/>
  <c r="U98"/>
  <c r="T98"/>
  <c r="S98"/>
  <c r="R98"/>
  <c r="L98"/>
  <c r="AB97"/>
  <c r="Y97"/>
  <c r="U97"/>
  <c r="T97"/>
  <c r="S97"/>
  <c r="R97"/>
  <c r="L97"/>
  <c r="AN96"/>
  <c r="AS96" s="1"/>
  <c r="AB96"/>
  <c r="Y96"/>
  <c r="U96"/>
  <c r="T96"/>
  <c r="S96"/>
  <c r="AE96" s="1"/>
  <c r="AF96" s="1"/>
  <c r="AR96" s="1"/>
  <c r="R96"/>
  <c r="L96"/>
  <c r="M96" s="1"/>
  <c r="AN95"/>
  <c r="AS95" s="1"/>
  <c r="AB95"/>
  <c r="Y95"/>
  <c r="U95"/>
  <c r="T95"/>
  <c r="S95"/>
  <c r="R95"/>
  <c r="L95"/>
  <c r="AB94"/>
  <c r="Y94"/>
  <c r="Y101" s="1"/>
  <c r="U94"/>
  <c r="T94"/>
  <c r="S94"/>
  <c r="R94"/>
  <c r="L94"/>
  <c r="AB90"/>
  <c r="Y90"/>
  <c r="U90"/>
  <c r="T90"/>
  <c r="S90"/>
  <c r="R90"/>
  <c r="L90"/>
  <c r="AN89"/>
  <c r="AS89" s="1"/>
  <c r="AB89"/>
  <c r="Y89"/>
  <c r="U89"/>
  <c r="T89"/>
  <c r="AE89" s="1"/>
  <c r="AF89" s="1"/>
  <c r="AR89" s="1"/>
  <c r="S89"/>
  <c r="R89"/>
  <c r="L89"/>
  <c r="M89" s="1"/>
  <c r="AN88"/>
  <c r="AS88" s="1"/>
  <c r="AB88"/>
  <c r="Y88"/>
  <c r="U88"/>
  <c r="T88"/>
  <c r="S88"/>
  <c r="R88"/>
  <c r="L88"/>
  <c r="AB87"/>
  <c r="Y87"/>
  <c r="U87"/>
  <c r="T87"/>
  <c r="S87"/>
  <c r="R87"/>
  <c r="L87"/>
  <c r="AN86"/>
  <c r="AS86" s="1"/>
  <c r="AB86"/>
  <c r="Y86"/>
  <c r="U86"/>
  <c r="T86"/>
  <c r="S86"/>
  <c r="R86"/>
  <c r="L86"/>
  <c r="M86" s="1"/>
  <c r="AN85"/>
  <c r="AS85" s="1"/>
  <c r="AB85"/>
  <c r="Y85"/>
  <c r="U85"/>
  <c r="T85"/>
  <c r="S85"/>
  <c r="R85"/>
  <c r="M85"/>
  <c r="L85"/>
  <c r="AB84"/>
  <c r="Y84"/>
  <c r="U84"/>
  <c r="T84"/>
  <c r="S84"/>
  <c r="R84"/>
  <c r="M84"/>
  <c r="L84"/>
  <c r="AN83"/>
  <c r="AS83" s="1"/>
  <c r="AB83"/>
  <c r="Y83"/>
  <c r="U83"/>
  <c r="T83"/>
  <c r="S83"/>
  <c r="R83"/>
  <c r="L83"/>
  <c r="M83" s="1"/>
  <c r="AN82"/>
  <c r="AS82" s="1"/>
  <c r="AB82"/>
  <c r="Y82"/>
  <c r="U82"/>
  <c r="T82"/>
  <c r="S82"/>
  <c r="R82"/>
  <c r="M82"/>
  <c r="L82"/>
  <c r="AN81"/>
  <c r="AB81"/>
  <c r="Y81"/>
  <c r="U81"/>
  <c r="T81"/>
  <c r="S81"/>
  <c r="R81"/>
  <c r="L81"/>
  <c r="AB78"/>
  <c r="Y78"/>
  <c r="U78"/>
  <c r="T78"/>
  <c r="S78"/>
  <c r="R78"/>
  <c r="L78"/>
  <c r="AN77"/>
  <c r="AS77" s="1"/>
  <c r="AB77"/>
  <c r="Y77"/>
  <c r="U77"/>
  <c r="T77"/>
  <c r="S77"/>
  <c r="R77"/>
  <c r="L77"/>
  <c r="M77" s="1"/>
  <c r="AB76"/>
  <c r="Y76"/>
  <c r="U76"/>
  <c r="T76"/>
  <c r="S76"/>
  <c r="R76"/>
  <c r="M76"/>
  <c r="L76"/>
  <c r="AB75"/>
  <c r="Y75"/>
  <c r="U75"/>
  <c r="T75"/>
  <c r="S75"/>
  <c r="R75"/>
  <c r="M75"/>
  <c r="L75"/>
  <c r="AN74"/>
  <c r="AS74" s="1"/>
  <c r="AB74"/>
  <c r="Y74"/>
  <c r="U74"/>
  <c r="T74"/>
  <c r="S74"/>
  <c r="R74"/>
  <c r="L74"/>
  <c r="M74" s="1"/>
  <c r="AN73"/>
  <c r="AS73" s="1"/>
  <c r="AB73"/>
  <c r="Y73"/>
  <c r="U73"/>
  <c r="T73"/>
  <c r="S73"/>
  <c r="R73"/>
  <c r="L73"/>
  <c r="AB72"/>
  <c r="Y72"/>
  <c r="U72"/>
  <c r="T72"/>
  <c r="S72"/>
  <c r="R72"/>
  <c r="L72"/>
  <c r="M72" s="1"/>
  <c r="AN71"/>
  <c r="AS71" s="1"/>
  <c r="AB71"/>
  <c r="Y71"/>
  <c r="U71"/>
  <c r="T71"/>
  <c r="S71"/>
  <c r="R71"/>
  <c r="M71"/>
  <c r="L71"/>
  <c r="AN70"/>
  <c r="AS70" s="1"/>
  <c r="AB70"/>
  <c r="Y70"/>
  <c r="U70"/>
  <c r="T70"/>
  <c r="S70"/>
  <c r="R70"/>
  <c r="L70"/>
  <c r="AN69"/>
  <c r="AS69" s="1"/>
  <c r="AB69"/>
  <c r="Y69"/>
  <c r="U69"/>
  <c r="T69"/>
  <c r="S69"/>
  <c r="R69"/>
  <c r="L69"/>
  <c r="AN68"/>
  <c r="AS68" s="1"/>
  <c r="AB68"/>
  <c r="Y68"/>
  <c r="U68"/>
  <c r="T68"/>
  <c r="S68"/>
  <c r="R68"/>
  <c r="L68"/>
  <c r="M68" s="1"/>
  <c r="AN67"/>
  <c r="AB67"/>
  <c r="Y67"/>
  <c r="U67"/>
  <c r="T67"/>
  <c r="S67"/>
  <c r="R67"/>
  <c r="L67"/>
  <c r="AB66"/>
  <c r="Y66"/>
  <c r="U66"/>
  <c r="T66"/>
  <c r="S66"/>
  <c r="R66"/>
  <c r="L66"/>
  <c r="AN65"/>
  <c r="AS65" s="1"/>
  <c r="AB65"/>
  <c r="Y65"/>
  <c r="AE65" s="1"/>
  <c r="AF65" s="1"/>
  <c r="AR65" s="1"/>
  <c r="U65"/>
  <c r="T65"/>
  <c r="S65"/>
  <c r="R65"/>
  <c r="L65"/>
  <c r="M65" s="1"/>
  <c r="AB64"/>
  <c r="Y64"/>
  <c r="U64"/>
  <c r="T64"/>
  <c r="S64"/>
  <c r="R64"/>
  <c r="M64"/>
  <c r="L64"/>
  <c r="AB63"/>
  <c r="Y63"/>
  <c r="U63"/>
  <c r="T63"/>
  <c r="S63"/>
  <c r="R63"/>
  <c r="L63"/>
  <c r="M63" s="1"/>
  <c r="AN62"/>
  <c r="AS62" s="1"/>
  <c r="AB62"/>
  <c r="Y62"/>
  <c r="U62"/>
  <c r="T62"/>
  <c r="S62"/>
  <c r="R62"/>
  <c r="L62"/>
  <c r="M62" s="1"/>
  <c r="AN61"/>
  <c r="AS61" s="1"/>
  <c r="AB61"/>
  <c r="Y61"/>
  <c r="U61"/>
  <c r="T61"/>
  <c r="S61"/>
  <c r="R61"/>
  <c r="L61"/>
  <c r="AB60"/>
  <c r="Y60"/>
  <c r="U60"/>
  <c r="T60"/>
  <c r="S60"/>
  <c r="R60"/>
  <c r="M60"/>
  <c r="L60"/>
  <c r="AN58"/>
  <c r="AS58" s="1"/>
  <c r="AB58"/>
  <c r="Y58"/>
  <c r="U58"/>
  <c r="T58"/>
  <c r="S58"/>
  <c r="R58"/>
  <c r="L58"/>
  <c r="M58" s="1"/>
  <c r="AN57"/>
  <c r="AS57" s="1"/>
  <c r="AB57"/>
  <c r="Y57"/>
  <c r="U57"/>
  <c r="T57"/>
  <c r="S57"/>
  <c r="R57"/>
  <c r="L57"/>
  <c r="AB56"/>
  <c r="Y56"/>
  <c r="U56"/>
  <c r="T56"/>
  <c r="S56"/>
  <c r="R56"/>
  <c r="L56"/>
  <c r="M56" s="1"/>
  <c r="AB55"/>
  <c r="Y55"/>
  <c r="U55"/>
  <c r="T55"/>
  <c r="S55"/>
  <c r="R55"/>
  <c r="L55"/>
  <c r="M55" s="1"/>
  <c r="AN54"/>
  <c r="AS54" s="1"/>
  <c r="AB54"/>
  <c r="Y54"/>
  <c r="U54"/>
  <c r="T54"/>
  <c r="S54"/>
  <c r="R54"/>
  <c r="L54"/>
  <c r="M54" s="1"/>
  <c r="AB53"/>
  <c r="Y53"/>
  <c r="U53"/>
  <c r="T53"/>
  <c r="S53"/>
  <c r="R53"/>
  <c r="L53"/>
  <c r="M53" s="1"/>
  <c r="AN52"/>
  <c r="AS52" s="1"/>
  <c r="AB52"/>
  <c r="Y52"/>
  <c r="U52"/>
  <c r="T52"/>
  <c r="S52"/>
  <c r="R52"/>
  <c r="L52"/>
  <c r="AB51"/>
  <c r="Y51"/>
  <c r="U51"/>
  <c r="T51"/>
  <c r="S51"/>
  <c r="R51"/>
  <c r="L51"/>
  <c r="AB50"/>
  <c r="Y50"/>
  <c r="U50"/>
  <c r="T50"/>
  <c r="S50"/>
  <c r="R50"/>
  <c r="L50"/>
  <c r="AN49"/>
  <c r="AS49" s="1"/>
  <c r="AB49"/>
  <c r="Y49"/>
  <c r="U49"/>
  <c r="T49"/>
  <c r="S49"/>
  <c r="R49"/>
  <c r="L49"/>
  <c r="M49" s="1"/>
  <c r="AN48"/>
  <c r="AS48" s="1"/>
  <c r="AB48"/>
  <c r="Y48"/>
  <c r="U48"/>
  <c r="T48"/>
  <c r="S48"/>
  <c r="R48"/>
  <c r="L48"/>
  <c r="AN47"/>
  <c r="AS47" s="1"/>
  <c r="AB47"/>
  <c r="Y47"/>
  <c r="U47"/>
  <c r="T47"/>
  <c r="S47"/>
  <c r="R47"/>
  <c r="L47"/>
  <c r="M47" s="1"/>
  <c r="AN46"/>
  <c r="AS46" s="1"/>
  <c r="AB46"/>
  <c r="AE46" s="1"/>
  <c r="AF46" s="1"/>
  <c r="AR46" s="1"/>
  <c r="Y46"/>
  <c r="U46"/>
  <c r="T46"/>
  <c r="S46"/>
  <c r="R46"/>
  <c r="L46"/>
  <c r="M46" s="1"/>
  <c r="AN45"/>
  <c r="AS45" s="1"/>
  <c r="AB45"/>
  <c r="Y45"/>
  <c r="U45"/>
  <c r="T45"/>
  <c r="S45"/>
  <c r="R45"/>
  <c r="L45"/>
  <c r="AB44"/>
  <c r="Y44"/>
  <c r="U44"/>
  <c r="T44"/>
  <c r="S44"/>
  <c r="R44"/>
  <c r="L44"/>
  <c r="M44" s="1"/>
  <c r="AB43"/>
  <c r="Y43"/>
  <c r="U43"/>
  <c r="T43"/>
  <c r="S43"/>
  <c r="R43"/>
  <c r="L43"/>
  <c r="M43" s="1"/>
  <c r="AN42"/>
  <c r="AS42" s="1"/>
  <c r="AB42"/>
  <c r="Y42"/>
  <c r="U42"/>
  <c r="T42"/>
  <c r="S42"/>
  <c r="R42"/>
  <c r="L42"/>
  <c r="M42" s="1"/>
  <c r="AB41"/>
  <c r="Y41"/>
  <c r="U41"/>
  <c r="T41"/>
  <c r="AE41" s="1"/>
  <c r="S41"/>
  <c r="R41"/>
  <c r="M41"/>
  <c r="L41"/>
  <c r="AB38"/>
  <c r="Y38"/>
  <c r="U38"/>
  <c r="AE38" s="1"/>
  <c r="AF38" s="1"/>
  <c r="AR38" s="1"/>
  <c r="T38"/>
  <c r="S38"/>
  <c r="R38"/>
  <c r="L38"/>
  <c r="M38" s="1"/>
  <c r="AB37"/>
  <c r="Y37"/>
  <c r="U37"/>
  <c r="T37"/>
  <c r="S37"/>
  <c r="R37"/>
  <c r="L37"/>
  <c r="AN36"/>
  <c r="AS36" s="1"/>
  <c r="AB36"/>
  <c r="Y36"/>
  <c r="U36"/>
  <c r="T36"/>
  <c r="S36"/>
  <c r="R36"/>
  <c r="L36"/>
  <c r="AN35"/>
  <c r="AS35" s="1"/>
  <c r="AB35"/>
  <c r="Y35"/>
  <c r="U35"/>
  <c r="T35"/>
  <c r="S35"/>
  <c r="R35"/>
  <c r="L35"/>
  <c r="M35" s="1"/>
  <c r="AN34"/>
  <c r="AS34" s="1"/>
  <c r="AB34"/>
  <c r="Y34"/>
  <c r="U34"/>
  <c r="T34"/>
  <c r="S34"/>
  <c r="R34"/>
  <c r="R39" s="1"/>
  <c r="R32" s="1"/>
  <c r="L34"/>
  <c r="M34" s="1"/>
  <c r="AB33"/>
  <c r="Y33"/>
  <c r="U33"/>
  <c r="U39" s="1"/>
  <c r="U32" s="1"/>
  <c r="T33"/>
  <c r="T39" s="1"/>
  <c r="T32" s="1"/>
  <c r="S33"/>
  <c r="R33"/>
  <c r="L33"/>
  <c r="M33" s="1"/>
  <c r="AN29"/>
  <c r="AS29" s="1"/>
  <c r="AB29"/>
  <c r="AE29" s="1"/>
  <c r="AF29" s="1"/>
  <c r="AR29" s="1"/>
  <c r="Y29"/>
  <c r="U29"/>
  <c r="T29"/>
  <c r="S29"/>
  <c r="R29"/>
  <c r="L29"/>
  <c r="M29" s="1"/>
  <c r="AB28"/>
  <c r="Y28"/>
  <c r="U28"/>
  <c r="T28"/>
  <c r="S28"/>
  <c r="R28"/>
  <c r="L28"/>
  <c r="M28" s="1"/>
  <c r="AB27"/>
  <c r="Y27"/>
  <c r="U27"/>
  <c r="T27"/>
  <c r="S27"/>
  <c r="R27"/>
  <c r="L27"/>
  <c r="AB26"/>
  <c r="AB30" s="1"/>
  <c r="Y26"/>
  <c r="Y30" s="1"/>
  <c r="U26"/>
  <c r="AE26" s="1"/>
  <c r="T26"/>
  <c r="T30" s="1"/>
  <c r="S26"/>
  <c r="S30" s="1"/>
  <c r="R26"/>
  <c r="R30" s="1"/>
  <c r="L26"/>
  <c r="L30" s="1"/>
  <c r="AN24"/>
  <c r="AS24" s="1"/>
  <c r="AB24"/>
  <c r="Y24"/>
  <c r="U24"/>
  <c r="T24"/>
  <c r="S24"/>
  <c r="R24"/>
  <c r="L24"/>
  <c r="AN23"/>
  <c r="AS23" s="1"/>
  <c r="AB23"/>
  <c r="Y23"/>
  <c r="U23"/>
  <c r="T23"/>
  <c r="S23"/>
  <c r="R23"/>
  <c r="L23"/>
  <c r="M23" s="1"/>
  <c r="AN22"/>
  <c r="AS22" s="1"/>
  <c r="AB22"/>
  <c r="Y22"/>
  <c r="U22"/>
  <c r="T22"/>
  <c r="S22"/>
  <c r="R22"/>
  <c r="L22"/>
  <c r="M22" s="1"/>
  <c r="AB21"/>
  <c r="Y21"/>
  <c r="U21"/>
  <c r="T21"/>
  <c r="S21"/>
  <c r="R21"/>
  <c r="L21"/>
  <c r="AN20"/>
  <c r="AS20" s="1"/>
  <c r="AB20"/>
  <c r="Y20"/>
  <c r="U20"/>
  <c r="T20"/>
  <c r="S20"/>
  <c r="R20"/>
  <c r="M20"/>
  <c r="L20"/>
  <c r="AN19"/>
  <c r="AS19" s="1"/>
  <c r="AB19"/>
  <c r="Y19"/>
  <c r="U19"/>
  <c r="T19"/>
  <c r="S19"/>
  <c r="R19"/>
  <c r="L19"/>
  <c r="AM18"/>
  <c r="AB18"/>
  <c r="Y18"/>
  <c r="Y25" s="1"/>
  <c r="U18"/>
  <c r="T18"/>
  <c r="S18"/>
  <c r="R18"/>
  <c r="L18"/>
  <c r="L25" s="1"/>
  <c r="U17"/>
  <c r="AM17"/>
  <c r="AB16"/>
  <c r="AB17" s="1"/>
  <c r="Y16"/>
  <c r="Y17" s="1"/>
  <c r="U16"/>
  <c r="T16"/>
  <c r="T17" s="1"/>
  <c r="S16"/>
  <c r="S17" s="1"/>
  <c r="R16"/>
  <c r="R17" s="1"/>
  <c r="L16"/>
  <c r="M16" s="1"/>
  <c r="M17" s="1"/>
  <c r="AM15"/>
  <c r="AB14"/>
  <c r="Y14"/>
  <c r="U14"/>
  <c r="T14"/>
  <c r="S14"/>
  <c r="R14"/>
  <c r="M14"/>
  <c r="L14"/>
  <c r="AN13"/>
  <c r="AS13" s="1"/>
  <c r="AB13"/>
  <c r="Y13"/>
  <c r="U13"/>
  <c r="T13"/>
  <c r="S13"/>
  <c r="R13"/>
  <c r="M13"/>
  <c r="L13"/>
  <c r="AN12"/>
  <c r="AS12" s="1"/>
  <c r="AB12"/>
  <c r="AE12" s="1"/>
  <c r="AF12" s="1"/>
  <c r="AR12" s="1"/>
  <c r="Y12"/>
  <c r="U12"/>
  <c r="T12"/>
  <c r="S12"/>
  <c r="R12"/>
  <c r="L12"/>
  <c r="AN11"/>
  <c r="AS11" s="1"/>
  <c r="AB11"/>
  <c r="Y11"/>
  <c r="U11"/>
  <c r="T11"/>
  <c r="S11"/>
  <c r="R11"/>
  <c r="L11"/>
  <c r="M11" s="1"/>
  <c r="AN10"/>
  <c r="AS10" s="1"/>
  <c r="AB10"/>
  <c r="Y10"/>
  <c r="U10"/>
  <c r="T10"/>
  <c r="S10"/>
  <c r="R10"/>
  <c r="L10"/>
  <c r="M10" s="1"/>
  <c r="AB9"/>
  <c r="Y9"/>
  <c r="U9"/>
  <c r="T9"/>
  <c r="S9"/>
  <c r="R9"/>
  <c r="L9"/>
  <c r="AN8"/>
  <c r="AB8"/>
  <c r="Y8"/>
  <c r="U8"/>
  <c r="T8"/>
  <c r="S8"/>
  <c r="R8"/>
  <c r="M8"/>
  <c r="L8"/>
  <c r="AN7"/>
  <c r="AS7" s="1"/>
  <c r="AB7"/>
  <c r="AB15" s="1"/>
  <c r="Y7"/>
  <c r="U7"/>
  <c r="T7"/>
  <c r="S7"/>
  <c r="S15" s="1"/>
  <c r="R7"/>
  <c r="M7"/>
  <c r="L7"/>
  <c r="L15" s="1"/>
  <c r="BA242" i="17"/>
  <c r="AZ242"/>
  <c r="AY242"/>
  <c r="AX242"/>
  <c r="AW242"/>
  <c r="AV242"/>
  <c r="AU242"/>
  <c r="AL242"/>
  <c r="AK242"/>
  <c r="AJ242"/>
  <c r="AD242"/>
  <c r="AC242"/>
  <c r="U242"/>
  <c r="AB241"/>
  <c r="AE241" s="1"/>
  <c r="AF241" s="1"/>
  <c r="AR241" s="1"/>
  <c r="Y241"/>
  <c r="U241"/>
  <c r="T241"/>
  <c r="S241"/>
  <c r="R241"/>
  <c r="L241"/>
  <c r="M241" s="1"/>
  <c r="AB240"/>
  <c r="Y240"/>
  <c r="U240"/>
  <c r="AE240" s="1"/>
  <c r="AF240" s="1"/>
  <c r="AR240" s="1"/>
  <c r="T240"/>
  <c r="S240"/>
  <c r="R240"/>
  <c r="L240"/>
  <c r="M240" s="1"/>
  <c r="AE239"/>
  <c r="AF239" s="1"/>
  <c r="AR239" s="1"/>
  <c r="AB239"/>
  <c r="Y239"/>
  <c r="U239"/>
  <c r="T239"/>
  <c r="S239"/>
  <c r="R239"/>
  <c r="L239"/>
  <c r="M239" s="1"/>
  <c r="AN238"/>
  <c r="AB238"/>
  <c r="Y238"/>
  <c r="U238"/>
  <c r="T238"/>
  <c r="S238"/>
  <c r="AE238" s="1"/>
  <c r="AF238" s="1"/>
  <c r="AR238" s="1"/>
  <c r="R238"/>
  <c r="M238"/>
  <c r="L238"/>
  <c r="AQ238" s="1"/>
  <c r="AM242"/>
  <c r="AB237"/>
  <c r="Y237"/>
  <c r="U237"/>
  <c r="T237"/>
  <c r="T242" s="1"/>
  <c r="S237"/>
  <c r="S242" s="1"/>
  <c r="R237"/>
  <c r="R242" s="1"/>
  <c r="M237"/>
  <c r="M242" s="1"/>
  <c r="L237"/>
  <c r="AQ237" s="1"/>
  <c r="BA236"/>
  <c r="AZ236"/>
  <c r="AY236"/>
  <c r="AX236"/>
  <c r="AW236"/>
  <c r="AW224" s="1"/>
  <c r="AW223" s="1"/>
  <c r="AV236"/>
  <c r="AU236"/>
  <c r="AL236"/>
  <c r="AK236"/>
  <c r="AJ236"/>
  <c r="AD236"/>
  <c r="AC236"/>
  <c r="Y236"/>
  <c r="AN235"/>
  <c r="AS235" s="1"/>
  <c r="AB235"/>
  <c r="Y235"/>
  <c r="U235"/>
  <c r="T235"/>
  <c r="T236" s="1"/>
  <c r="S235"/>
  <c r="R235"/>
  <c r="L235"/>
  <c r="AB234"/>
  <c r="AE234" s="1"/>
  <c r="AF234" s="1"/>
  <c r="AR234" s="1"/>
  <c r="Y234"/>
  <c r="U234"/>
  <c r="T234"/>
  <c r="S234"/>
  <c r="R234"/>
  <c r="L234"/>
  <c r="M234" s="1"/>
  <c r="AB233"/>
  <c r="AE233" s="1"/>
  <c r="Y233"/>
  <c r="U233"/>
  <c r="U236" s="1"/>
  <c r="T233"/>
  <c r="S233"/>
  <c r="S236" s="1"/>
  <c r="R233"/>
  <c r="R236" s="1"/>
  <c r="L233"/>
  <c r="M233" s="1"/>
  <c r="BA232"/>
  <c r="AZ232"/>
  <c r="AZ224" s="1"/>
  <c r="AZ223" s="1"/>
  <c r="AY232"/>
  <c r="AW232"/>
  <c r="AV232"/>
  <c r="AU232"/>
  <c r="AU224" s="1"/>
  <c r="AU223" s="1"/>
  <c r="AL232"/>
  <c r="AL224" s="1"/>
  <c r="AL223" s="1"/>
  <c r="AK232"/>
  <c r="AJ232"/>
  <c r="AD232"/>
  <c r="AC232"/>
  <c r="AC224" s="1"/>
  <c r="AC223" s="1"/>
  <c r="AM231"/>
  <c r="AN231" s="1"/>
  <c r="AE231"/>
  <c r="AF231" s="1"/>
  <c r="AR231" s="1"/>
  <c r="AB231"/>
  <c r="Y231"/>
  <c r="U231"/>
  <c r="T231"/>
  <c r="S231"/>
  <c r="R231"/>
  <c r="L231"/>
  <c r="AN230"/>
  <c r="AS230" s="1"/>
  <c r="AB230"/>
  <c r="AE230" s="1"/>
  <c r="AF230" s="1"/>
  <c r="AR230" s="1"/>
  <c r="Y230"/>
  <c r="U230"/>
  <c r="T230"/>
  <c r="S230"/>
  <c r="R230"/>
  <c r="L230"/>
  <c r="M230" s="1"/>
  <c r="AS229"/>
  <c r="AN229"/>
  <c r="AB229"/>
  <c r="AE229" s="1"/>
  <c r="AF229" s="1"/>
  <c r="AR229" s="1"/>
  <c r="Y229"/>
  <c r="U229"/>
  <c r="T229"/>
  <c r="S229"/>
  <c r="R229"/>
  <c r="L229"/>
  <c r="AN228"/>
  <c r="AS228" s="1"/>
  <c r="AB228"/>
  <c r="Y228"/>
  <c r="U228"/>
  <c r="T228"/>
  <c r="S228"/>
  <c r="R228"/>
  <c r="L228"/>
  <c r="M228" s="1"/>
  <c r="AB227"/>
  <c r="Y227"/>
  <c r="U227"/>
  <c r="T227"/>
  <c r="S227"/>
  <c r="R227"/>
  <c r="L227"/>
  <c r="M227" s="1"/>
  <c r="AB226"/>
  <c r="Y226"/>
  <c r="U226"/>
  <c r="AE226" s="1"/>
  <c r="AF226" s="1"/>
  <c r="AR226" s="1"/>
  <c r="T226"/>
  <c r="S226"/>
  <c r="R226"/>
  <c r="L226"/>
  <c r="M226" s="1"/>
  <c r="AE225"/>
  <c r="AB225"/>
  <c r="AB232" s="1"/>
  <c r="Y225"/>
  <c r="Y232" s="1"/>
  <c r="U225"/>
  <c r="T225"/>
  <c r="T232" s="1"/>
  <c r="S225"/>
  <c r="R225"/>
  <c r="M225"/>
  <c r="L225"/>
  <c r="BA224"/>
  <c r="BA223" s="1"/>
  <c r="AY224"/>
  <c r="AY223" s="1"/>
  <c r="AV224"/>
  <c r="AV223" s="1"/>
  <c r="AK224"/>
  <c r="AK223" s="1"/>
  <c r="AJ224"/>
  <c r="AJ223" s="1"/>
  <c r="AD224"/>
  <c r="AD223" s="1"/>
  <c r="Z223"/>
  <c r="BA222"/>
  <c r="AZ222"/>
  <c r="AY222"/>
  <c r="AY202" s="1"/>
  <c r="AX222"/>
  <c r="AX202" s="1"/>
  <c r="AW222"/>
  <c r="AV222"/>
  <c r="AL222"/>
  <c r="AK222"/>
  <c r="AJ222"/>
  <c r="AJ202" s="1"/>
  <c r="AD222"/>
  <c r="AD202" s="1"/>
  <c r="AC222"/>
  <c r="AN221"/>
  <c r="AS221" s="1"/>
  <c r="AB221"/>
  <c r="AE221" s="1"/>
  <c r="AF221" s="1"/>
  <c r="AR221" s="1"/>
  <c r="Y221"/>
  <c r="U221"/>
  <c r="T221"/>
  <c r="S221"/>
  <c r="R221"/>
  <c r="L221"/>
  <c r="M221" s="1"/>
  <c r="AB220"/>
  <c r="AE220" s="1"/>
  <c r="AF220" s="1"/>
  <c r="AR220" s="1"/>
  <c r="Y220"/>
  <c r="U220"/>
  <c r="T220"/>
  <c r="S220"/>
  <c r="R220"/>
  <c r="L220"/>
  <c r="M220" s="1"/>
  <c r="AB219"/>
  <c r="Y219"/>
  <c r="U219"/>
  <c r="T219"/>
  <c r="S219"/>
  <c r="R219"/>
  <c r="L219"/>
  <c r="M219" s="1"/>
  <c r="AE218"/>
  <c r="AF218" s="1"/>
  <c r="AR218" s="1"/>
  <c r="AB218"/>
  <c r="Y218"/>
  <c r="U218"/>
  <c r="T218"/>
  <c r="S218"/>
  <c r="R218"/>
  <c r="M218"/>
  <c r="L218"/>
  <c r="AQ218" s="1"/>
  <c r="AN217"/>
  <c r="AB217"/>
  <c r="Y217"/>
  <c r="U217"/>
  <c r="T217"/>
  <c r="S217"/>
  <c r="R217"/>
  <c r="L217"/>
  <c r="AS216"/>
  <c r="AN216"/>
  <c r="AB216"/>
  <c r="Y216"/>
  <c r="U216"/>
  <c r="T216"/>
  <c r="S216"/>
  <c r="R216"/>
  <c r="L216"/>
  <c r="AN215"/>
  <c r="AB215"/>
  <c r="AE215" s="1"/>
  <c r="AF215" s="1"/>
  <c r="AR215" s="1"/>
  <c r="Y215"/>
  <c r="U215"/>
  <c r="T215"/>
  <c r="S215"/>
  <c r="R215"/>
  <c r="L215"/>
  <c r="AS214"/>
  <c r="AN214"/>
  <c r="AB214"/>
  <c r="Y214"/>
  <c r="U214"/>
  <c r="T214"/>
  <c r="S214"/>
  <c r="R214"/>
  <c r="L214"/>
  <c r="M214" s="1"/>
  <c r="AN213"/>
  <c r="AS213"/>
  <c r="AB213"/>
  <c r="Y213"/>
  <c r="U213"/>
  <c r="T213"/>
  <c r="S213"/>
  <c r="R213"/>
  <c r="L213"/>
  <c r="AB212"/>
  <c r="Y212"/>
  <c r="AE212" s="1"/>
  <c r="AF212" s="1"/>
  <c r="AR212" s="1"/>
  <c r="U212"/>
  <c r="T212"/>
  <c r="S212"/>
  <c r="R212"/>
  <c r="M212"/>
  <c r="L212"/>
  <c r="AN211"/>
  <c r="AS211" s="1"/>
  <c r="AB211"/>
  <c r="Y211"/>
  <c r="AE211" s="1"/>
  <c r="AF211" s="1"/>
  <c r="AR211" s="1"/>
  <c r="U211"/>
  <c r="T211"/>
  <c r="S211"/>
  <c r="R211"/>
  <c r="M211"/>
  <c r="L211"/>
  <c r="AQ211" s="1"/>
  <c r="AS210"/>
  <c r="AN210"/>
  <c r="AB210"/>
  <c r="Y210"/>
  <c r="U210"/>
  <c r="T210"/>
  <c r="S210"/>
  <c r="R210"/>
  <c r="L210"/>
  <c r="AN209"/>
  <c r="AS209" s="1"/>
  <c r="AB209"/>
  <c r="Y209"/>
  <c r="U209"/>
  <c r="T209"/>
  <c r="S209"/>
  <c r="R209"/>
  <c r="L209"/>
  <c r="M209" s="1"/>
  <c r="AN208"/>
  <c r="AS208" s="1"/>
  <c r="AB208"/>
  <c r="AE208" s="1"/>
  <c r="AF208" s="1"/>
  <c r="AR208" s="1"/>
  <c r="Y208"/>
  <c r="U208"/>
  <c r="T208"/>
  <c r="S208"/>
  <c r="R208"/>
  <c r="L208"/>
  <c r="M208" s="1"/>
  <c r="AN207"/>
  <c r="AS207" s="1"/>
  <c r="AB207"/>
  <c r="AE207" s="1"/>
  <c r="AF207" s="1"/>
  <c r="AR207" s="1"/>
  <c r="Y207"/>
  <c r="U207"/>
  <c r="T207"/>
  <c r="S207"/>
  <c r="R207"/>
  <c r="L207"/>
  <c r="M207" s="1"/>
  <c r="AB206"/>
  <c r="AE206" s="1"/>
  <c r="AF206" s="1"/>
  <c r="AR206" s="1"/>
  <c r="Y206"/>
  <c r="U206"/>
  <c r="T206"/>
  <c r="S206"/>
  <c r="R206"/>
  <c r="L206"/>
  <c r="M206" s="1"/>
  <c r="AB205"/>
  <c r="Y205"/>
  <c r="U205"/>
  <c r="T205"/>
  <c r="S205"/>
  <c r="R205"/>
  <c r="L205"/>
  <c r="M205" s="1"/>
  <c r="AB204"/>
  <c r="AE204" s="1"/>
  <c r="AF204" s="1"/>
  <c r="AR204" s="1"/>
  <c r="Y204"/>
  <c r="U204"/>
  <c r="T204"/>
  <c r="S204"/>
  <c r="R204"/>
  <c r="L204"/>
  <c r="M204" s="1"/>
  <c r="AN203"/>
  <c r="AB203"/>
  <c r="AE203" s="1"/>
  <c r="Y203"/>
  <c r="U203"/>
  <c r="T203"/>
  <c r="S203"/>
  <c r="R203"/>
  <c r="L203"/>
  <c r="BA202"/>
  <c r="AZ202"/>
  <c r="AW202"/>
  <c r="AV202"/>
  <c r="AL202"/>
  <c r="AK202"/>
  <c r="AC202"/>
  <c r="BA201"/>
  <c r="AZ201"/>
  <c r="AY201"/>
  <c r="AW201"/>
  <c r="AW179" s="1"/>
  <c r="AV201"/>
  <c r="AL201"/>
  <c r="AK201"/>
  <c r="AJ201"/>
  <c r="AD201"/>
  <c r="AC201"/>
  <c r="AQ200"/>
  <c r="AN200"/>
  <c r="AS200" s="1"/>
  <c r="AB200"/>
  <c r="Y200"/>
  <c r="U200"/>
  <c r="T200"/>
  <c r="S200"/>
  <c r="R200"/>
  <c r="M200"/>
  <c r="L200"/>
  <c r="AN199"/>
  <c r="AS199" s="1"/>
  <c r="AB199"/>
  <c r="Y199"/>
  <c r="AE199" s="1"/>
  <c r="AF199" s="1"/>
  <c r="AR199" s="1"/>
  <c r="U199"/>
  <c r="T199"/>
  <c r="S199"/>
  <c r="R199"/>
  <c r="M199"/>
  <c r="L199"/>
  <c r="AQ199" s="1"/>
  <c r="AB198"/>
  <c r="Y198"/>
  <c r="U198"/>
  <c r="T198"/>
  <c r="S198"/>
  <c r="R198"/>
  <c r="L198"/>
  <c r="M198" s="1"/>
  <c r="AN197"/>
  <c r="AS197" s="1"/>
  <c r="AB197"/>
  <c r="Y197"/>
  <c r="U197"/>
  <c r="T197"/>
  <c r="S197"/>
  <c r="R197"/>
  <c r="L197"/>
  <c r="M197" s="1"/>
  <c r="AB196"/>
  <c r="Y196"/>
  <c r="U196"/>
  <c r="T196"/>
  <c r="S196"/>
  <c r="R196"/>
  <c r="L196"/>
  <c r="M196" s="1"/>
  <c r="AB195"/>
  <c r="Y195"/>
  <c r="U195"/>
  <c r="T195"/>
  <c r="S195"/>
  <c r="R195"/>
  <c r="L195"/>
  <c r="M195" s="1"/>
  <c r="AB194"/>
  <c r="AE194" s="1"/>
  <c r="AF194" s="1"/>
  <c r="AR194" s="1"/>
  <c r="Y194"/>
  <c r="U194"/>
  <c r="T194"/>
  <c r="S194"/>
  <c r="R194"/>
  <c r="L194"/>
  <c r="AB193"/>
  <c r="Y193"/>
  <c r="U193"/>
  <c r="T193"/>
  <c r="S193"/>
  <c r="R193"/>
  <c r="L193"/>
  <c r="M193" s="1"/>
  <c r="AQ192"/>
  <c r="AN192"/>
  <c r="AS192" s="1"/>
  <c r="AB192"/>
  <c r="Y192"/>
  <c r="U192"/>
  <c r="T192"/>
  <c r="S192"/>
  <c r="R192"/>
  <c r="L192"/>
  <c r="M192" s="1"/>
  <c r="AE191"/>
  <c r="AF191" s="1"/>
  <c r="AR191" s="1"/>
  <c r="AB191"/>
  <c r="Y191"/>
  <c r="U191"/>
  <c r="T191"/>
  <c r="S191"/>
  <c r="R191"/>
  <c r="L191"/>
  <c r="M191" s="1"/>
  <c r="AN190"/>
  <c r="AS190" s="1"/>
  <c r="AB190"/>
  <c r="AE190" s="1"/>
  <c r="AF190" s="1"/>
  <c r="AR190" s="1"/>
  <c r="Y190"/>
  <c r="U190"/>
  <c r="T190"/>
  <c r="S190"/>
  <c r="R190"/>
  <c r="L190"/>
  <c r="M190" s="1"/>
  <c r="AN189"/>
  <c r="AS189" s="1"/>
  <c r="AB189"/>
  <c r="Y189"/>
  <c r="U189"/>
  <c r="T189"/>
  <c r="S189"/>
  <c r="R189"/>
  <c r="L189"/>
  <c r="M189" s="1"/>
  <c r="AN188"/>
  <c r="AS188" s="1"/>
  <c r="AB188"/>
  <c r="Y188"/>
  <c r="U188"/>
  <c r="T188"/>
  <c r="S188"/>
  <c r="R188"/>
  <c r="L188"/>
  <c r="AB187"/>
  <c r="AE187" s="1"/>
  <c r="AF187" s="1"/>
  <c r="AR187" s="1"/>
  <c r="Y187"/>
  <c r="U187"/>
  <c r="T187"/>
  <c r="S187"/>
  <c r="R187"/>
  <c r="L187"/>
  <c r="M187" s="1"/>
  <c r="AE186"/>
  <c r="AF186" s="1"/>
  <c r="AR186" s="1"/>
  <c r="AB186"/>
  <c r="Y186"/>
  <c r="U186"/>
  <c r="T186"/>
  <c r="S186"/>
  <c r="R186"/>
  <c r="L186"/>
  <c r="M186" s="1"/>
  <c r="AE185"/>
  <c r="AF185" s="1"/>
  <c r="AR185" s="1"/>
  <c r="AB185"/>
  <c r="Y185"/>
  <c r="U185"/>
  <c r="T185"/>
  <c r="S185"/>
  <c r="R185"/>
  <c r="M185"/>
  <c r="L185"/>
  <c r="AQ185" s="1"/>
  <c r="AN184"/>
  <c r="AS184" s="1"/>
  <c r="AE184"/>
  <c r="AF184" s="1"/>
  <c r="AR184" s="1"/>
  <c r="AB184"/>
  <c r="Y184"/>
  <c r="U184"/>
  <c r="T184"/>
  <c r="S184"/>
  <c r="R184"/>
  <c r="M184"/>
  <c r="L184"/>
  <c r="AN183"/>
  <c r="AS183" s="1"/>
  <c r="AE183"/>
  <c r="AF183" s="1"/>
  <c r="AR183" s="1"/>
  <c r="AB183"/>
  <c r="Y183"/>
  <c r="U183"/>
  <c r="T183"/>
  <c r="S183"/>
  <c r="R183"/>
  <c r="M183"/>
  <c r="L183"/>
  <c r="AQ183" s="1"/>
  <c r="AN182"/>
  <c r="AS182" s="1"/>
  <c r="AB182"/>
  <c r="Y182"/>
  <c r="AE182" s="1"/>
  <c r="AF182" s="1"/>
  <c r="AR182" s="1"/>
  <c r="U182"/>
  <c r="T182"/>
  <c r="S182"/>
  <c r="R182"/>
  <c r="L182"/>
  <c r="M182" s="1"/>
  <c r="AN181"/>
  <c r="AS181" s="1"/>
  <c r="AB181"/>
  <c r="Y181"/>
  <c r="U181"/>
  <c r="T181"/>
  <c r="S181"/>
  <c r="R181"/>
  <c r="L181"/>
  <c r="AB180"/>
  <c r="Y180"/>
  <c r="U180"/>
  <c r="T180"/>
  <c r="S180"/>
  <c r="R180"/>
  <c r="R201" s="1"/>
  <c r="R179" s="1"/>
  <c r="L180"/>
  <c r="BA179"/>
  <c r="AZ179"/>
  <c r="AY179"/>
  <c r="AV179"/>
  <c r="AL179"/>
  <c r="AK179"/>
  <c r="AJ179"/>
  <c r="AD179"/>
  <c r="AC179"/>
  <c r="BA178"/>
  <c r="AZ178"/>
  <c r="AY178"/>
  <c r="AX178"/>
  <c r="AW178"/>
  <c r="AV178"/>
  <c r="AU178"/>
  <c r="AL178"/>
  <c r="AK178"/>
  <c r="AJ178"/>
  <c r="AD178"/>
  <c r="AC178"/>
  <c r="AN177"/>
  <c r="AS177" s="1"/>
  <c r="AB177"/>
  <c r="Y177"/>
  <c r="U177"/>
  <c r="T177"/>
  <c r="S177"/>
  <c r="R177"/>
  <c r="L177"/>
  <c r="AB176"/>
  <c r="Y176"/>
  <c r="U176"/>
  <c r="T176"/>
  <c r="S176"/>
  <c r="R176"/>
  <c r="L176"/>
  <c r="L178" s="1"/>
  <c r="AN175"/>
  <c r="AS175" s="1"/>
  <c r="AB175"/>
  <c r="AE175" s="1"/>
  <c r="AF175" s="1"/>
  <c r="AR175" s="1"/>
  <c r="Y175"/>
  <c r="U175"/>
  <c r="T175"/>
  <c r="S175"/>
  <c r="R175"/>
  <c r="L175"/>
  <c r="M175" s="1"/>
  <c r="AB174"/>
  <c r="Y174"/>
  <c r="U174"/>
  <c r="T174"/>
  <c r="S174"/>
  <c r="R174"/>
  <c r="L174"/>
  <c r="M174" s="1"/>
  <c r="AN173"/>
  <c r="AS173" s="1"/>
  <c r="AB173"/>
  <c r="AE173" s="1"/>
  <c r="AF173" s="1"/>
  <c r="AR173" s="1"/>
  <c r="Y173"/>
  <c r="U173"/>
  <c r="T173"/>
  <c r="S173"/>
  <c r="R173"/>
  <c r="L173"/>
  <c r="M173" s="1"/>
  <c r="AR172"/>
  <c r="AE172"/>
  <c r="AF172" s="1"/>
  <c r="AB172"/>
  <c r="Y172"/>
  <c r="U172"/>
  <c r="T172"/>
  <c r="S172"/>
  <c r="R172"/>
  <c r="M172"/>
  <c r="AQ172" s="1"/>
  <c r="L172"/>
  <c r="AB171"/>
  <c r="Y171"/>
  <c r="AE171" s="1"/>
  <c r="AF171" s="1"/>
  <c r="AR171" s="1"/>
  <c r="U171"/>
  <c r="T171"/>
  <c r="S171"/>
  <c r="R171"/>
  <c r="M171"/>
  <c r="AQ171" s="1"/>
  <c r="L171"/>
  <c r="AN170"/>
  <c r="AS170" s="1"/>
  <c r="AB170"/>
  <c r="Y170"/>
  <c r="AE170" s="1"/>
  <c r="AF170" s="1"/>
  <c r="AR170" s="1"/>
  <c r="U170"/>
  <c r="U178" s="1"/>
  <c r="T170"/>
  <c r="S170"/>
  <c r="S178" s="1"/>
  <c r="R170"/>
  <c r="M170"/>
  <c r="L170"/>
  <c r="AQ170" s="1"/>
  <c r="AB169"/>
  <c r="Y169"/>
  <c r="U169"/>
  <c r="T169"/>
  <c r="S169"/>
  <c r="R169"/>
  <c r="M169"/>
  <c r="L169"/>
  <c r="BA168"/>
  <c r="AZ168"/>
  <c r="AX168"/>
  <c r="AW168"/>
  <c r="AV168"/>
  <c r="AU168"/>
  <c r="AU143" s="1"/>
  <c r="AL168"/>
  <c r="AK168"/>
  <c r="AJ168"/>
  <c r="AD168"/>
  <c r="AD143" s="1"/>
  <c r="AN167"/>
  <c r="AS167" s="1"/>
  <c r="AB167"/>
  <c r="AE167" s="1"/>
  <c r="AF167" s="1"/>
  <c r="AR167" s="1"/>
  <c r="Y167"/>
  <c r="U167"/>
  <c r="T167"/>
  <c r="S167"/>
  <c r="R167"/>
  <c r="L167"/>
  <c r="AN166"/>
  <c r="AS166" s="1"/>
  <c r="AB166"/>
  <c r="Y166"/>
  <c r="AE166" s="1"/>
  <c r="AF166" s="1"/>
  <c r="AR166" s="1"/>
  <c r="U166"/>
  <c r="T166"/>
  <c r="S166"/>
  <c r="R166"/>
  <c r="L166"/>
  <c r="M166" s="1"/>
  <c r="AB165"/>
  <c r="Y165"/>
  <c r="AE165" s="1"/>
  <c r="AF165" s="1"/>
  <c r="AR165" s="1"/>
  <c r="U165"/>
  <c r="T165"/>
  <c r="S165"/>
  <c r="R165"/>
  <c r="L165"/>
  <c r="M165" s="1"/>
  <c r="AQ165" s="1"/>
  <c r="AN164"/>
  <c r="AB164"/>
  <c r="Y164"/>
  <c r="AE164" s="1"/>
  <c r="AF164" s="1"/>
  <c r="AR164" s="1"/>
  <c r="U164"/>
  <c r="T164"/>
  <c r="S164"/>
  <c r="R164"/>
  <c r="L164"/>
  <c r="AN163"/>
  <c r="AS163" s="1"/>
  <c r="AE163"/>
  <c r="AF163" s="1"/>
  <c r="AR163" s="1"/>
  <c r="AB163"/>
  <c r="Y163"/>
  <c r="U163"/>
  <c r="T163"/>
  <c r="S163"/>
  <c r="R163"/>
  <c r="L163"/>
  <c r="M163" s="1"/>
  <c r="AN162"/>
  <c r="AE162"/>
  <c r="AF162" s="1"/>
  <c r="AR162" s="1"/>
  <c r="AB162"/>
  <c r="Y162"/>
  <c r="U162"/>
  <c r="T162"/>
  <c r="S162"/>
  <c r="R162"/>
  <c r="L162"/>
  <c r="M162" s="1"/>
  <c r="AN161"/>
  <c r="AS161" s="1"/>
  <c r="AB161"/>
  <c r="Y161"/>
  <c r="AE161" s="1"/>
  <c r="AF161" s="1"/>
  <c r="AR161" s="1"/>
  <c r="U161"/>
  <c r="T161"/>
  <c r="S161"/>
  <c r="R161"/>
  <c r="M161"/>
  <c r="L161"/>
  <c r="AN160"/>
  <c r="AS160" s="1"/>
  <c r="AB160"/>
  <c r="AE160" s="1"/>
  <c r="AF160" s="1"/>
  <c r="AR160" s="1"/>
  <c r="Y160"/>
  <c r="U160"/>
  <c r="T160"/>
  <c r="S160"/>
  <c r="R160"/>
  <c r="L160"/>
  <c r="AB159"/>
  <c r="Y159"/>
  <c r="U159"/>
  <c r="T159"/>
  <c r="S159"/>
  <c r="R159"/>
  <c r="L159"/>
  <c r="M159" s="1"/>
  <c r="AN158"/>
  <c r="AS158" s="1"/>
  <c r="AB158"/>
  <c r="Y158"/>
  <c r="U158"/>
  <c r="T158"/>
  <c r="S158"/>
  <c r="R158"/>
  <c r="L158"/>
  <c r="AN157"/>
  <c r="AS157"/>
  <c r="AB157"/>
  <c r="AE157" s="1"/>
  <c r="AF157" s="1"/>
  <c r="AR157" s="1"/>
  <c r="Y157"/>
  <c r="U157"/>
  <c r="T157"/>
  <c r="S157"/>
  <c r="R157"/>
  <c r="L157"/>
  <c r="M157" s="1"/>
  <c r="AN156"/>
  <c r="AS156" s="1"/>
  <c r="AB156"/>
  <c r="AE156" s="1"/>
  <c r="AF156" s="1"/>
  <c r="AR156" s="1"/>
  <c r="Y156"/>
  <c r="U156"/>
  <c r="T156"/>
  <c r="S156"/>
  <c r="R156"/>
  <c r="L156"/>
  <c r="M156" s="1"/>
  <c r="AN155"/>
  <c r="AB155"/>
  <c r="AE155" s="1"/>
  <c r="AF155" s="1"/>
  <c r="AR155" s="1"/>
  <c r="Y155"/>
  <c r="U155"/>
  <c r="T155"/>
  <c r="S155"/>
  <c r="R155"/>
  <c r="L155"/>
  <c r="AN154"/>
  <c r="AS154" s="1"/>
  <c r="AB154"/>
  <c r="Y154"/>
  <c r="U154"/>
  <c r="T154"/>
  <c r="S154"/>
  <c r="R154"/>
  <c r="L154"/>
  <c r="AB153"/>
  <c r="Y153"/>
  <c r="U153"/>
  <c r="T153"/>
  <c r="S153"/>
  <c r="R153"/>
  <c r="M153"/>
  <c r="AQ153" s="1"/>
  <c r="L153"/>
  <c r="AN152"/>
  <c r="AS152" s="1"/>
  <c r="AB152"/>
  <c r="Y152"/>
  <c r="U152"/>
  <c r="T152"/>
  <c r="S152"/>
  <c r="R152"/>
  <c r="L152"/>
  <c r="AN151"/>
  <c r="AS151" s="1"/>
  <c r="AB151"/>
  <c r="AE151" s="1"/>
  <c r="AF151" s="1"/>
  <c r="AR151" s="1"/>
  <c r="Y151"/>
  <c r="U151"/>
  <c r="T151"/>
  <c r="S151"/>
  <c r="R151"/>
  <c r="L151"/>
  <c r="AN150"/>
  <c r="AS150" s="1"/>
  <c r="AB150"/>
  <c r="AF150" s="1"/>
  <c r="AR150" s="1"/>
  <c r="Y150"/>
  <c r="U150"/>
  <c r="T150"/>
  <c r="S150"/>
  <c r="R150"/>
  <c r="M150"/>
  <c r="L150"/>
  <c r="AB149"/>
  <c r="AE149" s="1"/>
  <c r="AF149" s="1"/>
  <c r="AR149" s="1"/>
  <c r="Y149"/>
  <c r="U149"/>
  <c r="T149"/>
  <c r="S149"/>
  <c r="R149"/>
  <c r="L149"/>
  <c r="AN148"/>
  <c r="AB148"/>
  <c r="Y148"/>
  <c r="U148"/>
  <c r="T148"/>
  <c r="S148"/>
  <c r="R148"/>
  <c r="L148"/>
  <c r="AB147"/>
  <c r="Y147"/>
  <c r="U147"/>
  <c r="T147"/>
  <c r="S147"/>
  <c r="R147"/>
  <c r="L147"/>
  <c r="M147" s="1"/>
  <c r="AN146"/>
  <c r="AB146"/>
  <c r="Y146"/>
  <c r="U146"/>
  <c r="T146"/>
  <c r="S146"/>
  <c r="R146"/>
  <c r="L146"/>
  <c r="AN145"/>
  <c r="AS145" s="1"/>
  <c r="AB145"/>
  <c r="Y145"/>
  <c r="U145"/>
  <c r="T145"/>
  <c r="S145"/>
  <c r="R145"/>
  <c r="L145"/>
  <c r="M145" s="1"/>
  <c r="AN144"/>
  <c r="AB144"/>
  <c r="Y144"/>
  <c r="U144"/>
  <c r="T144"/>
  <c r="S144"/>
  <c r="R144"/>
  <c r="L144"/>
  <c r="BA143"/>
  <c r="AZ143"/>
  <c r="AX143"/>
  <c r="AW143"/>
  <c r="AL143"/>
  <c r="AK143"/>
  <c r="AJ143"/>
  <c r="BA142"/>
  <c r="AZ142"/>
  <c r="AY142"/>
  <c r="AX142"/>
  <c r="AW142"/>
  <c r="AV142"/>
  <c r="AU142"/>
  <c r="AL142"/>
  <c r="AK142"/>
  <c r="AJ142"/>
  <c r="AD142"/>
  <c r="AC142"/>
  <c r="AB142"/>
  <c r="U142"/>
  <c r="T142"/>
  <c r="L142"/>
  <c r="AM141"/>
  <c r="AN141" s="1"/>
  <c r="AB141"/>
  <c r="AE141" s="1"/>
  <c r="AF141" s="1"/>
  <c r="AR141" s="1"/>
  <c r="Y141"/>
  <c r="U141"/>
  <c r="T141"/>
  <c r="S141"/>
  <c r="R141"/>
  <c r="M141"/>
  <c r="L141"/>
  <c r="AQ141" s="1"/>
  <c r="AM140"/>
  <c r="AB140"/>
  <c r="Y140"/>
  <c r="U140"/>
  <c r="T140"/>
  <c r="S140"/>
  <c r="S142" s="1"/>
  <c r="R140"/>
  <c r="R142" s="1"/>
  <c r="L140"/>
  <c r="M140" s="1"/>
  <c r="BA139"/>
  <c r="AZ139"/>
  <c r="AY139"/>
  <c r="AX139"/>
  <c r="AW139"/>
  <c r="AV139"/>
  <c r="AU139"/>
  <c r="AL139"/>
  <c r="AK139"/>
  <c r="AJ139"/>
  <c r="AE139"/>
  <c r="AD139"/>
  <c r="AC139"/>
  <c r="AM138"/>
  <c r="AN138" s="1"/>
  <c r="AS138" s="1"/>
  <c r="AB138"/>
  <c r="AF138" s="1"/>
  <c r="AR138" s="1"/>
  <c r="Y138"/>
  <c r="U138"/>
  <c r="T138"/>
  <c r="S138"/>
  <c r="R138"/>
  <c r="R139" s="1"/>
  <c r="L138"/>
  <c r="AM137"/>
  <c r="AB137"/>
  <c r="Y137"/>
  <c r="Y139" s="1"/>
  <c r="U137"/>
  <c r="U139" s="1"/>
  <c r="T137"/>
  <c r="T139" s="1"/>
  <c r="S137"/>
  <c r="S139" s="1"/>
  <c r="R137"/>
  <c r="L137"/>
  <c r="M137" s="1"/>
  <c r="BA136"/>
  <c r="AZ136"/>
  <c r="AY136"/>
  <c r="AW136"/>
  <c r="AV136"/>
  <c r="AV93" s="1"/>
  <c r="AL136"/>
  <c r="AK136"/>
  <c r="AJ136"/>
  <c r="AD136"/>
  <c r="AB135"/>
  <c r="Y135"/>
  <c r="U135"/>
  <c r="T135"/>
  <c r="S135"/>
  <c r="R135"/>
  <c r="M135"/>
  <c r="L135"/>
  <c r="AQ135" s="1"/>
  <c r="AM134"/>
  <c r="AB134"/>
  <c r="AE134" s="1"/>
  <c r="AF134" s="1"/>
  <c r="AR134" s="1"/>
  <c r="Y134"/>
  <c r="U134"/>
  <c r="T134"/>
  <c r="S134"/>
  <c r="R134"/>
  <c r="L134"/>
  <c r="M134" s="1"/>
  <c r="AQ133"/>
  <c r="AT133" s="1"/>
  <c r="BB133" s="1"/>
  <c r="AN133"/>
  <c r="AS133" s="1"/>
  <c r="AB133"/>
  <c r="AE133" s="1"/>
  <c r="AF133" s="1"/>
  <c r="AR133" s="1"/>
  <c r="Y133"/>
  <c r="U133"/>
  <c r="T133"/>
  <c r="S133"/>
  <c r="R133"/>
  <c r="L133"/>
  <c r="M133" s="1"/>
  <c r="AE132"/>
  <c r="AF132" s="1"/>
  <c r="AR132" s="1"/>
  <c r="AB132"/>
  <c r="Y132"/>
  <c r="U132"/>
  <c r="T132"/>
  <c r="S132"/>
  <c r="R132"/>
  <c r="L132"/>
  <c r="M132" s="1"/>
  <c r="AB131"/>
  <c r="Y131"/>
  <c r="U131"/>
  <c r="T131"/>
  <c r="S131"/>
  <c r="R131"/>
  <c r="L131"/>
  <c r="AN130"/>
  <c r="AB130"/>
  <c r="Y130"/>
  <c r="U130"/>
  <c r="T130"/>
  <c r="S130"/>
  <c r="R130"/>
  <c r="L130"/>
  <c r="AS129"/>
  <c r="AN129"/>
  <c r="AF129"/>
  <c r="AR129" s="1"/>
  <c r="AE129"/>
  <c r="AB129"/>
  <c r="Y129"/>
  <c r="U129"/>
  <c r="T129"/>
  <c r="S129"/>
  <c r="R129"/>
  <c r="L129"/>
  <c r="M129" s="1"/>
  <c r="AN128"/>
  <c r="AS128" s="1"/>
  <c r="AB128"/>
  <c r="Y128"/>
  <c r="U128"/>
  <c r="T128"/>
  <c r="S128"/>
  <c r="R128"/>
  <c r="L128"/>
  <c r="AN127"/>
  <c r="AB127"/>
  <c r="AE127" s="1"/>
  <c r="AF127" s="1"/>
  <c r="AR127" s="1"/>
  <c r="Y127"/>
  <c r="U127"/>
  <c r="T127"/>
  <c r="S127"/>
  <c r="R127"/>
  <c r="L127"/>
  <c r="AN126"/>
  <c r="AS126" s="1"/>
  <c r="AB126"/>
  <c r="Y126"/>
  <c r="U126"/>
  <c r="T126"/>
  <c r="S126"/>
  <c r="R126"/>
  <c r="L126"/>
  <c r="AQ125"/>
  <c r="AB125"/>
  <c r="Y125"/>
  <c r="U125"/>
  <c r="T125"/>
  <c r="S125"/>
  <c r="R125"/>
  <c r="L125"/>
  <c r="M125" s="1"/>
  <c r="AQ124"/>
  <c r="AB124"/>
  <c r="Y124"/>
  <c r="U124"/>
  <c r="T124"/>
  <c r="S124"/>
  <c r="R124"/>
  <c r="L124"/>
  <c r="M124" s="1"/>
  <c r="AQ123"/>
  <c r="AM123"/>
  <c r="AB123"/>
  <c r="Y123"/>
  <c r="U123"/>
  <c r="AE123" s="1"/>
  <c r="AF123" s="1"/>
  <c r="AR123" s="1"/>
  <c r="T123"/>
  <c r="S123"/>
  <c r="R123"/>
  <c r="L123"/>
  <c r="M123" s="1"/>
  <c r="AQ122"/>
  <c r="AN122"/>
  <c r="AB122"/>
  <c r="Y122"/>
  <c r="U122"/>
  <c r="T122"/>
  <c r="S122"/>
  <c r="R122"/>
  <c r="M122"/>
  <c r="L122"/>
  <c r="AN121"/>
  <c r="AB121"/>
  <c r="Y121"/>
  <c r="U121"/>
  <c r="T121"/>
  <c r="S121"/>
  <c r="R121"/>
  <c r="M121"/>
  <c r="L121"/>
  <c r="AQ121" s="1"/>
  <c r="AB120"/>
  <c r="AE120" s="1"/>
  <c r="AF120" s="1"/>
  <c r="AR120" s="1"/>
  <c r="Y120"/>
  <c r="U120"/>
  <c r="T120"/>
  <c r="S120"/>
  <c r="R120"/>
  <c r="M120"/>
  <c r="L120"/>
  <c r="AQ120" s="1"/>
  <c r="AS119"/>
  <c r="AQ119"/>
  <c r="AT119" s="1"/>
  <c r="BB119" s="1"/>
  <c r="AN119"/>
  <c r="AE119"/>
  <c r="AF119" s="1"/>
  <c r="AR119" s="1"/>
  <c r="AB119"/>
  <c r="Y119"/>
  <c r="U119"/>
  <c r="T119"/>
  <c r="S119"/>
  <c r="R119"/>
  <c r="M119"/>
  <c r="L119"/>
  <c r="AR118"/>
  <c r="AN118"/>
  <c r="AS118" s="1"/>
  <c r="AB118"/>
  <c r="AE118" s="1"/>
  <c r="AF118" s="1"/>
  <c r="Y118"/>
  <c r="U118"/>
  <c r="T118"/>
  <c r="S118"/>
  <c r="R118"/>
  <c r="M118"/>
  <c r="L118"/>
  <c r="AB117"/>
  <c r="Y117"/>
  <c r="U117"/>
  <c r="T117"/>
  <c r="S117"/>
  <c r="R117"/>
  <c r="L117"/>
  <c r="M117" s="1"/>
  <c r="AN116"/>
  <c r="AS116" s="1"/>
  <c r="AB116"/>
  <c r="Y116"/>
  <c r="U116"/>
  <c r="T116"/>
  <c r="S116"/>
  <c r="R116"/>
  <c r="L116"/>
  <c r="M116" s="1"/>
  <c r="AQ116" s="1"/>
  <c r="AN115"/>
  <c r="AS115" s="1"/>
  <c r="AB115"/>
  <c r="Y115"/>
  <c r="U115"/>
  <c r="T115"/>
  <c r="S115"/>
  <c r="R115"/>
  <c r="R136" s="1"/>
  <c r="L115"/>
  <c r="M115" s="1"/>
  <c r="AN114"/>
  <c r="AB114"/>
  <c r="Y114"/>
  <c r="U114"/>
  <c r="T114"/>
  <c r="S114"/>
  <c r="R114"/>
  <c r="M114"/>
  <c r="L114"/>
  <c r="BA113"/>
  <c r="AZ113"/>
  <c r="AY113"/>
  <c r="AX113"/>
  <c r="AW113"/>
  <c r="AW93" s="1"/>
  <c r="AW92" s="1"/>
  <c r="AV113"/>
  <c r="AU113"/>
  <c r="AL113"/>
  <c r="AK113"/>
  <c r="AJ113"/>
  <c r="AD113"/>
  <c r="AC113"/>
  <c r="R113"/>
  <c r="AM112"/>
  <c r="AB112"/>
  <c r="Y112"/>
  <c r="U112"/>
  <c r="T112"/>
  <c r="S112"/>
  <c r="R112"/>
  <c r="L112"/>
  <c r="M112" s="1"/>
  <c r="AQ111"/>
  <c r="AM111"/>
  <c r="AB111"/>
  <c r="Y111"/>
  <c r="U111"/>
  <c r="AE111" s="1"/>
  <c r="AF111" s="1"/>
  <c r="AR111" s="1"/>
  <c r="T111"/>
  <c r="S111"/>
  <c r="R111"/>
  <c r="L111"/>
  <c r="M111" s="1"/>
  <c r="AN110"/>
  <c r="AS110" s="1"/>
  <c r="AB110"/>
  <c r="Y110"/>
  <c r="U110"/>
  <c r="T110"/>
  <c r="S110"/>
  <c r="R110"/>
  <c r="AE110" s="1"/>
  <c r="AF110" s="1"/>
  <c r="AR110" s="1"/>
  <c r="M110"/>
  <c r="L110"/>
  <c r="AQ110" s="1"/>
  <c r="AR109"/>
  <c r="AN109"/>
  <c r="AB109"/>
  <c r="Y109"/>
  <c r="AE109" s="1"/>
  <c r="AF109" s="1"/>
  <c r="U109"/>
  <c r="T109"/>
  <c r="S109"/>
  <c r="R109"/>
  <c r="L109"/>
  <c r="AB108"/>
  <c r="Y108"/>
  <c r="U108"/>
  <c r="T108"/>
  <c r="S108"/>
  <c r="R108"/>
  <c r="L108"/>
  <c r="M108" s="1"/>
  <c r="AN107"/>
  <c r="AB107"/>
  <c r="AE107" s="1"/>
  <c r="AF107" s="1"/>
  <c r="AR107" s="1"/>
  <c r="Y107"/>
  <c r="U107"/>
  <c r="T107"/>
  <c r="S107"/>
  <c r="R107"/>
  <c r="M107"/>
  <c r="AQ107" s="1"/>
  <c r="L107"/>
  <c r="AN106"/>
  <c r="AB106"/>
  <c r="Y106"/>
  <c r="U106"/>
  <c r="U113" s="1"/>
  <c r="T106"/>
  <c r="S106"/>
  <c r="R106"/>
  <c r="M106"/>
  <c r="AQ106" s="1"/>
  <c r="L106"/>
  <c r="AN105"/>
  <c r="AE105"/>
  <c r="AF105" s="1"/>
  <c r="AR105" s="1"/>
  <c r="AB105"/>
  <c r="Y105"/>
  <c r="U105"/>
  <c r="T105"/>
  <c r="S105"/>
  <c r="R105"/>
  <c r="M105"/>
  <c r="L105"/>
  <c r="AQ105" s="1"/>
  <c r="AN104"/>
  <c r="AS104" s="1"/>
  <c r="AB104"/>
  <c r="Y104"/>
  <c r="U104"/>
  <c r="T104"/>
  <c r="S104"/>
  <c r="AE104" s="1"/>
  <c r="AF104" s="1"/>
  <c r="AR104" s="1"/>
  <c r="R104"/>
  <c r="M104"/>
  <c r="L104"/>
  <c r="AQ104" s="1"/>
  <c r="AN103"/>
  <c r="AS103" s="1"/>
  <c r="AE103"/>
  <c r="AF103" s="1"/>
  <c r="AR103" s="1"/>
  <c r="AB103"/>
  <c r="Y103"/>
  <c r="U103"/>
  <c r="T103"/>
  <c r="S103"/>
  <c r="R103"/>
  <c r="M103"/>
  <c r="L103"/>
  <c r="AQ103" s="1"/>
  <c r="AN102"/>
  <c r="AS102" s="1"/>
  <c r="AE102"/>
  <c r="AF102" s="1"/>
  <c r="AB102"/>
  <c r="AB113" s="1"/>
  <c r="Y102"/>
  <c r="Y113" s="1"/>
  <c r="U102"/>
  <c r="T102"/>
  <c r="S102"/>
  <c r="R102"/>
  <c r="M102"/>
  <c r="L102"/>
  <c r="L113" s="1"/>
  <c r="BA101"/>
  <c r="AZ101"/>
  <c r="AY101"/>
  <c r="AY93" s="1"/>
  <c r="AX101"/>
  <c r="AW101"/>
  <c r="AV101"/>
  <c r="AU101"/>
  <c r="AL101"/>
  <c r="AL93" s="1"/>
  <c r="AL92" s="1"/>
  <c r="AK101"/>
  <c r="AK93" s="1"/>
  <c r="AK92" s="1"/>
  <c r="AJ101"/>
  <c r="AD101"/>
  <c r="AC101"/>
  <c r="AM100"/>
  <c r="AB100"/>
  <c r="Y100"/>
  <c r="U100"/>
  <c r="T100"/>
  <c r="S100"/>
  <c r="R100"/>
  <c r="L100"/>
  <c r="M100" s="1"/>
  <c r="AQ99"/>
  <c r="AM99"/>
  <c r="AN99" s="1"/>
  <c r="AB99"/>
  <c r="Y99"/>
  <c r="U99"/>
  <c r="T99"/>
  <c r="S99"/>
  <c r="AE99" s="1"/>
  <c r="AF99" s="1"/>
  <c r="AR99" s="1"/>
  <c r="R99"/>
  <c r="L99"/>
  <c r="M99" s="1"/>
  <c r="AN98"/>
  <c r="AE98"/>
  <c r="AF98" s="1"/>
  <c r="AR98" s="1"/>
  <c r="AB98"/>
  <c r="Y98"/>
  <c r="U98"/>
  <c r="T98"/>
  <c r="S98"/>
  <c r="R98"/>
  <c r="M98"/>
  <c r="L98"/>
  <c r="AQ97"/>
  <c r="AN97"/>
  <c r="AS97" s="1"/>
  <c r="AE97"/>
  <c r="AF97" s="1"/>
  <c r="AR97" s="1"/>
  <c r="AB97"/>
  <c r="Y97"/>
  <c r="U97"/>
  <c r="T97"/>
  <c r="S97"/>
  <c r="R97"/>
  <c r="M97"/>
  <c r="L97"/>
  <c r="AQ96"/>
  <c r="AN96"/>
  <c r="AS96" s="1"/>
  <c r="AB96"/>
  <c r="Y96"/>
  <c r="U96"/>
  <c r="T96"/>
  <c r="S96"/>
  <c r="R96"/>
  <c r="R101" s="1"/>
  <c r="M96"/>
  <c r="L96"/>
  <c r="AB95"/>
  <c r="Y95"/>
  <c r="AE95" s="1"/>
  <c r="AF95" s="1"/>
  <c r="AR95" s="1"/>
  <c r="U95"/>
  <c r="T95"/>
  <c r="S95"/>
  <c r="R95"/>
  <c r="M95"/>
  <c r="L95"/>
  <c r="AQ95" s="1"/>
  <c r="AB94"/>
  <c r="Y94"/>
  <c r="Y101" s="1"/>
  <c r="U94"/>
  <c r="U101" s="1"/>
  <c r="T94"/>
  <c r="T101" s="1"/>
  <c r="S94"/>
  <c r="R94"/>
  <c r="L94"/>
  <c r="L101" s="1"/>
  <c r="BA93"/>
  <c r="BA92" s="1"/>
  <c r="AZ93"/>
  <c r="AZ92" s="1"/>
  <c r="AD93"/>
  <c r="AD92" s="1"/>
  <c r="Z92"/>
  <c r="BA91"/>
  <c r="AZ91"/>
  <c r="AZ80" s="1"/>
  <c r="AY91"/>
  <c r="AX91"/>
  <c r="AX80" s="1"/>
  <c r="AW91"/>
  <c r="AW80" s="1"/>
  <c r="AV91"/>
  <c r="AU91"/>
  <c r="AL91"/>
  <c r="AL80" s="1"/>
  <c r="AK91"/>
  <c r="AJ91"/>
  <c r="AJ80" s="1"/>
  <c r="AD91"/>
  <c r="AC91"/>
  <c r="L91"/>
  <c r="L80" s="1"/>
  <c r="AB90"/>
  <c r="AE90" s="1"/>
  <c r="AF90" s="1"/>
  <c r="AR90" s="1"/>
  <c r="Y90"/>
  <c r="U90"/>
  <c r="T90"/>
  <c r="S90"/>
  <c r="R90"/>
  <c r="M90"/>
  <c r="L90"/>
  <c r="AQ90" s="1"/>
  <c r="AB89"/>
  <c r="AE89" s="1"/>
  <c r="AF89" s="1"/>
  <c r="AR89" s="1"/>
  <c r="Y89"/>
  <c r="U89"/>
  <c r="T89"/>
  <c r="S89"/>
  <c r="R89"/>
  <c r="L89"/>
  <c r="M89" s="1"/>
  <c r="AN88"/>
  <c r="AS88" s="1"/>
  <c r="AB88"/>
  <c r="Y88"/>
  <c r="U88"/>
  <c r="AE88" s="1"/>
  <c r="AF88" s="1"/>
  <c r="AR88" s="1"/>
  <c r="T88"/>
  <c r="S88"/>
  <c r="R88"/>
  <c r="L88"/>
  <c r="M88" s="1"/>
  <c r="AE87"/>
  <c r="AF87" s="1"/>
  <c r="AR87" s="1"/>
  <c r="AB87"/>
  <c r="Y87"/>
  <c r="U87"/>
  <c r="T87"/>
  <c r="S87"/>
  <c r="R87"/>
  <c r="M87"/>
  <c r="L87"/>
  <c r="AQ87" s="1"/>
  <c r="AR86"/>
  <c r="AN86"/>
  <c r="AB86"/>
  <c r="AE86" s="1"/>
  <c r="AF86" s="1"/>
  <c r="Y86"/>
  <c r="U86"/>
  <c r="T86"/>
  <c r="S86"/>
  <c r="R86"/>
  <c r="M86"/>
  <c r="L86"/>
  <c r="AQ86" s="1"/>
  <c r="AN85"/>
  <c r="AS85" s="1"/>
  <c r="AB85"/>
  <c r="Y85"/>
  <c r="AE85" s="1"/>
  <c r="AF85" s="1"/>
  <c r="AR85" s="1"/>
  <c r="U85"/>
  <c r="T85"/>
  <c r="S85"/>
  <c r="R85"/>
  <c r="L85"/>
  <c r="M85" s="1"/>
  <c r="AN84"/>
  <c r="AE84"/>
  <c r="AF84" s="1"/>
  <c r="AR84" s="1"/>
  <c r="AB84"/>
  <c r="Y84"/>
  <c r="U84"/>
  <c r="T84"/>
  <c r="S84"/>
  <c r="R84"/>
  <c r="M84"/>
  <c r="L84"/>
  <c r="AQ84" s="1"/>
  <c r="AN83"/>
  <c r="AS83" s="1"/>
  <c r="AB83"/>
  <c r="Y83"/>
  <c r="AE83" s="1"/>
  <c r="AF83" s="1"/>
  <c r="AR83" s="1"/>
  <c r="U83"/>
  <c r="T83"/>
  <c r="S83"/>
  <c r="R83"/>
  <c r="M83"/>
  <c r="L83"/>
  <c r="AQ83" s="1"/>
  <c r="AN82"/>
  <c r="AS82" s="1"/>
  <c r="AF82"/>
  <c r="AR82" s="1"/>
  <c r="AB82"/>
  <c r="Y82"/>
  <c r="AE82" s="1"/>
  <c r="U82"/>
  <c r="T82"/>
  <c r="S82"/>
  <c r="R82"/>
  <c r="M82"/>
  <c r="L82"/>
  <c r="AQ82" s="1"/>
  <c r="AN81"/>
  <c r="AS81" s="1"/>
  <c r="AB81"/>
  <c r="AB91" s="1"/>
  <c r="Y81"/>
  <c r="Y91" s="1"/>
  <c r="Y80" s="1"/>
  <c r="U81"/>
  <c r="T81"/>
  <c r="T91" s="1"/>
  <c r="T80" s="1"/>
  <c r="S81"/>
  <c r="S91" s="1"/>
  <c r="S80" s="1"/>
  <c r="R81"/>
  <c r="R91" s="1"/>
  <c r="R80" s="1"/>
  <c r="M81"/>
  <c r="M91" s="1"/>
  <c r="M80" s="1"/>
  <c r="L81"/>
  <c r="AQ81" s="1"/>
  <c r="BA80"/>
  <c r="AY80"/>
  <c r="AV80"/>
  <c r="AU80"/>
  <c r="AK80"/>
  <c r="AD80"/>
  <c r="AC80"/>
  <c r="AB80"/>
  <c r="BA79"/>
  <c r="AZ79"/>
  <c r="AY79"/>
  <c r="AX79"/>
  <c r="AX40" s="1"/>
  <c r="AW79"/>
  <c r="AV79"/>
  <c r="AU79"/>
  <c r="AL79"/>
  <c r="AK79"/>
  <c r="AJ79"/>
  <c r="AJ40" s="1"/>
  <c r="AD79"/>
  <c r="AC79"/>
  <c r="AN78"/>
  <c r="AS78" s="1"/>
  <c r="AB78"/>
  <c r="AE78" s="1"/>
  <c r="AF78" s="1"/>
  <c r="AR78" s="1"/>
  <c r="Y78"/>
  <c r="U78"/>
  <c r="T78"/>
  <c r="S78"/>
  <c r="R78"/>
  <c r="M78"/>
  <c r="L78"/>
  <c r="AQ78" s="1"/>
  <c r="AB77"/>
  <c r="AE77" s="1"/>
  <c r="AF77" s="1"/>
  <c r="AR77" s="1"/>
  <c r="Y77"/>
  <c r="U77"/>
  <c r="T77"/>
  <c r="S77"/>
  <c r="R77"/>
  <c r="L77"/>
  <c r="M77" s="1"/>
  <c r="AB76"/>
  <c r="Y76"/>
  <c r="U76"/>
  <c r="AE76" s="1"/>
  <c r="AF76" s="1"/>
  <c r="AR76" s="1"/>
  <c r="T76"/>
  <c r="S76"/>
  <c r="R76"/>
  <c r="L76"/>
  <c r="M76" s="1"/>
  <c r="AE75"/>
  <c r="AF75" s="1"/>
  <c r="AR75" s="1"/>
  <c r="AB75"/>
  <c r="Y75"/>
  <c r="U75"/>
  <c r="T75"/>
  <c r="S75"/>
  <c r="R75"/>
  <c r="M75"/>
  <c r="L75"/>
  <c r="AQ75" s="1"/>
  <c r="AN74"/>
  <c r="AB74"/>
  <c r="AE74" s="1"/>
  <c r="AF74" s="1"/>
  <c r="AR74" s="1"/>
  <c r="Y74"/>
  <c r="U74"/>
  <c r="T74"/>
  <c r="S74"/>
  <c r="R74"/>
  <c r="M74"/>
  <c r="L74"/>
  <c r="AN73"/>
  <c r="AS73" s="1"/>
  <c r="AB73"/>
  <c r="Y73"/>
  <c r="AE73" s="1"/>
  <c r="AF73" s="1"/>
  <c r="AR73" s="1"/>
  <c r="U73"/>
  <c r="T73"/>
  <c r="S73"/>
  <c r="R73"/>
  <c r="L73"/>
  <c r="M73" s="1"/>
  <c r="AN72"/>
  <c r="AE72"/>
  <c r="AF72" s="1"/>
  <c r="AR72" s="1"/>
  <c r="AB72"/>
  <c r="Y72"/>
  <c r="U72"/>
  <c r="T72"/>
  <c r="S72"/>
  <c r="R72"/>
  <c r="M72"/>
  <c r="L72"/>
  <c r="AQ72" s="1"/>
  <c r="AN71"/>
  <c r="AS71" s="1"/>
  <c r="AB71"/>
  <c r="Y71"/>
  <c r="AE71" s="1"/>
  <c r="AF71" s="1"/>
  <c r="AR71" s="1"/>
  <c r="U71"/>
  <c r="T71"/>
  <c r="S71"/>
  <c r="R71"/>
  <c r="M71"/>
  <c r="L71"/>
  <c r="AQ71" s="1"/>
  <c r="AN70"/>
  <c r="AS70" s="1"/>
  <c r="AB70"/>
  <c r="Y70"/>
  <c r="AE70" s="1"/>
  <c r="AF70" s="1"/>
  <c r="AR70" s="1"/>
  <c r="U70"/>
  <c r="T70"/>
  <c r="S70"/>
  <c r="R70"/>
  <c r="M70"/>
  <c r="L70"/>
  <c r="AQ70" s="1"/>
  <c r="AN69"/>
  <c r="AS69" s="1"/>
  <c r="AB69"/>
  <c r="Y69"/>
  <c r="U69"/>
  <c r="T69"/>
  <c r="S69"/>
  <c r="R69"/>
  <c r="M69"/>
  <c r="L69"/>
  <c r="AQ69" s="1"/>
  <c r="AN68"/>
  <c r="AS68"/>
  <c r="AB68"/>
  <c r="AE68" s="1"/>
  <c r="AF68" s="1"/>
  <c r="AR68" s="1"/>
  <c r="Y68"/>
  <c r="U68"/>
  <c r="T68"/>
  <c r="S68"/>
  <c r="R68"/>
  <c r="L68"/>
  <c r="M68" s="1"/>
  <c r="AS67"/>
  <c r="AN67"/>
  <c r="AB67"/>
  <c r="Y67"/>
  <c r="U67"/>
  <c r="AE67" s="1"/>
  <c r="AF67" s="1"/>
  <c r="AR67" s="1"/>
  <c r="T67"/>
  <c r="S67"/>
  <c r="R67"/>
  <c r="L67"/>
  <c r="M67" s="1"/>
  <c r="AN66"/>
  <c r="AS66" s="1"/>
  <c r="AB66"/>
  <c r="AE66" s="1"/>
  <c r="AF66" s="1"/>
  <c r="AR66" s="1"/>
  <c r="Y66"/>
  <c r="U66"/>
  <c r="T66"/>
  <c r="S66"/>
  <c r="R66"/>
  <c r="M66"/>
  <c r="L66"/>
  <c r="AQ66" s="1"/>
  <c r="AB65"/>
  <c r="AE65" s="1"/>
  <c r="AF65" s="1"/>
  <c r="AR65" s="1"/>
  <c r="Y65"/>
  <c r="U65"/>
  <c r="T65"/>
  <c r="S65"/>
  <c r="R65"/>
  <c r="L65"/>
  <c r="M65" s="1"/>
  <c r="AB64"/>
  <c r="Y64"/>
  <c r="U64"/>
  <c r="AE64" s="1"/>
  <c r="AF64" s="1"/>
  <c r="AR64" s="1"/>
  <c r="T64"/>
  <c r="S64"/>
  <c r="R64"/>
  <c r="L64"/>
  <c r="M64" s="1"/>
  <c r="AE63"/>
  <c r="AF63" s="1"/>
  <c r="AR63" s="1"/>
  <c r="AB63"/>
  <c r="Y63"/>
  <c r="U63"/>
  <c r="T63"/>
  <c r="S63"/>
  <c r="R63"/>
  <c r="M63"/>
  <c r="L63"/>
  <c r="AQ63" s="1"/>
  <c r="AN62"/>
  <c r="AB62"/>
  <c r="Y62"/>
  <c r="AE62" s="1"/>
  <c r="AF62" s="1"/>
  <c r="AR62" s="1"/>
  <c r="U62"/>
  <c r="T62"/>
  <c r="S62"/>
  <c r="R62"/>
  <c r="M62"/>
  <c r="L62"/>
  <c r="AQ62" s="1"/>
  <c r="AN61"/>
  <c r="AS61" s="1"/>
  <c r="AB61"/>
  <c r="Y61"/>
  <c r="AE61" s="1"/>
  <c r="AF61" s="1"/>
  <c r="AR61" s="1"/>
  <c r="U61"/>
  <c r="U79" s="1"/>
  <c r="T61"/>
  <c r="S61"/>
  <c r="R61"/>
  <c r="L61"/>
  <c r="M61" s="1"/>
  <c r="AN60"/>
  <c r="AE60"/>
  <c r="AB60"/>
  <c r="AB79" s="1"/>
  <c r="Y60"/>
  <c r="Y79" s="1"/>
  <c r="U60"/>
  <c r="T60"/>
  <c r="T79" s="1"/>
  <c r="S60"/>
  <c r="S79" s="1"/>
  <c r="R60"/>
  <c r="M60"/>
  <c r="L60"/>
  <c r="AQ60" s="1"/>
  <c r="BA59"/>
  <c r="AZ59"/>
  <c r="AY59"/>
  <c r="AX59"/>
  <c r="AW59"/>
  <c r="AV59"/>
  <c r="AU59"/>
  <c r="AL59"/>
  <c r="AK59"/>
  <c r="AJ59"/>
  <c r="AD59"/>
  <c r="AC59"/>
  <c r="Z59"/>
  <c r="U59"/>
  <c r="U40" s="1"/>
  <c r="AB58"/>
  <c r="AE58" s="1"/>
  <c r="AF58" s="1"/>
  <c r="AR58" s="1"/>
  <c r="Y58"/>
  <c r="U58"/>
  <c r="T58"/>
  <c r="S58"/>
  <c r="R58"/>
  <c r="L58"/>
  <c r="M58" s="1"/>
  <c r="AQ57"/>
  <c r="AT57" s="1"/>
  <c r="BB57" s="1"/>
  <c r="AN57"/>
  <c r="AS57" s="1"/>
  <c r="AB57"/>
  <c r="Y57"/>
  <c r="U57"/>
  <c r="AE57" s="1"/>
  <c r="AF57" s="1"/>
  <c r="AR57" s="1"/>
  <c r="T57"/>
  <c r="S57"/>
  <c r="R57"/>
  <c r="L57"/>
  <c r="M57" s="1"/>
  <c r="AB56"/>
  <c r="Y56"/>
  <c r="U56"/>
  <c r="AE56" s="1"/>
  <c r="AF56" s="1"/>
  <c r="AR56" s="1"/>
  <c r="T56"/>
  <c r="S56"/>
  <c r="R56"/>
  <c r="M56"/>
  <c r="L56"/>
  <c r="AQ56" s="1"/>
  <c r="AB55"/>
  <c r="Y55"/>
  <c r="U55"/>
  <c r="T55"/>
  <c r="S55"/>
  <c r="R55"/>
  <c r="M55"/>
  <c r="L55"/>
  <c r="AN54"/>
  <c r="AS54"/>
  <c r="AB54"/>
  <c r="Y54"/>
  <c r="U54"/>
  <c r="T54"/>
  <c r="S54"/>
  <c r="AE54" s="1"/>
  <c r="AF54" s="1"/>
  <c r="AR54" s="1"/>
  <c r="R54"/>
  <c r="L54"/>
  <c r="M54" s="1"/>
  <c r="AN53"/>
  <c r="AS53" s="1"/>
  <c r="AE53"/>
  <c r="AF53" s="1"/>
  <c r="AR53" s="1"/>
  <c r="AB53"/>
  <c r="Y53"/>
  <c r="U53"/>
  <c r="T53"/>
  <c r="S53"/>
  <c r="R53"/>
  <c r="M53"/>
  <c r="L53"/>
  <c r="AB52"/>
  <c r="Y52"/>
  <c r="AE52" s="1"/>
  <c r="AF52" s="1"/>
  <c r="AR52" s="1"/>
  <c r="U52"/>
  <c r="T52"/>
  <c r="S52"/>
  <c r="R52"/>
  <c r="M52"/>
  <c r="L52"/>
  <c r="AB51"/>
  <c r="Y51"/>
  <c r="AE51" s="1"/>
  <c r="AF51" s="1"/>
  <c r="AR51" s="1"/>
  <c r="U51"/>
  <c r="T51"/>
  <c r="S51"/>
  <c r="R51"/>
  <c r="M51"/>
  <c r="L51"/>
  <c r="AQ51" s="1"/>
  <c r="AN50"/>
  <c r="AS50" s="1"/>
  <c r="AB50"/>
  <c r="Y50"/>
  <c r="U50"/>
  <c r="T50"/>
  <c r="S50"/>
  <c r="R50"/>
  <c r="M50"/>
  <c r="L50"/>
  <c r="AQ50" s="1"/>
  <c r="AN49"/>
  <c r="AS49" s="1"/>
  <c r="AB49"/>
  <c r="Y49"/>
  <c r="U49"/>
  <c r="T49"/>
  <c r="S49"/>
  <c r="R49"/>
  <c r="L49"/>
  <c r="M49" s="1"/>
  <c r="AN48"/>
  <c r="AS48" s="1"/>
  <c r="AB48"/>
  <c r="Y48"/>
  <c r="U48"/>
  <c r="T48"/>
  <c r="S48"/>
  <c r="R48"/>
  <c r="L48"/>
  <c r="M48" s="1"/>
  <c r="AN47"/>
  <c r="AS47" s="1"/>
  <c r="AB47"/>
  <c r="Y47"/>
  <c r="U47"/>
  <c r="T47"/>
  <c r="S47"/>
  <c r="R47"/>
  <c r="M47"/>
  <c r="L47"/>
  <c r="AQ47" s="1"/>
  <c r="AQ46"/>
  <c r="AB46"/>
  <c r="Y46"/>
  <c r="U46"/>
  <c r="T46"/>
  <c r="S46"/>
  <c r="R46"/>
  <c r="L46"/>
  <c r="M46" s="1"/>
  <c r="AQ45"/>
  <c r="AN45"/>
  <c r="AS45" s="1"/>
  <c r="AB45"/>
  <c r="Y45"/>
  <c r="U45"/>
  <c r="AE45" s="1"/>
  <c r="AF45" s="1"/>
  <c r="AR45" s="1"/>
  <c r="T45"/>
  <c r="S45"/>
  <c r="R45"/>
  <c r="L45"/>
  <c r="M45" s="1"/>
  <c r="AR44"/>
  <c r="AE44"/>
  <c r="AF44" s="1"/>
  <c r="AB44"/>
  <c r="Y44"/>
  <c r="U44"/>
  <c r="T44"/>
  <c r="S44"/>
  <c r="R44"/>
  <c r="M44"/>
  <c r="L44"/>
  <c r="AQ44" s="1"/>
  <c r="AB43"/>
  <c r="Y43"/>
  <c r="U43"/>
  <c r="T43"/>
  <c r="S43"/>
  <c r="R43"/>
  <c r="L43"/>
  <c r="M43" s="1"/>
  <c r="AQ43" s="1"/>
  <c r="AN42"/>
  <c r="AE42"/>
  <c r="AF42" s="1"/>
  <c r="AR42" s="1"/>
  <c r="AB42"/>
  <c r="Y42"/>
  <c r="U42"/>
  <c r="T42"/>
  <c r="S42"/>
  <c r="R42"/>
  <c r="L42"/>
  <c r="M42" s="1"/>
  <c r="AN41"/>
  <c r="AE41"/>
  <c r="AB41"/>
  <c r="AB59" s="1"/>
  <c r="AB40" s="1"/>
  <c r="Y41"/>
  <c r="U41"/>
  <c r="T41"/>
  <c r="S41"/>
  <c r="R41"/>
  <c r="M41"/>
  <c r="L41"/>
  <c r="L59" s="1"/>
  <c r="BA40"/>
  <c r="BA31" s="1"/>
  <c r="AZ40"/>
  <c r="AY40"/>
  <c r="AW40"/>
  <c r="AV40"/>
  <c r="AU40"/>
  <c r="AL40"/>
  <c r="AK40"/>
  <c r="AK31" s="1"/>
  <c r="AD40"/>
  <c r="AC40"/>
  <c r="BA39"/>
  <c r="AZ39"/>
  <c r="AZ32" s="1"/>
  <c r="AZ31" s="1"/>
  <c r="AY39"/>
  <c r="AX39"/>
  <c r="AW39"/>
  <c r="AW32" s="1"/>
  <c r="AV39"/>
  <c r="AU39"/>
  <c r="AU32" s="1"/>
  <c r="AU31" s="1"/>
  <c r="AL39"/>
  <c r="AL32" s="1"/>
  <c r="AL31" s="1"/>
  <c r="AK39"/>
  <c r="AJ39"/>
  <c r="AD39"/>
  <c r="AD32" s="1"/>
  <c r="AD31" s="1"/>
  <c r="AC39"/>
  <c r="Y39"/>
  <c r="Y32" s="1"/>
  <c r="AR38"/>
  <c r="AN38"/>
  <c r="AS38" s="1"/>
  <c r="AB38"/>
  <c r="AE38" s="1"/>
  <c r="AF38" s="1"/>
  <c r="Y38"/>
  <c r="U38"/>
  <c r="T38"/>
  <c r="S38"/>
  <c r="R38"/>
  <c r="M38"/>
  <c r="L38"/>
  <c r="AQ38" s="1"/>
  <c r="AQ37"/>
  <c r="AB37"/>
  <c r="Y37"/>
  <c r="U37"/>
  <c r="T37"/>
  <c r="S37"/>
  <c r="R37"/>
  <c r="L37"/>
  <c r="M37" s="1"/>
  <c r="AQ36"/>
  <c r="AN36"/>
  <c r="AS36" s="1"/>
  <c r="AF36"/>
  <c r="AR36" s="1"/>
  <c r="AB36"/>
  <c r="Y36"/>
  <c r="U36"/>
  <c r="AE36" s="1"/>
  <c r="T36"/>
  <c r="S36"/>
  <c r="R36"/>
  <c r="L36"/>
  <c r="M36" s="1"/>
  <c r="AN35"/>
  <c r="AS35" s="1"/>
  <c r="AB35"/>
  <c r="AE35" s="1"/>
  <c r="AF35" s="1"/>
  <c r="AR35" s="1"/>
  <c r="Y35"/>
  <c r="U35"/>
  <c r="T35"/>
  <c r="S35"/>
  <c r="R35"/>
  <c r="M35"/>
  <c r="L35"/>
  <c r="AQ35" s="1"/>
  <c r="AB34"/>
  <c r="AE34" s="1"/>
  <c r="AF34" s="1"/>
  <c r="AR34" s="1"/>
  <c r="Y34"/>
  <c r="U34"/>
  <c r="T34"/>
  <c r="S34"/>
  <c r="R34"/>
  <c r="L34"/>
  <c r="M34" s="1"/>
  <c r="AN33"/>
  <c r="AE33"/>
  <c r="AB33"/>
  <c r="AB39" s="1"/>
  <c r="AB32" s="1"/>
  <c r="AB31" s="1"/>
  <c r="Y33"/>
  <c r="U33"/>
  <c r="U39" s="1"/>
  <c r="U32" s="1"/>
  <c r="T33"/>
  <c r="S33"/>
  <c r="S39" s="1"/>
  <c r="S32" s="1"/>
  <c r="R33"/>
  <c r="R39" s="1"/>
  <c r="R32" s="1"/>
  <c r="L33"/>
  <c r="BA32"/>
  <c r="AY32"/>
  <c r="AX32"/>
  <c r="AV32"/>
  <c r="AV31" s="1"/>
  <c r="AK32"/>
  <c r="AJ32"/>
  <c r="AC32"/>
  <c r="AY31"/>
  <c r="AX31"/>
  <c r="AW31"/>
  <c r="AJ31"/>
  <c r="AC31"/>
  <c r="BA30"/>
  <c r="AZ30"/>
  <c r="AY30"/>
  <c r="AX30"/>
  <c r="AW30"/>
  <c r="AV30"/>
  <c r="AU30"/>
  <c r="AL30"/>
  <c r="AK30"/>
  <c r="AJ30"/>
  <c r="AD30"/>
  <c r="AC30"/>
  <c r="L30"/>
  <c r="AB29"/>
  <c r="Y29"/>
  <c r="AE29" s="1"/>
  <c r="AF29" s="1"/>
  <c r="AR29" s="1"/>
  <c r="U29"/>
  <c r="U30" s="1"/>
  <c r="T29"/>
  <c r="S29"/>
  <c r="R29"/>
  <c r="L29"/>
  <c r="M29" s="1"/>
  <c r="M30" s="1"/>
  <c r="AN28"/>
  <c r="AS28" s="1"/>
  <c r="AF28"/>
  <c r="AR28" s="1"/>
  <c r="AE28"/>
  <c r="AB28"/>
  <c r="Y28"/>
  <c r="U28"/>
  <c r="T28"/>
  <c r="S28"/>
  <c r="R28"/>
  <c r="M28"/>
  <c r="L28"/>
  <c r="AQ28" s="1"/>
  <c r="AN27"/>
  <c r="AS27" s="1"/>
  <c r="AB27"/>
  <c r="Y27"/>
  <c r="AE27" s="1"/>
  <c r="AF27" s="1"/>
  <c r="AR27" s="1"/>
  <c r="U27"/>
  <c r="T27"/>
  <c r="T30" s="1"/>
  <c r="S27"/>
  <c r="S30" s="1"/>
  <c r="R27"/>
  <c r="M27"/>
  <c r="L27"/>
  <c r="AQ27" s="1"/>
  <c r="AN26"/>
  <c r="AS26" s="1"/>
  <c r="AB26"/>
  <c r="AE26" s="1"/>
  <c r="Y26"/>
  <c r="Y30" s="1"/>
  <c r="U26"/>
  <c r="T26"/>
  <c r="S26"/>
  <c r="R26"/>
  <c r="R30" s="1"/>
  <c r="M26"/>
  <c r="L26"/>
  <c r="AQ26" s="1"/>
  <c r="BA25"/>
  <c r="AZ25"/>
  <c r="AY25"/>
  <c r="AX25"/>
  <c r="AW25"/>
  <c r="AV25"/>
  <c r="AU25"/>
  <c r="AL25"/>
  <c r="AK25"/>
  <c r="AJ25"/>
  <c r="AD25"/>
  <c r="AC25"/>
  <c r="R25"/>
  <c r="AN24"/>
  <c r="AS24"/>
  <c r="AB24"/>
  <c r="AE24" s="1"/>
  <c r="AF24" s="1"/>
  <c r="AR24" s="1"/>
  <c r="Y24"/>
  <c r="U24"/>
  <c r="T24"/>
  <c r="S24"/>
  <c r="R24"/>
  <c r="L24"/>
  <c r="M24" s="1"/>
  <c r="AN23"/>
  <c r="AB23"/>
  <c r="Y23"/>
  <c r="U23"/>
  <c r="AE23" s="1"/>
  <c r="AF23" s="1"/>
  <c r="AR23" s="1"/>
  <c r="T23"/>
  <c r="S23"/>
  <c r="R23"/>
  <c r="L23"/>
  <c r="M23" s="1"/>
  <c r="AN22"/>
  <c r="AS22" s="1"/>
  <c r="AB22"/>
  <c r="AE22" s="1"/>
  <c r="AF22" s="1"/>
  <c r="AR22" s="1"/>
  <c r="Y22"/>
  <c r="U22"/>
  <c r="T22"/>
  <c r="T25" s="1"/>
  <c r="S22"/>
  <c r="R22"/>
  <c r="M22"/>
  <c r="L22"/>
  <c r="AQ22" s="1"/>
  <c r="AE21"/>
  <c r="AF21" s="1"/>
  <c r="AR21" s="1"/>
  <c r="AB21"/>
  <c r="Y21"/>
  <c r="U21"/>
  <c r="T21"/>
  <c r="S21"/>
  <c r="R21"/>
  <c r="L21"/>
  <c r="M21" s="1"/>
  <c r="AN20"/>
  <c r="AS20" s="1"/>
  <c r="AB20"/>
  <c r="AE20" s="1"/>
  <c r="AF20" s="1"/>
  <c r="AR20" s="1"/>
  <c r="Y20"/>
  <c r="U20"/>
  <c r="T20"/>
  <c r="S20"/>
  <c r="R20"/>
  <c r="M20"/>
  <c r="L20"/>
  <c r="AQ20" s="1"/>
  <c r="AE19"/>
  <c r="AF19" s="1"/>
  <c r="AR19" s="1"/>
  <c r="AB19"/>
  <c r="AB25" s="1"/>
  <c r="Y19"/>
  <c r="U19"/>
  <c r="T19"/>
  <c r="S19"/>
  <c r="R19"/>
  <c r="L19"/>
  <c r="M19" s="1"/>
  <c r="AM18"/>
  <c r="AN18" s="1"/>
  <c r="AB18"/>
  <c r="AE18" s="1"/>
  <c r="Y18"/>
  <c r="Y25" s="1"/>
  <c r="U18"/>
  <c r="U25" s="1"/>
  <c r="T18"/>
  <c r="S18"/>
  <c r="S25" s="1"/>
  <c r="R18"/>
  <c r="M18"/>
  <c r="L18"/>
  <c r="AQ18" s="1"/>
  <c r="BA17"/>
  <c r="AZ17"/>
  <c r="AY17"/>
  <c r="AX17"/>
  <c r="AW17"/>
  <c r="AV17"/>
  <c r="AU17"/>
  <c r="AL17"/>
  <c r="AK17"/>
  <c r="AJ17"/>
  <c r="AD17"/>
  <c r="AC17"/>
  <c r="Y17"/>
  <c r="U17"/>
  <c r="T17"/>
  <c r="S17"/>
  <c r="R17"/>
  <c r="L17"/>
  <c r="AN16"/>
  <c r="AN17" s="1"/>
  <c r="AM17"/>
  <c r="AF16"/>
  <c r="AF17" s="1"/>
  <c r="AE16"/>
  <c r="AE17" s="1"/>
  <c r="AB16"/>
  <c r="AB17" s="1"/>
  <c r="Y16"/>
  <c r="U16"/>
  <c r="T16"/>
  <c r="S16"/>
  <c r="R16"/>
  <c r="M16"/>
  <c r="M17" s="1"/>
  <c r="L16"/>
  <c r="AQ16" s="1"/>
  <c r="BA15"/>
  <c r="AZ15"/>
  <c r="AZ6" s="1"/>
  <c r="AZ5" s="1"/>
  <c r="AY15"/>
  <c r="AX15"/>
  <c r="AW15"/>
  <c r="AV15"/>
  <c r="AU15"/>
  <c r="AU6" s="1"/>
  <c r="AU5" s="1"/>
  <c r="AL15"/>
  <c r="AL6" s="1"/>
  <c r="AL5" s="1"/>
  <c r="AK15"/>
  <c r="AJ15"/>
  <c r="AD15"/>
  <c r="AD6" s="1"/>
  <c r="AD5" s="1"/>
  <c r="AC15"/>
  <c r="AC6" s="1"/>
  <c r="AC5" s="1"/>
  <c r="T15"/>
  <c r="AN14"/>
  <c r="AS14" s="1"/>
  <c r="AB14"/>
  <c r="AE14" s="1"/>
  <c r="AF14" s="1"/>
  <c r="AR14" s="1"/>
  <c r="Y14"/>
  <c r="U14"/>
  <c r="T14"/>
  <c r="S14"/>
  <c r="R14"/>
  <c r="M14"/>
  <c r="L14"/>
  <c r="AQ14" s="1"/>
  <c r="AN13"/>
  <c r="AS13" s="1"/>
  <c r="AB13"/>
  <c r="AE13" s="1"/>
  <c r="AF13" s="1"/>
  <c r="AR13" s="1"/>
  <c r="Y13"/>
  <c r="U13"/>
  <c r="T13"/>
  <c r="S13"/>
  <c r="R13"/>
  <c r="L13"/>
  <c r="M13" s="1"/>
  <c r="AN12"/>
  <c r="AS12" s="1"/>
  <c r="AB12"/>
  <c r="AE12" s="1"/>
  <c r="AF12" s="1"/>
  <c r="AR12" s="1"/>
  <c r="Y12"/>
  <c r="U12"/>
  <c r="T12"/>
  <c r="S12"/>
  <c r="R12"/>
  <c r="L12"/>
  <c r="M12" s="1"/>
  <c r="AN11"/>
  <c r="AB11"/>
  <c r="Y11"/>
  <c r="U11"/>
  <c r="AE11" s="1"/>
  <c r="AF11" s="1"/>
  <c r="AR11" s="1"/>
  <c r="T11"/>
  <c r="S11"/>
  <c r="R11"/>
  <c r="L11"/>
  <c r="M11" s="1"/>
  <c r="AN10"/>
  <c r="AS10" s="1"/>
  <c r="AB10"/>
  <c r="AE10" s="1"/>
  <c r="AF10" s="1"/>
  <c r="AR10" s="1"/>
  <c r="Y10"/>
  <c r="U10"/>
  <c r="T10"/>
  <c r="S10"/>
  <c r="R10"/>
  <c r="M10"/>
  <c r="L10"/>
  <c r="AQ10" s="1"/>
  <c r="AT10" s="1"/>
  <c r="BB10" s="1"/>
  <c r="AE9"/>
  <c r="AF9" s="1"/>
  <c r="AR9" s="1"/>
  <c r="AB9"/>
  <c r="Y9"/>
  <c r="U9"/>
  <c r="T9"/>
  <c r="S9"/>
  <c r="R9"/>
  <c r="L9"/>
  <c r="M9" s="1"/>
  <c r="AN8"/>
  <c r="AS8" s="1"/>
  <c r="AB8"/>
  <c r="AE8" s="1"/>
  <c r="AF8" s="1"/>
  <c r="AR8" s="1"/>
  <c r="Y8"/>
  <c r="U8"/>
  <c r="T8"/>
  <c r="S8"/>
  <c r="S15" s="1"/>
  <c r="R8"/>
  <c r="R15" s="1"/>
  <c r="R6" s="1"/>
  <c r="R5" s="1"/>
  <c r="M8"/>
  <c r="L8"/>
  <c r="AQ8" s="1"/>
  <c r="AM15"/>
  <c r="AE7"/>
  <c r="AB7"/>
  <c r="AB15" s="1"/>
  <c r="Y7"/>
  <c r="Y15" s="1"/>
  <c r="Y6" s="1"/>
  <c r="Y5" s="1"/>
  <c r="U7"/>
  <c r="U15" s="1"/>
  <c r="U6" s="1"/>
  <c r="U5" s="1"/>
  <c r="T7"/>
  <c r="S7"/>
  <c r="R7"/>
  <c r="L7"/>
  <c r="L15" s="1"/>
  <c r="BA6"/>
  <c r="BA5" s="1"/>
  <c r="AY6"/>
  <c r="AY5" s="1"/>
  <c r="AX6"/>
  <c r="AX5" s="1"/>
  <c r="AW6"/>
  <c r="AW5" s="1"/>
  <c r="AV6"/>
  <c r="AK6"/>
  <c r="AK5" s="1"/>
  <c r="AJ6"/>
  <c r="AJ5" s="1"/>
  <c r="AA6"/>
  <c r="Z6"/>
  <c r="AV5"/>
  <c r="AA5"/>
  <c r="Z5"/>
  <c r="AB241" i="16"/>
  <c r="AE241" s="1"/>
  <c r="AF241" s="1"/>
  <c r="AR241" s="1"/>
  <c r="AR242" s="1"/>
  <c r="BV38" i="18" s="1"/>
  <c r="Y241" i="16"/>
  <c r="T241"/>
  <c r="L241"/>
  <c r="M241" s="1"/>
  <c r="AN240"/>
  <c r="AS240" s="1"/>
  <c r="AB240"/>
  <c r="Y240"/>
  <c r="U240"/>
  <c r="T240"/>
  <c r="S240"/>
  <c r="R240"/>
  <c r="L240"/>
  <c r="M240" s="1"/>
  <c r="AB239"/>
  <c r="Y239"/>
  <c r="U239"/>
  <c r="T239"/>
  <c r="S239"/>
  <c r="R239"/>
  <c r="L239"/>
  <c r="M239" s="1"/>
  <c r="AN238"/>
  <c r="AB238"/>
  <c r="Y238"/>
  <c r="U238"/>
  <c r="T238"/>
  <c r="S238"/>
  <c r="R238"/>
  <c r="M238"/>
  <c r="L238"/>
  <c r="AM242"/>
  <c r="AB237"/>
  <c r="Y237"/>
  <c r="U237"/>
  <c r="U242" s="1"/>
  <c r="T237"/>
  <c r="S237"/>
  <c r="S242" s="1"/>
  <c r="R237"/>
  <c r="R242" s="1"/>
  <c r="L237"/>
  <c r="AB235"/>
  <c r="Y235"/>
  <c r="U235"/>
  <c r="T235"/>
  <c r="S235"/>
  <c r="R235"/>
  <c r="L235"/>
  <c r="M235" s="1"/>
  <c r="AQ235" s="1"/>
  <c r="AB234"/>
  <c r="AE234" s="1"/>
  <c r="AF234" s="1"/>
  <c r="AR234" s="1"/>
  <c r="Y234"/>
  <c r="U234"/>
  <c r="T234"/>
  <c r="S234"/>
  <c r="R234"/>
  <c r="L234"/>
  <c r="M234" s="1"/>
  <c r="AN233"/>
  <c r="AS233" s="1"/>
  <c r="AB233"/>
  <c r="AB236" s="1"/>
  <c r="Y233"/>
  <c r="Y236" s="1"/>
  <c r="U233"/>
  <c r="T233"/>
  <c r="S233"/>
  <c r="S236" s="1"/>
  <c r="R233"/>
  <c r="L233"/>
  <c r="M233" s="1"/>
  <c r="AM231"/>
  <c r="AN231" s="1"/>
  <c r="AB231"/>
  <c r="Y231"/>
  <c r="AE231" s="1"/>
  <c r="AF231" s="1"/>
  <c r="AR231" s="1"/>
  <c r="U231"/>
  <c r="T231"/>
  <c r="S231"/>
  <c r="R231"/>
  <c r="M231"/>
  <c r="L231"/>
  <c r="AN230"/>
  <c r="AS230" s="1"/>
  <c r="AB230"/>
  <c r="Y230"/>
  <c r="T230"/>
  <c r="L230"/>
  <c r="M230" s="1"/>
  <c r="AN229"/>
  <c r="AS229" s="1"/>
  <c r="AB229"/>
  <c r="Y229"/>
  <c r="U229"/>
  <c r="T229"/>
  <c r="AE229" s="1"/>
  <c r="AF229" s="1"/>
  <c r="AR229" s="1"/>
  <c r="S229"/>
  <c r="R229"/>
  <c r="L229"/>
  <c r="M229" s="1"/>
  <c r="AN228"/>
  <c r="AS228" s="1"/>
  <c r="AB228"/>
  <c r="AE228" s="1"/>
  <c r="AF228" s="1"/>
  <c r="AR228" s="1"/>
  <c r="Y228"/>
  <c r="U228"/>
  <c r="T228"/>
  <c r="S228"/>
  <c r="R228"/>
  <c r="L228"/>
  <c r="M228" s="1"/>
  <c r="AB227"/>
  <c r="AE227" s="1"/>
  <c r="AF227" s="1"/>
  <c r="AR227" s="1"/>
  <c r="Y227"/>
  <c r="U227"/>
  <c r="T227"/>
  <c r="S227"/>
  <c r="R227"/>
  <c r="L227"/>
  <c r="M227" s="1"/>
  <c r="AN226"/>
  <c r="AS226" s="1"/>
  <c r="AB226"/>
  <c r="Y226"/>
  <c r="U226"/>
  <c r="T226"/>
  <c r="S226"/>
  <c r="R226"/>
  <c r="L226"/>
  <c r="M226" s="1"/>
  <c r="AB225"/>
  <c r="Y225"/>
  <c r="Y232" s="1"/>
  <c r="U225"/>
  <c r="T225"/>
  <c r="S225"/>
  <c r="R225"/>
  <c r="L225"/>
  <c r="M225" s="1"/>
  <c r="AN221"/>
  <c r="AS221" s="1"/>
  <c r="AB221"/>
  <c r="Y221"/>
  <c r="U221"/>
  <c r="T221"/>
  <c r="S221"/>
  <c r="R221"/>
  <c r="L221"/>
  <c r="AB220"/>
  <c r="Y220"/>
  <c r="U220"/>
  <c r="T220"/>
  <c r="S220"/>
  <c r="R220"/>
  <c r="L220"/>
  <c r="M220" s="1"/>
  <c r="AN219"/>
  <c r="AS219" s="1"/>
  <c r="AB219"/>
  <c r="Y219"/>
  <c r="U219"/>
  <c r="T219"/>
  <c r="S219"/>
  <c r="R219"/>
  <c r="L219"/>
  <c r="M219" s="1"/>
  <c r="AB218"/>
  <c r="AE218" s="1"/>
  <c r="AF218" s="1"/>
  <c r="AR218" s="1"/>
  <c r="Y218"/>
  <c r="U218"/>
  <c r="T218"/>
  <c r="S218"/>
  <c r="R218"/>
  <c r="L218"/>
  <c r="M218" s="1"/>
  <c r="AN217"/>
  <c r="AB217"/>
  <c r="Y217"/>
  <c r="U217"/>
  <c r="T217"/>
  <c r="S217"/>
  <c r="R217"/>
  <c r="M217"/>
  <c r="L217"/>
  <c r="AB216"/>
  <c r="Y216"/>
  <c r="U216"/>
  <c r="T216"/>
  <c r="S216"/>
  <c r="R216"/>
  <c r="M216"/>
  <c r="L216"/>
  <c r="AN215"/>
  <c r="AB215"/>
  <c r="Y215"/>
  <c r="T215"/>
  <c r="L215"/>
  <c r="M215" s="1"/>
  <c r="AB214"/>
  <c r="Y214"/>
  <c r="U214"/>
  <c r="T214"/>
  <c r="S214"/>
  <c r="R214"/>
  <c r="L214"/>
  <c r="M214" s="1"/>
  <c r="AN213"/>
  <c r="AS213" s="1"/>
  <c r="AF213"/>
  <c r="AR213" s="1"/>
  <c r="AB213"/>
  <c r="Y213"/>
  <c r="T213"/>
  <c r="S213"/>
  <c r="R213"/>
  <c r="L213"/>
  <c r="AN212"/>
  <c r="AB212"/>
  <c r="Y212"/>
  <c r="U212"/>
  <c r="T212"/>
  <c r="S212"/>
  <c r="R212"/>
  <c r="M212"/>
  <c r="L212"/>
  <c r="AN211"/>
  <c r="AS211" s="1"/>
  <c r="AB211"/>
  <c r="Y211"/>
  <c r="U211"/>
  <c r="T211"/>
  <c r="S211"/>
  <c r="R211"/>
  <c r="L211"/>
  <c r="AN210"/>
  <c r="AS210" s="1"/>
  <c r="AB210"/>
  <c r="Y210"/>
  <c r="U210"/>
  <c r="T210"/>
  <c r="S210"/>
  <c r="R210"/>
  <c r="L210"/>
  <c r="M210" s="1"/>
  <c r="AB209"/>
  <c r="Y209"/>
  <c r="U209"/>
  <c r="T209"/>
  <c r="S209"/>
  <c r="R209"/>
  <c r="L209"/>
  <c r="M209" s="1"/>
  <c r="AN208"/>
  <c r="AS208" s="1"/>
  <c r="AB208"/>
  <c r="Y208"/>
  <c r="T208"/>
  <c r="L208"/>
  <c r="AN207"/>
  <c r="AS207" s="1"/>
  <c r="AB207"/>
  <c r="Y207"/>
  <c r="U207"/>
  <c r="T207"/>
  <c r="S207"/>
  <c r="R207"/>
  <c r="L207"/>
  <c r="AB206"/>
  <c r="Y206"/>
  <c r="U206"/>
  <c r="T206"/>
  <c r="S206"/>
  <c r="R206"/>
  <c r="L206"/>
  <c r="M206" s="1"/>
  <c r="AN205"/>
  <c r="AS205" s="1"/>
  <c r="AB205"/>
  <c r="Y205"/>
  <c r="U205"/>
  <c r="T205"/>
  <c r="S205"/>
  <c r="R205"/>
  <c r="L205"/>
  <c r="M205" s="1"/>
  <c r="AB204"/>
  <c r="Y204"/>
  <c r="T204"/>
  <c r="L204"/>
  <c r="M204" s="1"/>
  <c r="AN203"/>
  <c r="AB203"/>
  <c r="Y203"/>
  <c r="U203"/>
  <c r="T203"/>
  <c r="S203"/>
  <c r="R203"/>
  <c r="M203"/>
  <c r="L203"/>
  <c r="AN200"/>
  <c r="AS200" s="1"/>
  <c r="AB200"/>
  <c r="Y200"/>
  <c r="U200"/>
  <c r="T200"/>
  <c r="S200"/>
  <c r="R200"/>
  <c r="L200"/>
  <c r="M200" s="1"/>
  <c r="AQ200" s="1"/>
  <c r="AN199"/>
  <c r="AS199" s="1"/>
  <c r="AB199"/>
  <c r="Y199"/>
  <c r="U199"/>
  <c r="T199"/>
  <c r="S199"/>
  <c r="R199"/>
  <c r="M199"/>
  <c r="L199"/>
  <c r="AB198"/>
  <c r="Y198"/>
  <c r="U198"/>
  <c r="T198"/>
  <c r="S198"/>
  <c r="R198"/>
  <c r="L198"/>
  <c r="M198" s="1"/>
  <c r="AN197"/>
  <c r="AS197" s="1"/>
  <c r="AB197"/>
  <c r="Y197"/>
  <c r="T197"/>
  <c r="L197"/>
  <c r="AN196"/>
  <c r="AS196" s="1"/>
  <c r="AB196"/>
  <c r="Y196"/>
  <c r="U196"/>
  <c r="T196"/>
  <c r="S196"/>
  <c r="R196"/>
  <c r="L196"/>
  <c r="M196" s="1"/>
  <c r="AB195"/>
  <c r="Y195"/>
  <c r="U195"/>
  <c r="T195"/>
  <c r="S195"/>
  <c r="R195"/>
  <c r="L195"/>
  <c r="M195" s="1"/>
  <c r="AN194"/>
  <c r="AB194"/>
  <c r="Y194"/>
  <c r="T194"/>
  <c r="M194"/>
  <c r="L194"/>
  <c r="AB193"/>
  <c r="Y193"/>
  <c r="U193"/>
  <c r="T193"/>
  <c r="S193"/>
  <c r="R193"/>
  <c r="L193"/>
  <c r="AB192"/>
  <c r="Y192"/>
  <c r="U192"/>
  <c r="T192"/>
  <c r="S192"/>
  <c r="R192"/>
  <c r="L192"/>
  <c r="M192" s="1"/>
  <c r="AB191"/>
  <c r="Y191"/>
  <c r="U191"/>
  <c r="T191"/>
  <c r="S191"/>
  <c r="R191"/>
  <c r="L191"/>
  <c r="M191" s="1"/>
  <c r="AN190"/>
  <c r="AS190" s="1"/>
  <c r="AB190"/>
  <c r="Y190"/>
  <c r="T190"/>
  <c r="L190"/>
  <c r="AN189"/>
  <c r="AS189" s="1"/>
  <c r="AB189"/>
  <c r="Y189"/>
  <c r="U189"/>
  <c r="T189"/>
  <c r="AE189" s="1"/>
  <c r="AF189" s="1"/>
  <c r="AR189" s="1"/>
  <c r="S189"/>
  <c r="R189"/>
  <c r="L189"/>
  <c r="AN188"/>
  <c r="AS188" s="1"/>
  <c r="AB188"/>
  <c r="Y188"/>
  <c r="U188"/>
  <c r="T188"/>
  <c r="S188"/>
  <c r="R188"/>
  <c r="L188"/>
  <c r="AN187"/>
  <c r="AS187" s="1"/>
  <c r="AB187"/>
  <c r="Y187"/>
  <c r="T187"/>
  <c r="S187"/>
  <c r="R187"/>
  <c r="L187"/>
  <c r="M187" s="1"/>
  <c r="AB186"/>
  <c r="Y186"/>
  <c r="U186"/>
  <c r="T186"/>
  <c r="AE186" s="1"/>
  <c r="AF186" s="1"/>
  <c r="AR186" s="1"/>
  <c r="S186"/>
  <c r="R186"/>
  <c r="L186"/>
  <c r="M186" s="1"/>
  <c r="AB185"/>
  <c r="Y185"/>
  <c r="U185"/>
  <c r="T185"/>
  <c r="S185"/>
  <c r="R185"/>
  <c r="M185"/>
  <c r="L185"/>
  <c r="AB184"/>
  <c r="Y184"/>
  <c r="T184"/>
  <c r="S184"/>
  <c r="R184"/>
  <c r="L184"/>
  <c r="M184" s="1"/>
  <c r="AN183"/>
  <c r="AS183" s="1"/>
  <c r="AB183"/>
  <c r="Y183"/>
  <c r="U183"/>
  <c r="T183"/>
  <c r="S183"/>
  <c r="AE183" s="1"/>
  <c r="AF183" s="1"/>
  <c r="AR183" s="1"/>
  <c r="R183"/>
  <c r="L183"/>
  <c r="M183" s="1"/>
  <c r="AN182"/>
  <c r="AS182" s="1"/>
  <c r="AB182"/>
  <c r="Y182"/>
  <c r="U182"/>
  <c r="T182"/>
  <c r="S182"/>
  <c r="R182"/>
  <c r="M182"/>
  <c r="L182"/>
  <c r="AN181"/>
  <c r="AS181" s="1"/>
  <c r="AB181"/>
  <c r="Y181"/>
  <c r="U181"/>
  <c r="T181"/>
  <c r="S181"/>
  <c r="R181"/>
  <c r="L181"/>
  <c r="AB180"/>
  <c r="Y180"/>
  <c r="U180"/>
  <c r="T180"/>
  <c r="S180"/>
  <c r="R180"/>
  <c r="L180"/>
  <c r="AB177"/>
  <c r="Y177"/>
  <c r="AE177"/>
  <c r="AF177" s="1"/>
  <c r="AR177" s="1"/>
  <c r="L177"/>
  <c r="M177" s="1"/>
  <c r="AN176"/>
  <c r="AS176" s="1"/>
  <c r="AS178" s="1"/>
  <c r="AB176"/>
  <c r="Y176"/>
  <c r="U176"/>
  <c r="T176"/>
  <c r="S176"/>
  <c r="R176"/>
  <c r="L176"/>
  <c r="M176" s="1"/>
  <c r="AN175"/>
  <c r="AS175" s="1"/>
  <c r="AB175"/>
  <c r="AF175" s="1"/>
  <c r="AR175" s="1"/>
  <c r="Y175"/>
  <c r="T175"/>
  <c r="S175"/>
  <c r="R175"/>
  <c r="L175"/>
  <c r="M175" s="1"/>
  <c r="AQ174"/>
  <c r="AB174"/>
  <c r="Y174"/>
  <c r="U174"/>
  <c r="T174"/>
  <c r="S174"/>
  <c r="R174"/>
  <c r="L174"/>
  <c r="M174" s="1"/>
  <c r="AN173"/>
  <c r="AS173" s="1"/>
  <c r="AB173"/>
  <c r="Y173"/>
  <c r="U173"/>
  <c r="T173"/>
  <c r="S173"/>
  <c r="R173"/>
  <c r="L173"/>
  <c r="M173" s="1"/>
  <c r="AB172"/>
  <c r="Y172"/>
  <c r="U172"/>
  <c r="T172"/>
  <c r="AE172" s="1"/>
  <c r="AF172" s="1"/>
  <c r="AR172" s="1"/>
  <c r="S172"/>
  <c r="R172"/>
  <c r="L172"/>
  <c r="M172" s="1"/>
  <c r="AB171"/>
  <c r="Y171"/>
  <c r="U171"/>
  <c r="T171"/>
  <c r="S171"/>
  <c r="R171"/>
  <c r="M171"/>
  <c r="L171"/>
  <c r="AN170"/>
  <c r="AS170" s="1"/>
  <c r="AB170"/>
  <c r="Y170"/>
  <c r="U170"/>
  <c r="T170"/>
  <c r="S170"/>
  <c r="R170"/>
  <c r="L170"/>
  <c r="M170" s="1"/>
  <c r="AN169"/>
  <c r="AB169"/>
  <c r="Y169"/>
  <c r="U169"/>
  <c r="T169"/>
  <c r="S169"/>
  <c r="R169"/>
  <c r="L169"/>
  <c r="M169" s="1"/>
  <c r="AN167"/>
  <c r="AS167" s="1"/>
  <c r="AB167"/>
  <c r="Y167"/>
  <c r="U167"/>
  <c r="T167"/>
  <c r="S167"/>
  <c r="R167"/>
  <c r="M167"/>
  <c r="L167"/>
  <c r="AN166"/>
  <c r="AS166" s="1"/>
  <c r="AB166"/>
  <c r="Y166"/>
  <c r="U166"/>
  <c r="T166"/>
  <c r="S166"/>
  <c r="R166"/>
  <c r="M166"/>
  <c r="AQ166" s="1"/>
  <c r="L166"/>
  <c r="AQ165"/>
  <c r="AB165"/>
  <c r="Y165"/>
  <c r="U165"/>
  <c r="T165"/>
  <c r="S165"/>
  <c r="R165"/>
  <c r="L165"/>
  <c r="M165" s="1"/>
  <c r="AN164"/>
  <c r="AB164"/>
  <c r="Y164"/>
  <c r="U164"/>
  <c r="T164"/>
  <c r="S164"/>
  <c r="R164"/>
  <c r="L164"/>
  <c r="M164" s="1"/>
  <c r="AN163"/>
  <c r="AS163" s="1"/>
  <c r="AB163"/>
  <c r="Y163"/>
  <c r="U163"/>
  <c r="T163"/>
  <c r="S163"/>
  <c r="R163"/>
  <c r="L163"/>
  <c r="M163" s="1"/>
  <c r="AN162"/>
  <c r="AS162" s="1"/>
  <c r="AB162"/>
  <c r="Y162"/>
  <c r="U162"/>
  <c r="T162"/>
  <c r="S162"/>
  <c r="R162"/>
  <c r="L162"/>
  <c r="M162" s="1"/>
  <c r="AN161"/>
  <c r="AB161"/>
  <c r="Y161"/>
  <c r="U161"/>
  <c r="T161"/>
  <c r="S161"/>
  <c r="R161"/>
  <c r="M161"/>
  <c r="AQ161" s="1"/>
  <c r="L161"/>
  <c r="AN160"/>
  <c r="AS160" s="1"/>
  <c r="AB160"/>
  <c r="AE160" s="1"/>
  <c r="AF160" s="1"/>
  <c r="AR160" s="1"/>
  <c r="Y160"/>
  <c r="U160"/>
  <c r="T160"/>
  <c r="S160"/>
  <c r="R160"/>
  <c r="L160"/>
  <c r="M160" s="1"/>
  <c r="AN159"/>
  <c r="AB159"/>
  <c r="Y159"/>
  <c r="U159"/>
  <c r="T159"/>
  <c r="S159"/>
  <c r="R159"/>
  <c r="L159"/>
  <c r="M159" s="1"/>
  <c r="AB158"/>
  <c r="Y158"/>
  <c r="T158"/>
  <c r="M158"/>
  <c r="L158"/>
  <c r="AQ157"/>
  <c r="AN157"/>
  <c r="AS157" s="1"/>
  <c r="AB157"/>
  <c r="Y157"/>
  <c r="U157"/>
  <c r="T157"/>
  <c r="S157"/>
  <c r="R157"/>
  <c r="L157"/>
  <c r="M157" s="1"/>
  <c r="AN156"/>
  <c r="AS156" s="1"/>
  <c r="AB156"/>
  <c r="AE156" s="1"/>
  <c r="AF156" s="1"/>
  <c r="AR156" s="1"/>
  <c r="Y156"/>
  <c r="U156"/>
  <c r="T156"/>
  <c r="S156"/>
  <c r="R156"/>
  <c r="L156"/>
  <c r="AB155"/>
  <c r="Y155"/>
  <c r="U155"/>
  <c r="T155"/>
  <c r="S155"/>
  <c r="R155"/>
  <c r="L155"/>
  <c r="M155" s="1"/>
  <c r="AN154"/>
  <c r="AS154" s="1"/>
  <c r="AB154"/>
  <c r="Y154"/>
  <c r="U154"/>
  <c r="T154"/>
  <c r="S154"/>
  <c r="R154"/>
  <c r="L154"/>
  <c r="M154" s="1"/>
  <c r="AF153"/>
  <c r="AR153" s="1"/>
  <c r="AB153"/>
  <c r="Y153"/>
  <c r="T153"/>
  <c r="L153"/>
  <c r="AN152"/>
  <c r="AS152" s="1"/>
  <c r="AB152"/>
  <c r="Y152"/>
  <c r="U152"/>
  <c r="T152"/>
  <c r="S152"/>
  <c r="R152"/>
  <c r="L152"/>
  <c r="AB151"/>
  <c r="Y151"/>
  <c r="U151"/>
  <c r="T151"/>
  <c r="S151"/>
  <c r="R151"/>
  <c r="L151"/>
  <c r="AN150"/>
  <c r="AS150" s="1"/>
  <c r="AB150"/>
  <c r="Y150"/>
  <c r="U150"/>
  <c r="T150"/>
  <c r="S150"/>
  <c r="R150"/>
  <c r="L150"/>
  <c r="M150" s="1"/>
  <c r="AB149"/>
  <c r="Y149"/>
  <c r="U149"/>
  <c r="T149"/>
  <c r="S149"/>
  <c r="R149"/>
  <c r="L149"/>
  <c r="M149" s="1"/>
  <c r="AQ149" s="1"/>
  <c r="AN148"/>
  <c r="AB148"/>
  <c r="Y148"/>
  <c r="U148"/>
  <c r="T148"/>
  <c r="S148"/>
  <c r="R148"/>
  <c r="L148"/>
  <c r="M148" s="1"/>
  <c r="AB147"/>
  <c r="Y147"/>
  <c r="U147"/>
  <c r="T147"/>
  <c r="S147"/>
  <c r="R147"/>
  <c r="L147"/>
  <c r="M147" s="1"/>
  <c r="AB146"/>
  <c r="Y146"/>
  <c r="U146"/>
  <c r="T146"/>
  <c r="S146"/>
  <c r="R146"/>
  <c r="L146"/>
  <c r="M146" s="1"/>
  <c r="AN145"/>
  <c r="AS145" s="1"/>
  <c r="AB145"/>
  <c r="Y145"/>
  <c r="Y168" s="1"/>
  <c r="U145"/>
  <c r="T145"/>
  <c r="S145"/>
  <c r="R145"/>
  <c r="L145"/>
  <c r="AB144"/>
  <c r="Y144"/>
  <c r="U144"/>
  <c r="T144"/>
  <c r="S144"/>
  <c r="R144"/>
  <c r="M144"/>
  <c r="L144"/>
  <c r="Y142"/>
  <c r="AM141"/>
  <c r="AN141" s="1"/>
  <c r="AB141"/>
  <c r="Y141"/>
  <c r="U141"/>
  <c r="AE141" s="1"/>
  <c r="AF141" s="1"/>
  <c r="AR141" s="1"/>
  <c r="T141"/>
  <c r="S141"/>
  <c r="R141"/>
  <c r="R142" s="1"/>
  <c r="L141"/>
  <c r="M141" s="1"/>
  <c r="AM140"/>
  <c r="AB140"/>
  <c r="AB142" s="1"/>
  <c r="Y140"/>
  <c r="U140"/>
  <c r="U142" s="1"/>
  <c r="T140"/>
  <c r="T142" s="1"/>
  <c r="S140"/>
  <c r="S142" s="1"/>
  <c r="R140"/>
  <c r="L140"/>
  <c r="AE139"/>
  <c r="Y139"/>
  <c r="AM138"/>
  <c r="AB138"/>
  <c r="AF138" s="1"/>
  <c r="AR138" s="1"/>
  <c r="Y138"/>
  <c r="U138"/>
  <c r="T138"/>
  <c r="S138"/>
  <c r="R138"/>
  <c r="L138"/>
  <c r="AM137"/>
  <c r="AN137" s="1"/>
  <c r="AB137"/>
  <c r="AB139" s="1"/>
  <c r="Y137"/>
  <c r="U137"/>
  <c r="U139" s="1"/>
  <c r="T137"/>
  <c r="T139" s="1"/>
  <c r="S137"/>
  <c r="S139" s="1"/>
  <c r="R137"/>
  <c r="R139" s="1"/>
  <c r="L137"/>
  <c r="M137" s="1"/>
  <c r="AQ137" s="1"/>
  <c r="AB135"/>
  <c r="Y135"/>
  <c r="U135"/>
  <c r="T135"/>
  <c r="S135"/>
  <c r="AE135" s="1"/>
  <c r="AF135" s="1"/>
  <c r="AR135" s="1"/>
  <c r="R135"/>
  <c r="L135"/>
  <c r="M135" s="1"/>
  <c r="AS134"/>
  <c r="AB134"/>
  <c r="Y134"/>
  <c r="U134"/>
  <c r="T134"/>
  <c r="S134"/>
  <c r="R134"/>
  <c r="AE134" s="1"/>
  <c r="AF134" s="1"/>
  <c r="AR134" s="1"/>
  <c r="L134"/>
  <c r="AN133"/>
  <c r="AB133"/>
  <c r="Y133"/>
  <c r="U133"/>
  <c r="T133"/>
  <c r="S133"/>
  <c r="R133"/>
  <c r="L133"/>
  <c r="M133" s="1"/>
  <c r="AN132"/>
  <c r="AS132" s="1"/>
  <c r="AB132"/>
  <c r="Y132"/>
  <c r="T132"/>
  <c r="L132"/>
  <c r="M132" s="1"/>
  <c r="Y131"/>
  <c r="T131"/>
  <c r="L131"/>
  <c r="M131" s="1"/>
  <c r="AB130"/>
  <c r="Y130"/>
  <c r="U130"/>
  <c r="T130"/>
  <c r="S130"/>
  <c r="R130"/>
  <c r="L130"/>
  <c r="AB129"/>
  <c r="Y129"/>
  <c r="U129"/>
  <c r="T129"/>
  <c r="S129"/>
  <c r="R129"/>
  <c r="L129"/>
  <c r="AN128"/>
  <c r="AS128" s="1"/>
  <c r="AB128"/>
  <c r="Y128"/>
  <c r="U128"/>
  <c r="T128"/>
  <c r="S128"/>
  <c r="AE128" s="1"/>
  <c r="AF128" s="1"/>
  <c r="AR128" s="1"/>
  <c r="R128"/>
  <c r="L128"/>
  <c r="M128" s="1"/>
  <c r="AN127"/>
  <c r="AS127" s="1"/>
  <c r="AB127"/>
  <c r="Y127"/>
  <c r="U127"/>
  <c r="AE127" s="1"/>
  <c r="AF127" s="1"/>
  <c r="AR127" s="1"/>
  <c r="T127"/>
  <c r="S127"/>
  <c r="R127"/>
  <c r="L127"/>
  <c r="M127" s="1"/>
  <c r="AN126"/>
  <c r="AS126" s="1"/>
  <c r="AB126"/>
  <c r="Y126"/>
  <c r="U126"/>
  <c r="T126"/>
  <c r="S126"/>
  <c r="R126"/>
  <c r="L126"/>
  <c r="M126" s="1"/>
  <c r="AB125"/>
  <c r="Y125"/>
  <c r="U125"/>
  <c r="T125"/>
  <c r="AE125" s="1"/>
  <c r="AF125" s="1"/>
  <c r="AR125" s="1"/>
  <c r="S125"/>
  <c r="R125"/>
  <c r="L125"/>
  <c r="AB124"/>
  <c r="AE124" s="1"/>
  <c r="AF124" s="1"/>
  <c r="AR124" s="1"/>
  <c r="Y124"/>
  <c r="U124"/>
  <c r="T124"/>
  <c r="S124"/>
  <c r="R124"/>
  <c r="L124"/>
  <c r="AM123"/>
  <c r="AB123"/>
  <c r="Y123"/>
  <c r="U123"/>
  <c r="T123"/>
  <c r="S123"/>
  <c r="R123"/>
  <c r="L123"/>
  <c r="M123" s="1"/>
  <c r="AB122"/>
  <c r="Y122"/>
  <c r="U122"/>
  <c r="T122"/>
  <c r="S122"/>
  <c r="AE122" s="1"/>
  <c r="AF122" s="1"/>
  <c r="AR122" s="1"/>
  <c r="R122"/>
  <c r="L122"/>
  <c r="M122" s="1"/>
  <c r="AB121"/>
  <c r="Y121"/>
  <c r="U121"/>
  <c r="T121"/>
  <c r="S121"/>
  <c r="R121"/>
  <c r="M121"/>
  <c r="L121"/>
  <c r="AN120"/>
  <c r="AS120" s="1"/>
  <c r="AB120"/>
  <c r="Y120"/>
  <c r="U120"/>
  <c r="T120"/>
  <c r="S120"/>
  <c r="R120"/>
  <c r="L120"/>
  <c r="M120" s="1"/>
  <c r="AN119"/>
  <c r="AS119" s="1"/>
  <c r="AB119"/>
  <c r="Y119"/>
  <c r="U119"/>
  <c r="T119"/>
  <c r="S119"/>
  <c r="R119"/>
  <c r="AE119" s="1"/>
  <c r="AF119" s="1"/>
  <c r="AR119" s="1"/>
  <c r="M119"/>
  <c r="L119"/>
  <c r="AB118"/>
  <c r="Y118"/>
  <c r="U118"/>
  <c r="T118"/>
  <c r="S118"/>
  <c r="R118"/>
  <c r="M118"/>
  <c r="L118"/>
  <c r="AB117"/>
  <c r="Y117"/>
  <c r="U117"/>
  <c r="T117"/>
  <c r="S117"/>
  <c r="R117"/>
  <c r="L117"/>
  <c r="M117" s="1"/>
  <c r="AB116"/>
  <c r="Y116"/>
  <c r="U116"/>
  <c r="T116"/>
  <c r="S116"/>
  <c r="R116"/>
  <c r="M116"/>
  <c r="AQ116" s="1"/>
  <c r="L116"/>
  <c r="AN115"/>
  <c r="AB115"/>
  <c r="Y115"/>
  <c r="T115"/>
  <c r="L115"/>
  <c r="AB114"/>
  <c r="Y114"/>
  <c r="U114"/>
  <c r="T114"/>
  <c r="S114"/>
  <c r="R114"/>
  <c r="M114"/>
  <c r="L114"/>
  <c r="AM112"/>
  <c r="AB112"/>
  <c r="Y112"/>
  <c r="U112"/>
  <c r="T112"/>
  <c r="S112"/>
  <c r="R112"/>
  <c r="L112"/>
  <c r="M112" s="1"/>
  <c r="AM111"/>
  <c r="AB111"/>
  <c r="Y111"/>
  <c r="T111"/>
  <c r="L111"/>
  <c r="AQ110"/>
  <c r="AN110"/>
  <c r="AS110" s="1"/>
  <c r="AB110"/>
  <c r="Y110"/>
  <c r="U110"/>
  <c r="T110"/>
  <c r="S110"/>
  <c r="AE110" s="1"/>
  <c r="AF110" s="1"/>
  <c r="AR110" s="1"/>
  <c r="R110"/>
  <c r="L110"/>
  <c r="M110" s="1"/>
  <c r="AN109"/>
  <c r="AS109" s="1"/>
  <c r="AB109"/>
  <c r="Y109"/>
  <c r="U109"/>
  <c r="T109"/>
  <c r="S109"/>
  <c r="R109"/>
  <c r="L109"/>
  <c r="AB108"/>
  <c r="Y108"/>
  <c r="T108"/>
  <c r="S108"/>
  <c r="R108"/>
  <c r="L108"/>
  <c r="M108" s="1"/>
  <c r="AQ108" s="1"/>
  <c r="AQ107"/>
  <c r="AN107"/>
  <c r="AS107" s="1"/>
  <c r="AB107"/>
  <c r="Y107"/>
  <c r="U107"/>
  <c r="T107"/>
  <c r="S107"/>
  <c r="R107"/>
  <c r="L107"/>
  <c r="M107" s="1"/>
  <c r="AN106"/>
  <c r="AB106"/>
  <c r="Y106"/>
  <c r="U106"/>
  <c r="T106"/>
  <c r="S106"/>
  <c r="R106"/>
  <c r="L106"/>
  <c r="M106" s="1"/>
  <c r="AB105"/>
  <c r="Y105"/>
  <c r="U105"/>
  <c r="T105"/>
  <c r="S105"/>
  <c r="R105"/>
  <c r="L105"/>
  <c r="M105" s="1"/>
  <c r="AN104"/>
  <c r="AS104" s="1"/>
  <c r="AB104"/>
  <c r="Y104"/>
  <c r="U104"/>
  <c r="T104"/>
  <c r="S104"/>
  <c r="R104"/>
  <c r="L104"/>
  <c r="AN103"/>
  <c r="AS103" s="1"/>
  <c r="AB103"/>
  <c r="Y103"/>
  <c r="U103"/>
  <c r="T103"/>
  <c r="S103"/>
  <c r="R103"/>
  <c r="M103"/>
  <c r="L103"/>
  <c r="AB102"/>
  <c r="Y102"/>
  <c r="U102"/>
  <c r="T102"/>
  <c r="T113" s="1"/>
  <c r="S102"/>
  <c r="R102"/>
  <c r="L102"/>
  <c r="M102" s="1"/>
  <c r="AD93"/>
  <c r="AD92" s="1"/>
  <c r="AM100"/>
  <c r="AN100" s="1"/>
  <c r="AS100" s="1"/>
  <c r="AB100"/>
  <c r="Y100"/>
  <c r="U100"/>
  <c r="AE100" s="1"/>
  <c r="AF100" s="1"/>
  <c r="AR100" s="1"/>
  <c r="T100"/>
  <c r="S100"/>
  <c r="R100"/>
  <c r="L100"/>
  <c r="M100" s="1"/>
  <c r="AM99"/>
  <c r="AB99"/>
  <c r="AE99" s="1"/>
  <c r="AF99" s="1"/>
  <c r="AR99" s="1"/>
  <c r="Y99"/>
  <c r="U99"/>
  <c r="T99"/>
  <c r="S99"/>
  <c r="R99"/>
  <c r="M99"/>
  <c r="L99"/>
  <c r="AQ98"/>
  <c r="AN98"/>
  <c r="AS98" s="1"/>
  <c r="AB98"/>
  <c r="Y98"/>
  <c r="U98"/>
  <c r="T98"/>
  <c r="S98"/>
  <c r="R98"/>
  <c r="L98"/>
  <c r="M98" s="1"/>
  <c r="AN97"/>
  <c r="AS97" s="1"/>
  <c r="AB97"/>
  <c r="Y97"/>
  <c r="U97"/>
  <c r="T97"/>
  <c r="S97"/>
  <c r="R97"/>
  <c r="M97"/>
  <c r="L97"/>
  <c r="AB96"/>
  <c r="Y96"/>
  <c r="U96"/>
  <c r="T96"/>
  <c r="S96"/>
  <c r="R96"/>
  <c r="L96"/>
  <c r="M96" s="1"/>
  <c r="AQ96" s="1"/>
  <c r="AQ95"/>
  <c r="AN95"/>
  <c r="AB95"/>
  <c r="Y95"/>
  <c r="U95"/>
  <c r="T95"/>
  <c r="S95"/>
  <c r="R95"/>
  <c r="L95"/>
  <c r="M95" s="1"/>
  <c r="AB94"/>
  <c r="Y94"/>
  <c r="U94"/>
  <c r="T94"/>
  <c r="S94"/>
  <c r="S101" s="1"/>
  <c r="R94"/>
  <c r="R101" s="1"/>
  <c r="M94"/>
  <c r="L94"/>
  <c r="AL93"/>
  <c r="AL92" s="1"/>
  <c r="AK93"/>
  <c r="AK92" s="1"/>
  <c r="Z92"/>
  <c r="BA91"/>
  <c r="CE19" i="18" s="1"/>
  <c r="CE18" s="1"/>
  <c r="AZ91" i="16"/>
  <c r="AY91"/>
  <c r="AX91"/>
  <c r="CB19" i="18" s="1"/>
  <c r="CB18" s="1"/>
  <c r="AW91" i="16"/>
  <c r="AV91"/>
  <c r="AU91"/>
  <c r="BY19" i="18" s="1"/>
  <c r="BY18" s="1"/>
  <c r="AL91" i="16"/>
  <c r="AL80" s="1"/>
  <c r="AK91"/>
  <c r="AK80" s="1"/>
  <c r="AJ91"/>
  <c r="AD91"/>
  <c r="AC91"/>
  <c r="AC80" s="1"/>
  <c r="AB90"/>
  <c r="AE90" s="1"/>
  <c r="AF90" s="1"/>
  <c r="AR90" s="1"/>
  <c r="Y90"/>
  <c r="U90"/>
  <c r="T90"/>
  <c r="S90"/>
  <c r="R90"/>
  <c r="L90"/>
  <c r="AN89"/>
  <c r="AS89" s="1"/>
  <c r="AB89"/>
  <c r="Y89"/>
  <c r="U89"/>
  <c r="T89"/>
  <c r="S89"/>
  <c r="R89"/>
  <c r="L89"/>
  <c r="M89" s="1"/>
  <c r="AN88"/>
  <c r="AS88" s="1"/>
  <c r="AB88"/>
  <c r="Y88"/>
  <c r="U88"/>
  <c r="T88"/>
  <c r="S88"/>
  <c r="R88"/>
  <c r="L88"/>
  <c r="AB87"/>
  <c r="Y87"/>
  <c r="U87"/>
  <c r="T87"/>
  <c r="S87"/>
  <c r="R87"/>
  <c r="L87"/>
  <c r="AN86"/>
  <c r="AS86" s="1"/>
  <c r="AB86"/>
  <c r="Y86"/>
  <c r="U86"/>
  <c r="T86"/>
  <c r="S86"/>
  <c r="R86"/>
  <c r="L86"/>
  <c r="M86" s="1"/>
  <c r="AN85"/>
  <c r="AS85" s="1"/>
  <c r="AB85"/>
  <c r="Y85"/>
  <c r="U85"/>
  <c r="T85"/>
  <c r="S85"/>
  <c r="R85"/>
  <c r="M85"/>
  <c r="L85"/>
  <c r="AB84"/>
  <c r="AE84" s="1"/>
  <c r="AF84" s="1"/>
  <c r="AR84" s="1"/>
  <c r="Y84"/>
  <c r="U84"/>
  <c r="T84"/>
  <c r="S84"/>
  <c r="R84"/>
  <c r="L84"/>
  <c r="AN83"/>
  <c r="AS83" s="1"/>
  <c r="AB83"/>
  <c r="Y83"/>
  <c r="U83"/>
  <c r="T83"/>
  <c r="S83"/>
  <c r="R83"/>
  <c r="L83"/>
  <c r="M83" s="1"/>
  <c r="AN82"/>
  <c r="AS82" s="1"/>
  <c r="AB82"/>
  <c r="Y82"/>
  <c r="U82"/>
  <c r="U91" s="1"/>
  <c r="U80" s="1"/>
  <c r="T82"/>
  <c r="S82"/>
  <c r="R82"/>
  <c r="L82"/>
  <c r="AN81"/>
  <c r="AB81"/>
  <c r="AB91" s="1"/>
  <c r="AB80" s="1"/>
  <c r="Y81"/>
  <c r="U81"/>
  <c r="T81"/>
  <c r="T91" s="1"/>
  <c r="T80" s="1"/>
  <c r="S81"/>
  <c r="R81"/>
  <c r="L81"/>
  <c r="BA80"/>
  <c r="AX80"/>
  <c r="AU80"/>
  <c r="AJ80"/>
  <c r="AD80"/>
  <c r="BA79"/>
  <c r="CE17" i="18" s="1"/>
  <c r="AZ79" i="16"/>
  <c r="CD17" i="18" s="1"/>
  <c r="AY79" i="16"/>
  <c r="CC17" i="18" s="1"/>
  <c r="AX79" i="16"/>
  <c r="CB17" i="18" s="1"/>
  <c r="AW79" i="16"/>
  <c r="CA17" i="18" s="1"/>
  <c r="AV79" i="16"/>
  <c r="BZ17" i="18" s="1"/>
  <c r="AU79" i="16"/>
  <c r="BY17" i="18" s="1"/>
  <c r="AL79" i="16"/>
  <c r="AK79"/>
  <c r="AJ79"/>
  <c r="AD79"/>
  <c r="AC79"/>
  <c r="AB78"/>
  <c r="AE78" s="1"/>
  <c r="AF78" s="1"/>
  <c r="AR78" s="1"/>
  <c r="Y78"/>
  <c r="U78"/>
  <c r="T78"/>
  <c r="S78"/>
  <c r="R78"/>
  <c r="L78"/>
  <c r="AN77"/>
  <c r="AS77" s="1"/>
  <c r="AB77"/>
  <c r="AE77" s="1"/>
  <c r="AF77" s="1"/>
  <c r="AR77" s="1"/>
  <c r="Y77"/>
  <c r="U77"/>
  <c r="T77"/>
  <c r="S77"/>
  <c r="R77"/>
  <c r="L77"/>
  <c r="AB76"/>
  <c r="Y76"/>
  <c r="U76"/>
  <c r="T76"/>
  <c r="S76"/>
  <c r="R76"/>
  <c r="L76"/>
  <c r="AN75"/>
  <c r="AS75"/>
  <c r="AB75"/>
  <c r="Y75"/>
  <c r="U75"/>
  <c r="T75"/>
  <c r="S75"/>
  <c r="R75"/>
  <c r="L75"/>
  <c r="M75" s="1"/>
  <c r="AN74"/>
  <c r="AS74" s="1"/>
  <c r="AB74"/>
  <c r="Y74"/>
  <c r="U74"/>
  <c r="T74"/>
  <c r="S74"/>
  <c r="R74"/>
  <c r="L74"/>
  <c r="M74" s="1"/>
  <c r="AN73"/>
  <c r="AS73" s="1"/>
  <c r="AB73"/>
  <c r="Y73"/>
  <c r="U73"/>
  <c r="T73"/>
  <c r="S73"/>
  <c r="R73"/>
  <c r="L73"/>
  <c r="AN72"/>
  <c r="AS72" s="1"/>
  <c r="AB72"/>
  <c r="Y72"/>
  <c r="U72"/>
  <c r="T72"/>
  <c r="S72"/>
  <c r="R72"/>
  <c r="L72"/>
  <c r="AS71"/>
  <c r="AN71"/>
  <c r="AB71"/>
  <c r="Y71"/>
  <c r="U71"/>
  <c r="T71"/>
  <c r="S71"/>
  <c r="R71"/>
  <c r="L71"/>
  <c r="M71" s="1"/>
  <c r="AN70"/>
  <c r="AS70" s="1"/>
  <c r="AB70"/>
  <c r="Y70"/>
  <c r="U70"/>
  <c r="T70"/>
  <c r="S70"/>
  <c r="R70"/>
  <c r="L70"/>
  <c r="M70" s="1"/>
  <c r="AN69"/>
  <c r="AB69"/>
  <c r="Y69"/>
  <c r="U69"/>
  <c r="T69"/>
  <c r="S69"/>
  <c r="R69"/>
  <c r="L69"/>
  <c r="AB68"/>
  <c r="Y68"/>
  <c r="U68"/>
  <c r="T68"/>
  <c r="S68"/>
  <c r="R68"/>
  <c r="L68"/>
  <c r="M68" s="1"/>
  <c r="AB67"/>
  <c r="Y67"/>
  <c r="U67"/>
  <c r="T67"/>
  <c r="S67"/>
  <c r="R67"/>
  <c r="L67"/>
  <c r="AB66"/>
  <c r="Y66"/>
  <c r="U66"/>
  <c r="T66"/>
  <c r="S66"/>
  <c r="R66"/>
  <c r="AE66" s="1"/>
  <c r="AF66" s="1"/>
  <c r="AR66" s="1"/>
  <c r="L66"/>
  <c r="AN65"/>
  <c r="AS65" s="1"/>
  <c r="AB65"/>
  <c r="Y65"/>
  <c r="U65"/>
  <c r="AE65" s="1"/>
  <c r="AF65" s="1"/>
  <c r="AR65" s="1"/>
  <c r="T65"/>
  <c r="S65"/>
  <c r="R65"/>
  <c r="M65"/>
  <c r="L65"/>
  <c r="AB64"/>
  <c r="Y64"/>
  <c r="U64"/>
  <c r="T64"/>
  <c r="S64"/>
  <c r="R64"/>
  <c r="L64"/>
  <c r="M64" s="1"/>
  <c r="AN63"/>
  <c r="AS63" s="1"/>
  <c r="AB63"/>
  <c r="Y63"/>
  <c r="U63"/>
  <c r="T63"/>
  <c r="S63"/>
  <c r="R63"/>
  <c r="L63"/>
  <c r="AN62"/>
  <c r="AS62" s="1"/>
  <c r="AB62"/>
  <c r="Y62"/>
  <c r="U62"/>
  <c r="T62"/>
  <c r="S62"/>
  <c r="R62"/>
  <c r="L62"/>
  <c r="M62" s="1"/>
  <c r="AN61"/>
  <c r="AS61" s="1"/>
  <c r="AB61"/>
  <c r="Y61"/>
  <c r="U61"/>
  <c r="T61"/>
  <c r="S61"/>
  <c r="R61"/>
  <c r="L61"/>
  <c r="AB60"/>
  <c r="AE60" s="1"/>
  <c r="Y60"/>
  <c r="U60"/>
  <c r="T60"/>
  <c r="S60"/>
  <c r="R60"/>
  <c r="M60"/>
  <c r="L60"/>
  <c r="BA59"/>
  <c r="CE16" i="18" s="1"/>
  <c r="CE15" s="1"/>
  <c r="AZ59" i="16"/>
  <c r="AY59"/>
  <c r="CC16" i="18" s="1"/>
  <c r="CC15" s="1"/>
  <c r="AX59" i="16"/>
  <c r="CB16" i="18" s="1"/>
  <c r="CB15" s="1"/>
  <c r="AW59" i="16"/>
  <c r="CA16" i="18" s="1"/>
  <c r="CA15" s="1"/>
  <c r="AV59" i="16"/>
  <c r="BZ16" i="18" s="1"/>
  <c r="BZ15" s="1"/>
  <c r="AU59" i="16"/>
  <c r="BY16" i="18" s="1"/>
  <c r="BY15" s="1"/>
  <c r="AL59" i="16"/>
  <c r="AK59"/>
  <c r="AJ59"/>
  <c r="AD59"/>
  <c r="AC59"/>
  <c r="Z59"/>
  <c r="AN58"/>
  <c r="AS58" s="1"/>
  <c r="AB58"/>
  <c r="AE58" s="1"/>
  <c r="AF58" s="1"/>
  <c r="AR58" s="1"/>
  <c r="Y58"/>
  <c r="U58"/>
  <c r="T58"/>
  <c r="S58"/>
  <c r="R58"/>
  <c r="L58"/>
  <c r="M58" s="1"/>
  <c r="AN57"/>
  <c r="AS57" s="1"/>
  <c r="AB57"/>
  <c r="Y57"/>
  <c r="U57"/>
  <c r="T57"/>
  <c r="S57"/>
  <c r="R57"/>
  <c r="L57"/>
  <c r="M57" s="1"/>
  <c r="AN56"/>
  <c r="AS56" s="1"/>
  <c r="AB56"/>
  <c r="AE56" s="1"/>
  <c r="AF56" s="1"/>
  <c r="AR56" s="1"/>
  <c r="Y56"/>
  <c r="U56"/>
  <c r="T56"/>
  <c r="S56"/>
  <c r="R56"/>
  <c r="M56"/>
  <c r="L56"/>
  <c r="AQ56" s="1"/>
  <c r="AN55"/>
  <c r="AS55" s="1"/>
  <c r="AB55"/>
  <c r="Y55"/>
  <c r="U55"/>
  <c r="T55"/>
  <c r="S55"/>
  <c r="R55"/>
  <c r="L55"/>
  <c r="M55" s="1"/>
  <c r="AS54"/>
  <c r="AN54"/>
  <c r="AF54"/>
  <c r="AR54" s="1"/>
  <c r="AB54"/>
  <c r="Y54"/>
  <c r="U54"/>
  <c r="AE54" s="1"/>
  <c r="T54"/>
  <c r="S54"/>
  <c r="R54"/>
  <c r="M54"/>
  <c r="L54"/>
  <c r="AQ54" s="1"/>
  <c r="AN53"/>
  <c r="AS53" s="1"/>
  <c r="AB53"/>
  <c r="AE53" s="1"/>
  <c r="AF53" s="1"/>
  <c r="AR53" s="1"/>
  <c r="Y53"/>
  <c r="U53"/>
  <c r="T53"/>
  <c r="S53"/>
  <c r="R53"/>
  <c r="M53"/>
  <c r="L53"/>
  <c r="AQ53" s="1"/>
  <c r="AN52"/>
  <c r="AS52" s="1"/>
  <c r="AB52"/>
  <c r="AE52" s="1"/>
  <c r="AF52" s="1"/>
  <c r="AR52" s="1"/>
  <c r="Y52"/>
  <c r="U52"/>
  <c r="T52"/>
  <c r="S52"/>
  <c r="R52"/>
  <c r="L52"/>
  <c r="M52" s="1"/>
  <c r="AB51"/>
  <c r="AE51" s="1"/>
  <c r="AF51" s="1"/>
  <c r="AR51" s="1"/>
  <c r="Y51"/>
  <c r="U51"/>
  <c r="T51"/>
  <c r="S51"/>
  <c r="R51"/>
  <c r="L51"/>
  <c r="M51" s="1"/>
  <c r="AN50"/>
  <c r="AB50"/>
  <c r="Y50"/>
  <c r="U50"/>
  <c r="T50"/>
  <c r="S50"/>
  <c r="R50"/>
  <c r="M50"/>
  <c r="L50"/>
  <c r="AQ50" s="1"/>
  <c r="AB49"/>
  <c r="Y49"/>
  <c r="U49"/>
  <c r="T49"/>
  <c r="S49"/>
  <c r="R49"/>
  <c r="L49"/>
  <c r="M49" s="1"/>
  <c r="AN48"/>
  <c r="AS48" s="1"/>
  <c r="AB48"/>
  <c r="Y48"/>
  <c r="U48"/>
  <c r="T48"/>
  <c r="S48"/>
  <c r="AE48" s="1"/>
  <c r="AF48" s="1"/>
  <c r="AR48" s="1"/>
  <c r="R48"/>
  <c r="M48"/>
  <c r="L48"/>
  <c r="AQ48" s="1"/>
  <c r="AB47"/>
  <c r="AE47" s="1"/>
  <c r="AF47" s="1"/>
  <c r="AR47" s="1"/>
  <c r="Y47"/>
  <c r="U47"/>
  <c r="T47"/>
  <c r="S47"/>
  <c r="R47"/>
  <c r="M47"/>
  <c r="L47"/>
  <c r="AN46"/>
  <c r="AS46" s="1"/>
  <c r="AB46"/>
  <c r="Y46"/>
  <c r="AE46" s="1"/>
  <c r="AF46" s="1"/>
  <c r="AR46" s="1"/>
  <c r="U46"/>
  <c r="T46"/>
  <c r="S46"/>
  <c r="R46"/>
  <c r="M46"/>
  <c r="L46"/>
  <c r="AQ46" s="1"/>
  <c r="AN45"/>
  <c r="AS45" s="1"/>
  <c r="AB45"/>
  <c r="Y45"/>
  <c r="AE45" s="1"/>
  <c r="AF45" s="1"/>
  <c r="AR45" s="1"/>
  <c r="U45"/>
  <c r="T45"/>
  <c r="S45"/>
  <c r="R45"/>
  <c r="M45"/>
  <c r="L45"/>
  <c r="AB44"/>
  <c r="Y44"/>
  <c r="U44"/>
  <c r="T44"/>
  <c r="S44"/>
  <c r="R44"/>
  <c r="M44"/>
  <c r="L44"/>
  <c r="AQ44" s="1"/>
  <c r="AQ43"/>
  <c r="AN43"/>
  <c r="AS43" s="1"/>
  <c r="AB43"/>
  <c r="Y43"/>
  <c r="U43"/>
  <c r="T43"/>
  <c r="S43"/>
  <c r="R43"/>
  <c r="L43"/>
  <c r="M43" s="1"/>
  <c r="AN42"/>
  <c r="AS42" s="1"/>
  <c r="AE42"/>
  <c r="AF42" s="1"/>
  <c r="AR42" s="1"/>
  <c r="AB42"/>
  <c r="Y42"/>
  <c r="U42"/>
  <c r="T42"/>
  <c r="T59" s="1"/>
  <c r="S42"/>
  <c r="R42"/>
  <c r="M42"/>
  <c r="L42"/>
  <c r="AQ42" s="1"/>
  <c r="AN41"/>
  <c r="AB41"/>
  <c r="Y41"/>
  <c r="U41"/>
  <c r="T41"/>
  <c r="S41"/>
  <c r="R41"/>
  <c r="M41"/>
  <c r="L41"/>
  <c r="BA40"/>
  <c r="AY40"/>
  <c r="AX40"/>
  <c r="AU40"/>
  <c r="AL40"/>
  <c r="AK40"/>
  <c r="AJ40"/>
  <c r="AD40"/>
  <c r="AC40"/>
  <c r="BA39"/>
  <c r="CE14" i="18" s="1"/>
  <c r="CE13" s="1"/>
  <c r="CE12" s="1"/>
  <c r="AZ39" i="16"/>
  <c r="AY39"/>
  <c r="CC14" i="18" s="1"/>
  <c r="CC13" s="1"/>
  <c r="AX39" i="16"/>
  <c r="AW39"/>
  <c r="CA14" i="18" s="1"/>
  <c r="CA13" s="1"/>
  <c r="AV39" i="16"/>
  <c r="BZ14" i="18" s="1"/>
  <c r="BZ13" s="1"/>
  <c r="AU39" i="16"/>
  <c r="BY14" i="18" s="1"/>
  <c r="BY13" s="1"/>
  <c r="BY12" s="1"/>
  <c r="AL39" i="16"/>
  <c r="AL32" s="1"/>
  <c r="AK39"/>
  <c r="AJ39"/>
  <c r="AJ32" s="1"/>
  <c r="AJ31" s="1"/>
  <c r="AD39"/>
  <c r="AC39"/>
  <c r="AC32" s="1"/>
  <c r="L39"/>
  <c r="L32" s="1"/>
  <c r="AQ38"/>
  <c r="AB38"/>
  <c r="Y38"/>
  <c r="U38"/>
  <c r="T38"/>
  <c r="S38"/>
  <c r="R38"/>
  <c r="M38"/>
  <c r="L38"/>
  <c r="AN37"/>
  <c r="AB37"/>
  <c r="Y37"/>
  <c r="AE37" s="1"/>
  <c r="AF37" s="1"/>
  <c r="AR37" s="1"/>
  <c r="U37"/>
  <c r="T37"/>
  <c r="S37"/>
  <c r="R37"/>
  <c r="L37"/>
  <c r="M37" s="1"/>
  <c r="AN36"/>
  <c r="AS36" s="1"/>
  <c r="AE36"/>
  <c r="AF36" s="1"/>
  <c r="AR36" s="1"/>
  <c r="AB36"/>
  <c r="Y36"/>
  <c r="U36"/>
  <c r="T36"/>
  <c r="S36"/>
  <c r="R36"/>
  <c r="M36"/>
  <c r="L36"/>
  <c r="AQ36" s="1"/>
  <c r="AE35"/>
  <c r="AF35" s="1"/>
  <c r="AR35" s="1"/>
  <c r="AB35"/>
  <c r="AB39" s="1"/>
  <c r="AB32" s="1"/>
  <c r="Y35"/>
  <c r="U35"/>
  <c r="T35"/>
  <c r="T39" s="1"/>
  <c r="T32" s="1"/>
  <c r="S35"/>
  <c r="R35"/>
  <c r="M35"/>
  <c r="AQ35" s="1"/>
  <c r="L35"/>
  <c r="AN34"/>
  <c r="AS34" s="1"/>
  <c r="AB34"/>
  <c r="Y34"/>
  <c r="U34"/>
  <c r="AE34" s="1"/>
  <c r="AF34" s="1"/>
  <c r="AR34" s="1"/>
  <c r="T34"/>
  <c r="S34"/>
  <c r="R34"/>
  <c r="M34"/>
  <c r="L34"/>
  <c r="AQ34" s="1"/>
  <c r="AB33"/>
  <c r="Y33"/>
  <c r="Y39" s="1"/>
  <c r="Y32" s="1"/>
  <c r="U33"/>
  <c r="U39" s="1"/>
  <c r="U32" s="1"/>
  <c r="T33"/>
  <c r="S33"/>
  <c r="R33"/>
  <c r="R39" s="1"/>
  <c r="R32" s="1"/>
  <c r="M33"/>
  <c r="L33"/>
  <c r="AQ33" s="1"/>
  <c r="BA32"/>
  <c r="BA31" s="1"/>
  <c r="AW32"/>
  <c r="AU32"/>
  <c r="AK32"/>
  <c r="AK31" s="1"/>
  <c r="AD32"/>
  <c r="AD31" s="1"/>
  <c r="AU31"/>
  <c r="AC31"/>
  <c r="BA30"/>
  <c r="CE11" i="18" s="1"/>
  <c r="AZ30" i="16"/>
  <c r="CD11" i="18" s="1"/>
  <c r="AY30" i="16"/>
  <c r="CC11" i="18" s="1"/>
  <c r="AX30" i="16"/>
  <c r="CB11" i="18" s="1"/>
  <c r="AW30" i="16"/>
  <c r="CA11" i="18" s="1"/>
  <c r="AV30" i="16"/>
  <c r="BZ11" i="18" s="1"/>
  <c r="AU30" i="16"/>
  <c r="BY11" i="18" s="1"/>
  <c r="AL30" i="16"/>
  <c r="AK30"/>
  <c r="AJ30"/>
  <c r="AD30"/>
  <c r="AC30"/>
  <c r="AN29"/>
  <c r="AB29"/>
  <c r="Y29"/>
  <c r="U29"/>
  <c r="T29"/>
  <c r="S29"/>
  <c r="R29"/>
  <c r="L29"/>
  <c r="AN28"/>
  <c r="AS28" s="1"/>
  <c r="AB28"/>
  <c r="Y28"/>
  <c r="U28"/>
  <c r="T28"/>
  <c r="S28"/>
  <c r="R28"/>
  <c r="L28"/>
  <c r="M28" s="1"/>
  <c r="AN27"/>
  <c r="AS27" s="1"/>
  <c r="AB27"/>
  <c r="AE27" s="1"/>
  <c r="AF27" s="1"/>
  <c r="AR27" s="1"/>
  <c r="Y27"/>
  <c r="U27"/>
  <c r="T27"/>
  <c r="S27"/>
  <c r="R27"/>
  <c r="L27"/>
  <c r="M27" s="1"/>
  <c r="AB26"/>
  <c r="Y26"/>
  <c r="Y30" s="1"/>
  <c r="U26"/>
  <c r="U30" s="1"/>
  <c r="T26"/>
  <c r="T30" s="1"/>
  <c r="S26"/>
  <c r="S30" s="1"/>
  <c r="R26"/>
  <c r="M26"/>
  <c r="L26"/>
  <c r="AL25"/>
  <c r="AK25"/>
  <c r="AJ25"/>
  <c r="AD25"/>
  <c r="AD6" s="1"/>
  <c r="AD5" s="1"/>
  <c r="AC25"/>
  <c r="Y25"/>
  <c r="AB24"/>
  <c r="AE24" s="1"/>
  <c r="AF24" s="1"/>
  <c r="AR24" s="1"/>
  <c r="Y24"/>
  <c r="U24"/>
  <c r="T24"/>
  <c r="S24"/>
  <c r="R24"/>
  <c r="L24"/>
  <c r="M24" s="1"/>
  <c r="AB23"/>
  <c r="Y23"/>
  <c r="U23"/>
  <c r="T23"/>
  <c r="S23"/>
  <c r="R23"/>
  <c r="L23"/>
  <c r="M23" s="1"/>
  <c r="AN22"/>
  <c r="AB22"/>
  <c r="Y22"/>
  <c r="U22"/>
  <c r="T22"/>
  <c r="S22"/>
  <c r="R22"/>
  <c r="L22"/>
  <c r="M22" s="1"/>
  <c r="AN21"/>
  <c r="AB21"/>
  <c r="Y21"/>
  <c r="U21"/>
  <c r="T21"/>
  <c r="S21"/>
  <c r="R21"/>
  <c r="M21"/>
  <c r="L21"/>
  <c r="AN20"/>
  <c r="AB20"/>
  <c r="Y20"/>
  <c r="U20"/>
  <c r="T20"/>
  <c r="S20"/>
  <c r="R20"/>
  <c r="L20"/>
  <c r="AN19"/>
  <c r="AS19" s="1"/>
  <c r="AB19"/>
  <c r="AE19" s="1"/>
  <c r="AF19" s="1"/>
  <c r="AR19" s="1"/>
  <c r="Y19"/>
  <c r="U19"/>
  <c r="T19"/>
  <c r="S19"/>
  <c r="R19"/>
  <c r="L19"/>
  <c r="AM18"/>
  <c r="AN18" s="1"/>
  <c r="AB18"/>
  <c r="Y18"/>
  <c r="U18"/>
  <c r="U25" s="1"/>
  <c r="T18"/>
  <c r="S18"/>
  <c r="R18"/>
  <c r="L18"/>
  <c r="BA17"/>
  <c r="CE9" i="18" s="1"/>
  <c r="AZ17" i="16"/>
  <c r="CD9" i="18" s="1"/>
  <c r="AY17" i="16"/>
  <c r="CC9" i="18" s="1"/>
  <c r="AX17" i="16"/>
  <c r="CB9" i="18" s="1"/>
  <c r="AW17" i="16"/>
  <c r="CA9" i="18" s="1"/>
  <c r="AV17" i="16"/>
  <c r="BZ9" i="18" s="1"/>
  <c r="AU17" i="16"/>
  <c r="BY9" i="18" s="1"/>
  <c r="AL17" i="16"/>
  <c r="AL6" s="1"/>
  <c r="AL5" s="1"/>
  <c r="AK17"/>
  <c r="AJ17"/>
  <c r="AD17"/>
  <c r="AC17"/>
  <c r="Y17"/>
  <c r="U17"/>
  <c r="R17"/>
  <c r="AM17"/>
  <c r="AB16"/>
  <c r="AE16" s="1"/>
  <c r="Y16"/>
  <c r="U16"/>
  <c r="T16"/>
  <c r="T17" s="1"/>
  <c r="S16"/>
  <c r="S17" s="1"/>
  <c r="R16"/>
  <c r="L16"/>
  <c r="L17" s="1"/>
  <c r="BA15"/>
  <c r="AZ15"/>
  <c r="CD8" i="18" s="1"/>
  <c r="CD7" s="1"/>
  <c r="CD6" s="1"/>
  <c r="AY15" i="16"/>
  <c r="CC8" i="18" s="1"/>
  <c r="CC7" s="1"/>
  <c r="CC6" s="1"/>
  <c r="AX15" i="16"/>
  <c r="CB8" i="18" s="1"/>
  <c r="CB7" s="1"/>
  <c r="CB6" s="1"/>
  <c r="AW15" i="16"/>
  <c r="CA8" i="18" s="1"/>
  <c r="CA7" s="1"/>
  <c r="CA6" s="1"/>
  <c r="AV15" i="16"/>
  <c r="AU15"/>
  <c r="BY8" i="18" s="1"/>
  <c r="AM15" i="16"/>
  <c r="AL15"/>
  <c r="AK15"/>
  <c r="AJ15"/>
  <c r="AD15"/>
  <c r="AC15"/>
  <c r="AN14"/>
  <c r="AS14" s="1"/>
  <c r="AB14"/>
  <c r="AE14" s="1"/>
  <c r="AF14" s="1"/>
  <c r="AR14" s="1"/>
  <c r="Y14"/>
  <c r="U14"/>
  <c r="T14"/>
  <c r="S14"/>
  <c r="R14"/>
  <c r="L14"/>
  <c r="M14" s="1"/>
  <c r="AN13"/>
  <c r="AS13" s="1"/>
  <c r="AB13"/>
  <c r="Y13"/>
  <c r="U13"/>
  <c r="T13"/>
  <c r="S13"/>
  <c r="R13"/>
  <c r="L13"/>
  <c r="AB12"/>
  <c r="AE12" s="1"/>
  <c r="AF12" s="1"/>
  <c r="AR12" s="1"/>
  <c r="Y12"/>
  <c r="U12"/>
  <c r="T12"/>
  <c r="S12"/>
  <c r="R12"/>
  <c r="L12"/>
  <c r="AN11"/>
  <c r="AS11" s="1"/>
  <c r="AB11"/>
  <c r="AE11" s="1"/>
  <c r="AF11" s="1"/>
  <c r="AR11" s="1"/>
  <c r="Y11"/>
  <c r="U11"/>
  <c r="T11"/>
  <c r="S11"/>
  <c r="R11"/>
  <c r="L11"/>
  <c r="AN10"/>
  <c r="AS10"/>
  <c r="AB10"/>
  <c r="Y10"/>
  <c r="U10"/>
  <c r="T10"/>
  <c r="S10"/>
  <c r="R10"/>
  <c r="L10"/>
  <c r="AB9"/>
  <c r="Y9"/>
  <c r="U9"/>
  <c r="T9"/>
  <c r="S9"/>
  <c r="R9"/>
  <c r="L9"/>
  <c r="M9" s="1"/>
  <c r="AN8"/>
  <c r="AS8" s="1"/>
  <c r="AB8"/>
  <c r="Y8"/>
  <c r="U8"/>
  <c r="T8"/>
  <c r="S8"/>
  <c r="R8"/>
  <c r="L8"/>
  <c r="AN7"/>
  <c r="AB7"/>
  <c r="AB15" s="1"/>
  <c r="Y7"/>
  <c r="U7"/>
  <c r="T7"/>
  <c r="S7"/>
  <c r="S15" s="1"/>
  <c r="R7"/>
  <c r="R15" s="1"/>
  <c r="M7"/>
  <c r="L7"/>
  <c r="AY6"/>
  <c r="AY5" s="1"/>
  <c r="AX6"/>
  <c r="AX5" s="1"/>
  <c r="AU6"/>
  <c r="AU5" s="1"/>
  <c r="AK6"/>
  <c r="AK5" s="1"/>
  <c r="AJ6"/>
  <c r="AJ5" s="1"/>
  <c r="AA6"/>
  <c r="AA5" s="1"/>
  <c r="Z6"/>
  <c r="Z5"/>
  <c r="AB241" i="15"/>
  <c r="Y241"/>
  <c r="L241"/>
  <c r="AB240"/>
  <c r="Y240"/>
  <c r="U240"/>
  <c r="T240"/>
  <c r="S240"/>
  <c r="R240"/>
  <c r="L240"/>
  <c r="M240" s="1"/>
  <c r="AN239"/>
  <c r="AS239" s="1"/>
  <c r="AB239"/>
  <c r="Y239"/>
  <c r="U239"/>
  <c r="T239"/>
  <c r="S239"/>
  <c r="AE239" s="1"/>
  <c r="AF239" s="1"/>
  <c r="AR239" s="1"/>
  <c r="R239"/>
  <c r="L239"/>
  <c r="M239" s="1"/>
  <c r="AN238"/>
  <c r="AE238"/>
  <c r="AF238" s="1"/>
  <c r="AR238" s="1"/>
  <c r="AB238"/>
  <c r="Y238"/>
  <c r="U238"/>
  <c r="T238"/>
  <c r="S238"/>
  <c r="R238"/>
  <c r="L238"/>
  <c r="M238" s="1"/>
  <c r="AB237"/>
  <c r="AB242" s="1"/>
  <c r="Y237"/>
  <c r="U237"/>
  <c r="U242" s="1"/>
  <c r="T237"/>
  <c r="S237"/>
  <c r="R237"/>
  <c r="L237"/>
  <c r="Y236"/>
  <c r="AN235"/>
  <c r="AS235" s="1"/>
  <c r="AB235"/>
  <c r="Y235"/>
  <c r="U235"/>
  <c r="T235"/>
  <c r="S235"/>
  <c r="R235"/>
  <c r="L235"/>
  <c r="AB234"/>
  <c r="Y234"/>
  <c r="U234"/>
  <c r="T234"/>
  <c r="S234"/>
  <c r="R234"/>
  <c r="R236" s="1"/>
  <c r="L234"/>
  <c r="AB233"/>
  <c r="AB236" s="1"/>
  <c r="Y233"/>
  <c r="U233"/>
  <c r="U236" s="1"/>
  <c r="T233"/>
  <c r="T236" s="1"/>
  <c r="S233"/>
  <c r="S236" s="1"/>
  <c r="R233"/>
  <c r="L233"/>
  <c r="M233" s="1"/>
  <c r="AM231"/>
  <c r="AN231" s="1"/>
  <c r="AB231"/>
  <c r="Y231"/>
  <c r="U231"/>
  <c r="AE231" s="1"/>
  <c r="AF231" s="1"/>
  <c r="AR231" s="1"/>
  <c r="T231"/>
  <c r="S231"/>
  <c r="R231"/>
  <c r="L231"/>
  <c r="M231" s="1"/>
  <c r="AN230"/>
  <c r="AS230" s="1"/>
  <c r="AB230"/>
  <c r="Y230"/>
  <c r="T230"/>
  <c r="L230"/>
  <c r="M230" s="1"/>
  <c r="AN229"/>
  <c r="AB229"/>
  <c r="Y229"/>
  <c r="U229"/>
  <c r="T229"/>
  <c r="S229"/>
  <c r="R229"/>
  <c r="L229"/>
  <c r="M229" s="1"/>
  <c r="AB228"/>
  <c r="Y228"/>
  <c r="U228"/>
  <c r="AE228" s="1"/>
  <c r="AF228" s="1"/>
  <c r="AR228" s="1"/>
  <c r="T228"/>
  <c r="S228"/>
  <c r="R228"/>
  <c r="L228"/>
  <c r="M228" s="1"/>
  <c r="AB227"/>
  <c r="AE227" s="1"/>
  <c r="AF227" s="1"/>
  <c r="AR227" s="1"/>
  <c r="Y227"/>
  <c r="U227"/>
  <c r="T227"/>
  <c r="S227"/>
  <c r="R227"/>
  <c r="L227"/>
  <c r="AB226"/>
  <c r="Y226"/>
  <c r="U226"/>
  <c r="T226"/>
  <c r="S226"/>
  <c r="R226"/>
  <c r="L226"/>
  <c r="M226" s="1"/>
  <c r="AN225"/>
  <c r="AS225" s="1"/>
  <c r="AB225"/>
  <c r="Y225"/>
  <c r="Y232" s="1"/>
  <c r="U225"/>
  <c r="T225"/>
  <c r="T232" s="1"/>
  <c r="S225"/>
  <c r="R225"/>
  <c r="L225"/>
  <c r="M225" s="1"/>
  <c r="AN221"/>
  <c r="AS221" s="1"/>
  <c r="AB221"/>
  <c r="Y221"/>
  <c r="U221"/>
  <c r="AE221" s="1"/>
  <c r="AF221" s="1"/>
  <c r="AR221" s="1"/>
  <c r="T221"/>
  <c r="S221"/>
  <c r="R221"/>
  <c r="L221"/>
  <c r="M221" s="1"/>
  <c r="AB220"/>
  <c r="AE220" s="1"/>
  <c r="AF220" s="1"/>
  <c r="AR220" s="1"/>
  <c r="Y220"/>
  <c r="U220"/>
  <c r="T220"/>
  <c r="S220"/>
  <c r="R220"/>
  <c r="M220"/>
  <c r="L220"/>
  <c r="AB219"/>
  <c r="Y219"/>
  <c r="U219"/>
  <c r="T219"/>
  <c r="S219"/>
  <c r="R219"/>
  <c r="L219"/>
  <c r="M219" s="1"/>
  <c r="AN218"/>
  <c r="AS218" s="1"/>
  <c r="AB218"/>
  <c r="Y218"/>
  <c r="U218"/>
  <c r="T218"/>
  <c r="S218"/>
  <c r="R218"/>
  <c r="L218"/>
  <c r="M218" s="1"/>
  <c r="AN217"/>
  <c r="AB217"/>
  <c r="Y217"/>
  <c r="U217"/>
  <c r="T217"/>
  <c r="S217"/>
  <c r="R217"/>
  <c r="L217"/>
  <c r="M217" s="1"/>
  <c r="AN216"/>
  <c r="AS216" s="1"/>
  <c r="AB216"/>
  <c r="Y216"/>
  <c r="AE216" s="1"/>
  <c r="AF216" s="1"/>
  <c r="AR216" s="1"/>
  <c r="U216"/>
  <c r="T216"/>
  <c r="S216"/>
  <c r="R216"/>
  <c r="M216"/>
  <c r="L216"/>
  <c r="AN215"/>
  <c r="AB215"/>
  <c r="Y215"/>
  <c r="T215"/>
  <c r="AF215" s="1"/>
  <c r="AR215" s="1"/>
  <c r="M215"/>
  <c r="L215"/>
  <c r="AN214"/>
  <c r="AS214" s="1"/>
  <c r="AB214"/>
  <c r="Y214"/>
  <c r="U214"/>
  <c r="T214"/>
  <c r="S214"/>
  <c r="R214"/>
  <c r="L214"/>
  <c r="M214" s="1"/>
  <c r="AB213"/>
  <c r="Y213"/>
  <c r="T213"/>
  <c r="S213"/>
  <c r="R213"/>
  <c r="L213"/>
  <c r="M213" s="1"/>
  <c r="AB212"/>
  <c r="Y212"/>
  <c r="U212"/>
  <c r="T212"/>
  <c r="AE212" s="1"/>
  <c r="AF212" s="1"/>
  <c r="AR212" s="1"/>
  <c r="S212"/>
  <c r="R212"/>
  <c r="L212"/>
  <c r="M212" s="1"/>
  <c r="AB211"/>
  <c r="AE211" s="1"/>
  <c r="AF211" s="1"/>
  <c r="AR211" s="1"/>
  <c r="Y211"/>
  <c r="U211"/>
  <c r="T211"/>
  <c r="S211"/>
  <c r="R211"/>
  <c r="L211"/>
  <c r="M211" s="1"/>
  <c r="AN210"/>
  <c r="AS210" s="1"/>
  <c r="AB210"/>
  <c r="Y210"/>
  <c r="U210"/>
  <c r="T210"/>
  <c r="S210"/>
  <c r="R210"/>
  <c r="L210"/>
  <c r="M210" s="1"/>
  <c r="AN209"/>
  <c r="AS209" s="1"/>
  <c r="AB209"/>
  <c r="Y209"/>
  <c r="U209"/>
  <c r="T209"/>
  <c r="S209"/>
  <c r="R209"/>
  <c r="L209"/>
  <c r="M209" s="1"/>
  <c r="AN208"/>
  <c r="AB208"/>
  <c r="Y208"/>
  <c r="T208"/>
  <c r="L208"/>
  <c r="M208" s="1"/>
  <c r="AN207"/>
  <c r="AS207" s="1"/>
  <c r="AB207"/>
  <c r="Y207"/>
  <c r="U207"/>
  <c r="T207"/>
  <c r="S207"/>
  <c r="R207"/>
  <c r="L207"/>
  <c r="M207" s="1"/>
  <c r="AB206"/>
  <c r="Y206"/>
  <c r="U206"/>
  <c r="T206"/>
  <c r="S206"/>
  <c r="R206"/>
  <c r="M206"/>
  <c r="L206"/>
  <c r="AB205"/>
  <c r="Y205"/>
  <c r="U205"/>
  <c r="T205"/>
  <c r="S205"/>
  <c r="R205"/>
  <c r="L205"/>
  <c r="M205" s="1"/>
  <c r="AN204"/>
  <c r="AS204" s="1"/>
  <c r="AB204"/>
  <c r="Y204"/>
  <c r="AF204"/>
  <c r="AR204" s="1"/>
  <c r="T204"/>
  <c r="L204"/>
  <c r="M204" s="1"/>
  <c r="AN203"/>
  <c r="AB203"/>
  <c r="Y203"/>
  <c r="Y222" s="1"/>
  <c r="Y202" s="1"/>
  <c r="U203"/>
  <c r="T203"/>
  <c r="S203"/>
  <c r="R203"/>
  <c r="M203"/>
  <c r="L203"/>
  <c r="AN200"/>
  <c r="AS200" s="1"/>
  <c r="AB200"/>
  <c r="Y200"/>
  <c r="U200"/>
  <c r="T200"/>
  <c r="S200"/>
  <c r="R200"/>
  <c r="L200"/>
  <c r="M200" s="1"/>
  <c r="AQ200" s="1"/>
  <c r="AB199"/>
  <c r="Y199"/>
  <c r="U199"/>
  <c r="T199"/>
  <c r="S199"/>
  <c r="R199"/>
  <c r="L199"/>
  <c r="M199" s="1"/>
  <c r="AB198"/>
  <c r="Y198"/>
  <c r="U198"/>
  <c r="T198"/>
  <c r="S198"/>
  <c r="R198"/>
  <c r="L198"/>
  <c r="M198" s="1"/>
  <c r="AB197"/>
  <c r="Y197"/>
  <c r="T197"/>
  <c r="L197"/>
  <c r="M197" s="1"/>
  <c r="AB196"/>
  <c r="Y196"/>
  <c r="U196"/>
  <c r="T196"/>
  <c r="S196"/>
  <c r="R196"/>
  <c r="L196"/>
  <c r="M196" s="1"/>
  <c r="AN195"/>
  <c r="AS195" s="1"/>
  <c r="AB195"/>
  <c r="Y195"/>
  <c r="U195"/>
  <c r="AE195" s="1"/>
  <c r="AF195" s="1"/>
  <c r="AR195" s="1"/>
  <c r="T195"/>
  <c r="S195"/>
  <c r="R195"/>
  <c r="L195"/>
  <c r="M195" s="1"/>
  <c r="AN194"/>
  <c r="AB194"/>
  <c r="Y194"/>
  <c r="T194"/>
  <c r="L194"/>
  <c r="AB193"/>
  <c r="Y193"/>
  <c r="U193"/>
  <c r="T193"/>
  <c r="S193"/>
  <c r="R193"/>
  <c r="L193"/>
  <c r="M193" s="1"/>
  <c r="AN192"/>
  <c r="AB192"/>
  <c r="Y192"/>
  <c r="U192"/>
  <c r="T192"/>
  <c r="S192"/>
  <c r="R192"/>
  <c r="L192"/>
  <c r="M192" s="1"/>
  <c r="AB191"/>
  <c r="Y191"/>
  <c r="U191"/>
  <c r="T191"/>
  <c r="S191"/>
  <c r="R191"/>
  <c r="L191"/>
  <c r="AN190"/>
  <c r="AS190" s="1"/>
  <c r="AB190"/>
  <c r="AF190" s="1"/>
  <c r="AR190" s="1"/>
  <c r="Y190"/>
  <c r="T190"/>
  <c r="L190"/>
  <c r="M190" s="1"/>
  <c r="AN189"/>
  <c r="AS189" s="1"/>
  <c r="AB189"/>
  <c r="Y189"/>
  <c r="U189"/>
  <c r="T189"/>
  <c r="S189"/>
  <c r="R189"/>
  <c r="L189"/>
  <c r="M189" s="1"/>
  <c r="AB188"/>
  <c r="Y188"/>
  <c r="U188"/>
  <c r="T188"/>
  <c r="S188"/>
  <c r="R188"/>
  <c r="L188"/>
  <c r="M188" s="1"/>
  <c r="AQ188" s="1"/>
  <c r="AB187"/>
  <c r="AF187" s="1"/>
  <c r="AR187" s="1"/>
  <c r="Y187"/>
  <c r="T187"/>
  <c r="S187"/>
  <c r="R187"/>
  <c r="L187"/>
  <c r="M187" s="1"/>
  <c r="AB186"/>
  <c r="Y186"/>
  <c r="U186"/>
  <c r="T186"/>
  <c r="S186"/>
  <c r="R186"/>
  <c r="L186"/>
  <c r="M186" s="1"/>
  <c r="AN185"/>
  <c r="AB185"/>
  <c r="Y185"/>
  <c r="U185"/>
  <c r="AE185" s="1"/>
  <c r="AF185" s="1"/>
  <c r="AR185" s="1"/>
  <c r="T185"/>
  <c r="S185"/>
  <c r="R185"/>
  <c r="L185"/>
  <c r="AN184"/>
  <c r="AS184" s="1"/>
  <c r="AB184"/>
  <c r="Y184"/>
  <c r="T184"/>
  <c r="S184"/>
  <c r="R184"/>
  <c r="L184"/>
  <c r="M184" s="1"/>
  <c r="AN183"/>
  <c r="AS183" s="1"/>
  <c r="AB183"/>
  <c r="Y183"/>
  <c r="U183"/>
  <c r="T183"/>
  <c r="S183"/>
  <c r="R183"/>
  <c r="M183"/>
  <c r="L183"/>
  <c r="AN182"/>
  <c r="AB182"/>
  <c r="Y182"/>
  <c r="U182"/>
  <c r="T182"/>
  <c r="S182"/>
  <c r="R182"/>
  <c r="L182"/>
  <c r="M182" s="1"/>
  <c r="AN181"/>
  <c r="AS181"/>
  <c r="AB181"/>
  <c r="Y181"/>
  <c r="U181"/>
  <c r="T181"/>
  <c r="S181"/>
  <c r="R181"/>
  <c r="M181"/>
  <c r="AQ181" s="1"/>
  <c r="L181"/>
  <c r="AB180"/>
  <c r="AB201" s="1"/>
  <c r="AB179" s="1"/>
  <c r="Y180"/>
  <c r="U180"/>
  <c r="T180"/>
  <c r="S180"/>
  <c r="R180"/>
  <c r="L180"/>
  <c r="M180" s="1"/>
  <c r="AB177"/>
  <c r="Y177"/>
  <c r="L177"/>
  <c r="M177" s="1"/>
  <c r="AN176"/>
  <c r="AS176" s="1"/>
  <c r="AS178" s="1"/>
  <c r="AB176"/>
  <c r="Y176"/>
  <c r="U176"/>
  <c r="T176"/>
  <c r="S176"/>
  <c r="R176"/>
  <c r="L176"/>
  <c r="AN175"/>
  <c r="AS175" s="1"/>
  <c r="AB175"/>
  <c r="Y175"/>
  <c r="T175"/>
  <c r="S175"/>
  <c r="R175"/>
  <c r="L175"/>
  <c r="AB174"/>
  <c r="Y174"/>
  <c r="U174"/>
  <c r="T174"/>
  <c r="S174"/>
  <c r="R174"/>
  <c r="L174"/>
  <c r="AB173"/>
  <c r="Y173"/>
  <c r="U173"/>
  <c r="T173"/>
  <c r="S173"/>
  <c r="R173"/>
  <c r="L173"/>
  <c r="M173" s="1"/>
  <c r="AB172"/>
  <c r="Y172"/>
  <c r="U172"/>
  <c r="T172"/>
  <c r="S172"/>
  <c r="R172"/>
  <c r="L172"/>
  <c r="M172" s="1"/>
  <c r="AN171"/>
  <c r="AB171"/>
  <c r="Y171"/>
  <c r="U171"/>
  <c r="T171"/>
  <c r="S171"/>
  <c r="R171"/>
  <c r="M171"/>
  <c r="L171"/>
  <c r="AN170"/>
  <c r="AS170" s="1"/>
  <c r="AB170"/>
  <c r="Y170"/>
  <c r="U170"/>
  <c r="T170"/>
  <c r="S170"/>
  <c r="R170"/>
  <c r="M170"/>
  <c r="L170"/>
  <c r="AN169"/>
  <c r="AB169"/>
  <c r="Y169"/>
  <c r="U169"/>
  <c r="T169"/>
  <c r="S169"/>
  <c r="R169"/>
  <c r="L169"/>
  <c r="M169" s="1"/>
  <c r="AN167"/>
  <c r="AS167" s="1"/>
  <c r="AB167"/>
  <c r="Y167"/>
  <c r="U167"/>
  <c r="T167"/>
  <c r="S167"/>
  <c r="R167"/>
  <c r="M167"/>
  <c r="L167"/>
  <c r="AB166"/>
  <c r="Y166"/>
  <c r="U166"/>
  <c r="T166"/>
  <c r="S166"/>
  <c r="R166"/>
  <c r="L166"/>
  <c r="M166" s="1"/>
  <c r="AQ166" s="1"/>
  <c r="AN165"/>
  <c r="AS165" s="1"/>
  <c r="AB165"/>
  <c r="Y165"/>
  <c r="U165"/>
  <c r="AE165" s="1"/>
  <c r="AF165" s="1"/>
  <c r="AR165" s="1"/>
  <c r="T165"/>
  <c r="S165"/>
  <c r="R165"/>
  <c r="L165"/>
  <c r="M165" s="1"/>
  <c r="AB164"/>
  <c r="Y164"/>
  <c r="U164"/>
  <c r="T164"/>
  <c r="S164"/>
  <c r="R164"/>
  <c r="AE164" s="1"/>
  <c r="AF164" s="1"/>
  <c r="AR164" s="1"/>
  <c r="L164"/>
  <c r="AN163"/>
  <c r="AS163" s="1"/>
  <c r="AB163"/>
  <c r="Y163"/>
  <c r="U163"/>
  <c r="T163"/>
  <c r="S163"/>
  <c r="R163"/>
  <c r="L163"/>
  <c r="M163" s="1"/>
  <c r="AQ163" s="1"/>
  <c r="AN162"/>
  <c r="AS162" s="1"/>
  <c r="AB162"/>
  <c r="AE162" s="1"/>
  <c r="AF162" s="1"/>
  <c r="AR162" s="1"/>
  <c r="Y162"/>
  <c r="U162"/>
  <c r="T162"/>
  <c r="S162"/>
  <c r="R162"/>
  <c r="L162"/>
  <c r="M162" s="1"/>
  <c r="AB161"/>
  <c r="Y161"/>
  <c r="U161"/>
  <c r="T161"/>
  <c r="AE161" s="1"/>
  <c r="AF161" s="1"/>
  <c r="AR161" s="1"/>
  <c r="S161"/>
  <c r="R161"/>
  <c r="L161"/>
  <c r="AB160"/>
  <c r="Y160"/>
  <c r="U160"/>
  <c r="T160"/>
  <c r="S160"/>
  <c r="R160"/>
  <c r="L160"/>
  <c r="M160" s="1"/>
  <c r="AQ160" s="1"/>
  <c r="AB159"/>
  <c r="Y159"/>
  <c r="U159"/>
  <c r="T159"/>
  <c r="S159"/>
  <c r="R159"/>
  <c r="L159"/>
  <c r="M159" s="1"/>
  <c r="AB158"/>
  <c r="AF158" s="1"/>
  <c r="AR158" s="1"/>
  <c r="Y158"/>
  <c r="T158"/>
  <c r="L158"/>
  <c r="M158" s="1"/>
  <c r="AN157"/>
  <c r="AS157" s="1"/>
  <c r="AB157"/>
  <c r="Y157"/>
  <c r="U157"/>
  <c r="T157"/>
  <c r="S157"/>
  <c r="R157"/>
  <c r="L157"/>
  <c r="M157" s="1"/>
  <c r="AN156"/>
  <c r="AS156" s="1"/>
  <c r="AB156"/>
  <c r="Y156"/>
  <c r="U156"/>
  <c r="T156"/>
  <c r="S156"/>
  <c r="R156"/>
  <c r="L156"/>
  <c r="M156" s="1"/>
  <c r="AN155"/>
  <c r="AB155"/>
  <c r="Y155"/>
  <c r="U155"/>
  <c r="T155"/>
  <c r="S155"/>
  <c r="R155"/>
  <c r="L155"/>
  <c r="AB154"/>
  <c r="Y154"/>
  <c r="U154"/>
  <c r="T154"/>
  <c r="S154"/>
  <c r="R154"/>
  <c r="L154"/>
  <c r="M154" s="1"/>
  <c r="AN153"/>
  <c r="AS153" s="1"/>
  <c r="AB153"/>
  <c r="Y153"/>
  <c r="AF153" s="1"/>
  <c r="AR153" s="1"/>
  <c r="T153"/>
  <c r="L153"/>
  <c r="AN152"/>
  <c r="AS152" s="1"/>
  <c r="AB152"/>
  <c r="Y152"/>
  <c r="U152"/>
  <c r="T152"/>
  <c r="S152"/>
  <c r="R152"/>
  <c r="L152"/>
  <c r="M152" s="1"/>
  <c r="AB151"/>
  <c r="AE151" s="1"/>
  <c r="AF151" s="1"/>
  <c r="AR151" s="1"/>
  <c r="Y151"/>
  <c r="U151"/>
  <c r="T151"/>
  <c r="S151"/>
  <c r="R151"/>
  <c r="M151"/>
  <c r="L151"/>
  <c r="AB150"/>
  <c r="Y150"/>
  <c r="U150"/>
  <c r="T150"/>
  <c r="S150"/>
  <c r="R150"/>
  <c r="L150"/>
  <c r="M150" s="1"/>
  <c r="AQ150" s="1"/>
  <c r="AN149"/>
  <c r="AS149" s="1"/>
  <c r="AB149"/>
  <c r="Y149"/>
  <c r="U149"/>
  <c r="T149"/>
  <c r="S149"/>
  <c r="R149"/>
  <c r="L149"/>
  <c r="AB148"/>
  <c r="Y148"/>
  <c r="U148"/>
  <c r="T148"/>
  <c r="S148"/>
  <c r="R148"/>
  <c r="L148"/>
  <c r="M148" s="1"/>
  <c r="AB147"/>
  <c r="Y147"/>
  <c r="U147"/>
  <c r="T147"/>
  <c r="S147"/>
  <c r="R147"/>
  <c r="L147"/>
  <c r="M147" s="1"/>
  <c r="AN146"/>
  <c r="AB146"/>
  <c r="Y146"/>
  <c r="U146"/>
  <c r="T146"/>
  <c r="S146"/>
  <c r="R146"/>
  <c r="L146"/>
  <c r="M146" s="1"/>
  <c r="AN145"/>
  <c r="AS145" s="1"/>
  <c r="AB145"/>
  <c r="Y145"/>
  <c r="U145"/>
  <c r="T145"/>
  <c r="S145"/>
  <c r="R145"/>
  <c r="L145"/>
  <c r="M145" s="1"/>
  <c r="AB144"/>
  <c r="Y144"/>
  <c r="U144"/>
  <c r="T144"/>
  <c r="S144"/>
  <c r="R144"/>
  <c r="L144"/>
  <c r="M144" s="1"/>
  <c r="AD93"/>
  <c r="AM141"/>
  <c r="AN141" s="1"/>
  <c r="AB141"/>
  <c r="Y141"/>
  <c r="Y142" s="1"/>
  <c r="T141"/>
  <c r="L141"/>
  <c r="M141" s="1"/>
  <c r="AM140"/>
  <c r="AM142" s="1"/>
  <c r="AB140"/>
  <c r="Y140"/>
  <c r="U140"/>
  <c r="U142" s="1"/>
  <c r="T140"/>
  <c r="T142" s="1"/>
  <c r="S140"/>
  <c r="S142" s="1"/>
  <c r="R140"/>
  <c r="R142" s="1"/>
  <c r="L140"/>
  <c r="L142" s="1"/>
  <c r="BA139"/>
  <c r="AE139"/>
  <c r="AM138"/>
  <c r="AN138" s="1"/>
  <c r="AB138"/>
  <c r="Y138"/>
  <c r="U138"/>
  <c r="T138"/>
  <c r="S138"/>
  <c r="R138"/>
  <c r="R139" s="1"/>
  <c r="L138"/>
  <c r="M138" s="1"/>
  <c r="AM137"/>
  <c r="AM139" s="1"/>
  <c r="AB137"/>
  <c r="AB139" s="1"/>
  <c r="Y137"/>
  <c r="Y139" s="1"/>
  <c r="U137"/>
  <c r="U139" s="1"/>
  <c r="T137"/>
  <c r="T139" s="1"/>
  <c r="S137"/>
  <c r="S139" s="1"/>
  <c r="R137"/>
  <c r="L137"/>
  <c r="M137" s="1"/>
  <c r="AB135"/>
  <c r="Y135"/>
  <c r="U135"/>
  <c r="T135"/>
  <c r="S135"/>
  <c r="R135"/>
  <c r="L135"/>
  <c r="AS134"/>
  <c r="AB134"/>
  <c r="Y134"/>
  <c r="U134"/>
  <c r="T134"/>
  <c r="S134"/>
  <c r="R134"/>
  <c r="L134"/>
  <c r="AS133"/>
  <c r="AB133"/>
  <c r="Y133"/>
  <c r="U133"/>
  <c r="T133"/>
  <c r="S133"/>
  <c r="R133"/>
  <c r="L133"/>
  <c r="M133" s="1"/>
  <c r="AN132"/>
  <c r="AS132"/>
  <c r="AB132"/>
  <c r="AF132" s="1"/>
  <c r="AR132" s="1"/>
  <c r="Y132"/>
  <c r="T132"/>
  <c r="L132"/>
  <c r="AN131"/>
  <c r="AS131" s="1"/>
  <c r="Y131"/>
  <c r="T131"/>
  <c r="L131"/>
  <c r="M131" s="1"/>
  <c r="AN130"/>
  <c r="AS130" s="1"/>
  <c r="AE130"/>
  <c r="AF130" s="1"/>
  <c r="AR130" s="1"/>
  <c r="AB130"/>
  <c r="Y130"/>
  <c r="U130"/>
  <c r="T130"/>
  <c r="S130"/>
  <c r="R130"/>
  <c r="L130"/>
  <c r="AN129"/>
  <c r="AB129"/>
  <c r="AE129" s="1"/>
  <c r="AF129" s="1"/>
  <c r="AR129" s="1"/>
  <c r="Y129"/>
  <c r="U129"/>
  <c r="T129"/>
  <c r="S129"/>
  <c r="R129"/>
  <c r="L129"/>
  <c r="M129" s="1"/>
  <c r="AN128"/>
  <c r="AS128" s="1"/>
  <c r="AB128"/>
  <c r="Y128"/>
  <c r="U128"/>
  <c r="T128"/>
  <c r="S128"/>
  <c r="R128"/>
  <c r="L128"/>
  <c r="AN127"/>
  <c r="AB127"/>
  <c r="Y127"/>
  <c r="U127"/>
  <c r="AE127" s="1"/>
  <c r="AF127" s="1"/>
  <c r="AR127" s="1"/>
  <c r="T127"/>
  <c r="S127"/>
  <c r="R127"/>
  <c r="L127"/>
  <c r="M127" s="1"/>
  <c r="AB126"/>
  <c r="AE126" s="1"/>
  <c r="AF126" s="1"/>
  <c r="AR126" s="1"/>
  <c r="Y126"/>
  <c r="U126"/>
  <c r="T126"/>
  <c r="S126"/>
  <c r="R126"/>
  <c r="L126"/>
  <c r="AB125"/>
  <c r="AE125" s="1"/>
  <c r="AF125" s="1"/>
  <c r="AR125" s="1"/>
  <c r="Y125"/>
  <c r="U125"/>
  <c r="T125"/>
  <c r="S125"/>
  <c r="R125"/>
  <c r="L125"/>
  <c r="M125" s="1"/>
  <c r="AB124"/>
  <c r="Y124"/>
  <c r="U124"/>
  <c r="T124"/>
  <c r="S124"/>
  <c r="R124"/>
  <c r="L124"/>
  <c r="M124" s="1"/>
  <c r="AM123"/>
  <c r="AB123"/>
  <c r="AE123" s="1"/>
  <c r="AF123" s="1"/>
  <c r="AR123" s="1"/>
  <c r="Y123"/>
  <c r="U123"/>
  <c r="T123"/>
  <c r="S123"/>
  <c r="R123"/>
  <c r="M123"/>
  <c r="L123"/>
  <c r="AN122"/>
  <c r="AS122" s="1"/>
  <c r="AB122"/>
  <c r="Y122"/>
  <c r="AE122" s="1"/>
  <c r="AF122" s="1"/>
  <c r="AR122" s="1"/>
  <c r="U122"/>
  <c r="T122"/>
  <c r="S122"/>
  <c r="R122"/>
  <c r="L122"/>
  <c r="M122" s="1"/>
  <c r="AN121"/>
  <c r="AS121" s="1"/>
  <c r="AB121"/>
  <c r="Y121"/>
  <c r="U121"/>
  <c r="T121"/>
  <c r="S121"/>
  <c r="R121"/>
  <c r="L121"/>
  <c r="AN120"/>
  <c r="AB120"/>
  <c r="Y120"/>
  <c r="U120"/>
  <c r="T120"/>
  <c r="S120"/>
  <c r="R120"/>
  <c r="L120"/>
  <c r="M120" s="1"/>
  <c r="AN119"/>
  <c r="AS119" s="1"/>
  <c r="AB119"/>
  <c r="Y119"/>
  <c r="U119"/>
  <c r="AE119" s="1"/>
  <c r="AF119" s="1"/>
  <c r="AR119" s="1"/>
  <c r="T119"/>
  <c r="S119"/>
  <c r="R119"/>
  <c r="M119"/>
  <c r="L119"/>
  <c r="AN118"/>
  <c r="AB118"/>
  <c r="Y118"/>
  <c r="U118"/>
  <c r="T118"/>
  <c r="S118"/>
  <c r="R118"/>
  <c r="L118"/>
  <c r="AB117"/>
  <c r="Y117"/>
  <c r="U117"/>
  <c r="T117"/>
  <c r="S117"/>
  <c r="R117"/>
  <c r="L117"/>
  <c r="AN116"/>
  <c r="AS116" s="1"/>
  <c r="AE116"/>
  <c r="AF116" s="1"/>
  <c r="AR116" s="1"/>
  <c r="AB116"/>
  <c r="Y116"/>
  <c r="U116"/>
  <c r="T116"/>
  <c r="S116"/>
  <c r="R116"/>
  <c r="L116"/>
  <c r="AN115"/>
  <c r="AS115" s="1"/>
  <c r="AB115"/>
  <c r="Y115"/>
  <c r="AF115"/>
  <c r="AR115" s="1"/>
  <c r="T115"/>
  <c r="L115"/>
  <c r="AB114"/>
  <c r="Y114"/>
  <c r="U114"/>
  <c r="T114"/>
  <c r="S114"/>
  <c r="S136" s="1"/>
  <c r="R114"/>
  <c r="L114"/>
  <c r="M114" s="1"/>
  <c r="AM112"/>
  <c r="AN112" s="1"/>
  <c r="AS112" s="1"/>
  <c r="AB112"/>
  <c r="Y112"/>
  <c r="U112"/>
  <c r="T112"/>
  <c r="S112"/>
  <c r="R112"/>
  <c r="AE112" s="1"/>
  <c r="AF112" s="1"/>
  <c r="AR112" s="1"/>
  <c r="L112"/>
  <c r="M112" s="1"/>
  <c r="AM111"/>
  <c r="AB111"/>
  <c r="Y111"/>
  <c r="T111"/>
  <c r="L111"/>
  <c r="M111" s="1"/>
  <c r="AN110"/>
  <c r="AS110" s="1"/>
  <c r="AB110"/>
  <c r="Y110"/>
  <c r="AE110" s="1"/>
  <c r="AF110" s="1"/>
  <c r="AR110" s="1"/>
  <c r="U110"/>
  <c r="T110"/>
  <c r="S110"/>
  <c r="R110"/>
  <c r="M110"/>
  <c r="L110"/>
  <c r="AB109"/>
  <c r="Y109"/>
  <c r="U109"/>
  <c r="T109"/>
  <c r="S109"/>
  <c r="R109"/>
  <c r="L109"/>
  <c r="M109" s="1"/>
  <c r="AF108"/>
  <c r="AR108" s="1"/>
  <c r="AB108"/>
  <c r="Y108"/>
  <c r="T108"/>
  <c r="S108"/>
  <c r="R108"/>
  <c r="L108"/>
  <c r="M108" s="1"/>
  <c r="AB107"/>
  <c r="Y107"/>
  <c r="U107"/>
  <c r="T107"/>
  <c r="S107"/>
  <c r="R107"/>
  <c r="L107"/>
  <c r="AN106"/>
  <c r="AS106" s="1"/>
  <c r="AB106"/>
  <c r="Y106"/>
  <c r="U106"/>
  <c r="T106"/>
  <c r="S106"/>
  <c r="R106"/>
  <c r="L106"/>
  <c r="M106" s="1"/>
  <c r="AN105"/>
  <c r="AS105" s="1"/>
  <c r="AB105"/>
  <c r="AE105" s="1"/>
  <c r="AF105" s="1"/>
  <c r="AR105" s="1"/>
  <c r="Y105"/>
  <c r="U105"/>
  <c r="T105"/>
  <c r="S105"/>
  <c r="R105"/>
  <c r="L105"/>
  <c r="AB104"/>
  <c r="Y104"/>
  <c r="U104"/>
  <c r="T104"/>
  <c r="S104"/>
  <c r="R104"/>
  <c r="L104"/>
  <c r="M104" s="1"/>
  <c r="AN103"/>
  <c r="AS103" s="1"/>
  <c r="AB103"/>
  <c r="Y103"/>
  <c r="U103"/>
  <c r="T103"/>
  <c r="S103"/>
  <c r="R103"/>
  <c r="M103"/>
  <c r="L103"/>
  <c r="AN102"/>
  <c r="AS102" s="1"/>
  <c r="AB102"/>
  <c r="Y102"/>
  <c r="U102"/>
  <c r="T102"/>
  <c r="S102"/>
  <c r="R102"/>
  <c r="L102"/>
  <c r="M102" s="1"/>
  <c r="AK93"/>
  <c r="AN100"/>
  <c r="AS100" s="1"/>
  <c r="AM100"/>
  <c r="AB100"/>
  <c r="Y100"/>
  <c r="U100"/>
  <c r="T100"/>
  <c r="S100"/>
  <c r="R100"/>
  <c r="L100"/>
  <c r="M100" s="1"/>
  <c r="AM99"/>
  <c r="AN99" s="1"/>
  <c r="AB99"/>
  <c r="Y99"/>
  <c r="U99"/>
  <c r="T99"/>
  <c r="AE99" s="1"/>
  <c r="AF99" s="1"/>
  <c r="AR99" s="1"/>
  <c r="S99"/>
  <c r="R99"/>
  <c r="M99"/>
  <c r="L99"/>
  <c r="AN98"/>
  <c r="AB98"/>
  <c r="Y98"/>
  <c r="U98"/>
  <c r="T98"/>
  <c r="S98"/>
  <c r="R98"/>
  <c r="L98"/>
  <c r="M98" s="1"/>
  <c r="AN97"/>
  <c r="AS97" s="1"/>
  <c r="AB97"/>
  <c r="Y97"/>
  <c r="U97"/>
  <c r="T97"/>
  <c r="S97"/>
  <c r="S101" s="1"/>
  <c r="R97"/>
  <c r="L97"/>
  <c r="M97" s="1"/>
  <c r="AN96"/>
  <c r="AS96" s="1"/>
  <c r="AB96"/>
  <c r="AE96" s="1"/>
  <c r="AF96" s="1"/>
  <c r="AR96" s="1"/>
  <c r="Y96"/>
  <c r="U96"/>
  <c r="T96"/>
  <c r="S96"/>
  <c r="R96"/>
  <c r="L96"/>
  <c r="M96" s="1"/>
  <c r="AB95"/>
  <c r="Y95"/>
  <c r="Y101" s="1"/>
  <c r="U95"/>
  <c r="T95"/>
  <c r="S95"/>
  <c r="R95"/>
  <c r="M95"/>
  <c r="L95"/>
  <c r="AB94"/>
  <c r="Y94"/>
  <c r="U94"/>
  <c r="T94"/>
  <c r="S94"/>
  <c r="R94"/>
  <c r="L94"/>
  <c r="M94" s="1"/>
  <c r="M101" s="1"/>
  <c r="AL93"/>
  <c r="AD92"/>
  <c r="Z92"/>
  <c r="BA91"/>
  <c r="AZ91"/>
  <c r="BQ19" i="18" s="1"/>
  <c r="BQ18" s="1"/>
  <c r="AY91" i="15"/>
  <c r="AX91"/>
  <c r="BO19" i="18" s="1"/>
  <c r="BO18" s="1"/>
  <c r="AW91" i="15"/>
  <c r="BN19" i="18" s="1"/>
  <c r="BN18" s="1"/>
  <c r="AV91" i="15"/>
  <c r="BM19" i="18" s="1"/>
  <c r="BM18" s="1"/>
  <c r="AU91" i="15"/>
  <c r="BL19" i="18" s="1"/>
  <c r="BL18" s="1"/>
  <c r="AL91" i="15"/>
  <c r="AK91"/>
  <c r="AJ91"/>
  <c r="AD91"/>
  <c r="AD80" s="1"/>
  <c r="AC91"/>
  <c r="AC80" s="1"/>
  <c r="AB90"/>
  <c r="Y90"/>
  <c r="U90"/>
  <c r="T90"/>
  <c r="S90"/>
  <c r="R90"/>
  <c r="L90"/>
  <c r="M90" s="1"/>
  <c r="AN89"/>
  <c r="AS89" s="1"/>
  <c r="AB89"/>
  <c r="Y89"/>
  <c r="U89"/>
  <c r="T89"/>
  <c r="S89"/>
  <c r="R89"/>
  <c r="L89"/>
  <c r="AB88"/>
  <c r="Y88"/>
  <c r="U88"/>
  <c r="T88"/>
  <c r="S88"/>
  <c r="R88"/>
  <c r="L88"/>
  <c r="M88" s="1"/>
  <c r="AQ88" s="1"/>
  <c r="AN87"/>
  <c r="AS87" s="1"/>
  <c r="AB87"/>
  <c r="Y87"/>
  <c r="U87"/>
  <c r="T87"/>
  <c r="S87"/>
  <c r="R87"/>
  <c r="L87"/>
  <c r="M87" s="1"/>
  <c r="AN86"/>
  <c r="AS86" s="1"/>
  <c r="AB86"/>
  <c r="Y86"/>
  <c r="U86"/>
  <c r="T86"/>
  <c r="S86"/>
  <c r="R86"/>
  <c r="L86"/>
  <c r="M86" s="1"/>
  <c r="AB85"/>
  <c r="Y85"/>
  <c r="U85"/>
  <c r="T85"/>
  <c r="S85"/>
  <c r="R85"/>
  <c r="L85"/>
  <c r="M85" s="1"/>
  <c r="AN84"/>
  <c r="AS84" s="1"/>
  <c r="AB84"/>
  <c r="Y84"/>
  <c r="U84"/>
  <c r="T84"/>
  <c r="S84"/>
  <c r="R84"/>
  <c r="L84"/>
  <c r="M84" s="1"/>
  <c r="AN83"/>
  <c r="AB83"/>
  <c r="Y83"/>
  <c r="U83"/>
  <c r="AE83" s="1"/>
  <c r="AF83" s="1"/>
  <c r="AR83" s="1"/>
  <c r="T83"/>
  <c r="S83"/>
  <c r="R83"/>
  <c r="L83"/>
  <c r="M83" s="1"/>
  <c r="AN82"/>
  <c r="AS82" s="1"/>
  <c r="AB82"/>
  <c r="Y82"/>
  <c r="U82"/>
  <c r="T82"/>
  <c r="S82"/>
  <c r="R82"/>
  <c r="L82"/>
  <c r="AN81"/>
  <c r="AS81" s="1"/>
  <c r="AB81"/>
  <c r="AB91" s="1"/>
  <c r="AB80" s="1"/>
  <c r="Y81"/>
  <c r="Y91" s="1"/>
  <c r="Y80" s="1"/>
  <c r="U81"/>
  <c r="T81"/>
  <c r="S81"/>
  <c r="S91" s="1"/>
  <c r="S80" s="1"/>
  <c r="R81"/>
  <c r="L81"/>
  <c r="M81" s="1"/>
  <c r="AZ80"/>
  <c r="AX80"/>
  <c r="AW80"/>
  <c r="AV80"/>
  <c r="AU80"/>
  <c r="AL80"/>
  <c r="AK80"/>
  <c r="AJ80"/>
  <c r="BA79"/>
  <c r="BR17" i="18" s="1"/>
  <c r="AZ79" i="15"/>
  <c r="BQ17" i="18" s="1"/>
  <c r="AY79" i="15"/>
  <c r="BP17" i="18" s="1"/>
  <c r="AX79" i="15"/>
  <c r="BO17" i="18" s="1"/>
  <c r="AW79" i="15"/>
  <c r="BN17" i="18" s="1"/>
  <c r="AV79" i="15"/>
  <c r="BM17" i="18" s="1"/>
  <c r="AU79" i="15"/>
  <c r="BL17" i="18" s="1"/>
  <c r="AL79" i="15"/>
  <c r="AL40" s="1"/>
  <c r="AK79"/>
  <c r="AJ79"/>
  <c r="AD79"/>
  <c r="AC79"/>
  <c r="AB78"/>
  <c r="Y78"/>
  <c r="U78"/>
  <c r="T78"/>
  <c r="S78"/>
  <c r="R78"/>
  <c r="L78"/>
  <c r="M78" s="1"/>
  <c r="AS77"/>
  <c r="AN77"/>
  <c r="AB77"/>
  <c r="Y77"/>
  <c r="U77"/>
  <c r="T77"/>
  <c r="S77"/>
  <c r="R77"/>
  <c r="L77"/>
  <c r="M77" s="1"/>
  <c r="AB76"/>
  <c r="AE76" s="1"/>
  <c r="AF76" s="1"/>
  <c r="AR76" s="1"/>
  <c r="Y76"/>
  <c r="U76"/>
  <c r="T76"/>
  <c r="S76"/>
  <c r="R76"/>
  <c r="L76"/>
  <c r="M76" s="1"/>
  <c r="AB75"/>
  <c r="Y75"/>
  <c r="U75"/>
  <c r="T75"/>
  <c r="S75"/>
  <c r="R75"/>
  <c r="M75"/>
  <c r="L75"/>
  <c r="AB74"/>
  <c r="Y74"/>
  <c r="U74"/>
  <c r="T74"/>
  <c r="S74"/>
  <c r="R74"/>
  <c r="L74"/>
  <c r="M74" s="1"/>
  <c r="AN73"/>
  <c r="AS73" s="1"/>
  <c r="AB73"/>
  <c r="Y73"/>
  <c r="U73"/>
  <c r="T73"/>
  <c r="S73"/>
  <c r="R73"/>
  <c r="L73"/>
  <c r="M73" s="1"/>
  <c r="AB72"/>
  <c r="Y72"/>
  <c r="U72"/>
  <c r="T72"/>
  <c r="S72"/>
  <c r="R72"/>
  <c r="M72"/>
  <c r="L72"/>
  <c r="AN71"/>
  <c r="AS71" s="1"/>
  <c r="AB71"/>
  <c r="Y71"/>
  <c r="U71"/>
  <c r="T71"/>
  <c r="S71"/>
  <c r="R71"/>
  <c r="L71"/>
  <c r="AN70"/>
  <c r="AS70" s="1"/>
  <c r="AB70"/>
  <c r="Y70"/>
  <c r="U70"/>
  <c r="T70"/>
  <c r="S70"/>
  <c r="R70"/>
  <c r="L70"/>
  <c r="AN69"/>
  <c r="AS69" s="1"/>
  <c r="AB69"/>
  <c r="Y69"/>
  <c r="U69"/>
  <c r="T69"/>
  <c r="S69"/>
  <c r="R69"/>
  <c r="M69"/>
  <c r="L69"/>
  <c r="AN68"/>
  <c r="AS68" s="1"/>
  <c r="AB68"/>
  <c r="Y68"/>
  <c r="U68"/>
  <c r="T68"/>
  <c r="S68"/>
  <c r="R68"/>
  <c r="L68"/>
  <c r="M68" s="1"/>
  <c r="AN67"/>
  <c r="AS67" s="1"/>
  <c r="AB67"/>
  <c r="Y67"/>
  <c r="U67"/>
  <c r="T67"/>
  <c r="S67"/>
  <c r="R67"/>
  <c r="L67"/>
  <c r="AB66"/>
  <c r="Y66"/>
  <c r="U66"/>
  <c r="T66"/>
  <c r="S66"/>
  <c r="R66"/>
  <c r="L66"/>
  <c r="M66" s="1"/>
  <c r="AN65"/>
  <c r="AS65" s="1"/>
  <c r="AB65"/>
  <c r="Y65"/>
  <c r="U65"/>
  <c r="T65"/>
  <c r="S65"/>
  <c r="R65"/>
  <c r="L65"/>
  <c r="M65" s="1"/>
  <c r="AB64"/>
  <c r="Y64"/>
  <c r="U64"/>
  <c r="T64"/>
  <c r="S64"/>
  <c r="R64"/>
  <c r="L64"/>
  <c r="M64" s="1"/>
  <c r="AB63"/>
  <c r="Y63"/>
  <c r="U63"/>
  <c r="T63"/>
  <c r="S63"/>
  <c r="R63"/>
  <c r="L63"/>
  <c r="M63" s="1"/>
  <c r="AQ62"/>
  <c r="AB62"/>
  <c r="Y62"/>
  <c r="U62"/>
  <c r="T62"/>
  <c r="S62"/>
  <c r="R62"/>
  <c r="AE62" s="1"/>
  <c r="AF62" s="1"/>
  <c r="AR62" s="1"/>
  <c r="L62"/>
  <c r="M62" s="1"/>
  <c r="AB61"/>
  <c r="Y61"/>
  <c r="U61"/>
  <c r="T61"/>
  <c r="S61"/>
  <c r="R61"/>
  <c r="L61"/>
  <c r="M61" s="1"/>
  <c r="AB60"/>
  <c r="AB79" s="1"/>
  <c r="Y60"/>
  <c r="U60"/>
  <c r="T60"/>
  <c r="S60"/>
  <c r="R60"/>
  <c r="L60"/>
  <c r="BA59"/>
  <c r="AZ59"/>
  <c r="BQ16" i="18" s="1"/>
  <c r="BQ15" s="1"/>
  <c r="BQ12" s="1"/>
  <c r="AY59" i="15"/>
  <c r="BP16" i="18" s="1"/>
  <c r="BP15" s="1"/>
  <c r="AX59" i="15"/>
  <c r="BO16" i="18" s="1"/>
  <c r="BO15" s="1"/>
  <c r="BO12" s="1"/>
  <c r="AW59" i="15"/>
  <c r="BN16" i="18" s="1"/>
  <c r="BN15" s="1"/>
  <c r="BN12" s="1"/>
  <c r="AV59" i="15"/>
  <c r="BM16" i="18" s="1"/>
  <c r="BM15" s="1"/>
  <c r="BM12" s="1"/>
  <c r="AU59" i="15"/>
  <c r="AL59"/>
  <c r="AK59"/>
  <c r="AK40" s="1"/>
  <c r="AJ59"/>
  <c r="AD59"/>
  <c r="AC59"/>
  <c r="AC40" s="1"/>
  <c r="Z59"/>
  <c r="AN58"/>
  <c r="AS58" s="1"/>
  <c r="AB58"/>
  <c r="Y58"/>
  <c r="U58"/>
  <c r="T58"/>
  <c r="S58"/>
  <c r="R58"/>
  <c r="L58"/>
  <c r="M58" s="1"/>
  <c r="AN57"/>
  <c r="AB57"/>
  <c r="AE57" s="1"/>
  <c r="AF57" s="1"/>
  <c r="AR57" s="1"/>
  <c r="Y57"/>
  <c r="U57"/>
  <c r="T57"/>
  <c r="S57"/>
  <c r="R57"/>
  <c r="L57"/>
  <c r="M57" s="1"/>
  <c r="AB56"/>
  <c r="AE56" s="1"/>
  <c r="AF56" s="1"/>
  <c r="AR56" s="1"/>
  <c r="Y56"/>
  <c r="U56"/>
  <c r="T56"/>
  <c r="S56"/>
  <c r="R56"/>
  <c r="L56"/>
  <c r="M56" s="1"/>
  <c r="AB55"/>
  <c r="Y55"/>
  <c r="AE55" s="1"/>
  <c r="AF55" s="1"/>
  <c r="AR55" s="1"/>
  <c r="U55"/>
  <c r="T55"/>
  <c r="S55"/>
  <c r="R55"/>
  <c r="L55"/>
  <c r="M55" s="1"/>
  <c r="AN54"/>
  <c r="AB54"/>
  <c r="Y54"/>
  <c r="U54"/>
  <c r="AE54" s="1"/>
  <c r="AF54" s="1"/>
  <c r="AR54" s="1"/>
  <c r="T54"/>
  <c r="S54"/>
  <c r="R54"/>
  <c r="L54"/>
  <c r="M54" s="1"/>
  <c r="AN53"/>
  <c r="AB53"/>
  <c r="Y53"/>
  <c r="U53"/>
  <c r="T53"/>
  <c r="AE53" s="1"/>
  <c r="AF53" s="1"/>
  <c r="AR53" s="1"/>
  <c r="S53"/>
  <c r="R53"/>
  <c r="M53"/>
  <c r="L53"/>
  <c r="AN52"/>
  <c r="AS52" s="1"/>
  <c r="AB52"/>
  <c r="AE52" s="1"/>
  <c r="AF52" s="1"/>
  <c r="AR52" s="1"/>
  <c r="Y52"/>
  <c r="U52"/>
  <c r="T52"/>
  <c r="S52"/>
  <c r="R52"/>
  <c r="M52"/>
  <c r="L52"/>
  <c r="AB51"/>
  <c r="Y51"/>
  <c r="U51"/>
  <c r="T51"/>
  <c r="S51"/>
  <c r="R51"/>
  <c r="AE51" s="1"/>
  <c r="AF51" s="1"/>
  <c r="AR51" s="1"/>
  <c r="L51"/>
  <c r="AN50"/>
  <c r="AS50"/>
  <c r="AB50"/>
  <c r="Y50"/>
  <c r="U50"/>
  <c r="T50"/>
  <c r="S50"/>
  <c r="R50"/>
  <c r="L50"/>
  <c r="M50" s="1"/>
  <c r="AN49"/>
  <c r="AS49" s="1"/>
  <c r="AB49"/>
  <c r="Y49"/>
  <c r="AE49" s="1"/>
  <c r="AF49" s="1"/>
  <c r="AR49" s="1"/>
  <c r="U49"/>
  <c r="T49"/>
  <c r="S49"/>
  <c r="R49"/>
  <c r="L49"/>
  <c r="M49" s="1"/>
  <c r="AN48"/>
  <c r="AS48" s="1"/>
  <c r="AB48"/>
  <c r="Y48"/>
  <c r="U48"/>
  <c r="T48"/>
  <c r="S48"/>
  <c r="R48"/>
  <c r="L48"/>
  <c r="AN47"/>
  <c r="AE47"/>
  <c r="AF47" s="1"/>
  <c r="AR47" s="1"/>
  <c r="AB47"/>
  <c r="Y47"/>
  <c r="U47"/>
  <c r="T47"/>
  <c r="S47"/>
  <c r="R47"/>
  <c r="L47"/>
  <c r="M47" s="1"/>
  <c r="AN46"/>
  <c r="AS46" s="1"/>
  <c r="AB46"/>
  <c r="Y46"/>
  <c r="U46"/>
  <c r="T46"/>
  <c r="S46"/>
  <c r="R46"/>
  <c r="L46"/>
  <c r="M46" s="1"/>
  <c r="AQ46" s="1"/>
  <c r="AN45"/>
  <c r="AS45" s="1"/>
  <c r="AE45"/>
  <c r="AF45" s="1"/>
  <c r="AR45" s="1"/>
  <c r="AB45"/>
  <c r="Y45"/>
  <c r="U45"/>
  <c r="T45"/>
  <c r="S45"/>
  <c r="R45"/>
  <c r="L45"/>
  <c r="M45" s="1"/>
  <c r="AB44"/>
  <c r="Y44"/>
  <c r="U44"/>
  <c r="T44"/>
  <c r="S44"/>
  <c r="R44"/>
  <c r="L44"/>
  <c r="M44" s="1"/>
  <c r="AQ44" s="1"/>
  <c r="AB43"/>
  <c r="Y43"/>
  <c r="AE43" s="1"/>
  <c r="AF43" s="1"/>
  <c r="AR43" s="1"/>
  <c r="U43"/>
  <c r="T43"/>
  <c r="S43"/>
  <c r="R43"/>
  <c r="L43"/>
  <c r="M43" s="1"/>
  <c r="AN42"/>
  <c r="AE42"/>
  <c r="AF42" s="1"/>
  <c r="AR42" s="1"/>
  <c r="AB42"/>
  <c r="Y42"/>
  <c r="U42"/>
  <c r="T42"/>
  <c r="S42"/>
  <c r="R42"/>
  <c r="L42"/>
  <c r="M42" s="1"/>
  <c r="AN41"/>
  <c r="AB41"/>
  <c r="Y41"/>
  <c r="U41"/>
  <c r="T41"/>
  <c r="T59" s="1"/>
  <c r="S41"/>
  <c r="S59" s="1"/>
  <c r="R41"/>
  <c r="R59" s="1"/>
  <c r="L41"/>
  <c r="AY40"/>
  <c r="AX40"/>
  <c r="AW40"/>
  <c r="AV40"/>
  <c r="AV31" s="1"/>
  <c r="AJ40"/>
  <c r="AD40"/>
  <c r="BA39"/>
  <c r="AZ39"/>
  <c r="AZ32" s="1"/>
  <c r="AY39"/>
  <c r="AX39"/>
  <c r="AX32" s="1"/>
  <c r="AW39"/>
  <c r="AV39"/>
  <c r="AU39"/>
  <c r="BL14" i="18" s="1"/>
  <c r="BL13" s="1"/>
  <c r="AL39" i="15"/>
  <c r="AL32" s="1"/>
  <c r="AK39"/>
  <c r="AJ39"/>
  <c r="AJ32" s="1"/>
  <c r="AJ31" s="1"/>
  <c r="AD39"/>
  <c r="AC39"/>
  <c r="AC32" s="1"/>
  <c r="AN38"/>
  <c r="AS38" s="1"/>
  <c r="AB38"/>
  <c r="Y38"/>
  <c r="U38"/>
  <c r="T38"/>
  <c r="S38"/>
  <c r="R38"/>
  <c r="M38"/>
  <c r="L38"/>
  <c r="AQ38" s="1"/>
  <c r="AQ37"/>
  <c r="AB37"/>
  <c r="Y37"/>
  <c r="U37"/>
  <c r="T37"/>
  <c r="T39" s="1"/>
  <c r="T32" s="1"/>
  <c r="S37"/>
  <c r="R37"/>
  <c r="L37"/>
  <c r="M37" s="1"/>
  <c r="AN36"/>
  <c r="AS36" s="1"/>
  <c r="AB36"/>
  <c r="Y36"/>
  <c r="U36"/>
  <c r="T36"/>
  <c r="S36"/>
  <c r="R36"/>
  <c r="M36"/>
  <c r="L36"/>
  <c r="AQ36" s="1"/>
  <c r="AQ35"/>
  <c r="AN35"/>
  <c r="AS35" s="1"/>
  <c r="AB35"/>
  <c r="AE35" s="1"/>
  <c r="AF35" s="1"/>
  <c r="AR35" s="1"/>
  <c r="Y35"/>
  <c r="U35"/>
  <c r="T35"/>
  <c r="S35"/>
  <c r="R35"/>
  <c r="R39" s="1"/>
  <c r="R32" s="1"/>
  <c r="L35"/>
  <c r="M35" s="1"/>
  <c r="AS34"/>
  <c r="AN34"/>
  <c r="AB34"/>
  <c r="Y34"/>
  <c r="U34"/>
  <c r="T34"/>
  <c r="S34"/>
  <c r="R34"/>
  <c r="M34"/>
  <c r="AQ34" s="1"/>
  <c r="L34"/>
  <c r="AB33"/>
  <c r="Y33"/>
  <c r="Y39" s="1"/>
  <c r="Y32" s="1"/>
  <c r="U33"/>
  <c r="T33"/>
  <c r="S33"/>
  <c r="S39" s="1"/>
  <c r="S32" s="1"/>
  <c r="R33"/>
  <c r="L33"/>
  <c r="M33" s="1"/>
  <c r="M39" s="1"/>
  <c r="M32" s="1"/>
  <c r="BA32"/>
  <c r="AY32"/>
  <c r="AW32"/>
  <c r="AV32"/>
  <c r="AU32"/>
  <c r="AK32"/>
  <c r="AD32"/>
  <c r="AD31" s="1"/>
  <c r="BA30"/>
  <c r="BR11" i="18" s="1"/>
  <c r="AZ30" i="15"/>
  <c r="BQ11" i="18" s="1"/>
  <c r="AY30" i="15"/>
  <c r="BP11" i="18" s="1"/>
  <c r="AX30" i="15"/>
  <c r="BO11" i="18" s="1"/>
  <c r="AW30" i="15"/>
  <c r="BN11" i="18" s="1"/>
  <c r="AV30" i="15"/>
  <c r="BM11" i="18" s="1"/>
  <c r="AU30" i="15"/>
  <c r="BL11" i="18" s="1"/>
  <c r="AM30" i="15"/>
  <c r="AL30"/>
  <c r="AK30"/>
  <c r="AJ30"/>
  <c r="AD30"/>
  <c r="AC30"/>
  <c r="AN29"/>
  <c r="AS29" s="1"/>
  <c r="AB29"/>
  <c r="Y29"/>
  <c r="U29"/>
  <c r="T29"/>
  <c r="S29"/>
  <c r="R29"/>
  <c r="L29"/>
  <c r="AN28"/>
  <c r="AS28" s="1"/>
  <c r="AB28"/>
  <c r="Y28"/>
  <c r="U28"/>
  <c r="T28"/>
  <c r="S28"/>
  <c r="AE28" s="1"/>
  <c r="AF28" s="1"/>
  <c r="AR28" s="1"/>
  <c r="R28"/>
  <c r="L28"/>
  <c r="M28" s="1"/>
  <c r="AN27"/>
  <c r="AS27" s="1"/>
  <c r="AB27"/>
  <c r="Y27"/>
  <c r="U27"/>
  <c r="T27"/>
  <c r="S27"/>
  <c r="R27"/>
  <c r="L27"/>
  <c r="M27" s="1"/>
  <c r="AQ27" s="1"/>
  <c r="AN26"/>
  <c r="AS26" s="1"/>
  <c r="AB26"/>
  <c r="Y26"/>
  <c r="U26"/>
  <c r="T26"/>
  <c r="S26"/>
  <c r="R26"/>
  <c r="L26"/>
  <c r="M26" s="1"/>
  <c r="BA25"/>
  <c r="BR10" i="18" s="1"/>
  <c r="AZ25" i="15"/>
  <c r="BQ10" i="18" s="1"/>
  <c r="AY25" i="15"/>
  <c r="BP10" i="18" s="1"/>
  <c r="AX25" i="15"/>
  <c r="BO10" i="18" s="1"/>
  <c r="AW25" i="15"/>
  <c r="BN10" i="18" s="1"/>
  <c r="AV25" i="15"/>
  <c r="BM10" i="18" s="1"/>
  <c r="AU25" i="15"/>
  <c r="BL10" i="18" s="1"/>
  <c r="AL25" i="15"/>
  <c r="AK25"/>
  <c r="AJ25"/>
  <c r="AD25"/>
  <c r="AC25"/>
  <c r="Y25"/>
  <c r="AN24"/>
  <c r="AS24" s="1"/>
  <c r="AB24"/>
  <c r="Y24"/>
  <c r="U24"/>
  <c r="T24"/>
  <c r="S24"/>
  <c r="R24"/>
  <c r="L24"/>
  <c r="AN23"/>
  <c r="AB23"/>
  <c r="AE23" s="1"/>
  <c r="AF23" s="1"/>
  <c r="AR23" s="1"/>
  <c r="Y23"/>
  <c r="U23"/>
  <c r="T23"/>
  <c r="S23"/>
  <c r="R23"/>
  <c r="L23"/>
  <c r="M23" s="1"/>
  <c r="AN22"/>
  <c r="AS22" s="1"/>
  <c r="AB22"/>
  <c r="Y22"/>
  <c r="U22"/>
  <c r="T22"/>
  <c r="S22"/>
  <c r="R22"/>
  <c r="L22"/>
  <c r="M22" s="1"/>
  <c r="AB21"/>
  <c r="Y21"/>
  <c r="U21"/>
  <c r="T21"/>
  <c r="S21"/>
  <c r="R21"/>
  <c r="L21"/>
  <c r="M21" s="1"/>
  <c r="AB20"/>
  <c r="Y20"/>
  <c r="U20"/>
  <c r="T20"/>
  <c r="S20"/>
  <c r="R20"/>
  <c r="L20"/>
  <c r="AN19"/>
  <c r="AS19" s="1"/>
  <c r="AB19"/>
  <c r="Y19"/>
  <c r="U19"/>
  <c r="T19"/>
  <c r="S19"/>
  <c r="R19"/>
  <c r="L19"/>
  <c r="M19" s="1"/>
  <c r="AQ19" s="1"/>
  <c r="AM18"/>
  <c r="AB18"/>
  <c r="AB25" s="1"/>
  <c r="Y18"/>
  <c r="U18"/>
  <c r="T18"/>
  <c r="S18"/>
  <c r="R18"/>
  <c r="L18"/>
  <c r="M18" s="1"/>
  <c r="BA17"/>
  <c r="BR9" i="18" s="1"/>
  <c r="AZ17" i="15"/>
  <c r="BQ9" i="18" s="1"/>
  <c r="AY17" i="15"/>
  <c r="BP9" i="18" s="1"/>
  <c r="AX17" i="15"/>
  <c r="BO9" i="18" s="1"/>
  <c r="AW17" i="15"/>
  <c r="BN9" i="18" s="1"/>
  <c r="AV17" i="15"/>
  <c r="BM9" i="18" s="1"/>
  <c r="AU17" i="15"/>
  <c r="BL9" i="18" s="1"/>
  <c r="AN17" i="15"/>
  <c r="AM17"/>
  <c r="AL17"/>
  <c r="AK17"/>
  <c r="AJ17"/>
  <c r="AD17"/>
  <c r="AC17"/>
  <c r="Y17"/>
  <c r="T17"/>
  <c r="S17"/>
  <c r="R17"/>
  <c r="AS16"/>
  <c r="AS17" s="1"/>
  <c r="AN16"/>
  <c r="AB16"/>
  <c r="AB17" s="1"/>
  <c r="Y16"/>
  <c r="U16"/>
  <c r="U17" s="1"/>
  <c r="T16"/>
  <c r="S16"/>
  <c r="R16"/>
  <c r="L16"/>
  <c r="L17" s="1"/>
  <c r="BA15"/>
  <c r="BR8" i="18" s="1"/>
  <c r="BR7" s="1"/>
  <c r="BR6" s="1"/>
  <c r="AZ15" i="15"/>
  <c r="AY15"/>
  <c r="AX15"/>
  <c r="AW15"/>
  <c r="BN8" i="18" s="1"/>
  <c r="AV15" i="15"/>
  <c r="AU15"/>
  <c r="BL8" i="18" s="1"/>
  <c r="AL15" i="15"/>
  <c r="AL6" s="1"/>
  <c r="AL5" s="1"/>
  <c r="AK15"/>
  <c r="AK6" s="1"/>
  <c r="AK5" s="1"/>
  <c r="AJ15"/>
  <c r="AJ6" s="1"/>
  <c r="AJ5" s="1"/>
  <c r="AD15"/>
  <c r="AD6" s="1"/>
  <c r="AD5" s="1"/>
  <c r="AC15"/>
  <c r="AC6" s="1"/>
  <c r="AC5" s="1"/>
  <c r="AN14"/>
  <c r="AS14"/>
  <c r="AB14"/>
  <c r="AE14" s="1"/>
  <c r="AF14" s="1"/>
  <c r="AR14" s="1"/>
  <c r="Y14"/>
  <c r="U14"/>
  <c r="T14"/>
  <c r="S14"/>
  <c r="R14"/>
  <c r="L14"/>
  <c r="M14" s="1"/>
  <c r="AB13"/>
  <c r="Y13"/>
  <c r="U13"/>
  <c r="T13"/>
  <c r="S13"/>
  <c r="R13"/>
  <c r="L13"/>
  <c r="M13" s="1"/>
  <c r="AN12"/>
  <c r="AB12"/>
  <c r="Y12"/>
  <c r="U12"/>
  <c r="T12"/>
  <c r="S12"/>
  <c r="R12"/>
  <c r="L12"/>
  <c r="M12" s="1"/>
  <c r="AN11"/>
  <c r="AS11" s="1"/>
  <c r="AB11"/>
  <c r="Y11"/>
  <c r="U11"/>
  <c r="T11"/>
  <c r="S11"/>
  <c r="R11"/>
  <c r="L11"/>
  <c r="M11" s="1"/>
  <c r="AN10"/>
  <c r="AS10" s="1"/>
  <c r="AB10"/>
  <c r="Y10"/>
  <c r="U10"/>
  <c r="T10"/>
  <c r="S10"/>
  <c r="R10"/>
  <c r="L10"/>
  <c r="AN9"/>
  <c r="AS9" s="1"/>
  <c r="AB9"/>
  <c r="AB15" s="1"/>
  <c r="Y9"/>
  <c r="U9"/>
  <c r="T9"/>
  <c r="S9"/>
  <c r="R9"/>
  <c r="L9"/>
  <c r="M9" s="1"/>
  <c r="AN8"/>
  <c r="AS8" s="1"/>
  <c r="AB8"/>
  <c r="AE8" s="1"/>
  <c r="AF8" s="1"/>
  <c r="AR8" s="1"/>
  <c r="Y8"/>
  <c r="Y15" s="1"/>
  <c r="U8"/>
  <c r="T8"/>
  <c r="S8"/>
  <c r="R8"/>
  <c r="L8"/>
  <c r="M8" s="1"/>
  <c r="AN7"/>
  <c r="AB7"/>
  <c r="Y7"/>
  <c r="U7"/>
  <c r="U15" s="1"/>
  <c r="T7"/>
  <c r="T15" s="1"/>
  <c r="S7"/>
  <c r="S15" s="1"/>
  <c r="R7"/>
  <c r="R15" s="1"/>
  <c r="L7"/>
  <c r="M7" s="1"/>
  <c r="BA6"/>
  <c r="BA5" s="1"/>
  <c r="AW6"/>
  <c r="AW5" s="1"/>
  <c r="AA6"/>
  <c r="Z6"/>
  <c r="AA5"/>
  <c r="Z5"/>
  <c r="BA242" i="14"/>
  <c r="AZ242"/>
  <c r="AB241"/>
  <c r="Y241"/>
  <c r="T241"/>
  <c r="L241"/>
  <c r="M241" s="1"/>
  <c r="AN240"/>
  <c r="AS240" s="1"/>
  <c r="AB240"/>
  <c r="Y240"/>
  <c r="U240"/>
  <c r="T240"/>
  <c r="S240"/>
  <c r="R240"/>
  <c r="L240"/>
  <c r="M240" s="1"/>
  <c r="AB239"/>
  <c r="Y239"/>
  <c r="AE239" s="1"/>
  <c r="AF239" s="1"/>
  <c r="AR239" s="1"/>
  <c r="U239"/>
  <c r="T239"/>
  <c r="S239"/>
  <c r="R239"/>
  <c r="L239"/>
  <c r="M239" s="1"/>
  <c r="AN238"/>
  <c r="AB238"/>
  <c r="AB242" s="1"/>
  <c r="Y238"/>
  <c r="U238"/>
  <c r="T238"/>
  <c r="S238"/>
  <c r="R238"/>
  <c r="M238"/>
  <c r="L238"/>
  <c r="AB237"/>
  <c r="Y237"/>
  <c r="Y242" s="1"/>
  <c r="U237"/>
  <c r="T237"/>
  <c r="S237"/>
  <c r="R237"/>
  <c r="L237"/>
  <c r="BA236"/>
  <c r="AZ236"/>
  <c r="AB235"/>
  <c r="Y235"/>
  <c r="U235"/>
  <c r="T235"/>
  <c r="S235"/>
  <c r="R235"/>
  <c r="L235"/>
  <c r="AQ234"/>
  <c r="AB234"/>
  <c r="Y234"/>
  <c r="U234"/>
  <c r="T234"/>
  <c r="T236" s="1"/>
  <c r="S234"/>
  <c r="R234"/>
  <c r="L234"/>
  <c r="M234" s="1"/>
  <c r="AN233"/>
  <c r="AB233"/>
  <c r="AB236" s="1"/>
  <c r="Y233"/>
  <c r="Y236" s="1"/>
  <c r="U233"/>
  <c r="U236" s="1"/>
  <c r="T233"/>
  <c r="S233"/>
  <c r="R233"/>
  <c r="R236" s="1"/>
  <c r="L233"/>
  <c r="M233" s="1"/>
  <c r="BA232"/>
  <c r="AZ232"/>
  <c r="AM231"/>
  <c r="AN231" s="1"/>
  <c r="AB231"/>
  <c r="Y231"/>
  <c r="U231"/>
  <c r="T231"/>
  <c r="S231"/>
  <c r="R231"/>
  <c r="L231"/>
  <c r="M231" s="1"/>
  <c r="AN230"/>
  <c r="AS230" s="1"/>
  <c r="AB230"/>
  <c r="Y230"/>
  <c r="T230"/>
  <c r="L230"/>
  <c r="AN229"/>
  <c r="AS229" s="1"/>
  <c r="AB229"/>
  <c r="Y229"/>
  <c r="U229"/>
  <c r="T229"/>
  <c r="S229"/>
  <c r="R229"/>
  <c r="L229"/>
  <c r="M229" s="1"/>
  <c r="AN228"/>
  <c r="AS228" s="1"/>
  <c r="AB228"/>
  <c r="Y228"/>
  <c r="U228"/>
  <c r="T228"/>
  <c r="S228"/>
  <c r="R228"/>
  <c r="L228"/>
  <c r="M228" s="1"/>
  <c r="AB227"/>
  <c r="Y227"/>
  <c r="U227"/>
  <c r="T227"/>
  <c r="S227"/>
  <c r="R227"/>
  <c r="L227"/>
  <c r="AN226"/>
  <c r="AS226" s="1"/>
  <c r="AB226"/>
  <c r="Y226"/>
  <c r="U226"/>
  <c r="T226"/>
  <c r="S226"/>
  <c r="R226"/>
  <c r="L226"/>
  <c r="M226" s="1"/>
  <c r="AB225"/>
  <c r="AB232" s="1"/>
  <c r="Y225"/>
  <c r="Y232" s="1"/>
  <c r="U225"/>
  <c r="T225"/>
  <c r="S225"/>
  <c r="R225"/>
  <c r="L225"/>
  <c r="M225" s="1"/>
  <c r="BA222"/>
  <c r="AZ222"/>
  <c r="AN221"/>
  <c r="AS221" s="1"/>
  <c r="AB221"/>
  <c r="Y221"/>
  <c r="U221"/>
  <c r="T221"/>
  <c r="S221"/>
  <c r="R221"/>
  <c r="L221"/>
  <c r="M221" s="1"/>
  <c r="AB220"/>
  <c r="AE220" s="1"/>
  <c r="AF220" s="1"/>
  <c r="AR220" s="1"/>
  <c r="Y220"/>
  <c r="U220"/>
  <c r="T220"/>
  <c r="S220"/>
  <c r="R220"/>
  <c r="L220"/>
  <c r="AN219"/>
  <c r="AS219" s="1"/>
  <c r="AB219"/>
  <c r="Y219"/>
  <c r="U219"/>
  <c r="T219"/>
  <c r="S219"/>
  <c r="R219"/>
  <c r="L219"/>
  <c r="M219" s="1"/>
  <c r="AB218"/>
  <c r="Y218"/>
  <c r="U218"/>
  <c r="AF218" s="1"/>
  <c r="AR218" s="1"/>
  <c r="T218"/>
  <c r="S218"/>
  <c r="R218"/>
  <c r="L218"/>
  <c r="M218" s="1"/>
  <c r="AN217"/>
  <c r="AB217"/>
  <c r="Y217"/>
  <c r="U217"/>
  <c r="T217"/>
  <c r="S217"/>
  <c r="R217"/>
  <c r="M217"/>
  <c r="L217"/>
  <c r="AB216"/>
  <c r="Y216"/>
  <c r="U216"/>
  <c r="T216"/>
  <c r="S216"/>
  <c r="R216"/>
  <c r="L216"/>
  <c r="M216" s="1"/>
  <c r="AN215"/>
  <c r="AB215"/>
  <c r="Y215"/>
  <c r="T215"/>
  <c r="L215"/>
  <c r="AB214"/>
  <c r="Y214"/>
  <c r="U214"/>
  <c r="T214"/>
  <c r="S214"/>
  <c r="R214"/>
  <c r="L214"/>
  <c r="M214" s="1"/>
  <c r="AN213"/>
  <c r="AS213" s="1"/>
  <c r="AB213"/>
  <c r="Y213"/>
  <c r="T213"/>
  <c r="L213"/>
  <c r="AB212"/>
  <c r="Y212"/>
  <c r="U212"/>
  <c r="T212"/>
  <c r="S212"/>
  <c r="R212"/>
  <c r="M212"/>
  <c r="L212"/>
  <c r="AN211"/>
  <c r="AS211" s="1"/>
  <c r="AB211"/>
  <c r="Y211"/>
  <c r="U211"/>
  <c r="T211"/>
  <c r="S211"/>
  <c r="R211"/>
  <c r="L211"/>
  <c r="AN210"/>
  <c r="AS210" s="1"/>
  <c r="AB210"/>
  <c r="Y210"/>
  <c r="U210"/>
  <c r="T210"/>
  <c r="S210"/>
  <c r="R210"/>
  <c r="L210"/>
  <c r="M210" s="1"/>
  <c r="AN209"/>
  <c r="AS209" s="1"/>
  <c r="AB209"/>
  <c r="Y209"/>
  <c r="U209"/>
  <c r="T209"/>
  <c r="S209"/>
  <c r="R209"/>
  <c r="L209"/>
  <c r="M209" s="1"/>
  <c r="AN208"/>
  <c r="AS208" s="1"/>
  <c r="AB208"/>
  <c r="Y208"/>
  <c r="T208"/>
  <c r="L208"/>
  <c r="M208" s="1"/>
  <c r="AN207"/>
  <c r="AS207" s="1"/>
  <c r="AB207"/>
  <c r="Y207"/>
  <c r="U207"/>
  <c r="T207"/>
  <c r="S207"/>
  <c r="R207"/>
  <c r="L207"/>
  <c r="M207" s="1"/>
  <c r="AB206"/>
  <c r="Y206"/>
  <c r="U206"/>
  <c r="T206"/>
  <c r="S206"/>
  <c r="R206"/>
  <c r="L206"/>
  <c r="M206" s="1"/>
  <c r="AN205"/>
  <c r="AS205" s="1"/>
  <c r="AB205"/>
  <c r="Y205"/>
  <c r="U205"/>
  <c r="T205"/>
  <c r="S205"/>
  <c r="R205"/>
  <c r="L205"/>
  <c r="M205" s="1"/>
  <c r="AB204"/>
  <c r="Y204"/>
  <c r="T204"/>
  <c r="AF204"/>
  <c r="AR204" s="1"/>
  <c r="L204"/>
  <c r="M204" s="1"/>
  <c r="AN203"/>
  <c r="AB203"/>
  <c r="Y203"/>
  <c r="U203"/>
  <c r="T203"/>
  <c r="S203"/>
  <c r="R203"/>
  <c r="L203"/>
  <c r="AN200"/>
  <c r="AS200" s="1"/>
  <c r="AB200"/>
  <c r="Y200"/>
  <c r="U200"/>
  <c r="T200"/>
  <c r="S200"/>
  <c r="R200"/>
  <c r="L200"/>
  <c r="AN199"/>
  <c r="AS199" s="1"/>
  <c r="AB199"/>
  <c r="Y199"/>
  <c r="U199"/>
  <c r="T199"/>
  <c r="S199"/>
  <c r="R199"/>
  <c r="L199"/>
  <c r="AB198"/>
  <c r="Y198"/>
  <c r="U198"/>
  <c r="T198"/>
  <c r="S198"/>
  <c r="R198"/>
  <c r="L198"/>
  <c r="M198" s="1"/>
  <c r="AN197"/>
  <c r="AS197" s="1"/>
  <c r="AB197"/>
  <c r="Y197"/>
  <c r="T197"/>
  <c r="L197"/>
  <c r="AN196"/>
  <c r="AS196" s="1"/>
  <c r="AB196"/>
  <c r="Y196"/>
  <c r="U196"/>
  <c r="T196"/>
  <c r="S196"/>
  <c r="R196"/>
  <c r="L196"/>
  <c r="M196" s="1"/>
  <c r="AB195"/>
  <c r="Y195"/>
  <c r="U195"/>
  <c r="AE195" s="1"/>
  <c r="AF195" s="1"/>
  <c r="AR195" s="1"/>
  <c r="T195"/>
  <c r="S195"/>
  <c r="R195"/>
  <c r="L195"/>
  <c r="M195" s="1"/>
  <c r="AB194"/>
  <c r="Y194"/>
  <c r="T194"/>
  <c r="L194"/>
  <c r="M194" s="1"/>
  <c r="AB193"/>
  <c r="Y193"/>
  <c r="U193"/>
  <c r="T193"/>
  <c r="S193"/>
  <c r="R193"/>
  <c r="L193"/>
  <c r="M193" s="1"/>
  <c r="AN192"/>
  <c r="AS192" s="1"/>
  <c r="AB192"/>
  <c r="Y192"/>
  <c r="U192"/>
  <c r="T192"/>
  <c r="S192"/>
  <c r="R192"/>
  <c r="L192"/>
  <c r="M192" s="1"/>
  <c r="AB191"/>
  <c r="Y191"/>
  <c r="U191"/>
  <c r="T191"/>
  <c r="S191"/>
  <c r="R191"/>
  <c r="L191"/>
  <c r="M191" s="1"/>
  <c r="AN190"/>
  <c r="AS190" s="1"/>
  <c r="AB190"/>
  <c r="Y190"/>
  <c r="AF190" s="1"/>
  <c r="AR190" s="1"/>
  <c r="T190"/>
  <c r="M190"/>
  <c r="L190"/>
  <c r="AB189"/>
  <c r="Y189"/>
  <c r="U189"/>
  <c r="AE189" s="1"/>
  <c r="AF189" s="1"/>
  <c r="AR189" s="1"/>
  <c r="T189"/>
  <c r="S189"/>
  <c r="R189"/>
  <c r="L189"/>
  <c r="M189" s="1"/>
  <c r="AN188"/>
  <c r="AS188" s="1"/>
  <c r="AB188"/>
  <c r="Y188"/>
  <c r="U188"/>
  <c r="T188"/>
  <c r="S188"/>
  <c r="R188"/>
  <c r="L188"/>
  <c r="AQ187"/>
  <c r="AN187"/>
  <c r="AS187" s="1"/>
  <c r="AB187"/>
  <c r="AF187" s="1"/>
  <c r="AR187" s="1"/>
  <c r="Y187"/>
  <c r="T187"/>
  <c r="S187"/>
  <c r="R187"/>
  <c r="L187"/>
  <c r="M187" s="1"/>
  <c r="AB186"/>
  <c r="Y186"/>
  <c r="U186"/>
  <c r="T186"/>
  <c r="S186"/>
  <c r="R186"/>
  <c r="L186"/>
  <c r="AB185"/>
  <c r="Y185"/>
  <c r="U185"/>
  <c r="T185"/>
  <c r="S185"/>
  <c r="R185"/>
  <c r="M185"/>
  <c r="L185"/>
  <c r="AB184"/>
  <c r="AF184" s="1"/>
  <c r="AR184" s="1"/>
  <c r="Y184"/>
  <c r="T184"/>
  <c r="S184"/>
  <c r="R184"/>
  <c r="L184"/>
  <c r="M184" s="1"/>
  <c r="AN183"/>
  <c r="AS183" s="1"/>
  <c r="AB183"/>
  <c r="Y183"/>
  <c r="U183"/>
  <c r="T183"/>
  <c r="S183"/>
  <c r="R183"/>
  <c r="L183"/>
  <c r="M183" s="1"/>
  <c r="AB182"/>
  <c r="Y182"/>
  <c r="U182"/>
  <c r="T182"/>
  <c r="AE182" s="1"/>
  <c r="AF182" s="1"/>
  <c r="AR182" s="1"/>
  <c r="S182"/>
  <c r="R182"/>
  <c r="L182"/>
  <c r="M182" s="1"/>
  <c r="AN181"/>
  <c r="AS181" s="1"/>
  <c r="AB181"/>
  <c r="Y181"/>
  <c r="U181"/>
  <c r="T181"/>
  <c r="S181"/>
  <c r="R181"/>
  <c r="L181"/>
  <c r="AN180"/>
  <c r="AS180" s="1"/>
  <c r="AB180"/>
  <c r="Y180"/>
  <c r="U180"/>
  <c r="T180"/>
  <c r="S180"/>
  <c r="R180"/>
  <c r="L180"/>
  <c r="AB177"/>
  <c r="Y177"/>
  <c r="L177"/>
  <c r="M177" s="1"/>
  <c r="AN176"/>
  <c r="AS176" s="1"/>
  <c r="AS178" s="1"/>
  <c r="AB176"/>
  <c r="Y176"/>
  <c r="U176"/>
  <c r="T176"/>
  <c r="S176"/>
  <c r="R176"/>
  <c r="L176"/>
  <c r="AB175"/>
  <c r="Y175"/>
  <c r="T175"/>
  <c r="S175"/>
  <c r="R175"/>
  <c r="L175"/>
  <c r="M175" s="1"/>
  <c r="AQ175" s="1"/>
  <c r="AQ174"/>
  <c r="AN174"/>
  <c r="AB174"/>
  <c r="Y174"/>
  <c r="U174"/>
  <c r="T174"/>
  <c r="S174"/>
  <c r="R174"/>
  <c r="L174"/>
  <c r="M174" s="1"/>
  <c r="AN173"/>
  <c r="AS173" s="1"/>
  <c r="AB173"/>
  <c r="Y173"/>
  <c r="U173"/>
  <c r="T173"/>
  <c r="S173"/>
  <c r="R173"/>
  <c r="L173"/>
  <c r="M173" s="1"/>
  <c r="AQ173" s="1"/>
  <c r="AB172"/>
  <c r="Y172"/>
  <c r="U172"/>
  <c r="T172"/>
  <c r="S172"/>
  <c r="R172"/>
  <c r="L172"/>
  <c r="M172" s="1"/>
  <c r="AB171"/>
  <c r="Y171"/>
  <c r="U171"/>
  <c r="T171"/>
  <c r="S171"/>
  <c r="R171"/>
  <c r="M171"/>
  <c r="L171"/>
  <c r="AB170"/>
  <c r="Y170"/>
  <c r="U170"/>
  <c r="T170"/>
  <c r="S170"/>
  <c r="R170"/>
  <c r="L170"/>
  <c r="AN169"/>
  <c r="AS169" s="1"/>
  <c r="AB169"/>
  <c r="AB178" s="1"/>
  <c r="Y169"/>
  <c r="U169"/>
  <c r="AE169" s="1"/>
  <c r="T169"/>
  <c r="S169"/>
  <c r="R169"/>
  <c r="L169"/>
  <c r="AN167"/>
  <c r="AS167" s="1"/>
  <c r="AB167"/>
  <c r="Y167"/>
  <c r="AE167" s="1"/>
  <c r="AF167" s="1"/>
  <c r="AR167" s="1"/>
  <c r="U167"/>
  <c r="T167"/>
  <c r="S167"/>
  <c r="R167"/>
  <c r="M167"/>
  <c r="L167"/>
  <c r="AN166"/>
  <c r="AS166" s="1"/>
  <c r="AB166"/>
  <c r="Y166"/>
  <c r="U166"/>
  <c r="T166"/>
  <c r="S166"/>
  <c r="R166"/>
  <c r="L166"/>
  <c r="M166" s="1"/>
  <c r="AN165"/>
  <c r="AS165" s="1"/>
  <c r="AB165"/>
  <c r="Y165"/>
  <c r="U165"/>
  <c r="T165"/>
  <c r="S165"/>
  <c r="R165"/>
  <c r="L165"/>
  <c r="M165" s="1"/>
  <c r="AN164"/>
  <c r="AB164"/>
  <c r="Y164"/>
  <c r="U164"/>
  <c r="T164"/>
  <c r="S164"/>
  <c r="R164"/>
  <c r="L164"/>
  <c r="M164" s="1"/>
  <c r="AB163"/>
  <c r="Y163"/>
  <c r="U163"/>
  <c r="T163"/>
  <c r="S163"/>
  <c r="R163"/>
  <c r="L163"/>
  <c r="M163" s="1"/>
  <c r="AN162"/>
  <c r="AB162"/>
  <c r="Y162"/>
  <c r="U162"/>
  <c r="T162"/>
  <c r="S162"/>
  <c r="R162"/>
  <c r="L162"/>
  <c r="M162" s="1"/>
  <c r="AN161"/>
  <c r="AS161" s="1"/>
  <c r="AB161"/>
  <c r="Y161"/>
  <c r="U161"/>
  <c r="T161"/>
  <c r="S161"/>
  <c r="R161"/>
  <c r="L161"/>
  <c r="M161" s="1"/>
  <c r="AN160"/>
  <c r="AS160" s="1"/>
  <c r="AB160"/>
  <c r="AE160" s="1"/>
  <c r="AF160" s="1"/>
  <c r="AR160" s="1"/>
  <c r="Y160"/>
  <c r="U160"/>
  <c r="T160"/>
  <c r="S160"/>
  <c r="R160"/>
  <c r="L160"/>
  <c r="AB159"/>
  <c r="Y159"/>
  <c r="U159"/>
  <c r="T159"/>
  <c r="S159"/>
  <c r="R159"/>
  <c r="L159"/>
  <c r="AN158"/>
  <c r="AS158" s="1"/>
  <c r="AB158"/>
  <c r="Y158"/>
  <c r="T158"/>
  <c r="L158"/>
  <c r="M158" s="1"/>
  <c r="AQ158" s="1"/>
  <c r="AN157"/>
  <c r="AS157" s="1"/>
  <c r="AB157"/>
  <c r="Y157"/>
  <c r="U157"/>
  <c r="T157"/>
  <c r="S157"/>
  <c r="R157"/>
  <c r="L157"/>
  <c r="M157" s="1"/>
  <c r="AN156"/>
  <c r="AS156" s="1"/>
  <c r="AB156"/>
  <c r="Y156"/>
  <c r="U156"/>
  <c r="T156"/>
  <c r="S156"/>
  <c r="R156"/>
  <c r="L156"/>
  <c r="M156" s="1"/>
  <c r="AN155"/>
  <c r="AS155" s="1"/>
  <c r="AB155"/>
  <c r="Y155"/>
  <c r="U155"/>
  <c r="T155"/>
  <c r="S155"/>
  <c r="R155"/>
  <c r="L155"/>
  <c r="AN154"/>
  <c r="AB154"/>
  <c r="AE154" s="1"/>
  <c r="AF154" s="1"/>
  <c r="AR154" s="1"/>
  <c r="Y154"/>
  <c r="U154"/>
  <c r="T154"/>
  <c r="S154"/>
  <c r="R154"/>
  <c r="L154"/>
  <c r="AB153"/>
  <c r="Y153"/>
  <c r="T153"/>
  <c r="L153"/>
  <c r="AN152"/>
  <c r="AS152" s="1"/>
  <c r="AB152"/>
  <c r="Y152"/>
  <c r="U152"/>
  <c r="T152"/>
  <c r="S152"/>
  <c r="R152"/>
  <c r="L152"/>
  <c r="M152" s="1"/>
  <c r="AN151"/>
  <c r="AS151" s="1"/>
  <c r="AB151"/>
  <c r="Y151"/>
  <c r="U151"/>
  <c r="T151"/>
  <c r="S151"/>
  <c r="R151"/>
  <c r="L151"/>
  <c r="M151" s="1"/>
  <c r="AN150"/>
  <c r="AS150" s="1"/>
  <c r="AB150"/>
  <c r="Y150"/>
  <c r="U150"/>
  <c r="T150"/>
  <c r="S150"/>
  <c r="R150"/>
  <c r="L150"/>
  <c r="M150" s="1"/>
  <c r="AN149"/>
  <c r="AB149"/>
  <c r="Y149"/>
  <c r="U149"/>
  <c r="T149"/>
  <c r="S149"/>
  <c r="AE149" s="1"/>
  <c r="AF149" s="1"/>
  <c r="AR149" s="1"/>
  <c r="R149"/>
  <c r="L149"/>
  <c r="AN148"/>
  <c r="AS148" s="1"/>
  <c r="AB148"/>
  <c r="Y148"/>
  <c r="U148"/>
  <c r="T148"/>
  <c r="S148"/>
  <c r="R148"/>
  <c r="L148"/>
  <c r="M148" s="1"/>
  <c r="AB147"/>
  <c r="AE147" s="1"/>
  <c r="AF147" s="1"/>
  <c r="AR147" s="1"/>
  <c r="Y147"/>
  <c r="U147"/>
  <c r="T147"/>
  <c r="S147"/>
  <c r="R147"/>
  <c r="L147"/>
  <c r="AB146"/>
  <c r="Y146"/>
  <c r="U146"/>
  <c r="T146"/>
  <c r="S146"/>
  <c r="R146"/>
  <c r="M146"/>
  <c r="L146"/>
  <c r="AN145"/>
  <c r="AS145" s="1"/>
  <c r="AB145"/>
  <c r="Y145"/>
  <c r="U145"/>
  <c r="T145"/>
  <c r="S145"/>
  <c r="R145"/>
  <c r="L145"/>
  <c r="M145" s="1"/>
  <c r="AN144"/>
  <c r="AS144" s="1"/>
  <c r="AB144"/>
  <c r="Y144"/>
  <c r="U144"/>
  <c r="S144"/>
  <c r="R144"/>
  <c r="L144"/>
  <c r="BA142"/>
  <c r="AZ142"/>
  <c r="AM141"/>
  <c r="AB141"/>
  <c r="Y141"/>
  <c r="T141"/>
  <c r="S141"/>
  <c r="L141"/>
  <c r="L142" s="1"/>
  <c r="AM140"/>
  <c r="AN140" s="1"/>
  <c r="AB140"/>
  <c r="AB142" s="1"/>
  <c r="Y140"/>
  <c r="Y142" s="1"/>
  <c r="U140"/>
  <c r="U142" s="1"/>
  <c r="T140"/>
  <c r="T142" s="1"/>
  <c r="S140"/>
  <c r="R140"/>
  <c r="L140"/>
  <c r="BA139"/>
  <c r="AZ139"/>
  <c r="AE139"/>
  <c r="AM138"/>
  <c r="AN138" s="1"/>
  <c r="AS138" s="1"/>
  <c r="AB138"/>
  <c r="Y138"/>
  <c r="U138"/>
  <c r="AF138" s="1"/>
  <c r="AR138" s="1"/>
  <c r="T138"/>
  <c r="T139" s="1"/>
  <c r="S138"/>
  <c r="S139" s="1"/>
  <c r="R138"/>
  <c r="L138"/>
  <c r="M138" s="1"/>
  <c r="AQ138" s="1"/>
  <c r="AM137"/>
  <c r="AB137"/>
  <c r="Y137"/>
  <c r="Y139" s="1"/>
  <c r="U137"/>
  <c r="T137"/>
  <c r="S137"/>
  <c r="R137"/>
  <c r="R139" s="1"/>
  <c r="L137"/>
  <c r="AB135"/>
  <c r="Y135"/>
  <c r="U135"/>
  <c r="T135"/>
  <c r="S135"/>
  <c r="R135"/>
  <c r="L135"/>
  <c r="M135" s="1"/>
  <c r="AB134"/>
  <c r="Y134"/>
  <c r="U134"/>
  <c r="T134"/>
  <c r="S134"/>
  <c r="R134"/>
  <c r="L134"/>
  <c r="M134" s="1"/>
  <c r="AN133"/>
  <c r="AS133" s="1"/>
  <c r="AB133"/>
  <c r="Y133"/>
  <c r="U133"/>
  <c r="T133"/>
  <c r="S133"/>
  <c r="R133"/>
  <c r="L133"/>
  <c r="AB132"/>
  <c r="Y132"/>
  <c r="T132"/>
  <c r="L132"/>
  <c r="M132" s="1"/>
  <c r="AN131"/>
  <c r="AS131" s="1"/>
  <c r="Y131"/>
  <c r="T131"/>
  <c r="L131"/>
  <c r="M131" s="1"/>
  <c r="AN130"/>
  <c r="AB130"/>
  <c r="AE130" s="1"/>
  <c r="AF130" s="1"/>
  <c r="AR130" s="1"/>
  <c r="Y130"/>
  <c r="U130"/>
  <c r="T130"/>
  <c r="S130"/>
  <c r="R130"/>
  <c r="L130"/>
  <c r="AN129"/>
  <c r="AS129" s="1"/>
  <c r="AB129"/>
  <c r="Y129"/>
  <c r="U129"/>
  <c r="T129"/>
  <c r="S129"/>
  <c r="R129"/>
  <c r="L129"/>
  <c r="AQ128"/>
  <c r="AB128"/>
  <c r="Y128"/>
  <c r="U128"/>
  <c r="T128"/>
  <c r="S128"/>
  <c r="R128"/>
  <c r="L128"/>
  <c r="M128" s="1"/>
  <c r="AB127"/>
  <c r="Y127"/>
  <c r="U127"/>
  <c r="T127"/>
  <c r="S127"/>
  <c r="R127"/>
  <c r="L127"/>
  <c r="AB126"/>
  <c r="Y126"/>
  <c r="U126"/>
  <c r="T126"/>
  <c r="S126"/>
  <c r="R126"/>
  <c r="L126"/>
  <c r="AB125"/>
  <c r="Y125"/>
  <c r="U125"/>
  <c r="T125"/>
  <c r="S125"/>
  <c r="R125"/>
  <c r="M125"/>
  <c r="AQ125" s="1"/>
  <c r="L125"/>
  <c r="AB124"/>
  <c r="Y124"/>
  <c r="U124"/>
  <c r="T124"/>
  <c r="S124"/>
  <c r="R124"/>
  <c r="M124"/>
  <c r="L124"/>
  <c r="AM123"/>
  <c r="AB123"/>
  <c r="Y123"/>
  <c r="U123"/>
  <c r="T123"/>
  <c r="S123"/>
  <c r="AE123" s="1"/>
  <c r="AF123" s="1"/>
  <c r="AR123" s="1"/>
  <c r="R123"/>
  <c r="L123"/>
  <c r="AN122"/>
  <c r="AS122" s="1"/>
  <c r="AB122"/>
  <c r="Y122"/>
  <c r="U122"/>
  <c r="AE122" s="1"/>
  <c r="AF122" s="1"/>
  <c r="AR122" s="1"/>
  <c r="T122"/>
  <c r="S122"/>
  <c r="R122"/>
  <c r="L122"/>
  <c r="AN121"/>
  <c r="AS121" s="1"/>
  <c r="AB121"/>
  <c r="Y121"/>
  <c r="U121"/>
  <c r="T121"/>
  <c r="S121"/>
  <c r="R121"/>
  <c r="M121"/>
  <c r="L121"/>
  <c r="AN120"/>
  <c r="AB120"/>
  <c r="Y120"/>
  <c r="U120"/>
  <c r="T120"/>
  <c r="S120"/>
  <c r="R120"/>
  <c r="L120"/>
  <c r="M120" s="1"/>
  <c r="AQ120" s="1"/>
  <c r="AN119"/>
  <c r="AS119" s="1"/>
  <c r="AB119"/>
  <c r="Y119"/>
  <c r="U119"/>
  <c r="T119"/>
  <c r="S119"/>
  <c r="R119"/>
  <c r="L119"/>
  <c r="M119" s="1"/>
  <c r="AB118"/>
  <c r="Y118"/>
  <c r="U118"/>
  <c r="T118"/>
  <c r="S118"/>
  <c r="R118"/>
  <c r="AE118" s="1"/>
  <c r="AF118" s="1"/>
  <c r="AR118" s="1"/>
  <c r="L118"/>
  <c r="M118" s="1"/>
  <c r="AN117"/>
  <c r="AS117" s="1"/>
  <c r="AB117"/>
  <c r="Y117"/>
  <c r="U117"/>
  <c r="T117"/>
  <c r="S117"/>
  <c r="R117"/>
  <c r="L117"/>
  <c r="AN116"/>
  <c r="AS116" s="1"/>
  <c r="AB116"/>
  <c r="Y116"/>
  <c r="U116"/>
  <c r="T116"/>
  <c r="S116"/>
  <c r="R116"/>
  <c r="L116"/>
  <c r="M116" s="1"/>
  <c r="AQ116" s="1"/>
  <c r="AN115"/>
  <c r="AB115"/>
  <c r="Y115"/>
  <c r="U136"/>
  <c r="T115"/>
  <c r="L115"/>
  <c r="AN114"/>
  <c r="AS114" s="1"/>
  <c r="AB114"/>
  <c r="Y114"/>
  <c r="Y136" s="1"/>
  <c r="U114"/>
  <c r="AE114" s="1"/>
  <c r="T114"/>
  <c r="S114"/>
  <c r="R114"/>
  <c r="L114"/>
  <c r="AL93"/>
  <c r="AL92" s="1"/>
  <c r="AM112"/>
  <c r="AB112"/>
  <c r="Y112"/>
  <c r="U112"/>
  <c r="T112"/>
  <c r="S112"/>
  <c r="R112"/>
  <c r="L112"/>
  <c r="M112" s="1"/>
  <c r="AM111"/>
  <c r="AB111"/>
  <c r="Y111"/>
  <c r="T111"/>
  <c r="L111"/>
  <c r="M111" s="1"/>
  <c r="AB110"/>
  <c r="Y110"/>
  <c r="T110"/>
  <c r="L110"/>
  <c r="M110" s="1"/>
  <c r="AN109"/>
  <c r="AS109" s="1"/>
  <c r="AB109"/>
  <c r="Y109"/>
  <c r="U109"/>
  <c r="T109"/>
  <c r="S109"/>
  <c r="R109"/>
  <c r="L109"/>
  <c r="M109" s="1"/>
  <c r="AB108"/>
  <c r="Y108"/>
  <c r="T108"/>
  <c r="S108"/>
  <c r="R108"/>
  <c r="L108"/>
  <c r="AB107"/>
  <c r="Y107"/>
  <c r="U107"/>
  <c r="T107"/>
  <c r="AE107" s="1"/>
  <c r="AF107" s="1"/>
  <c r="AR107" s="1"/>
  <c r="S107"/>
  <c r="R107"/>
  <c r="L107"/>
  <c r="AN106"/>
  <c r="AS106" s="1"/>
  <c r="AB106"/>
  <c r="Y106"/>
  <c r="U106"/>
  <c r="T106"/>
  <c r="S106"/>
  <c r="R106"/>
  <c r="L106"/>
  <c r="AN105"/>
  <c r="AB105"/>
  <c r="AE105" s="1"/>
  <c r="AF105" s="1"/>
  <c r="AR105" s="1"/>
  <c r="Y105"/>
  <c r="U105"/>
  <c r="T105"/>
  <c r="S105"/>
  <c r="R105"/>
  <c r="M105"/>
  <c r="L105"/>
  <c r="AN104"/>
  <c r="AB104"/>
  <c r="Y104"/>
  <c r="U104"/>
  <c r="T104"/>
  <c r="S104"/>
  <c r="R104"/>
  <c r="L104"/>
  <c r="AN103"/>
  <c r="AS103" s="1"/>
  <c r="AB103"/>
  <c r="Y103"/>
  <c r="U103"/>
  <c r="T103"/>
  <c r="S103"/>
  <c r="S113" s="1"/>
  <c r="R103"/>
  <c r="L103"/>
  <c r="M103" s="1"/>
  <c r="AN102"/>
  <c r="AB102"/>
  <c r="Y102"/>
  <c r="U102"/>
  <c r="T102"/>
  <c r="S102"/>
  <c r="R102"/>
  <c r="L102"/>
  <c r="M102" s="1"/>
  <c r="AM100"/>
  <c r="AB100"/>
  <c r="Y100"/>
  <c r="U100"/>
  <c r="T100"/>
  <c r="S100"/>
  <c r="R100"/>
  <c r="L100"/>
  <c r="M100" s="1"/>
  <c r="AM99"/>
  <c r="AN99" s="1"/>
  <c r="AS99" s="1"/>
  <c r="AB99"/>
  <c r="Y99"/>
  <c r="U99"/>
  <c r="T99"/>
  <c r="S99"/>
  <c r="R99"/>
  <c r="L99"/>
  <c r="AQ98"/>
  <c r="AB98"/>
  <c r="Y98"/>
  <c r="U98"/>
  <c r="T98"/>
  <c r="S98"/>
  <c r="R98"/>
  <c r="L98"/>
  <c r="M98" s="1"/>
  <c r="AN97"/>
  <c r="AS97" s="1"/>
  <c r="AB97"/>
  <c r="Y97"/>
  <c r="U97"/>
  <c r="T97"/>
  <c r="S97"/>
  <c r="R97"/>
  <c r="L97"/>
  <c r="M97" s="1"/>
  <c r="AN96"/>
  <c r="AS96" s="1"/>
  <c r="AB96"/>
  <c r="Y96"/>
  <c r="U96"/>
  <c r="T96"/>
  <c r="S96"/>
  <c r="R96"/>
  <c r="L96"/>
  <c r="M96" s="1"/>
  <c r="AB95"/>
  <c r="AE95" s="1"/>
  <c r="AF95" s="1"/>
  <c r="AR95" s="1"/>
  <c r="Y95"/>
  <c r="Y101" s="1"/>
  <c r="U95"/>
  <c r="T95"/>
  <c r="T101" s="1"/>
  <c r="S95"/>
  <c r="R95"/>
  <c r="L95"/>
  <c r="AB94"/>
  <c r="Y94"/>
  <c r="U94"/>
  <c r="T94"/>
  <c r="S94"/>
  <c r="R94"/>
  <c r="L94"/>
  <c r="M94" s="1"/>
  <c r="AK93"/>
  <c r="AJ93"/>
  <c r="Z92"/>
  <c r="BA91"/>
  <c r="AZ91"/>
  <c r="BD19" i="18" s="1"/>
  <c r="BD18" s="1"/>
  <c r="AY91" i="14"/>
  <c r="AX91"/>
  <c r="BB19" i="18" s="1"/>
  <c r="BB18" s="1"/>
  <c r="AW91" i="14"/>
  <c r="BA19" i="18" s="1"/>
  <c r="BA18" s="1"/>
  <c r="AV91" i="14"/>
  <c r="AZ19" i="18" s="1"/>
  <c r="AZ18" s="1"/>
  <c r="AU91" i="14"/>
  <c r="AY19" i="18" s="1"/>
  <c r="AY18" s="1"/>
  <c r="AL91" i="14"/>
  <c r="AK91"/>
  <c r="AK80" s="1"/>
  <c r="AJ91"/>
  <c r="AD91"/>
  <c r="AC91"/>
  <c r="AB90"/>
  <c r="AE90" s="1"/>
  <c r="AF90" s="1"/>
  <c r="AR90" s="1"/>
  <c r="Y90"/>
  <c r="U90"/>
  <c r="T90"/>
  <c r="S90"/>
  <c r="R90"/>
  <c r="L90"/>
  <c r="M90" s="1"/>
  <c r="AN89"/>
  <c r="AS89" s="1"/>
  <c r="AB89"/>
  <c r="Y89"/>
  <c r="U89"/>
  <c r="T89"/>
  <c r="S89"/>
  <c r="R89"/>
  <c r="L89"/>
  <c r="M89" s="1"/>
  <c r="AB88"/>
  <c r="AE88" s="1"/>
  <c r="AF88" s="1"/>
  <c r="AR88" s="1"/>
  <c r="Y88"/>
  <c r="U88"/>
  <c r="T88"/>
  <c r="S88"/>
  <c r="R88"/>
  <c r="L88"/>
  <c r="AB87"/>
  <c r="Y87"/>
  <c r="U87"/>
  <c r="T87"/>
  <c r="S87"/>
  <c r="R87"/>
  <c r="L87"/>
  <c r="M87" s="1"/>
  <c r="AN86"/>
  <c r="AS86" s="1"/>
  <c r="AB86"/>
  <c r="Y86"/>
  <c r="U86"/>
  <c r="T86"/>
  <c r="S86"/>
  <c r="R86"/>
  <c r="L86"/>
  <c r="M86" s="1"/>
  <c r="AN85"/>
  <c r="AB85"/>
  <c r="Y85"/>
  <c r="U85"/>
  <c r="T85"/>
  <c r="S85"/>
  <c r="R85"/>
  <c r="L85"/>
  <c r="AN84"/>
  <c r="AS84" s="1"/>
  <c r="AB84"/>
  <c r="Y84"/>
  <c r="U84"/>
  <c r="T84"/>
  <c r="S84"/>
  <c r="R84"/>
  <c r="L84"/>
  <c r="AN83"/>
  <c r="AB83"/>
  <c r="Y83"/>
  <c r="U83"/>
  <c r="T83"/>
  <c r="S83"/>
  <c r="R83"/>
  <c r="L83"/>
  <c r="M83" s="1"/>
  <c r="AN82"/>
  <c r="AS82" s="1"/>
  <c r="AB82"/>
  <c r="Y82"/>
  <c r="U82"/>
  <c r="T82"/>
  <c r="S82"/>
  <c r="R82"/>
  <c r="L82"/>
  <c r="M82" s="1"/>
  <c r="AN81"/>
  <c r="AB81"/>
  <c r="AB91" s="1"/>
  <c r="AB80" s="1"/>
  <c r="Y81"/>
  <c r="Y91" s="1"/>
  <c r="Y80" s="1"/>
  <c r="U81"/>
  <c r="T81"/>
  <c r="S81"/>
  <c r="R81"/>
  <c r="L81"/>
  <c r="AZ80"/>
  <c r="AW80"/>
  <c r="AV80"/>
  <c r="AU80"/>
  <c r="AL80"/>
  <c r="AJ80"/>
  <c r="AD80"/>
  <c r="AC80"/>
  <c r="BA79"/>
  <c r="BE17" i="18" s="1"/>
  <c r="AZ79" i="14"/>
  <c r="BD17" i="18" s="1"/>
  <c r="AY79" i="14"/>
  <c r="BC17" i="18" s="1"/>
  <c r="AX79" i="14"/>
  <c r="BB17" i="18" s="1"/>
  <c r="AW79" i="14"/>
  <c r="BA17" i="18" s="1"/>
  <c r="AV79" i="14"/>
  <c r="AZ17" i="18" s="1"/>
  <c r="AU79" i="14"/>
  <c r="AY17" i="18" s="1"/>
  <c r="AL79" i="14"/>
  <c r="AL40" s="1"/>
  <c r="AK79"/>
  <c r="AK40" s="1"/>
  <c r="AJ79"/>
  <c r="AD79"/>
  <c r="AC79"/>
  <c r="AN78"/>
  <c r="AS78"/>
  <c r="AB78"/>
  <c r="Y78"/>
  <c r="U78"/>
  <c r="T78"/>
  <c r="S78"/>
  <c r="R78"/>
  <c r="L78"/>
  <c r="M78" s="1"/>
  <c r="AN77"/>
  <c r="AS77" s="1"/>
  <c r="AB77"/>
  <c r="Y77"/>
  <c r="U77"/>
  <c r="T77"/>
  <c r="S77"/>
  <c r="R77"/>
  <c r="L77"/>
  <c r="M77" s="1"/>
  <c r="AB76"/>
  <c r="Y76"/>
  <c r="U76"/>
  <c r="T76"/>
  <c r="S76"/>
  <c r="R76"/>
  <c r="L76"/>
  <c r="AN75"/>
  <c r="AB75"/>
  <c r="Y75"/>
  <c r="U75"/>
  <c r="T75"/>
  <c r="S75"/>
  <c r="R75"/>
  <c r="L75"/>
  <c r="M75" s="1"/>
  <c r="AS74"/>
  <c r="AN74"/>
  <c r="AB74"/>
  <c r="Y74"/>
  <c r="U74"/>
  <c r="T74"/>
  <c r="S74"/>
  <c r="R74"/>
  <c r="L74"/>
  <c r="M74" s="1"/>
  <c r="AN73"/>
  <c r="AB73"/>
  <c r="Y73"/>
  <c r="U73"/>
  <c r="T73"/>
  <c r="S73"/>
  <c r="R73"/>
  <c r="L73"/>
  <c r="M73" s="1"/>
  <c r="AN72"/>
  <c r="AS72" s="1"/>
  <c r="AB72"/>
  <c r="Y72"/>
  <c r="U72"/>
  <c r="T72"/>
  <c r="S72"/>
  <c r="R72"/>
  <c r="L72"/>
  <c r="AN71"/>
  <c r="AS71" s="1"/>
  <c r="AB71"/>
  <c r="Y71"/>
  <c r="U71"/>
  <c r="T71"/>
  <c r="S71"/>
  <c r="R71"/>
  <c r="L71"/>
  <c r="M71" s="1"/>
  <c r="AB70"/>
  <c r="Y70"/>
  <c r="U70"/>
  <c r="T70"/>
  <c r="S70"/>
  <c r="R70"/>
  <c r="L70"/>
  <c r="M70" s="1"/>
  <c r="AN69"/>
  <c r="AS69" s="1"/>
  <c r="AB69"/>
  <c r="Y69"/>
  <c r="U69"/>
  <c r="T69"/>
  <c r="S69"/>
  <c r="R69"/>
  <c r="L69"/>
  <c r="AN68"/>
  <c r="AB68"/>
  <c r="Y68"/>
  <c r="U68"/>
  <c r="T68"/>
  <c r="S68"/>
  <c r="R68"/>
  <c r="AE68" s="1"/>
  <c r="AF68" s="1"/>
  <c r="AR68" s="1"/>
  <c r="M68"/>
  <c r="L68"/>
  <c r="AN67"/>
  <c r="AS67" s="1"/>
  <c r="AB67"/>
  <c r="AE67" s="1"/>
  <c r="AF67" s="1"/>
  <c r="AR67" s="1"/>
  <c r="Y67"/>
  <c r="U67"/>
  <c r="T67"/>
  <c r="S67"/>
  <c r="R67"/>
  <c r="M67"/>
  <c r="L67"/>
  <c r="AN66"/>
  <c r="AS66"/>
  <c r="AB66"/>
  <c r="Y66"/>
  <c r="U66"/>
  <c r="T66"/>
  <c r="S66"/>
  <c r="R66"/>
  <c r="L66"/>
  <c r="M66" s="1"/>
  <c r="AN65"/>
  <c r="AS65" s="1"/>
  <c r="AB65"/>
  <c r="Y65"/>
  <c r="U65"/>
  <c r="T65"/>
  <c r="S65"/>
  <c r="R65"/>
  <c r="L65"/>
  <c r="M65" s="1"/>
  <c r="AB64"/>
  <c r="Y64"/>
  <c r="U64"/>
  <c r="T64"/>
  <c r="S64"/>
  <c r="R64"/>
  <c r="L64"/>
  <c r="AN63"/>
  <c r="AB63"/>
  <c r="Y63"/>
  <c r="U63"/>
  <c r="T63"/>
  <c r="S63"/>
  <c r="R63"/>
  <c r="L63"/>
  <c r="M63" s="1"/>
  <c r="AN62"/>
  <c r="AS62" s="1"/>
  <c r="AB62"/>
  <c r="Y62"/>
  <c r="U62"/>
  <c r="AE62" s="1"/>
  <c r="AF62" s="1"/>
  <c r="AR62" s="1"/>
  <c r="T62"/>
  <c r="S62"/>
  <c r="R62"/>
  <c r="L62"/>
  <c r="M62" s="1"/>
  <c r="AB61"/>
  <c r="AB79" s="1"/>
  <c r="Y61"/>
  <c r="U61"/>
  <c r="T61"/>
  <c r="S61"/>
  <c r="R61"/>
  <c r="M61"/>
  <c r="L61"/>
  <c r="AB60"/>
  <c r="Y60"/>
  <c r="U60"/>
  <c r="T60"/>
  <c r="S60"/>
  <c r="R60"/>
  <c r="L60"/>
  <c r="BA59"/>
  <c r="BE16" i="18" s="1"/>
  <c r="BE15" s="1"/>
  <c r="AZ59" i="14"/>
  <c r="BD16" i="18" s="1"/>
  <c r="AY59" i="14"/>
  <c r="BC16" i="18" s="1"/>
  <c r="BC15" s="1"/>
  <c r="AX59" i="14"/>
  <c r="BB16" i="18" s="1"/>
  <c r="BB15" s="1"/>
  <c r="AW59" i="14"/>
  <c r="BA16" i="18" s="1"/>
  <c r="BA15" s="1"/>
  <c r="AV59" i="14"/>
  <c r="AZ16" i="18" s="1"/>
  <c r="AZ15" s="1"/>
  <c r="AU59" i="14"/>
  <c r="AY16" i="18" s="1"/>
  <c r="AY15" s="1"/>
  <c r="AL59" i="14"/>
  <c r="AK59"/>
  <c r="AJ59"/>
  <c r="AD59"/>
  <c r="AC59"/>
  <c r="AC40" s="1"/>
  <c r="Z59"/>
  <c r="AN58"/>
  <c r="AS58" s="1"/>
  <c r="AB58"/>
  <c r="Y58"/>
  <c r="U58"/>
  <c r="T58"/>
  <c r="S58"/>
  <c r="R58"/>
  <c r="L58"/>
  <c r="AN57"/>
  <c r="AB57"/>
  <c r="Y57"/>
  <c r="U57"/>
  <c r="T57"/>
  <c r="S57"/>
  <c r="R57"/>
  <c r="L57"/>
  <c r="AB56"/>
  <c r="AE56" s="1"/>
  <c r="AF56" s="1"/>
  <c r="AR56" s="1"/>
  <c r="Y56"/>
  <c r="U56"/>
  <c r="T56"/>
  <c r="S56"/>
  <c r="R56"/>
  <c r="L56"/>
  <c r="M56" s="1"/>
  <c r="AN55"/>
  <c r="AS55" s="1"/>
  <c r="AE55"/>
  <c r="AF55" s="1"/>
  <c r="AR55" s="1"/>
  <c r="AB55"/>
  <c r="Y55"/>
  <c r="U55"/>
  <c r="T55"/>
  <c r="S55"/>
  <c r="R55"/>
  <c r="L55"/>
  <c r="M55" s="1"/>
  <c r="AB54"/>
  <c r="AE54" s="1"/>
  <c r="AF54" s="1"/>
  <c r="AR54" s="1"/>
  <c r="Y54"/>
  <c r="U54"/>
  <c r="T54"/>
  <c r="S54"/>
  <c r="R54"/>
  <c r="L54"/>
  <c r="M54" s="1"/>
  <c r="AN53"/>
  <c r="AS53"/>
  <c r="AB53"/>
  <c r="Y53"/>
  <c r="U53"/>
  <c r="T53"/>
  <c r="S53"/>
  <c r="R53"/>
  <c r="L53"/>
  <c r="M53" s="1"/>
  <c r="AQ53" s="1"/>
  <c r="AN52"/>
  <c r="AB52"/>
  <c r="Y52"/>
  <c r="U52"/>
  <c r="T52"/>
  <c r="S52"/>
  <c r="R52"/>
  <c r="L52"/>
  <c r="AN51"/>
  <c r="AB51"/>
  <c r="AE51" s="1"/>
  <c r="AF51" s="1"/>
  <c r="AR51" s="1"/>
  <c r="Y51"/>
  <c r="U51"/>
  <c r="T51"/>
  <c r="S51"/>
  <c r="R51"/>
  <c r="L51"/>
  <c r="M51" s="1"/>
  <c r="AN50"/>
  <c r="AS50" s="1"/>
  <c r="AB50"/>
  <c r="Y50"/>
  <c r="U50"/>
  <c r="T50"/>
  <c r="S50"/>
  <c r="R50"/>
  <c r="L50"/>
  <c r="AN49"/>
  <c r="AB49"/>
  <c r="Y49"/>
  <c r="U49"/>
  <c r="T49"/>
  <c r="S49"/>
  <c r="R49"/>
  <c r="L49"/>
  <c r="AN48"/>
  <c r="AS48" s="1"/>
  <c r="AB48"/>
  <c r="Y48"/>
  <c r="U48"/>
  <c r="T48"/>
  <c r="S48"/>
  <c r="R48"/>
  <c r="L48"/>
  <c r="M48" s="1"/>
  <c r="AQ48" s="1"/>
  <c r="AN47"/>
  <c r="AB47"/>
  <c r="AE47" s="1"/>
  <c r="AF47" s="1"/>
  <c r="AR47" s="1"/>
  <c r="Y47"/>
  <c r="U47"/>
  <c r="T47"/>
  <c r="S47"/>
  <c r="R47"/>
  <c r="L47"/>
  <c r="M47" s="1"/>
  <c r="AN46"/>
  <c r="AS46" s="1"/>
  <c r="AB46"/>
  <c r="Y46"/>
  <c r="U46"/>
  <c r="T46"/>
  <c r="S46"/>
  <c r="R46"/>
  <c r="L46"/>
  <c r="M46" s="1"/>
  <c r="AQ46" s="1"/>
  <c r="AN45"/>
  <c r="AB45"/>
  <c r="Y45"/>
  <c r="U45"/>
  <c r="T45"/>
  <c r="S45"/>
  <c r="R45"/>
  <c r="L45"/>
  <c r="AN44"/>
  <c r="AS44" s="1"/>
  <c r="AB44"/>
  <c r="Y44"/>
  <c r="U44"/>
  <c r="T44"/>
  <c r="S44"/>
  <c r="R44"/>
  <c r="L44"/>
  <c r="M44" s="1"/>
  <c r="AN43"/>
  <c r="AS43" s="1"/>
  <c r="AB43"/>
  <c r="Y43"/>
  <c r="AE43" s="1"/>
  <c r="AF43" s="1"/>
  <c r="AR43" s="1"/>
  <c r="U43"/>
  <c r="T43"/>
  <c r="T59" s="1"/>
  <c r="S43"/>
  <c r="R43"/>
  <c r="L43"/>
  <c r="AE42"/>
  <c r="AF42" s="1"/>
  <c r="AR42" s="1"/>
  <c r="AB42"/>
  <c r="Y42"/>
  <c r="U42"/>
  <c r="T42"/>
  <c r="S42"/>
  <c r="R42"/>
  <c r="L42"/>
  <c r="AN41"/>
  <c r="AB41"/>
  <c r="Y41"/>
  <c r="U41"/>
  <c r="T41"/>
  <c r="S41"/>
  <c r="R41"/>
  <c r="L41"/>
  <c r="M41" s="1"/>
  <c r="BA40"/>
  <c r="AX40"/>
  <c r="AW40"/>
  <c r="AV40"/>
  <c r="AU40"/>
  <c r="AJ40"/>
  <c r="AD40"/>
  <c r="BA39"/>
  <c r="BE14" i="18" s="1"/>
  <c r="BE13" s="1"/>
  <c r="AZ39" i="14"/>
  <c r="AY39"/>
  <c r="BC14" i="18" s="1"/>
  <c r="BC13" s="1"/>
  <c r="AX39" i="14"/>
  <c r="BB14" i="18" s="1"/>
  <c r="BB13" s="1"/>
  <c r="BB12" s="1"/>
  <c r="AW39" i="14"/>
  <c r="BA14" i="18" s="1"/>
  <c r="BA13" s="1"/>
  <c r="AV39" i="14"/>
  <c r="AZ14" i="18" s="1"/>
  <c r="AZ13" s="1"/>
  <c r="AZ12" s="1"/>
  <c r="AU39" i="14"/>
  <c r="AL39"/>
  <c r="AK39"/>
  <c r="AK32" s="1"/>
  <c r="AK31" s="1"/>
  <c r="AJ39"/>
  <c r="AD39"/>
  <c r="AD32" s="1"/>
  <c r="AD31" s="1"/>
  <c r="AC39"/>
  <c r="AC32" s="1"/>
  <c r="AC31" s="1"/>
  <c r="AN38"/>
  <c r="AS38" s="1"/>
  <c r="AB38"/>
  <c r="AE38" s="1"/>
  <c r="AF38" s="1"/>
  <c r="AR38" s="1"/>
  <c r="Y38"/>
  <c r="U38"/>
  <c r="T38"/>
  <c r="S38"/>
  <c r="R38"/>
  <c r="L38"/>
  <c r="M38" s="1"/>
  <c r="AB37"/>
  <c r="Y37"/>
  <c r="U37"/>
  <c r="T37"/>
  <c r="S37"/>
  <c r="R37"/>
  <c r="AE37" s="1"/>
  <c r="AF37" s="1"/>
  <c r="AR37" s="1"/>
  <c r="L37"/>
  <c r="M37" s="1"/>
  <c r="AN36"/>
  <c r="AS36" s="1"/>
  <c r="AB36"/>
  <c r="Y36"/>
  <c r="U36"/>
  <c r="T36"/>
  <c r="S36"/>
  <c r="R36"/>
  <c r="L36"/>
  <c r="AB35"/>
  <c r="Y35"/>
  <c r="U35"/>
  <c r="T35"/>
  <c r="S35"/>
  <c r="R35"/>
  <c r="L35"/>
  <c r="M35" s="1"/>
  <c r="AN34"/>
  <c r="AS34" s="1"/>
  <c r="AB34"/>
  <c r="Y34"/>
  <c r="U34"/>
  <c r="T34"/>
  <c r="S34"/>
  <c r="R34"/>
  <c r="L34"/>
  <c r="L39" s="1"/>
  <c r="L32" s="1"/>
  <c r="AN33"/>
  <c r="AB33"/>
  <c r="Y33"/>
  <c r="Y39" s="1"/>
  <c r="Y32" s="1"/>
  <c r="U33"/>
  <c r="T33"/>
  <c r="T39" s="1"/>
  <c r="T32" s="1"/>
  <c r="S33"/>
  <c r="R33"/>
  <c r="AE33" s="1"/>
  <c r="L33"/>
  <c r="BA32"/>
  <c r="AY32"/>
  <c r="AX32"/>
  <c r="AW32"/>
  <c r="AV32"/>
  <c r="AL32"/>
  <c r="AL31" s="1"/>
  <c r="AJ32"/>
  <c r="AJ31" s="1"/>
  <c r="AW31"/>
  <c r="BA30"/>
  <c r="BE11" i="18" s="1"/>
  <c r="AZ30" i="14"/>
  <c r="BD11" i="18" s="1"/>
  <c r="AY30" i="14"/>
  <c r="BC11" i="18" s="1"/>
  <c r="AX30" i="14"/>
  <c r="BB11" i="18" s="1"/>
  <c r="AW30" i="14"/>
  <c r="BA11" i="18" s="1"/>
  <c r="AV30" i="14"/>
  <c r="AZ11" i="18" s="1"/>
  <c r="AU30" i="14"/>
  <c r="AY11" i="18" s="1"/>
  <c r="AL30" i="14"/>
  <c r="AK30"/>
  <c r="AJ30"/>
  <c r="AD30"/>
  <c r="AC30"/>
  <c r="AB29"/>
  <c r="Y29"/>
  <c r="U29"/>
  <c r="T29"/>
  <c r="S29"/>
  <c r="R29"/>
  <c r="L29"/>
  <c r="AB28"/>
  <c r="AE28" s="1"/>
  <c r="AF28" s="1"/>
  <c r="AR28" s="1"/>
  <c r="Y28"/>
  <c r="U28"/>
  <c r="T28"/>
  <c r="S28"/>
  <c r="R28"/>
  <c r="L28"/>
  <c r="M28" s="1"/>
  <c r="AN27"/>
  <c r="AS27" s="1"/>
  <c r="AB27"/>
  <c r="Y27"/>
  <c r="U27"/>
  <c r="T27"/>
  <c r="S27"/>
  <c r="R27"/>
  <c r="L27"/>
  <c r="M27" s="1"/>
  <c r="AB26"/>
  <c r="AB30" s="1"/>
  <c r="Y26"/>
  <c r="Y30" s="1"/>
  <c r="U26"/>
  <c r="U30" s="1"/>
  <c r="T26"/>
  <c r="S26"/>
  <c r="S30" s="1"/>
  <c r="R26"/>
  <c r="L26"/>
  <c r="BA25"/>
  <c r="BE10" i="18" s="1"/>
  <c r="AZ25" i="14"/>
  <c r="BD10" i="18" s="1"/>
  <c r="AY25" i="14"/>
  <c r="BC10" i="18" s="1"/>
  <c r="AX25" i="14"/>
  <c r="BB10" i="18" s="1"/>
  <c r="AW25" i="14"/>
  <c r="BA10" i="18" s="1"/>
  <c r="AV25" i="14"/>
  <c r="AZ10" i="18" s="1"/>
  <c r="AU25" i="14"/>
  <c r="AY10" i="18" s="1"/>
  <c r="AL25" i="14"/>
  <c r="AK25"/>
  <c r="AJ25"/>
  <c r="AD25"/>
  <c r="AC25"/>
  <c r="AN24"/>
  <c r="AS24" s="1"/>
  <c r="AB24"/>
  <c r="AE24" s="1"/>
  <c r="AF24" s="1"/>
  <c r="AR24" s="1"/>
  <c r="Y24"/>
  <c r="U24"/>
  <c r="T24"/>
  <c r="S24"/>
  <c r="R24"/>
  <c r="L24"/>
  <c r="AB23"/>
  <c r="Y23"/>
  <c r="U23"/>
  <c r="T23"/>
  <c r="S23"/>
  <c r="R23"/>
  <c r="L23"/>
  <c r="M23" s="1"/>
  <c r="AN22"/>
  <c r="AS22" s="1"/>
  <c r="AB22"/>
  <c r="Y22"/>
  <c r="U22"/>
  <c r="T22"/>
  <c r="S22"/>
  <c r="R22"/>
  <c r="L22"/>
  <c r="AB21"/>
  <c r="AE21" s="1"/>
  <c r="AF21" s="1"/>
  <c r="AR21" s="1"/>
  <c r="Y21"/>
  <c r="U21"/>
  <c r="T21"/>
  <c r="S21"/>
  <c r="R21"/>
  <c r="M21"/>
  <c r="L21"/>
  <c r="AN20"/>
  <c r="AS20" s="1"/>
  <c r="AB20"/>
  <c r="Y20"/>
  <c r="U20"/>
  <c r="T20"/>
  <c r="S20"/>
  <c r="R20"/>
  <c r="L20"/>
  <c r="AN19"/>
  <c r="AS19" s="1"/>
  <c r="AB19"/>
  <c r="Y19"/>
  <c r="U19"/>
  <c r="T19"/>
  <c r="S19"/>
  <c r="R19"/>
  <c r="L19"/>
  <c r="M19" s="1"/>
  <c r="AM18"/>
  <c r="AN18" s="1"/>
  <c r="AB18"/>
  <c r="Y18"/>
  <c r="Y25" s="1"/>
  <c r="U18"/>
  <c r="T18"/>
  <c r="T25" s="1"/>
  <c r="S18"/>
  <c r="R18"/>
  <c r="R25" s="1"/>
  <c r="L18"/>
  <c r="BA17"/>
  <c r="AZ17"/>
  <c r="BD9" i="18" s="1"/>
  <c r="AY17" i="14"/>
  <c r="BC9" i="18" s="1"/>
  <c r="AX17" i="14"/>
  <c r="BB9" i="18" s="1"/>
  <c r="AW17" i="14"/>
  <c r="BA9" i="18" s="1"/>
  <c r="AV17" i="14"/>
  <c r="AZ9" i="18" s="1"/>
  <c r="AU17" i="14"/>
  <c r="AY9" i="18" s="1"/>
  <c r="AN17" i="14"/>
  <c r="AM17"/>
  <c r="AL17"/>
  <c r="AK17"/>
  <c r="AJ17"/>
  <c r="AD17"/>
  <c r="AC17"/>
  <c r="Y17"/>
  <c r="T17"/>
  <c r="R17"/>
  <c r="AN16"/>
  <c r="AS16" s="1"/>
  <c r="AS17" s="1"/>
  <c r="AB16"/>
  <c r="AE16" s="1"/>
  <c r="Y16"/>
  <c r="U16"/>
  <c r="U17" s="1"/>
  <c r="T16"/>
  <c r="S16"/>
  <c r="S17" s="1"/>
  <c r="R16"/>
  <c r="L16"/>
  <c r="M16" s="1"/>
  <c r="M17" s="1"/>
  <c r="BA15"/>
  <c r="BE8" i="18" s="1"/>
  <c r="AZ15" i="14"/>
  <c r="AY15"/>
  <c r="BC8" i="18" s="1"/>
  <c r="AX15" i="14"/>
  <c r="AW15"/>
  <c r="BA8" i="18" s="1"/>
  <c r="AV15" i="14"/>
  <c r="AU15"/>
  <c r="AY8" i="18" s="1"/>
  <c r="AL15" i="14"/>
  <c r="AL6" s="1"/>
  <c r="AL5" s="1"/>
  <c r="AK15"/>
  <c r="AJ15"/>
  <c r="AJ6" s="1"/>
  <c r="AJ5" s="1"/>
  <c r="AD15"/>
  <c r="AD6" s="1"/>
  <c r="AD5" s="1"/>
  <c r="AC15"/>
  <c r="AC6" s="1"/>
  <c r="AC5" s="1"/>
  <c r="AN14"/>
  <c r="AS14" s="1"/>
  <c r="AB14"/>
  <c r="Y14"/>
  <c r="U14"/>
  <c r="T14"/>
  <c r="S14"/>
  <c r="R14"/>
  <c r="L14"/>
  <c r="AN13"/>
  <c r="AS13" s="1"/>
  <c r="AB13"/>
  <c r="Y13"/>
  <c r="U13"/>
  <c r="T13"/>
  <c r="S13"/>
  <c r="R13"/>
  <c r="L13"/>
  <c r="AN12"/>
  <c r="AS12" s="1"/>
  <c r="AB12"/>
  <c r="AE12" s="1"/>
  <c r="AF12" s="1"/>
  <c r="AR12" s="1"/>
  <c r="Y12"/>
  <c r="U12"/>
  <c r="T12"/>
  <c r="S12"/>
  <c r="R12"/>
  <c r="L12"/>
  <c r="AB11"/>
  <c r="Y11"/>
  <c r="U11"/>
  <c r="T11"/>
  <c r="S11"/>
  <c r="R11"/>
  <c r="L11"/>
  <c r="AN10"/>
  <c r="AS10" s="1"/>
  <c r="AB10"/>
  <c r="Y10"/>
  <c r="U10"/>
  <c r="T10"/>
  <c r="S10"/>
  <c r="R10"/>
  <c r="L10"/>
  <c r="M10" s="1"/>
  <c r="AB9"/>
  <c r="AE9" s="1"/>
  <c r="AF9" s="1"/>
  <c r="AR9" s="1"/>
  <c r="Y9"/>
  <c r="U9"/>
  <c r="T9"/>
  <c r="S9"/>
  <c r="R9"/>
  <c r="L9"/>
  <c r="AN8"/>
  <c r="AS8" s="1"/>
  <c r="AB8"/>
  <c r="Y8"/>
  <c r="U8"/>
  <c r="T8"/>
  <c r="S8"/>
  <c r="R8"/>
  <c r="L8"/>
  <c r="AN7"/>
  <c r="AS7" s="1"/>
  <c r="AM15"/>
  <c r="AB7"/>
  <c r="Y7"/>
  <c r="Y15" s="1"/>
  <c r="Y6" s="1"/>
  <c r="Y5" s="1"/>
  <c r="U7"/>
  <c r="U15" s="1"/>
  <c r="T7"/>
  <c r="S7"/>
  <c r="R7"/>
  <c r="R15" s="1"/>
  <c r="L7"/>
  <c r="M7" s="1"/>
  <c r="AY6"/>
  <c r="AY5" s="1"/>
  <c r="AU6"/>
  <c r="AU5" s="1"/>
  <c r="AK6"/>
  <c r="AK5" s="1"/>
  <c r="AA6"/>
  <c r="Z6"/>
  <c r="Z5" s="1"/>
  <c r="AA5"/>
  <c r="AB241" i="13"/>
  <c r="Y241"/>
  <c r="L241"/>
  <c r="M241" s="1"/>
  <c r="AB240"/>
  <c r="Y240"/>
  <c r="L240"/>
  <c r="M240" s="1"/>
  <c r="AS239"/>
  <c r="AB239"/>
  <c r="Y239"/>
  <c r="L239"/>
  <c r="M239" s="1"/>
  <c r="AB238"/>
  <c r="Y238"/>
  <c r="L238"/>
  <c r="AB237"/>
  <c r="Y237"/>
  <c r="L237"/>
  <c r="AB235"/>
  <c r="AE235" s="1"/>
  <c r="AF235" s="1"/>
  <c r="AR235" s="1"/>
  <c r="Y235"/>
  <c r="L235"/>
  <c r="AB234"/>
  <c r="Y234"/>
  <c r="L234"/>
  <c r="M234" s="1"/>
  <c r="AB233"/>
  <c r="Y233"/>
  <c r="L233"/>
  <c r="M233" s="1"/>
  <c r="AB231"/>
  <c r="Y231"/>
  <c r="M231"/>
  <c r="L231"/>
  <c r="AS230"/>
  <c r="AB230"/>
  <c r="Y230"/>
  <c r="L230"/>
  <c r="M230" s="1"/>
  <c r="AS229"/>
  <c r="AB229"/>
  <c r="Y229"/>
  <c r="L229"/>
  <c r="M229" s="1"/>
  <c r="AS228"/>
  <c r="AB228"/>
  <c r="Y228"/>
  <c r="L228"/>
  <c r="M228" s="1"/>
  <c r="AB227"/>
  <c r="Y227"/>
  <c r="L227"/>
  <c r="M227" s="1"/>
  <c r="AB225"/>
  <c r="Y225"/>
  <c r="L225"/>
  <c r="AB221"/>
  <c r="Y221"/>
  <c r="L221"/>
  <c r="M221" s="1"/>
  <c r="AB220"/>
  <c r="Y220"/>
  <c r="L220"/>
  <c r="M220" s="1"/>
  <c r="AB219"/>
  <c r="Y219"/>
  <c r="L219"/>
  <c r="M219" s="1"/>
  <c r="AS218"/>
  <c r="AB218"/>
  <c r="Y218"/>
  <c r="L218"/>
  <c r="AB217"/>
  <c r="Y217"/>
  <c r="M217"/>
  <c r="L217"/>
  <c r="AS216"/>
  <c r="AB216"/>
  <c r="Y216"/>
  <c r="L216"/>
  <c r="AB215"/>
  <c r="Y215"/>
  <c r="L215"/>
  <c r="M215" s="1"/>
  <c r="AS214"/>
  <c r="AB214"/>
  <c r="Y214"/>
  <c r="L214"/>
  <c r="AB213"/>
  <c r="Y213"/>
  <c r="L213"/>
  <c r="M213" s="1"/>
  <c r="AB212"/>
  <c r="Y212"/>
  <c r="L212"/>
  <c r="M212" s="1"/>
  <c r="AS211"/>
  <c r="AB211"/>
  <c r="Y211"/>
  <c r="L211"/>
  <c r="M211" s="1"/>
  <c r="AS210"/>
  <c r="AB210"/>
  <c r="Y210"/>
  <c r="L210"/>
  <c r="M210" s="1"/>
  <c r="AS209"/>
  <c r="AB209"/>
  <c r="Y209"/>
  <c r="L209"/>
  <c r="M209" s="1"/>
  <c r="AB208"/>
  <c r="Y208"/>
  <c r="L208"/>
  <c r="M208" s="1"/>
  <c r="AB207"/>
  <c r="Y207"/>
  <c r="L207"/>
  <c r="M207" s="1"/>
  <c r="AB206"/>
  <c r="Y206"/>
  <c r="L206"/>
  <c r="M206" s="1"/>
  <c r="AB205"/>
  <c r="Y205"/>
  <c r="L205"/>
  <c r="M205" s="1"/>
  <c r="AS204"/>
  <c r="AB204"/>
  <c r="Y204"/>
  <c r="L204"/>
  <c r="AB203"/>
  <c r="Y203"/>
  <c r="M203"/>
  <c r="L203"/>
  <c r="AB200"/>
  <c r="Y200"/>
  <c r="L200"/>
  <c r="M200" s="1"/>
  <c r="AQ200" s="1"/>
  <c r="AB199"/>
  <c r="Y199"/>
  <c r="L199"/>
  <c r="M199" s="1"/>
  <c r="AB198"/>
  <c r="Y198"/>
  <c r="L198"/>
  <c r="AS197"/>
  <c r="AB197"/>
  <c r="Y197"/>
  <c r="L197"/>
  <c r="M197" s="1"/>
  <c r="AB196"/>
  <c r="Y196"/>
  <c r="L196"/>
  <c r="M196" s="1"/>
  <c r="AS195"/>
  <c r="AB195"/>
  <c r="Y195"/>
  <c r="L195"/>
  <c r="M195" s="1"/>
  <c r="AB194"/>
  <c r="Y194"/>
  <c r="L194"/>
  <c r="M194" s="1"/>
  <c r="AS193"/>
  <c r="AB193"/>
  <c r="Y193"/>
  <c r="L193"/>
  <c r="AB192"/>
  <c r="Y192"/>
  <c r="L192"/>
  <c r="M192" s="1"/>
  <c r="AS191"/>
  <c r="AB191"/>
  <c r="Y191"/>
  <c r="L191"/>
  <c r="AS190"/>
  <c r="AB190"/>
  <c r="Y190"/>
  <c r="L190"/>
  <c r="AS189"/>
  <c r="AB189"/>
  <c r="Y189"/>
  <c r="L189"/>
  <c r="AS188"/>
  <c r="AB188"/>
  <c r="Y188"/>
  <c r="L188"/>
  <c r="AB187"/>
  <c r="Y187"/>
  <c r="L187"/>
  <c r="M187" s="1"/>
  <c r="AB186"/>
  <c r="Y186"/>
  <c r="L186"/>
  <c r="M186" s="1"/>
  <c r="AB185"/>
  <c r="Y185"/>
  <c r="L185"/>
  <c r="AS184"/>
  <c r="AB184"/>
  <c r="Y184"/>
  <c r="L184"/>
  <c r="AS183"/>
  <c r="AB183"/>
  <c r="Y183"/>
  <c r="L183"/>
  <c r="M183" s="1"/>
  <c r="AB182"/>
  <c r="Y182"/>
  <c r="L182"/>
  <c r="AS181"/>
  <c r="AB181"/>
  <c r="Y181"/>
  <c r="L181"/>
  <c r="AB180"/>
  <c r="Y180"/>
  <c r="L180"/>
  <c r="M180" s="1"/>
  <c r="AS177"/>
  <c r="AB177"/>
  <c r="Y177"/>
  <c r="L177"/>
  <c r="M177" s="1"/>
  <c r="AB176"/>
  <c r="Y176"/>
  <c r="L176"/>
  <c r="AS175"/>
  <c r="AB175"/>
  <c r="Y175"/>
  <c r="L175"/>
  <c r="AB174"/>
  <c r="Y174"/>
  <c r="L174"/>
  <c r="M174" s="1"/>
  <c r="AB173"/>
  <c r="Y173"/>
  <c r="L173"/>
  <c r="M173" s="1"/>
  <c r="AB172"/>
  <c r="Y172"/>
  <c r="L172"/>
  <c r="AB171"/>
  <c r="Y171"/>
  <c r="L171"/>
  <c r="M171" s="1"/>
  <c r="AS170"/>
  <c r="AB170"/>
  <c r="Y170"/>
  <c r="L170"/>
  <c r="M170" s="1"/>
  <c r="AS169"/>
  <c r="AB169"/>
  <c r="Y169"/>
  <c r="L169"/>
  <c r="M169" s="1"/>
  <c r="AB167"/>
  <c r="Y167"/>
  <c r="L167"/>
  <c r="M167" s="1"/>
  <c r="AB166"/>
  <c r="Y166"/>
  <c r="L166"/>
  <c r="M166" s="1"/>
  <c r="AB165"/>
  <c r="Y165"/>
  <c r="AE165" s="1"/>
  <c r="AF165" s="1"/>
  <c r="AR165" s="1"/>
  <c r="M165"/>
  <c r="L165"/>
  <c r="AB164"/>
  <c r="Y164"/>
  <c r="L164"/>
  <c r="M164" s="1"/>
  <c r="AS163"/>
  <c r="AB163"/>
  <c r="Y163"/>
  <c r="L163"/>
  <c r="M163" s="1"/>
  <c r="AS162"/>
  <c r="AB162"/>
  <c r="Y162"/>
  <c r="M162"/>
  <c r="L162"/>
  <c r="AB161"/>
  <c r="Y161"/>
  <c r="L161"/>
  <c r="M161" s="1"/>
  <c r="AS160"/>
  <c r="AB160"/>
  <c r="Y160"/>
  <c r="L160"/>
  <c r="M160" s="1"/>
  <c r="AB159"/>
  <c r="Y159"/>
  <c r="AE159"/>
  <c r="AF159" s="1"/>
  <c r="AR159" s="1"/>
  <c r="L159"/>
  <c r="M159" s="1"/>
  <c r="AS158"/>
  <c r="AB158"/>
  <c r="Y158"/>
  <c r="L158"/>
  <c r="AB157"/>
  <c r="Y157"/>
  <c r="L157"/>
  <c r="M157" s="1"/>
  <c r="AS156"/>
  <c r="AB156"/>
  <c r="Y156"/>
  <c r="L156"/>
  <c r="AB155"/>
  <c r="Y155"/>
  <c r="L155"/>
  <c r="AB154"/>
  <c r="Y154"/>
  <c r="AE154"/>
  <c r="AF154" s="1"/>
  <c r="AR154" s="1"/>
  <c r="L154"/>
  <c r="M154" s="1"/>
  <c r="AS153"/>
  <c r="AB153"/>
  <c r="Y153"/>
  <c r="L153"/>
  <c r="AS152"/>
  <c r="AB152"/>
  <c r="Y152"/>
  <c r="L152"/>
  <c r="AS151"/>
  <c r="AB151"/>
  <c r="Y151"/>
  <c r="L151"/>
  <c r="M151" s="1"/>
  <c r="AS150"/>
  <c r="AB150"/>
  <c r="Y150"/>
  <c r="L150"/>
  <c r="M150" s="1"/>
  <c r="AS149"/>
  <c r="AB149"/>
  <c r="Y149"/>
  <c r="L149"/>
  <c r="AS148"/>
  <c r="AB148"/>
  <c r="Y148"/>
  <c r="L148"/>
  <c r="M148" s="1"/>
  <c r="AB147"/>
  <c r="Y147"/>
  <c r="L147"/>
  <c r="AB146"/>
  <c r="Y146"/>
  <c r="L146"/>
  <c r="M146" s="1"/>
  <c r="AS145"/>
  <c r="AB145"/>
  <c r="Y145"/>
  <c r="L145"/>
  <c r="M145" s="1"/>
  <c r="AB144"/>
  <c r="Y144"/>
  <c r="L144"/>
  <c r="AS141"/>
  <c r="AB141"/>
  <c r="Y141"/>
  <c r="L141"/>
  <c r="M141" s="1"/>
  <c r="AB140"/>
  <c r="AE140" s="1"/>
  <c r="Y140"/>
  <c r="L140"/>
  <c r="AE139"/>
  <c r="AB138"/>
  <c r="AF138" s="1"/>
  <c r="AR138" s="1"/>
  <c r="Y138"/>
  <c r="L138"/>
  <c r="M138" s="1"/>
  <c r="AB137"/>
  <c r="Y137"/>
  <c r="Y139" s="1"/>
  <c r="L137"/>
  <c r="AB135"/>
  <c r="Y135"/>
  <c r="L135"/>
  <c r="M135" s="1"/>
  <c r="AB134"/>
  <c r="Y134"/>
  <c r="L134"/>
  <c r="M134" s="1"/>
  <c r="AB133"/>
  <c r="Y133"/>
  <c r="L133"/>
  <c r="M133" s="1"/>
  <c r="AB132"/>
  <c r="Y132"/>
  <c r="L132"/>
  <c r="M132" s="1"/>
  <c r="Y131"/>
  <c r="L131"/>
  <c r="M131" s="1"/>
  <c r="AB130"/>
  <c r="Y130"/>
  <c r="L130"/>
  <c r="AS129"/>
  <c r="AB129"/>
  <c r="Y129"/>
  <c r="L129"/>
  <c r="M129" s="1"/>
  <c r="AB128"/>
  <c r="Y128"/>
  <c r="L128"/>
  <c r="M128" s="1"/>
  <c r="AB127"/>
  <c r="Y127"/>
  <c r="L127"/>
  <c r="M127" s="1"/>
  <c r="AB126"/>
  <c r="Y126"/>
  <c r="L126"/>
  <c r="M126" s="1"/>
  <c r="AB125"/>
  <c r="Y125"/>
  <c r="L125"/>
  <c r="M125" s="1"/>
  <c r="AB124"/>
  <c r="Y124"/>
  <c r="L124"/>
  <c r="M124" s="1"/>
  <c r="AB123"/>
  <c r="Y123"/>
  <c r="L123"/>
  <c r="M123" s="1"/>
  <c r="AS122"/>
  <c r="AB122"/>
  <c r="Y122"/>
  <c r="L122"/>
  <c r="M122" s="1"/>
  <c r="AB121"/>
  <c r="Y121"/>
  <c r="L121"/>
  <c r="AB120"/>
  <c r="Y120"/>
  <c r="L120"/>
  <c r="M120" s="1"/>
  <c r="AB119"/>
  <c r="Y119"/>
  <c r="L119"/>
  <c r="AS118"/>
  <c r="AB118"/>
  <c r="Y118"/>
  <c r="L118"/>
  <c r="AS117"/>
  <c r="AB117"/>
  <c r="Y117"/>
  <c r="L117"/>
  <c r="AS116"/>
  <c r="AB116"/>
  <c r="Y116"/>
  <c r="L116"/>
  <c r="AS115"/>
  <c r="AB115"/>
  <c r="Y115"/>
  <c r="L115"/>
  <c r="M115" s="1"/>
  <c r="AQ115" s="1"/>
  <c r="AB114"/>
  <c r="Y114"/>
  <c r="L114"/>
  <c r="M114" s="1"/>
  <c r="AS112"/>
  <c r="AB112"/>
  <c r="Y112"/>
  <c r="L112"/>
  <c r="AS111"/>
  <c r="AB111"/>
  <c r="Y111"/>
  <c r="L111"/>
  <c r="M111" s="1"/>
  <c r="AB110"/>
  <c r="Y110"/>
  <c r="L110"/>
  <c r="M110" s="1"/>
  <c r="AS109"/>
  <c r="AB109"/>
  <c r="AE109" s="1"/>
  <c r="AF109" s="1"/>
  <c r="AR109" s="1"/>
  <c r="Y109"/>
  <c r="L109"/>
  <c r="M109" s="1"/>
  <c r="AB108"/>
  <c r="Y108"/>
  <c r="L108"/>
  <c r="M108" s="1"/>
  <c r="AB107"/>
  <c r="Y107"/>
  <c r="L107"/>
  <c r="M107" s="1"/>
  <c r="AS106"/>
  <c r="AB106"/>
  <c r="Y106"/>
  <c r="L106"/>
  <c r="M106" s="1"/>
  <c r="AB105"/>
  <c r="Y105"/>
  <c r="L105"/>
  <c r="M105" s="1"/>
  <c r="AB104"/>
  <c r="AF104" s="1"/>
  <c r="AR104" s="1"/>
  <c r="Y104"/>
  <c r="L104"/>
  <c r="M104" s="1"/>
  <c r="AS103"/>
  <c r="AB103"/>
  <c r="Y103"/>
  <c r="L103"/>
  <c r="AB102"/>
  <c r="AB113" s="1"/>
  <c r="Y102"/>
  <c r="L102"/>
  <c r="AK93"/>
  <c r="AS100"/>
  <c r="AB100"/>
  <c r="Y100"/>
  <c r="L100"/>
  <c r="M100" s="1"/>
  <c r="AB99"/>
  <c r="Y99"/>
  <c r="L99"/>
  <c r="AB98"/>
  <c r="Y98"/>
  <c r="L98"/>
  <c r="M98" s="1"/>
  <c r="AB97"/>
  <c r="Y97"/>
  <c r="L97"/>
  <c r="M97" s="1"/>
  <c r="AS96"/>
  <c r="AB96"/>
  <c r="Y96"/>
  <c r="L96"/>
  <c r="M96" s="1"/>
  <c r="AB95"/>
  <c r="AE95" s="1"/>
  <c r="AF95" s="1"/>
  <c r="AR95" s="1"/>
  <c r="Y95"/>
  <c r="L95"/>
  <c r="M95" s="1"/>
  <c r="AS94"/>
  <c r="AB94"/>
  <c r="Y94"/>
  <c r="L94"/>
  <c r="Z92"/>
  <c r="BA91"/>
  <c r="AR19" i="18" s="1"/>
  <c r="AR18" s="1"/>
  <c r="AZ91" i="13"/>
  <c r="AQ19" i="18" s="1"/>
  <c r="AQ18" s="1"/>
  <c r="AY91" i="13"/>
  <c r="AP19" i="18" s="1"/>
  <c r="AP18" s="1"/>
  <c r="AX91" i="13"/>
  <c r="AO19" i="18" s="1"/>
  <c r="AO18" s="1"/>
  <c r="AW91" i="13"/>
  <c r="AN19" i="18" s="1"/>
  <c r="AN18" s="1"/>
  <c r="AV91" i="13"/>
  <c r="AM19" i="18" s="1"/>
  <c r="AM18" s="1"/>
  <c r="AU91" i="13"/>
  <c r="AL19" i="18" s="1"/>
  <c r="AL18" s="1"/>
  <c r="AL91" i="13"/>
  <c r="AK91"/>
  <c r="AJ91"/>
  <c r="AD91"/>
  <c r="AD80" s="1"/>
  <c r="AC91"/>
  <c r="AC80" s="1"/>
  <c r="AB90"/>
  <c r="Y90"/>
  <c r="U90"/>
  <c r="T90"/>
  <c r="S90"/>
  <c r="R90"/>
  <c r="L90"/>
  <c r="M90" s="1"/>
  <c r="AN89"/>
  <c r="AS89" s="1"/>
  <c r="AB89"/>
  <c r="Y89"/>
  <c r="U89"/>
  <c r="T89"/>
  <c r="S89"/>
  <c r="R89"/>
  <c r="L89"/>
  <c r="M89" s="1"/>
  <c r="AN88"/>
  <c r="AB88"/>
  <c r="Y88"/>
  <c r="U88"/>
  <c r="T88"/>
  <c r="S88"/>
  <c r="R88"/>
  <c r="L88"/>
  <c r="M88" s="1"/>
  <c r="AN87"/>
  <c r="AB87"/>
  <c r="Y87"/>
  <c r="U87"/>
  <c r="T87"/>
  <c r="S87"/>
  <c r="R87"/>
  <c r="L87"/>
  <c r="M87" s="1"/>
  <c r="AN86"/>
  <c r="AB86"/>
  <c r="Y86"/>
  <c r="U86"/>
  <c r="T86"/>
  <c r="S86"/>
  <c r="R86"/>
  <c r="L86"/>
  <c r="AB85"/>
  <c r="Y85"/>
  <c r="U85"/>
  <c r="T85"/>
  <c r="S85"/>
  <c r="R85"/>
  <c r="L85"/>
  <c r="AN84"/>
  <c r="AB84"/>
  <c r="Y84"/>
  <c r="U84"/>
  <c r="T84"/>
  <c r="S84"/>
  <c r="R84"/>
  <c r="L84"/>
  <c r="AB83"/>
  <c r="Y83"/>
  <c r="U83"/>
  <c r="T83"/>
  <c r="S83"/>
  <c r="R83"/>
  <c r="L83"/>
  <c r="AN82"/>
  <c r="AS82" s="1"/>
  <c r="AB82"/>
  <c r="Y82"/>
  <c r="U82"/>
  <c r="T82"/>
  <c r="S82"/>
  <c r="R82"/>
  <c r="L82"/>
  <c r="AB81"/>
  <c r="Y81"/>
  <c r="U81"/>
  <c r="T81"/>
  <c r="S81"/>
  <c r="R81"/>
  <c r="L81"/>
  <c r="M81" s="1"/>
  <c r="BA80"/>
  <c r="AZ80"/>
  <c r="AY80"/>
  <c r="AX80"/>
  <c r="AW80"/>
  <c r="AV80"/>
  <c r="AU80"/>
  <c r="AL80"/>
  <c r="AK80"/>
  <c r="AJ80"/>
  <c r="BA79"/>
  <c r="AR17" i="18" s="1"/>
  <c r="AZ79" i="13"/>
  <c r="AQ17" i="18" s="1"/>
  <c r="AY79" i="13"/>
  <c r="AP17" i="18" s="1"/>
  <c r="AX79" i="13"/>
  <c r="AO17" i="18" s="1"/>
  <c r="AW79" i="13"/>
  <c r="AN17" i="18" s="1"/>
  <c r="AV79" i="13"/>
  <c r="AM17" i="18" s="1"/>
  <c r="AU79" i="13"/>
  <c r="AL17" i="18" s="1"/>
  <c r="AL79" i="13"/>
  <c r="AK79"/>
  <c r="AJ79"/>
  <c r="AD79"/>
  <c r="AC79"/>
  <c r="AN78"/>
  <c r="AS78" s="1"/>
  <c r="AB78"/>
  <c r="Y78"/>
  <c r="U78"/>
  <c r="T78"/>
  <c r="S78"/>
  <c r="R78"/>
  <c r="L78"/>
  <c r="AB77"/>
  <c r="Y77"/>
  <c r="U77"/>
  <c r="T77"/>
  <c r="S77"/>
  <c r="R77"/>
  <c r="L77"/>
  <c r="M77" s="1"/>
  <c r="AB76"/>
  <c r="Y76"/>
  <c r="U76"/>
  <c r="T76"/>
  <c r="S76"/>
  <c r="R76"/>
  <c r="L76"/>
  <c r="M76" s="1"/>
  <c r="AB75"/>
  <c r="Y75"/>
  <c r="U75"/>
  <c r="T75"/>
  <c r="S75"/>
  <c r="R75"/>
  <c r="L75"/>
  <c r="AN74"/>
  <c r="AS74" s="1"/>
  <c r="AB74"/>
  <c r="Y74"/>
  <c r="U74"/>
  <c r="T74"/>
  <c r="S74"/>
  <c r="R74"/>
  <c r="L74"/>
  <c r="M74" s="1"/>
  <c r="AN73"/>
  <c r="AS73" s="1"/>
  <c r="AB73"/>
  <c r="Y73"/>
  <c r="U73"/>
  <c r="T73"/>
  <c r="S73"/>
  <c r="R73"/>
  <c r="L73"/>
  <c r="M73" s="1"/>
  <c r="AN72"/>
  <c r="AB72"/>
  <c r="Y72"/>
  <c r="U72"/>
  <c r="T72"/>
  <c r="S72"/>
  <c r="R72"/>
  <c r="L72"/>
  <c r="AB71"/>
  <c r="Y71"/>
  <c r="U71"/>
  <c r="T71"/>
  <c r="S71"/>
  <c r="R71"/>
  <c r="L71"/>
  <c r="M71" s="1"/>
  <c r="AN70"/>
  <c r="AS70" s="1"/>
  <c r="AB70"/>
  <c r="Y70"/>
  <c r="U70"/>
  <c r="T70"/>
  <c r="S70"/>
  <c r="R70"/>
  <c r="L70"/>
  <c r="AN69"/>
  <c r="AS69" s="1"/>
  <c r="AB69"/>
  <c r="Y69"/>
  <c r="U69"/>
  <c r="T69"/>
  <c r="S69"/>
  <c r="R69"/>
  <c r="L69"/>
  <c r="AN68"/>
  <c r="AS68" s="1"/>
  <c r="AB68"/>
  <c r="Y68"/>
  <c r="U68"/>
  <c r="T68"/>
  <c r="S68"/>
  <c r="R68"/>
  <c r="L68"/>
  <c r="AN67"/>
  <c r="AS67" s="1"/>
  <c r="AB67"/>
  <c r="Y67"/>
  <c r="U67"/>
  <c r="T67"/>
  <c r="S67"/>
  <c r="R67"/>
  <c r="L67"/>
  <c r="M67" s="1"/>
  <c r="AN66"/>
  <c r="AS66" s="1"/>
  <c r="AB66"/>
  <c r="Y66"/>
  <c r="U66"/>
  <c r="T66"/>
  <c r="S66"/>
  <c r="R66"/>
  <c r="L66"/>
  <c r="M66" s="1"/>
  <c r="AB65"/>
  <c r="Y65"/>
  <c r="U65"/>
  <c r="T65"/>
  <c r="S65"/>
  <c r="R65"/>
  <c r="L65"/>
  <c r="M65" s="1"/>
  <c r="AB64"/>
  <c r="Y64"/>
  <c r="U64"/>
  <c r="T64"/>
  <c r="S64"/>
  <c r="R64"/>
  <c r="L64"/>
  <c r="M64" s="1"/>
  <c r="AB63"/>
  <c r="Y63"/>
  <c r="U63"/>
  <c r="T63"/>
  <c r="S63"/>
  <c r="R63"/>
  <c r="L63"/>
  <c r="M63" s="1"/>
  <c r="AN62"/>
  <c r="AS62" s="1"/>
  <c r="AB62"/>
  <c r="Y62"/>
  <c r="U62"/>
  <c r="T62"/>
  <c r="S62"/>
  <c r="R62"/>
  <c r="L62"/>
  <c r="M62" s="1"/>
  <c r="AN61"/>
  <c r="AS61" s="1"/>
  <c r="AB61"/>
  <c r="Y61"/>
  <c r="U61"/>
  <c r="T61"/>
  <c r="S61"/>
  <c r="R61"/>
  <c r="L61"/>
  <c r="M61" s="1"/>
  <c r="AN60"/>
  <c r="AB60"/>
  <c r="Y60"/>
  <c r="U60"/>
  <c r="T60"/>
  <c r="S60"/>
  <c r="R60"/>
  <c r="L60"/>
  <c r="M60" s="1"/>
  <c r="BA59"/>
  <c r="AR16" i="18" s="1"/>
  <c r="AR15" s="1"/>
  <c r="AZ59" i="13"/>
  <c r="AQ16" i="18" s="1"/>
  <c r="AQ15" s="1"/>
  <c r="AY59" i="13"/>
  <c r="AP16" i="18" s="1"/>
  <c r="AX59" i="13"/>
  <c r="AO16" i="18" s="1"/>
  <c r="AO15" s="1"/>
  <c r="AW59" i="13"/>
  <c r="AN16" i="18" s="1"/>
  <c r="AN15" s="1"/>
  <c r="AV59" i="13"/>
  <c r="AM16" i="18" s="1"/>
  <c r="AM15" s="1"/>
  <c r="AU59" i="13"/>
  <c r="AL16" i="18" s="1"/>
  <c r="AL59" i="13"/>
  <c r="AK59"/>
  <c r="AJ59"/>
  <c r="AD59"/>
  <c r="AC59"/>
  <c r="Z59"/>
  <c r="AB58"/>
  <c r="Y58"/>
  <c r="U58"/>
  <c r="T58"/>
  <c r="S58"/>
  <c r="R58"/>
  <c r="L58"/>
  <c r="M58" s="1"/>
  <c r="AN57"/>
  <c r="AS57" s="1"/>
  <c r="AB57"/>
  <c r="Y57"/>
  <c r="U57"/>
  <c r="T57"/>
  <c r="S57"/>
  <c r="R57"/>
  <c r="L57"/>
  <c r="M57" s="1"/>
  <c r="AB56"/>
  <c r="Y56"/>
  <c r="U56"/>
  <c r="T56"/>
  <c r="S56"/>
  <c r="R56"/>
  <c r="L56"/>
  <c r="M56" s="1"/>
  <c r="AN55"/>
  <c r="AS55" s="1"/>
  <c r="AB55"/>
  <c r="Y55"/>
  <c r="U55"/>
  <c r="T55"/>
  <c r="S55"/>
  <c r="R55"/>
  <c r="L55"/>
  <c r="AN54"/>
  <c r="AS54" s="1"/>
  <c r="AB54"/>
  <c r="Y54"/>
  <c r="U54"/>
  <c r="T54"/>
  <c r="S54"/>
  <c r="R54"/>
  <c r="L54"/>
  <c r="M54" s="1"/>
  <c r="AN53"/>
  <c r="AB53"/>
  <c r="Y53"/>
  <c r="U53"/>
  <c r="T53"/>
  <c r="S53"/>
  <c r="R53"/>
  <c r="L53"/>
  <c r="AB52"/>
  <c r="Y52"/>
  <c r="U52"/>
  <c r="T52"/>
  <c r="S52"/>
  <c r="R52"/>
  <c r="L52"/>
  <c r="M52" s="1"/>
  <c r="AB51"/>
  <c r="Y51"/>
  <c r="U51"/>
  <c r="T51"/>
  <c r="S51"/>
  <c r="R51"/>
  <c r="L51"/>
  <c r="M51" s="1"/>
  <c r="AN50"/>
  <c r="AS50" s="1"/>
  <c r="AB50"/>
  <c r="Y50"/>
  <c r="U50"/>
  <c r="T50"/>
  <c r="S50"/>
  <c r="R50"/>
  <c r="L50"/>
  <c r="AN49"/>
  <c r="AS49" s="1"/>
  <c r="AB49"/>
  <c r="Y49"/>
  <c r="U49"/>
  <c r="T49"/>
  <c r="S49"/>
  <c r="R49"/>
  <c r="L49"/>
  <c r="M49" s="1"/>
  <c r="AN48"/>
  <c r="AS48" s="1"/>
  <c r="AB48"/>
  <c r="Y48"/>
  <c r="U48"/>
  <c r="T48"/>
  <c r="S48"/>
  <c r="R48"/>
  <c r="L48"/>
  <c r="M48" s="1"/>
  <c r="AN47"/>
  <c r="AS47" s="1"/>
  <c r="AB47"/>
  <c r="Y47"/>
  <c r="U47"/>
  <c r="T47"/>
  <c r="S47"/>
  <c r="R47"/>
  <c r="L47"/>
  <c r="M47" s="1"/>
  <c r="AB46"/>
  <c r="Y46"/>
  <c r="U46"/>
  <c r="T46"/>
  <c r="S46"/>
  <c r="R46"/>
  <c r="L46"/>
  <c r="M46" s="1"/>
  <c r="AN45"/>
  <c r="AS45" s="1"/>
  <c r="AB45"/>
  <c r="Y45"/>
  <c r="U45"/>
  <c r="T45"/>
  <c r="S45"/>
  <c r="R45"/>
  <c r="L45"/>
  <c r="M45" s="1"/>
  <c r="AB44"/>
  <c r="Y44"/>
  <c r="U44"/>
  <c r="T44"/>
  <c r="S44"/>
  <c r="R44"/>
  <c r="L44"/>
  <c r="M44" s="1"/>
  <c r="AN43"/>
  <c r="AB43"/>
  <c r="Y43"/>
  <c r="U43"/>
  <c r="T43"/>
  <c r="S43"/>
  <c r="R43"/>
  <c r="L43"/>
  <c r="AN42"/>
  <c r="AS42" s="1"/>
  <c r="AB42"/>
  <c r="Y42"/>
  <c r="U42"/>
  <c r="T42"/>
  <c r="S42"/>
  <c r="R42"/>
  <c r="L42"/>
  <c r="M42" s="1"/>
  <c r="AN41"/>
  <c r="AB41"/>
  <c r="Y41"/>
  <c r="U41"/>
  <c r="T41"/>
  <c r="S41"/>
  <c r="R41"/>
  <c r="L41"/>
  <c r="BA40"/>
  <c r="AZ40"/>
  <c r="AY40"/>
  <c r="AW40"/>
  <c r="AV40"/>
  <c r="AU40"/>
  <c r="AL40"/>
  <c r="AK40"/>
  <c r="AD40"/>
  <c r="AC40"/>
  <c r="BA39"/>
  <c r="AR14" i="18" s="1"/>
  <c r="AR13" s="1"/>
  <c r="AZ39" i="13"/>
  <c r="AQ14" i="18" s="1"/>
  <c r="AQ13" s="1"/>
  <c r="AQ12" s="1"/>
  <c r="AY39" i="13"/>
  <c r="AP14" i="18" s="1"/>
  <c r="AP13" s="1"/>
  <c r="AX39" i="13"/>
  <c r="AO14" i="18" s="1"/>
  <c r="AO13" s="1"/>
  <c r="AO12" s="1"/>
  <c r="AW39" i="13"/>
  <c r="AV39"/>
  <c r="AM14" i="18" s="1"/>
  <c r="AM13" s="1"/>
  <c r="AM12" s="1"/>
  <c r="AU39" i="13"/>
  <c r="AL39"/>
  <c r="AK39"/>
  <c r="AJ39"/>
  <c r="AJ32" s="1"/>
  <c r="AD39"/>
  <c r="AD32" s="1"/>
  <c r="AC39"/>
  <c r="AC32" s="1"/>
  <c r="AN38"/>
  <c r="AS38" s="1"/>
  <c r="AB38"/>
  <c r="Y38"/>
  <c r="U38"/>
  <c r="T38"/>
  <c r="S38"/>
  <c r="R38"/>
  <c r="L38"/>
  <c r="AB37"/>
  <c r="Y37"/>
  <c r="U37"/>
  <c r="T37"/>
  <c r="S37"/>
  <c r="R37"/>
  <c r="L37"/>
  <c r="AN36"/>
  <c r="AS36" s="1"/>
  <c r="AB36"/>
  <c r="Y36"/>
  <c r="U36"/>
  <c r="T36"/>
  <c r="S36"/>
  <c r="R36"/>
  <c r="L36"/>
  <c r="M36" s="1"/>
  <c r="AN35"/>
  <c r="AS35" s="1"/>
  <c r="AB35"/>
  <c r="Y35"/>
  <c r="U35"/>
  <c r="T35"/>
  <c r="S35"/>
  <c r="R35"/>
  <c r="L35"/>
  <c r="AB34"/>
  <c r="Y34"/>
  <c r="U34"/>
  <c r="T34"/>
  <c r="S34"/>
  <c r="R34"/>
  <c r="L34"/>
  <c r="M34" s="1"/>
  <c r="AN33"/>
  <c r="AS33" s="1"/>
  <c r="AB33"/>
  <c r="Y33"/>
  <c r="U33"/>
  <c r="T33"/>
  <c r="S33"/>
  <c r="S39" s="1"/>
  <c r="S32" s="1"/>
  <c r="R33"/>
  <c r="L33"/>
  <c r="M33" s="1"/>
  <c r="BA32"/>
  <c r="AZ32"/>
  <c r="AZ31" s="1"/>
  <c r="AX32"/>
  <c r="AV32"/>
  <c r="AV31" s="1"/>
  <c r="AL32"/>
  <c r="AL31" s="1"/>
  <c r="AK32"/>
  <c r="AK31" s="1"/>
  <c r="BA31"/>
  <c r="BA30"/>
  <c r="AR11" i="18" s="1"/>
  <c r="AZ30" i="13"/>
  <c r="AQ11" i="18" s="1"/>
  <c r="AY30" i="13"/>
  <c r="AP11" i="18" s="1"/>
  <c r="AX30" i="13"/>
  <c r="AO11" i="18" s="1"/>
  <c r="AW30" i="13"/>
  <c r="AN11" i="18" s="1"/>
  <c r="AV30" i="13"/>
  <c r="AM11" i="18" s="1"/>
  <c r="AU30" i="13"/>
  <c r="AL11" i="18" s="1"/>
  <c r="AL30" i="13"/>
  <c r="AK30"/>
  <c r="AJ30"/>
  <c r="AD30"/>
  <c r="AC30"/>
  <c r="AN29"/>
  <c r="AS29" s="1"/>
  <c r="AB29"/>
  <c r="Y29"/>
  <c r="U29"/>
  <c r="T29"/>
  <c r="S29"/>
  <c r="R29"/>
  <c r="L29"/>
  <c r="AB28"/>
  <c r="Y28"/>
  <c r="U28"/>
  <c r="T28"/>
  <c r="S28"/>
  <c r="R28"/>
  <c r="L28"/>
  <c r="M28" s="1"/>
  <c r="AN27"/>
  <c r="AS27" s="1"/>
  <c r="AB27"/>
  <c r="Y27"/>
  <c r="U27"/>
  <c r="T27"/>
  <c r="S27"/>
  <c r="R27"/>
  <c r="L27"/>
  <c r="M27" s="1"/>
  <c r="AM30"/>
  <c r="AB26"/>
  <c r="AB30" s="1"/>
  <c r="Y26"/>
  <c r="U26"/>
  <c r="U30" s="1"/>
  <c r="T26"/>
  <c r="S26"/>
  <c r="S30" s="1"/>
  <c r="R26"/>
  <c r="M26"/>
  <c r="L26"/>
  <c r="BA25"/>
  <c r="AR10" i="18" s="1"/>
  <c r="AZ25" i="13"/>
  <c r="AQ10" i="18" s="1"/>
  <c r="AY25" i="13"/>
  <c r="AP10" i="18" s="1"/>
  <c r="AX25" i="13"/>
  <c r="AO10" i="18" s="1"/>
  <c r="AW25" i="13"/>
  <c r="AN10" i="18" s="1"/>
  <c r="AV25" i="13"/>
  <c r="AM10" i="18" s="1"/>
  <c r="AU25" i="13"/>
  <c r="AL10" i="18" s="1"/>
  <c r="AL25" i="13"/>
  <c r="AK25"/>
  <c r="AJ25"/>
  <c r="AD25"/>
  <c r="AC25"/>
  <c r="AN24"/>
  <c r="AS24" s="1"/>
  <c r="AB24"/>
  <c r="Y24"/>
  <c r="U24"/>
  <c r="T24"/>
  <c r="S24"/>
  <c r="R24"/>
  <c r="L24"/>
  <c r="M24" s="1"/>
  <c r="AN23"/>
  <c r="AS23" s="1"/>
  <c r="AB23"/>
  <c r="Y23"/>
  <c r="U23"/>
  <c r="T23"/>
  <c r="S23"/>
  <c r="R23"/>
  <c r="L23"/>
  <c r="AB22"/>
  <c r="Y22"/>
  <c r="U22"/>
  <c r="T22"/>
  <c r="S22"/>
  <c r="R22"/>
  <c r="L22"/>
  <c r="M22" s="1"/>
  <c r="AB21"/>
  <c r="Y21"/>
  <c r="U21"/>
  <c r="T21"/>
  <c r="S21"/>
  <c r="R21"/>
  <c r="L21"/>
  <c r="M21" s="1"/>
  <c r="AB20"/>
  <c r="Y20"/>
  <c r="U20"/>
  <c r="T20"/>
  <c r="S20"/>
  <c r="R20"/>
  <c r="L20"/>
  <c r="M20" s="1"/>
  <c r="AN19"/>
  <c r="AB19"/>
  <c r="Y19"/>
  <c r="U19"/>
  <c r="T19"/>
  <c r="S19"/>
  <c r="R19"/>
  <c r="L19"/>
  <c r="AM18"/>
  <c r="AN18" s="1"/>
  <c r="AB18"/>
  <c r="Y18"/>
  <c r="U18"/>
  <c r="T18"/>
  <c r="S18"/>
  <c r="R18"/>
  <c r="L18"/>
  <c r="M18" s="1"/>
  <c r="BA17"/>
  <c r="AR9" i="18" s="1"/>
  <c r="AZ17" i="13"/>
  <c r="AQ9" i="18" s="1"/>
  <c r="AY17" i="13"/>
  <c r="AP9" i="18" s="1"/>
  <c r="AX17" i="13"/>
  <c r="AO9" i="18" s="1"/>
  <c r="AW17" i="13"/>
  <c r="AN9" i="18" s="1"/>
  <c r="AV17" i="13"/>
  <c r="AM9" i="18" s="1"/>
  <c r="AU17" i="13"/>
  <c r="AL9" i="18" s="1"/>
  <c r="AL17" i="13"/>
  <c r="AK17"/>
  <c r="AJ17"/>
  <c r="AD17"/>
  <c r="AC17"/>
  <c r="S17"/>
  <c r="AN16"/>
  <c r="AN17" s="1"/>
  <c r="AB16"/>
  <c r="AB17" s="1"/>
  <c r="Y16"/>
  <c r="Y17" s="1"/>
  <c r="U16"/>
  <c r="U17" s="1"/>
  <c r="T16"/>
  <c r="T17" s="1"/>
  <c r="S16"/>
  <c r="R16"/>
  <c r="R17" s="1"/>
  <c r="L16"/>
  <c r="BA15"/>
  <c r="AR8" i="18" s="1"/>
  <c r="AR7" s="1"/>
  <c r="AR6" s="1"/>
  <c r="AZ15" i="13"/>
  <c r="AQ8" i="18" s="1"/>
  <c r="AY15" i="13"/>
  <c r="AP8" i="18" s="1"/>
  <c r="AX15" i="13"/>
  <c r="AO8" i="18" s="1"/>
  <c r="AW15" i="13"/>
  <c r="AN8" i="18" s="1"/>
  <c r="AN7" s="1"/>
  <c r="AN6" s="1"/>
  <c r="AV15" i="13"/>
  <c r="AM8" i="18" s="1"/>
  <c r="AU15" i="13"/>
  <c r="AL8" i="18" s="1"/>
  <c r="AL7" s="1"/>
  <c r="AL6" s="1"/>
  <c r="AL15" i="13"/>
  <c r="AK15"/>
  <c r="AJ15"/>
  <c r="AD15"/>
  <c r="AN14"/>
  <c r="AB14"/>
  <c r="Y14"/>
  <c r="U14"/>
  <c r="T14"/>
  <c r="S14"/>
  <c r="R14"/>
  <c r="L14"/>
  <c r="M14" s="1"/>
  <c r="AN13"/>
  <c r="AS13" s="1"/>
  <c r="AB13"/>
  <c r="Y13"/>
  <c r="U13"/>
  <c r="T13"/>
  <c r="S13"/>
  <c r="R13"/>
  <c r="L13"/>
  <c r="AN12"/>
  <c r="AS12" s="1"/>
  <c r="AB12"/>
  <c r="Y12"/>
  <c r="U12"/>
  <c r="T12"/>
  <c r="S12"/>
  <c r="R12"/>
  <c r="L12"/>
  <c r="M12" s="1"/>
  <c r="AN11"/>
  <c r="AS11" s="1"/>
  <c r="AB11"/>
  <c r="Y11"/>
  <c r="U11"/>
  <c r="T11"/>
  <c r="S11"/>
  <c r="R11"/>
  <c r="L11"/>
  <c r="M11" s="1"/>
  <c r="AQ11" s="1"/>
  <c r="AB10"/>
  <c r="Y10"/>
  <c r="U10"/>
  <c r="T10"/>
  <c r="S10"/>
  <c r="R10"/>
  <c r="L10"/>
  <c r="M10" s="1"/>
  <c r="AN9"/>
  <c r="AB9"/>
  <c r="Y9"/>
  <c r="U9"/>
  <c r="T9"/>
  <c r="S9"/>
  <c r="R9"/>
  <c r="L9"/>
  <c r="M9" s="1"/>
  <c r="AM15"/>
  <c r="AB8"/>
  <c r="Y8"/>
  <c r="U8"/>
  <c r="T8"/>
  <c r="S8"/>
  <c r="R8"/>
  <c r="L8"/>
  <c r="AN7"/>
  <c r="AS7" s="1"/>
  <c r="AB7"/>
  <c r="AB15" s="1"/>
  <c r="Y7"/>
  <c r="U7"/>
  <c r="T7"/>
  <c r="S7"/>
  <c r="S15" s="1"/>
  <c r="R7"/>
  <c r="L7"/>
  <c r="BA6"/>
  <c r="BA5" s="1"/>
  <c r="AZ6"/>
  <c r="AZ5" s="1"/>
  <c r="AY6"/>
  <c r="AY5" s="1"/>
  <c r="AW6"/>
  <c r="AV6"/>
  <c r="AV5" s="1"/>
  <c r="AU6"/>
  <c r="AU5" s="1"/>
  <c r="AL6"/>
  <c r="AL5" s="1"/>
  <c r="AK6"/>
  <c r="AJ6"/>
  <c r="AJ5" s="1"/>
  <c r="AD6"/>
  <c r="AD5" s="1"/>
  <c r="AA6"/>
  <c r="AA5" s="1"/>
  <c r="Z6"/>
  <c r="Z5" s="1"/>
  <c r="AW5"/>
  <c r="AK5"/>
  <c r="BA242" i="12"/>
  <c r="AE38" i="18" s="1"/>
  <c r="AZ242" i="12"/>
  <c r="AD38" i="18" s="1"/>
  <c r="AY242" i="12"/>
  <c r="AC38" i="18" s="1"/>
  <c r="AX242" i="12"/>
  <c r="AB38" i="18" s="1"/>
  <c r="AW242" i="12"/>
  <c r="AA38" i="18" s="1"/>
  <c r="AV242" i="12"/>
  <c r="Z38" i="18" s="1"/>
  <c r="AL242" i="12"/>
  <c r="AK242"/>
  <c r="AJ242"/>
  <c r="AD242"/>
  <c r="AC242"/>
  <c r="AB241"/>
  <c r="Y241"/>
  <c r="T241"/>
  <c r="L241"/>
  <c r="M241" s="1"/>
  <c r="AB240"/>
  <c r="Y240"/>
  <c r="U240"/>
  <c r="T240"/>
  <c r="S240"/>
  <c r="R240"/>
  <c r="L240"/>
  <c r="M240" s="1"/>
  <c r="AB239"/>
  <c r="Y239"/>
  <c r="U239"/>
  <c r="T239"/>
  <c r="S239"/>
  <c r="R239"/>
  <c r="L239"/>
  <c r="M239" s="1"/>
  <c r="AN238"/>
  <c r="AS238" s="1"/>
  <c r="AB238"/>
  <c r="Y238"/>
  <c r="U238"/>
  <c r="T238"/>
  <c r="S238"/>
  <c r="R238"/>
  <c r="L238"/>
  <c r="AM242"/>
  <c r="AB237"/>
  <c r="Y237"/>
  <c r="Y242" s="1"/>
  <c r="U237"/>
  <c r="T237"/>
  <c r="S237"/>
  <c r="R237"/>
  <c r="L237"/>
  <c r="BA236"/>
  <c r="AE37" i="18" s="1"/>
  <c r="AZ236" i="12"/>
  <c r="AD37" i="18" s="1"/>
  <c r="AY236" i="12"/>
  <c r="AC37" i="18" s="1"/>
  <c r="AX236" i="12"/>
  <c r="AB37" i="18" s="1"/>
  <c r="AW236" i="12"/>
  <c r="AV236"/>
  <c r="Z37" i="18" s="1"/>
  <c r="AU236" i="12"/>
  <c r="Y37" i="18" s="1"/>
  <c r="AL236" i="12"/>
  <c r="AK236"/>
  <c r="AJ236"/>
  <c r="AJ224" s="1"/>
  <c r="AJ223" s="1"/>
  <c r="AD236"/>
  <c r="AC236"/>
  <c r="AN235"/>
  <c r="AS235" s="1"/>
  <c r="AB235"/>
  <c r="Y235"/>
  <c r="U235"/>
  <c r="T235"/>
  <c r="S235"/>
  <c r="R235"/>
  <c r="L235"/>
  <c r="AN234"/>
  <c r="AB234"/>
  <c r="Y234"/>
  <c r="U234"/>
  <c r="T234"/>
  <c r="S234"/>
  <c r="R234"/>
  <c r="L234"/>
  <c r="M234" s="1"/>
  <c r="AB233"/>
  <c r="Y233"/>
  <c r="U233"/>
  <c r="T233"/>
  <c r="S233"/>
  <c r="R233"/>
  <c r="R236" s="1"/>
  <c r="L233"/>
  <c r="M233" s="1"/>
  <c r="BA232"/>
  <c r="AZ232"/>
  <c r="AD36" i="18" s="1"/>
  <c r="AD35" s="1"/>
  <c r="AD34" s="1"/>
  <c r="AY232" i="12"/>
  <c r="AC36" i="18" s="1"/>
  <c r="AC35" s="1"/>
  <c r="AC34" s="1"/>
  <c r="AW232" i="12"/>
  <c r="AA36" i="18" s="1"/>
  <c r="AV232" i="12"/>
  <c r="Z36" i="18" s="1"/>
  <c r="Z35" s="1"/>
  <c r="Z34" s="1"/>
  <c r="AL232" i="12"/>
  <c r="AK232"/>
  <c r="AJ232"/>
  <c r="AD232"/>
  <c r="AD224" s="1"/>
  <c r="AD223" s="1"/>
  <c r="AC232"/>
  <c r="AC224" s="1"/>
  <c r="AC223" s="1"/>
  <c r="AB231"/>
  <c r="Y231"/>
  <c r="U231"/>
  <c r="T231"/>
  <c r="S231"/>
  <c r="R231"/>
  <c r="L231"/>
  <c r="AS230"/>
  <c r="AB230"/>
  <c r="Y230"/>
  <c r="T230"/>
  <c r="L230"/>
  <c r="M230" s="1"/>
  <c r="AB229"/>
  <c r="Y229"/>
  <c r="U229"/>
  <c r="T229"/>
  <c r="S229"/>
  <c r="R229"/>
  <c r="L229"/>
  <c r="M229" s="1"/>
  <c r="AB228"/>
  <c r="Y228"/>
  <c r="U228"/>
  <c r="T228"/>
  <c r="S228"/>
  <c r="R228"/>
  <c r="L228"/>
  <c r="M228" s="1"/>
  <c r="AB227"/>
  <c r="Y227"/>
  <c r="U227"/>
  <c r="T227"/>
  <c r="S227"/>
  <c r="R227"/>
  <c r="L227"/>
  <c r="M227" s="1"/>
  <c r="AB226"/>
  <c r="Y226"/>
  <c r="T226"/>
  <c r="L226"/>
  <c r="M226" s="1"/>
  <c r="AB225"/>
  <c r="Y225"/>
  <c r="U225"/>
  <c r="T225"/>
  <c r="S225"/>
  <c r="R225"/>
  <c r="L225"/>
  <c r="AZ224"/>
  <c r="AZ223" s="1"/>
  <c r="AY224"/>
  <c r="AY223" s="1"/>
  <c r="AL224"/>
  <c r="AL223" s="1"/>
  <c r="AK224"/>
  <c r="AK223" s="1"/>
  <c r="Z223"/>
  <c r="BA222"/>
  <c r="AE33" i="18" s="1"/>
  <c r="AE32" s="1"/>
  <c r="AZ222" i="12"/>
  <c r="AY222"/>
  <c r="AL222"/>
  <c r="AK222"/>
  <c r="AK202" s="1"/>
  <c r="AJ222"/>
  <c r="AJ202" s="1"/>
  <c r="AD222"/>
  <c r="AC222"/>
  <c r="AB221"/>
  <c r="Y221"/>
  <c r="U221"/>
  <c r="T221"/>
  <c r="S221"/>
  <c r="R221"/>
  <c r="L221"/>
  <c r="M221" s="1"/>
  <c r="AB220"/>
  <c r="Y220"/>
  <c r="U220"/>
  <c r="T220"/>
  <c r="S220"/>
  <c r="R220"/>
  <c r="L220"/>
  <c r="M220" s="1"/>
  <c r="AB219"/>
  <c r="Y219"/>
  <c r="U219"/>
  <c r="T219"/>
  <c r="S219"/>
  <c r="R219"/>
  <c r="L219"/>
  <c r="M219" s="1"/>
  <c r="AB218"/>
  <c r="AE218" s="1"/>
  <c r="AF218" s="1"/>
  <c r="AR218" s="1"/>
  <c r="Y218"/>
  <c r="T218"/>
  <c r="L218"/>
  <c r="M218" s="1"/>
  <c r="AS217"/>
  <c r="AB217"/>
  <c r="Y217"/>
  <c r="U217"/>
  <c r="T217"/>
  <c r="S217"/>
  <c r="R217"/>
  <c r="L217"/>
  <c r="AS216"/>
  <c r="AB216"/>
  <c r="Y216"/>
  <c r="U216"/>
  <c r="T216"/>
  <c r="S216"/>
  <c r="R216"/>
  <c r="L216"/>
  <c r="AS215"/>
  <c r="AB215"/>
  <c r="Y215"/>
  <c r="T215"/>
  <c r="L215"/>
  <c r="AS214"/>
  <c r="AB214"/>
  <c r="Y214"/>
  <c r="U214"/>
  <c r="T214"/>
  <c r="S214"/>
  <c r="R214"/>
  <c r="L214"/>
  <c r="M214" s="1"/>
  <c r="AS213"/>
  <c r="AB213"/>
  <c r="Y213"/>
  <c r="T213"/>
  <c r="L213"/>
  <c r="M213" s="1"/>
  <c r="AB212"/>
  <c r="Y212"/>
  <c r="U212"/>
  <c r="T212"/>
  <c r="S212"/>
  <c r="R212"/>
  <c r="L212"/>
  <c r="M212" s="1"/>
  <c r="AB211"/>
  <c r="Y211"/>
  <c r="U211"/>
  <c r="T211"/>
  <c r="S211"/>
  <c r="R211"/>
  <c r="L211"/>
  <c r="M211" s="1"/>
  <c r="AS210"/>
  <c r="AB210"/>
  <c r="Y210"/>
  <c r="U210"/>
  <c r="T210"/>
  <c r="S210"/>
  <c r="R210"/>
  <c r="L210"/>
  <c r="M210" s="1"/>
  <c r="AS209"/>
  <c r="AB209"/>
  <c r="Y209"/>
  <c r="U209"/>
  <c r="T209"/>
  <c r="S209"/>
  <c r="R209"/>
  <c r="L209"/>
  <c r="M209" s="1"/>
  <c r="AS208"/>
  <c r="AB208"/>
  <c r="Y208"/>
  <c r="T208"/>
  <c r="L208"/>
  <c r="M208" s="1"/>
  <c r="AQ208" s="1"/>
  <c r="AB207"/>
  <c r="Y207"/>
  <c r="U207"/>
  <c r="T207"/>
  <c r="S207"/>
  <c r="R207"/>
  <c r="L207"/>
  <c r="M207" s="1"/>
  <c r="AB206"/>
  <c r="Y206"/>
  <c r="U206"/>
  <c r="T206"/>
  <c r="S206"/>
  <c r="R206"/>
  <c r="L206"/>
  <c r="M206" s="1"/>
  <c r="AB205"/>
  <c r="Y205"/>
  <c r="U205"/>
  <c r="T205"/>
  <c r="S205"/>
  <c r="R205"/>
  <c r="L205"/>
  <c r="M205" s="1"/>
  <c r="AB204"/>
  <c r="AE204" s="1"/>
  <c r="AF204" s="1"/>
  <c r="AR204" s="1"/>
  <c r="Y204"/>
  <c r="T204"/>
  <c r="L204"/>
  <c r="AN203"/>
  <c r="AB203"/>
  <c r="Y203"/>
  <c r="U203"/>
  <c r="T203"/>
  <c r="S203"/>
  <c r="R203"/>
  <c r="L203"/>
  <c r="M203" s="1"/>
  <c r="BA202"/>
  <c r="AW202"/>
  <c r="AV202"/>
  <c r="AL202"/>
  <c r="AD202"/>
  <c r="AC202"/>
  <c r="BA201"/>
  <c r="AE31" i="18" s="1"/>
  <c r="AE30" s="1"/>
  <c r="AZ201" i="12"/>
  <c r="AD31" i="18" s="1"/>
  <c r="AD30" s="1"/>
  <c r="AW201" i="12"/>
  <c r="AV201"/>
  <c r="Z31" i="18" s="1"/>
  <c r="Z30" s="1"/>
  <c r="AL201" i="12"/>
  <c r="AK201"/>
  <c r="AJ201"/>
  <c r="AJ179" s="1"/>
  <c r="AD201"/>
  <c r="AB200"/>
  <c r="Y200"/>
  <c r="U200"/>
  <c r="T200"/>
  <c r="S200"/>
  <c r="R200"/>
  <c r="L200"/>
  <c r="M200" s="1"/>
  <c r="AQ200" s="1"/>
  <c r="AS199"/>
  <c r="AB199"/>
  <c r="Y199"/>
  <c r="U199"/>
  <c r="T199"/>
  <c r="S199"/>
  <c r="R199"/>
  <c r="L199"/>
  <c r="M199" s="1"/>
  <c r="AB198"/>
  <c r="Y198"/>
  <c r="U198"/>
  <c r="T198"/>
  <c r="S198"/>
  <c r="R198"/>
  <c r="L198"/>
  <c r="AB197"/>
  <c r="Y197"/>
  <c r="T197"/>
  <c r="L197"/>
  <c r="M197" s="1"/>
  <c r="AB196"/>
  <c r="Y196"/>
  <c r="U196"/>
  <c r="T196"/>
  <c r="S196"/>
  <c r="R196"/>
  <c r="L196"/>
  <c r="M196" s="1"/>
  <c r="AB195"/>
  <c r="Y195"/>
  <c r="U195"/>
  <c r="T195"/>
  <c r="S195"/>
  <c r="R195"/>
  <c r="L195"/>
  <c r="AS194"/>
  <c r="AB194"/>
  <c r="Y194"/>
  <c r="T194"/>
  <c r="L194"/>
  <c r="M194" s="1"/>
  <c r="AN193"/>
  <c r="AS193" s="1"/>
  <c r="AB193"/>
  <c r="Y193"/>
  <c r="U193"/>
  <c r="T193"/>
  <c r="S193"/>
  <c r="R193"/>
  <c r="L193"/>
  <c r="AN192"/>
  <c r="AS192" s="1"/>
  <c r="AB192"/>
  <c r="Y192"/>
  <c r="U192"/>
  <c r="T192"/>
  <c r="S192"/>
  <c r="R192"/>
  <c r="L192"/>
  <c r="M192" s="1"/>
  <c r="AQ192" s="1"/>
  <c r="AN191"/>
  <c r="AS191" s="1"/>
  <c r="AB191"/>
  <c r="Y191"/>
  <c r="U191"/>
  <c r="T191"/>
  <c r="S191"/>
  <c r="R191"/>
  <c r="L191"/>
  <c r="AN190"/>
  <c r="AB190"/>
  <c r="Y190"/>
  <c r="T190"/>
  <c r="L190"/>
  <c r="M190" s="1"/>
  <c r="AN189"/>
  <c r="AS189"/>
  <c r="AB189"/>
  <c r="Y189"/>
  <c r="U189"/>
  <c r="T189"/>
  <c r="S189"/>
  <c r="R189"/>
  <c r="L189"/>
  <c r="AB188"/>
  <c r="Y188"/>
  <c r="U188"/>
  <c r="T188"/>
  <c r="S188"/>
  <c r="R188"/>
  <c r="L188"/>
  <c r="AB187"/>
  <c r="Y187"/>
  <c r="U187"/>
  <c r="T187"/>
  <c r="S187"/>
  <c r="R187"/>
  <c r="L187"/>
  <c r="M187" s="1"/>
  <c r="AB186"/>
  <c r="Y186"/>
  <c r="U186"/>
  <c r="AE186" s="1"/>
  <c r="AF186" s="1"/>
  <c r="AR186" s="1"/>
  <c r="T186"/>
  <c r="S186"/>
  <c r="R186"/>
  <c r="L186"/>
  <c r="M186" s="1"/>
  <c r="AN185"/>
  <c r="AS185" s="1"/>
  <c r="AB185"/>
  <c r="Y185"/>
  <c r="U185"/>
  <c r="T185"/>
  <c r="S185"/>
  <c r="R185"/>
  <c r="L185"/>
  <c r="M185" s="1"/>
  <c r="AN184"/>
  <c r="AS184" s="1"/>
  <c r="AB184"/>
  <c r="Y184"/>
  <c r="U184"/>
  <c r="T184"/>
  <c r="S184"/>
  <c r="R184"/>
  <c r="L184"/>
  <c r="AN183"/>
  <c r="AS183" s="1"/>
  <c r="AB183"/>
  <c r="Y183"/>
  <c r="U183"/>
  <c r="T183"/>
  <c r="S183"/>
  <c r="R183"/>
  <c r="L183"/>
  <c r="M183" s="1"/>
  <c r="AN182"/>
  <c r="AS182" s="1"/>
  <c r="AB182"/>
  <c r="Y182"/>
  <c r="T182"/>
  <c r="L182"/>
  <c r="M182" s="1"/>
  <c r="AB181"/>
  <c r="Y181"/>
  <c r="U181"/>
  <c r="T181"/>
  <c r="S181"/>
  <c r="R181"/>
  <c r="L181"/>
  <c r="AB180"/>
  <c r="Y180"/>
  <c r="U180"/>
  <c r="T180"/>
  <c r="S180"/>
  <c r="R180"/>
  <c r="L180"/>
  <c r="M180" s="1"/>
  <c r="BA179"/>
  <c r="AZ179"/>
  <c r="AV179"/>
  <c r="AL179"/>
  <c r="AK179"/>
  <c r="AD179"/>
  <c r="BA178"/>
  <c r="AE29" i="18" s="1"/>
  <c r="AZ178" i="12"/>
  <c r="AX178"/>
  <c r="AB29" i="18" s="1"/>
  <c r="AW178" i="12"/>
  <c r="AA29" i="18" s="1"/>
  <c r="AV178" i="12"/>
  <c r="Z29" i="18" s="1"/>
  <c r="AU178" i="12"/>
  <c r="Y29" i="18" s="1"/>
  <c r="AL178" i="12"/>
  <c r="AK178"/>
  <c r="AJ178"/>
  <c r="AM135" i="23" s="1"/>
  <c r="AD178" i="12"/>
  <c r="AC178"/>
  <c r="AB177"/>
  <c r="Y177"/>
  <c r="T177"/>
  <c r="L177"/>
  <c r="M177" s="1"/>
  <c r="AS176"/>
  <c r="AB176"/>
  <c r="Y176"/>
  <c r="U176"/>
  <c r="T176"/>
  <c r="S176"/>
  <c r="R176"/>
  <c r="L176"/>
  <c r="M176" s="1"/>
  <c r="AN175"/>
  <c r="AS175" s="1"/>
  <c r="AB175"/>
  <c r="Y175"/>
  <c r="T175"/>
  <c r="S175"/>
  <c r="R175"/>
  <c r="L175"/>
  <c r="AN174"/>
  <c r="AB174"/>
  <c r="Y174"/>
  <c r="U174"/>
  <c r="T174"/>
  <c r="S174"/>
  <c r="R174"/>
  <c r="L174"/>
  <c r="M174" s="1"/>
  <c r="AB173"/>
  <c r="Y173"/>
  <c r="U173"/>
  <c r="T173"/>
  <c r="S173"/>
  <c r="R173"/>
  <c r="L173"/>
  <c r="M173" s="1"/>
  <c r="AB172"/>
  <c r="Y172"/>
  <c r="U172"/>
  <c r="T172"/>
  <c r="S172"/>
  <c r="R172"/>
  <c r="L172"/>
  <c r="M172" s="1"/>
  <c r="AN171"/>
  <c r="AS171" s="1"/>
  <c r="AB171"/>
  <c r="Y171"/>
  <c r="U171"/>
  <c r="T171"/>
  <c r="S171"/>
  <c r="R171"/>
  <c r="M171"/>
  <c r="L171"/>
  <c r="AB170"/>
  <c r="Y170"/>
  <c r="U170"/>
  <c r="T170"/>
  <c r="S170"/>
  <c r="R170"/>
  <c r="M170"/>
  <c r="L170"/>
  <c r="AB169"/>
  <c r="Y169"/>
  <c r="U169"/>
  <c r="T169"/>
  <c r="S169"/>
  <c r="R169"/>
  <c r="L169"/>
  <c r="AE28" i="18"/>
  <c r="AD28"/>
  <c r="AA28"/>
  <c r="AA27" s="1"/>
  <c r="Z28"/>
  <c r="Z27" s="1"/>
  <c r="AU168" i="12"/>
  <c r="Y28" i="18" s="1"/>
  <c r="AL168" i="12"/>
  <c r="AK168"/>
  <c r="AJ168"/>
  <c r="AM124" i="21" s="1"/>
  <c r="AD168" i="12"/>
  <c r="AB167"/>
  <c r="Y167"/>
  <c r="U167"/>
  <c r="T167"/>
  <c r="S167"/>
  <c r="R167"/>
  <c r="L167"/>
  <c r="AB166"/>
  <c r="Y166"/>
  <c r="U166"/>
  <c r="T166"/>
  <c r="S166"/>
  <c r="R166"/>
  <c r="L166"/>
  <c r="M166" s="1"/>
  <c r="AB165"/>
  <c r="Y165"/>
  <c r="U165"/>
  <c r="T165"/>
  <c r="S165"/>
  <c r="R165"/>
  <c r="L165"/>
  <c r="M165" s="1"/>
  <c r="AN164"/>
  <c r="AS164" s="1"/>
  <c r="AB164"/>
  <c r="Y164"/>
  <c r="U164"/>
  <c r="T164"/>
  <c r="S164"/>
  <c r="R164"/>
  <c r="L164"/>
  <c r="M164" s="1"/>
  <c r="AB163"/>
  <c r="Y163"/>
  <c r="U163"/>
  <c r="T163"/>
  <c r="S163"/>
  <c r="R163"/>
  <c r="L163"/>
  <c r="AN162"/>
  <c r="AB162"/>
  <c r="Y162"/>
  <c r="U162"/>
  <c r="T162"/>
  <c r="S162"/>
  <c r="R162"/>
  <c r="L162"/>
  <c r="M162" s="1"/>
  <c r="AN161"/>
  <c r="AS161" s="1"/>
  <c r="AB161"/>
  <c r="Y161"/>
  <c r="U161"/>
  <c r="T161"/>
  <c r="S161"/>
  <c r="R161"/>
  <c r="L161"/>
  <c r="M161" s="1"/>
  <c r="AB160"/>
  <c r="Y160"/>
  <c r="U160"/>
  <c r="T160"/>
  <c r="S160"/>
  <c r="R160"/>
  <c r="L160"/>
  <c r="AB159"/>
  <c r="Y159"/>
  <c r="U159"/>
  <c r="T159"/>
  <c r="S159"/>
  <c r="R159"/>
  <c r="L159"/>
  <c r="M159" s="1"/>
  <c r="AN158"/>
  <c r="AS158" s="1"/>
  <c r="AB158"/>
  <c r="Y158"/>
  <c r="T158"/>
  <c r="L158"/>
  <c r="M158" s="1"/>
  <c r="AN157"/>
  <c r="AS157" s="1"/>
  <c r="AB157"/>
  <c r="Y157"/>
  <c r="U157"/>
  <c r="T157"/>
  <c r="S157"/>
  <c r="R157"/>
  <c r="L157"/>
  <c r="AB156"/>
  <c r="Y156"/>
  <c r="U156"/>
  <c r="T156"/>
  <c r="S156"/>
  <c r="R156"/>
  <c r="L156"/>
  <c r="M156" s="1"/>
  <c r="AB155"/>
  <c r="Y155"/>
  <c r="U155"/>
  <c r="T155"/>
  <c r="S155"/>
  <c r="R155"/>
  <c r="L155"/>
  <c r="M155" s="1"/>
  <c r="AN154"/>
  <c r="AB154"/>
  <c r="Y154"/>
  <c r="U154"/>
  <c r="T154"/>
  <c r="S154"/>
  <c r="R154"/>
  <c r="L154"/>
  <c r="AN153"/>
  <c r="AS153" s="1"/>
  <c r="AB153"/>
  <c r="Y153"/>
  <c r="T153"/>
  <c r="L153"/>
  <c r="AB152"/>
  <c r="Y152"/>
  <c r="U152"/>
  <c r="T152"/>
  <c r="S152"/>
  <c r="R152"/>
  <c r="L152"/>
  <c r="M152" s="1"/>
  <c r="AN151"/>
  <c r="AS151" s="1"/>
  <c r="AB151"/>
  <c r="Y151"/>
  <c r="U151"/>
  <c r="T151"/>
  <c r="S151"/>
  <c r="R151"/>
  <c r="L151"/>
  <c r="AN150"/>
  <c r="AB150"/>
  <c r="Y150"/>
  <c r="U150"/>
  <c r="T150"/>
  <c r="S150"/>
  <c r="R150"/>
  <c r="L150"/>
  <c r="M150" s="1"/>
  <c r="AS149"/>
  <c r="AB149"/>
  <c r="Y149"/>
  <c r="U149"/>
  <c r="T149"/>
  <c r="S149"/>
  <c r="R149"/>
  <c r="L149"/>
  <c r="AB148"/>
  <c r="Y148"/>
  <c r="U148"/>
  <c r="T148"/>
  <c r="S148"/>
  <c r="R148"/>
  <c r="L148"/>
  <c r="M148" s="1"/>
  <c r="AB147"/>
  <c r="Y147"/>
  <c r="U147"/>
  <c r="T147"/>
  <c r="S147"/>
  <c r="R147"/>
  <c r="L147"/>
  <c r="M147" s="1"/>
  <c r="AB146"/>
  <c r="Y146"/>
  <c r="U146"/>
  <c r="T146"/>
  <c r="S146"/>
  <c r="R146"/>
  <c r="L146"/>
  <c r="M146" s="1"/>
  <c r="AB145"/>
  <c r="Y145"/>
  <c r="U145"/>
  <c r="T145"/>
  <c r="S145"/>
  <c r="R145"/>
  <c r="L145"/>
  <c r="AN144"/>
  <c r="AS144" s="1"/>
  <c r="AB144"/>
  <c r="Y144"/>
  <c r="U144"/>
  <c r="T144"/>
  <c r="S144"/>
  <c r="R144"/>
  <c r="L144"/>
  <c r="M144" s="1"/>
  <c r="AW143"/>
  <c r="AV143"/>
  <c r="AJ143"/>
  <c r="AD143"/>
  <c r="BA142"/>
  <c r="AE26" i="18" s="1"/>
  <c r="AZ142" i="12"/>
  <c r="AD26" i="18" s="1"/>
  <c r="AY142" i="12"/>
  <c r="AC26" i="18" s="1"/>
  <c r="AX142" i="12"/>
  <c r="AB26" i="18" s="1"/>
  <c r="AW142" i="12"/>
  <c r="AA26" i="18" s="1"/>
  <c r="AV142" i="12"/>
  <c r="Z26" i="18" s="1"/>
  <c r="AU142" i="12"/>
  <c r="Y26" i="18" s="1"/>
  <c r="AL142" i="12"/>
  <c r="AK142"/>
  <c r="AJ142"/>
  <c r="AD142"/>
  <c r="AC142"/>
  <c r="U142"/>
  <c r="AM141"/>
  <c r="AB141"/>
  <c r="Y141"/>
  <c r="U141"/>
  <c r="T141"/>
  <c r="S141"/>
  <c r="R141"/>
  <c r="R142" s="1"/>
  <c r="L141"/>
  <c r="AM140"/>
  <c r="AN140" s="1"/>
  <c r="AB140"/>
  <c r="Y140"/>
  <c r="U140"/>
  <c r="T140"/>
  <c r="T142" s="1"/>
  <c r="S140"/>
  <c r="S142" s="1"/>
  <c r="R140"/>
  <c r="L140"/>
  <c r="M140" s="1"/>
  <c r="BA139"/>
  <c r="AE25" i="18" s="1"/>
  <c r="AZ139" i="12"/>
  <c r="AD25" i="18" s="1"/>
  <c r="AY139" i="12"/>
  <c r="AC25" i="18" s="1"/>
  <c r="AX139" i="12"/>
  <c r="AB25" i="18" s="1"/>
  <c r="AW139" i="12"/>
  <c r="AA25" i="18" s="1"/>
  <c r="AV139" i="12"/>
  <c r="Z25" i="18" s="1"/>
  <c r="AU139" i="12"/>
  <c r="AL139"/>
  <c r="AK139"/>
  <c r="AJ139"/>
  <c r="AE139"/>
  <c r="AD139"/>
  <c r="AC139"/>
  <c r="T139"/>
  <c r="S139"/>
  <c r="AM138"/>
  <c r="AM139" s="1"/>
  <c r="AB138"/>
  <c r="Y138"/>
  <c r="U138"/>
  <c r="T138"/>
  <c r="S138"/>
  <c r="R138"/>
  <c r="L138"/>
  <c r="AM137"/>
  <c r="AN137" s="1"/>
  <c r="AB137"/>
  <c r="Y137"/>
  <c r="Y139" s="1"/>
  <c r="U137"/>
  <c r="U139" s="1"/>
  <c r="T137"/>
  <c r="S137"/>
  <c r="R137"/>
  <c r="R139" s="1"/>
  <c r="L137"/>
  <c r="AE24" i="18"/>
  <c r="AD24"/>
  <c r="AC24"/>
  <c r="AW136" i="12"/>
  <c r="AA24" i="18" s="1"/>
  <c r="AV136" i="12"/>
  <c r="Z24" i="18" s="1"/>
  <c r="AL136" i="12"/>
  <c r="AK136"/>
  <c r="AJ136"/>
  <c r="AD136"/>
  <c r="AB135"/>
  <c r="Y135"/>
  <c r="U135"/>
  <c r="T135"/>
  <c r="S135"/>
  <c r="R135"/>
  <c r="L135"/>
  <c r="AS134"/>
  <c r="AB134"/>
  <c r="Y134"/>
  <c r="U134"/>
  <c r="T134"/>
  <c r="S134"/>
  <c r="R134"/>
  <c r="L134"/>
  <c r="M134" s="1"/>
  <c r="AS133"/>
  <c r="AB133"/>
  <c r="Y133"/>
  <c r="U133"/>
  <c r="T133"/>
  <c r="S133"/>
  <c r="R133"/>
  <c r="L133"/>
  <c r="M133" s="1"/>
  <c r="AS132"/>
  <c r="AB132"/>
  <c r="Y132"/>
  <c r="T132"/>
  <c r="L132"/>
  <c r="M132" s="1"/>
  <c r="Y131"/>
  <c r="T131"/>
  <c r="L131"/>
  <c r="M131" s="1"/>
  <c r="AN130"/>
  <c r="AS130" s="1"/>
  <c r="AB130"/>
  <c r="Y130"/>
  <c r="T130"/>
  <c r="L130"/>
  <c r="AN129"/>
  <c r="AS129" s="1"/>
  <c r="AB129"/>
  <c r="Y129"/>
  <c r="U129"/>
  <c r="T129"/>
  <c r="S129"/>
  <c r="R129"/>
  <c r="L129"/>
  <c r="AB128"/>
  <c r="Y128"/>
  <c r="U128"/>
  <c r="T128"/>
  <c r="S128"/>
  <c r="R128"/>
  <c r="L128"/>
  <c r="AB127"/>
  <c r="Y127"/>
  <c r="U127"/>
  <c r="T127"/>
  <c r="S127"/>
  <c r="R127"/>
  <c r="L127"/>
  <c r="M127" s="1"/>
  <c r="AN126"/>
  <c r="AS126" s="1"/>
  <c r="AB126"/>
  <c r="Y126"/>
  <c r="U126"/>
  <c r="T126"/>
  <c r="S126"/>
  <c r="R126"/>
  <c r="L126"/>
  <c r="AN125"/>
  <c r="AB125"/>
  <c r="Y125"/>
  <c r="U125"/>
  <c r="T125"/>
  <c r="S125"/>
  <c r="R125"/>
  <c r="L125"/>
  <c r="M125" s="1"/>
  <c r="AM124"/>
  <c r="AB124"/>
  <c r="Y124"/>
  <c r="U124"/>
  <c r="T124"/>
  <c r="S124"/>
  <c r="R124"/>
  <c r="L124"/>
  <c r="AM123"/>
  <c r="AN123" s="1"/>
  <c r="AS123" s="1"/>
  <c r="AB123"/>
  <c r="Y123"/>
  <c r="U123"/>
  <c r="T123"/>
  <c r="S123"/>
  <c r="R123"/>
  <c r="L123"/>
  <c r="M123" s="1"/>
  <c r="AB122"/>
  <c r="Y122"/>
  <c r="U122"/>
  <c r="T122"/>
  <c r="S122"/>
  <c r="R122"/>
  <c r="L122"/>
  <c r="M122" s="1"/>
  <c r="AN121"/>
  <c r="AB121"/>
  <c r="Y121"/>
  <c r="U121"/>
  <c r="T121"/>
  <c r="S121"/>
  <c r="R121"/>
  <c r="L121"/>
  <c r="M121" s="1"/>
  <c r="AB120"/>
  <c r="Y120"/>
  <c r="U120"/>
  <c r="T120"/>
  <c r="S120"/>
  <c r="R120"/>
  <c r="L120"/>
  <c r="M120" s="1"/>
  <c r="AB119"/>
  <c r="Y119"/>
  <c r="U119"/>
  <c r="T119"/>
  <c r="S119"/>
  <c r="R119"/>
  <c r="L119"/>
  <c r="M119" s="1"/>
  <c r="AN118"/>
  <c r="AS118" s="1"/>
  <c r="AB118"/>
  <c r="Y118"/>
  <c r="U118"/>
  <c r="T118"/>
  <c r="S118"/>
  <c r="R118"/>
  <c r="L118"/>
  <c r="AN117"/>
  <c r="AB117"/>
  <c r="Y117"/>
  <c r="U117"/>
  <c r="T117"/>
  <c r="S117"/>
  <c r="R117"/>
  <c r="L117"/>
  <c r="AN116"/>
  <c r="AS116" s="1"/>
  <c r="AB116"/>
  <c r="Y116"/>
  <c r="U116"/>
  <c r="T116"/>
  <c r="S116"/>
  <c r="R116"/>
  <c r="L116"/>
  <c r="AN115"/>
  <c r="AS115" s="1"/>
  <c r="AC136"/>
  <c r="AB115"/>
  <c r="Y115"/>
  <c r="T115"/>
  <c r="L115"/>
  <c r="M115" s="1"/>
  <c r="AB114"/>
  <c r="Y114"/>
  <c r="U114"/>
  <c r="T114"/>
  <c r="S114"/>
  <c r="R114"/>
  <c r="L114"/>
  <c r="M114" s="1"/>
  <c r="BA113"/>
  <c r="AE23" i="18" s="1"/>
  <c r="AZ113" i="12"/>
  <c r="AD23" i="18" s="1"/>
  <c r="AY113" i="12"/>
  <c r="AC23" i="18" s="1"/>
  <c r="AX113" i="12"/>
  <c r="AB23" i="18" s="1"/>
  <c r="AW113" i="12"/>
  <c r="AA23" i="18" s="1"/>
  <c r="AV113" i="12"/>
  <c r="AU113"/>
  <c r="Y23" i="18" s="1"/>
  <c r="AL113" i="12"/>
  <c r="AK113"/>
  <c r="AJ113"/>
  <c r="AD113"/>
  <c r="AC113"/>
  <c r="AM112"/>
  <c r="AN112" s="1"/>
  <c r="AS112" s="1"/>
  <c r="AB112"/>
  <c r="Y112"/>
  <c r="U112"/>
  <c r="T112"/>
  <c r="S112"/>
  <c r="R112"/>
  <c r="L112"/>
  <c r="M112" s="1"/>
  <c r="AM111"/>
  <c r="AN111" s="1"/>
  <c r="AS111" s="1"/>
  <c r="AB111"/>
  <c r="Y111"/>
  <c r="T111"/>
  <c r="L111"/>
  <c r="M111" s="1"/>
  <c r="AN110"/>
  <c r="AS110" s="1"/>
  <c r="AB110"/>
  <c r="Y110"/>
  <c r="T110"/>
  <c r="L110"/>
  <c r="AN109"/>
  <c r="AS109" s="1"/>
  <c r="AB109"/>
  <c r="Y109"/>
  <c r="U109"/>
  <c r="T109"/>
  <c r="S109"/>
  <c r="R109"/>
  <c r="L109"/>
  <c r="M109" s="1"/>
  <c r="AB108"/>
  <c r="Y108"/>
  <c r="T108"/>
  <c r="S108"/>
  <c r="R108"/>
  <c r="L108"/>
  <c r="M108" s="1"/>
  <c r="AN107"/>
  <c r="AS107" s="1"/>
  <c r="AB107"/>
  <c r="Y107"/>
  <c r="U107"/>
  <c r="T107"/>
  <c r="S107"/>
  <c r="R107"/>
  <c r="L107"/>
  <c r="AN106"/>
  <c r="AS106" s="1"/>
  <c r="AB106"/>
  <c r="Y106"/>
  <c r="U106"/>
  <c r="T106"/>
  <c r="S106"/>
  <c r="R106"/>
  <c r="L106"/>
  <c r="M106" s="1"/>
  <c r="AB105"/>
  <c r="Y105"/>
  <c r="U105"/>
  <c r="T105"/>
  <c r="S105"/>
  <c r="R105"/>
  <c r="L105"/>
  <c r="M105" s="1"/>
  <c r="AB104"/>
  <c r="AF104" s="1"/>
  <c r="AR104" s="1"/>
  <c r="Y104"/>
  <c r="U104"/>
  <c r="T104"/>
  <c r="S104"/>
  <c r="R104"/>
  <c r="L104"/>
  <c r="M104" s="1"/>
  <c r="AB103"/>
  <c r="Y103"/>
  <c r="U103"/>
  <c r="T103"/>
  <c r="S103"/>
  <c r="R103"/>
  <c r="L103"/>
  <c r="AB102"/>
  <c r="Y102"/>
  <c r="U102"/>
  <c r="T102"/>
  <c r="S102"/>
  <c r="R102"/>
  <c r="L102"/>
  <c r="BA101"/>
  <c r="AE22" i="18" s="1"/>
  <c r="AZ101" i="12"/>
  <c r="AD22" i="18" s="1"/>
  <c r="AY101" i="12"/>
  <c r="AC22" i="18" s="1"/>
  <c r="AX101" i="12"/>
  <c r="AB22" i="18" s="1"/>
  <c r="AW101" i="12"/>
  <c r="AA22" i="18" s="1"/>
  <c r="AV101" i="12"/>
  <c r="Z22" i="18" s="1"/>
  <c r="AU101" i="12"/>
  <c r="Y22" i="18" s="1"/>
  <c r="AL101" i="12"/>
  <c r="AL93" s="1"/>
  <c r="AK101"/>
  <c r="AK93" s="1"/>
  <c r="AJ101"/>
  <c r="AD101"/>
  <c r="AC101"/>
  <c r="AC93" s="1"/>
  <c r="AN100"/>
  <c r="AM100"/>
  <c r="AB100"/>
  <c r="Y100"/>
  <c r="U100"/>
  <c r="T100"/>
  <c r="S100"/>
  <c r="R100"/>
  <c r="L100"/>
  <c r="M100" s="1"/>
  <c r="AM99"/>
  <c r="AN99" s="1"/>
  <c r="AB99"/>
  <c r="Y99"/>
  <c r="U99"/>
  <c r="T99"/>
  <c r="S99"/>
  <c r="R99"/>
  <c r="L99"/>
  <c r="M99" s="1"/>
  <c r="AB98"/>
  <c r="Y98"/>
  <c r="U98"/>
  <c r="T98"/>
  <c r="S98"/>
  <c r="R98"/>
  <c r="L98"/>
  <c r="M98" s="1"/>
  <c r="AN97"/>
  <c r="AS97" s="1"/>
  <c r="AB97"/>
  <c r="Y97"/>
  <c r="U97"/>
  <c r="T97"/>
  <c r="S97"/>
  <c r="R97"/>
  <c r="L97"/>
  <c r="M97" s="1"/>
  <c r="AN96"/>
  <c r="AS96" s="1"/>
  <c r="AB96"/>
  <c r="Y96"/>
  <c r="U96"/>
  <c r="T96"/>
  <c r="S96"/>
  <c r="R96"/>
  <c r="L96"/>
  <c r="M96" s="1"/>
  <c r="AN95"/>
  <c r="AB95"/>
  <c r="Y95"/>
  <c r="U95"/>
  <c r="T95"/>
  <c r="S95"/>
  <c r="R95"/>
  <c r="L95"/>
  <c r="M95" s="1"/>
  <c r="AQ95" s="1"/>
  <c r="AM101"/>
  <c r="AB94"/>
  <c r="Y94"/>
  <c r="Y101" s="1"/>
  <c r="U94"/>
  <c r="T94"/>
  <c r="S94"/>
  <c r="R94"/>
  <c r="M94"/>
  <c r="L94"/>
  <c r="BA93"/>
  <c r="AW93"/>
  <c r="AJ93"/>
  <c r="AJ92" s="1"/>
  <c r="Z92"/>
  <c r="BA91"/>
  <c r="AE19" i="18" s="1"/>
  <c r="AE18" s="1"/>
  <c r="AZ91" i="12"/>
  <c r="AD19" i="18" s="1"/>
  <c r="AD18" s="1"/>
  <c r="AY91" i="12"/>
  <c r="AX91"/>
  <c r="AB19" i="18" s="1"/>
  <c r="AB18" s="1"/>
  <c r="AW91" i="12"/>
  <c r="AA19" i="18" s="1"/>
  <c r="AA18" s="1"/>
  <c r="AV91" i="12"/>
  <c r="AU91"/>
  <c r="Y19" i="18" s="1"/>
  <c r="Y18" s="1"/>
  <c r="AL91" i="12"/>
  <c r="AK91"/>
  <c r="AK80" s="1"/>
  <c r="AJ91"/>
  <c r="AD91"/>
  <c r="AD80" s="1"/>
  <c r="AC91"/>
  <c r="AC80" s="1"/>
  <c r="AB90"/>
  <c r="Y90"/>
  <c r="U90"/>
  <c r="T90"/>
  <c r="S90"/>
  <c r="R90"/>
  <c r="L90"/>
  <c r="M90" s="1"/>
  <c r="AN89"/>
  <c r="AB89"/>
  <c r="Y89"/>
  <c r="U89"/>
  <c r="T89"/>
  <c r="S89"/>
  <c r="R89"/>
  <c r="L89"/>
  <c r="M89" s="1"/>
  <c r="AB88"/>
  <c r="Y88"/>
  <c r="U88"/>
  <c r="T88"/>
  <c r="S88"/>
  <c r="R88"/>
  <c r="L88"/>
  <c r="M88" s="1"/>
  <c r="AB87"/>
  <c r="Y87"/>
  <c r="U87"/>
  <c r="T87"/>
  <c r="S87"/>
  <c r="R87"/>
  <c r="L87"/>
  <c r="M87" s="1"/>
  <c r="AN86"/>
  <c r="AS86" s="1"/>
  <c r="AB86"/>
  <c r="Y86"/>
  <c r="U86"/>
  <c r="T86"/>
  <c r="S86"/>
  <c r="R86"/>
  <c r="L86"/>
  <c r="M86" s="1"/>
  <c r="AN85"/>
  <c r="AB85"/>
  <c r="Y85"/>
  <c r="U85"/>
  <c r="T85"/>
  <c r="S85"/>
  <c r="R85"/>
  <c r="L85"/>
  <c r="AN84"/>
  <c r="AS84"/>
  <c r="AB84"/>
  <c r="Y84"/>
  <c r="U84"/>
  <c r="T84"/>
  <c r="S84"/>
  <c r="R84"/>
  <c r="L84"/>
  <c r="M84" s="1"/>
  <c r="AQ84" s="1"/>
  <c r="AN83"/>
  <c r="AS83" s="1"/>
  <c r="AB83"/>
  <c r="Y83"/>
  <c r="U83"/>
  <c r="T83"/>
  <c r="S83"/>
  <c r="R83"/>
  <c r="L83"/>
  <c r="AN82"/>
  <c r="AS82" s="1"/>
  <c r="AB82"/>
  <c r="Y82"/>
  <c r="U82"/>
  <c r="T82"/>
  <c r="S82"/>
  <c r="R82"/>
  <c r="L82"/>
  <c r="M82" s="1"/>
  <c r="AN81"/>
  <c r="AS81" s="1"/>
  <c r="AB81"/>
  <c r="Y81"/>
  <c r="U81"/>
  <c r="T81"/>
  <c r="S81"/>
  <c r="R81"/>
  <c r="L81"/>
  <c r="BA80"/>
  <c r="AZ80"/>
  <c r="AX80"/>
  <c r="AW80"/>
  <c r="AU80"/>
  <c r="AL80"/>
  <c r="AJ80"/>
  <c r="BA79"/>
  <c r="AE17" i="18" s="1"/>
  <c r="AZ79" i="12"/>
  <c r="AD17" i="18" s="1"/>
  <c r="AY79" i="12"/>
  <c r="AC17" i="18" s="1"/>
  <c r="AX79" i="12"/>
  <c r="AB17" i="18" s="1"/>
  <c r="AW79" i="12"/>
  <c r="AA17" i="18" s="1"/>
  <c r="AV79" i="12"/>
  <c r="Z17" i="18" s="1"/>
  <c r="AU79" i="12"/>
  <c r="Y17" i="18" s="1"/>
  <c r="AL79" i="12"/>
  <c r="AK79"/>
  <c r="AJ79"/>
  <c r="AD79"/>
  <c r="AC79"/>
  <c r="AB78"/>
  <c r="Y78"/>
  <c r="U78"/>
  <c r="T78"/>
  <c r="S78"/>
  <c r="R78"/>
  <c r="L78"/>
  <c r="M78" s="1"/>
  <c r="AN77"/>
  <c r="AS77" s="1"/>
  <c r="AB77"/>
  <c r="Y77"/>
  <c r="U77"/>
  <c r="T77"/>
  <c r="S77"/>
  <c r="R77"/>
  <c r="L77"/>
  <c r="M77" s="1"/>
  <c r="AB76"/>
  <c r="Y76"/>
  <c r="U76"/>
  <c r="T76"/>
  <c r="S76"/>
  <c r="R76"/>
  <c r="L76"/>
  <c r="M76" s="1"/>
  <c r="AB75"/>
  <c r="Y75"/>
  <c r="U75"/>
  <c r="T75"/>
  <c r="S75"/>
  <c r="R75"/>
  <c r="L75"/>
  <c r="AN74"/>
  <c r="AS74" s="1"/>
  <c r="AB74"/>
  <c r="Y74"/>
  <c r="U74"/>
  <c r="T74"/>
  <c r="S74"/>
  <c r="R74"/>
  <c r="L74"/>
  <c r="M74" s="1"/>
  <c r="AN73"/>
  <c r="AB73"/>
  <c r="Y73"/>
  <c r="U73"/>
  <c r="T73"/>
  <c r="S73"/>
  <c r="R73"/>
  <c r="L73"/>
  <c r="AN72"/>
  <c r="AS72" s="1"/>
  <c r="AB72"/>
  <c r="Y72"/>
  <c r="U72"/>
  <c r="T72"/>
  <c r="S72"/>
  <c r="R72"/>
  <c r="M72"/>
  <c r="L72"/>
  <c r="AN71"/>
  <c r="AB71"/>
  <c r="Y71"/>
  <c r="U71"/>
  <c r="T71"/>
  <c r="S71"/>
  <c r="R71"/>
  <c r="L71"/>
  <c r="M71" s="1"/>
  <c r="AN70"/>
  <c r="AS70" s="1"/>
  <c r="AB70"/>
  <c r="Y70"/>
  <c r="U70"/>
  <c r="T70"/>
  <c r="S70"/>
  <c r="R70"/>
  <c r="L70"/>
  <c r="AN69"/>
  <c r="AS69" s="1"/>
  <c r="AB69"/>
  <c r="Y69"/>
  <c r="U69"/>
  <c r="T69"/>
  <c r="S69"/>
  <c r="R69"/>
  <c r="L69"/>
  <c r="M69" s="1"/>
  <c r="AN68"/>
  <c r="AS68" s="1"/>
  <c r="AB68"/>
  <c r="Y68"/>
  <c r="U68"/>
  <c r="T68"/>
  <c r="S68"/>
  <c r="R68"/>
  <c r="L68"/>
  <c r="M68" s="1"/>
  <c r="AN67"/>
  <c r="AS67" s="1"/>
  <c r="AB67"/>
  <c r="Y67"/>
  <c r="U67"/>
  <c r="T67"/>
  <c r="S67"/>
  <c r="R67"/>
  <c r="L67"/>
  <c r="M67" s="1"/>
  <c r="AB66"/>
  <c r="Y66"/>
  <c r="U66"/>
  <c r="T66"/>
  <c r="S66"/>
  <c r="R66"/>
  <c r="L66"/>
  <c r="M66" s="1"/>
  <c r="AN65"/>
  <c r="AB65"/>
  <c r="Y65"/>
  <c r="U65"/>
  <c r="T65"/>
  <c r="S65"/>
  <c r="R65"/>
  <c r="L65"/>
  <c r="M65" s="1"/>
  <c r="AB64"/>
  <c r="Y64"/>
  <c r="U64"/>
  <c r="T64"/>
  <c r="S64"/>
  <c r="R64"/>
  <c r="L64"/>
  <c r="M64" s="1"/>
  <c r="AB63"/>
  <c r="Y63"/>
  <c r="U63"/>
  <c r="T63"/>
  <c r="S63"/>
  <c r="R63"/>
  <c r="L63"/>
  <c r="M63" s="1"/>
  <c r="AN62"/>
  <c r="AS62" s="1"/>
  <c r="AB62"/>
  <c r="Y62"/>
  <c r="U62"/>
  <c r="T62"/>
  <c r="S62"/>
  <c r="R62"/>
  <c r="L62"/>
  <c r="AN61"/>
  <c r="AB61"/>
  <c r="Y61"/>
  <c r="U61"/>
  <c r="T61"/>
  <c r="S61"/>
  <c r="R61"/>
  <c r="L61"/>
  <c r="M61" s="1"/>
  <c r="AN60"/>
  <c r="AB60"/>
  <c r="Y60"/>
  <c r="U60"/>
  <c r="T60"/>
  <c r="S60"/>
  <c r="R60"/>
  <c r="R79" s="1"/>
  <c r="L60"/>
  <c r="BA59"/>
  <c r="AE16" i="18" s="1"/>
  <c r="AE15" s="1"/>
  <c r="AZ59" i="12"/>
  <c r="AD16" i="18" s="1"/>
  <c r="AD15" s="1"/>
  <c r="AY59" i="12"/>
  <c r="AC16" i="18" s="1"/>
  <c r="AC15" s="1"/>
  <c r="AX59" i="12"/>
  <c r="AB16" i="18" s="1"/>
  <c r="AB15" s="1"/>
  <c r="AW59" i="12"/>
  <c r="AV59"/>
  <c r="Z16" i="18" s="1"/>
  <c r="Z15" s="1"/>
  <c r="AU59" i="12"/>
  <c r="AL59"/>
  <c r="AK59"/>
  <c r="AJ59"/>
  <c r="AD59"/>
  <c r="AC59"/>
  <c r="Z59"/>
  <c r="AN58"/>
  <c r="AS58" s="1"/>
  <c r="AB58"/>
  <c r="Y58"/>
  <c r="U58"/>
  <c r="T58"/>
  <c r="S58"/>
  <c r="R58"/>
  <c r="L58"/>
  <c r="M58" s="1"/>
  <c r="AB57"/>
  <c r="Y57"/>
  <c r="U57"/>
  <c r="T57"/>
  <c r="S57"/>
  <c r="R57"/>
  <c r="L57"/>
  <c r="M57" s="1"/>
  <c r="AB56"/>
  <c r="Y56"/>
  <c r="U56"/>
  <c r="T56"/>
  <c r="S56"/>
  <c r="R56"/>
  <c r="L56"/>
  <c r="AN55"/>
  <c r="AS55" s="1"/>
  <c r="AB55"/>
  <c r="Y55"/>
  <c r="U55"/>
  <c r="T55"/>
  <c r="S55"/>
  <c r="R55"/>
  <c r="L55"/>
  <c r="AN54"/>
  <c r="AB54"/>
  <c r="Y54"/>
  <c r="U54"/>
  <c r="T54"/>
  <c r="S54"/>
  <c r="R54"/>
  <c r="L54"/>
  <c r="AN53"/>
  <c r="AS53"/>
  <c r="AB53"/>
  <c r="Y53"/>
  <c r="U53"/>
  <c r="T53"/>
  <c r="S53"/>
  <c r="R53"/>
  <c r="L53"/>
  <c r="M53" s="1"/>
  <c r="AQ53" s="1"/>
  <c r="AN52"/>
  <c r="AB52"/>
  <c r="Y52"/>
  <c r="U52"/>
  <c r="T52"/>
  <c r="S52"/>
  <c r="R52"/>
  <c r="L52"/>
  <c r="M52" s="1"/>
  <c r="AB51"/>
  <c r="Y51"/>
  <c r="U51"/>
  <c r="T51"/>
  <c r="S51"/>
  <c r="R51"/>
  <c r="L51"/>
  <c r="AN50"/>
  <c r="AS50" s="1"/>
  <c r="AB50"/>
  <c r="Y50"/>
  <c r="U50"/>
  <c r="T50"/>
  <c r="S50"/>
  <c r="R50"/>
  <c r="L50"/>
  <c r="M50" s="1"/>
  <c r="AN49"/>
  <c r="AS49" s="1"/>
  <c r="AB49"/>
  <c r="Y49"/>
  <c r="U49"/>
  <c r="T49"/>
  <c r="S49"/>
  <c r="R49"/>
  <c r="L49"/>
  <c r="M49" s="1"/>
  <c r="AN48"/>
  <c r="AS48" s="1"/>
  <c r="AB48"/>
  <c r="Y48"/>
  <c r="U48"/>
  <c r="T48"/>
  <c r="S48"/>
  <c r="R48"/>
  <c r="L48"/>
  <c r="AB47"/>
  <c r="Y47"/>
  <c r="U47"/>
  <c r="T47"/>
  <c r="S47"/>
  <c r="R47"/>
  <c r="L47"/>
  <c r="M47" s="1"/>
  <c r="AN46"/>
  <c r="AB46"/>
  <c r="Y46"/>
  <c r="U46"/>
  <c r="T46"/>
  <c r="S46"/>
  <c r="R46"/>
  <c r="L46"/>
  <c r="M46" s="1"/>
  <c r="AB45"/>
  <c r="Y45"/>
  <c r="U45"/>
  <c r="T45"/>
  <c r="S45"/>
  <c r="R45"/>
  <c r="L45"/>
  <c r="M45" s="1"/>
  <c r="AB44"/>
  <c r="Y44"/>
  <c r="U44"/>
  <c r="T44"/>
  <c r="S44"/>
  <c r="R44"/>
  <c r="M44"/>
  <c r="L44"/>
  <c r="AN43"/>
  <c r="AS43" s="1"/>
  <c r="AB43"/>
  <c r="Y43"/>
  <c r="U43"/>
  <c r="T43"/>
  <c r="S43"/>
  <c r="R43"/>
  <c r="L43"/>
  <c r="AN42"/>
  <c r="AS42" s="1"/>
  <c r="AB42"/>
  <c r="Y42"/>
  <c r="U42"/>
  <c r="T42"/>
  <c r="S42"/>
  <c r="R42"/>
  <c r="L42"/>
  <c r="M42" s="1"/>
  <c r="AN41"/>
  <c r="AB41"/>
  <c r="Y41"/>
  <c r="Y59" s="1"/>
  <c r="U41"/>
  <c r="T41"/>
  <c r="S41"/>
  <c r="S59" s="1"/>
  <c r="R41"/>
  <c r="L41"/>
  <c r="BA40"/>
  <c r="AY40"/>
  <c r="AX40"/>
  <c r="AV40"/>
  <c r="AK40"/>
  <c r="AJ40"/>
  <c r="AD40"/>
  <c r="AC40"/>
  <c r="BA39"/>
  <c r="AE14" i="18" s="1"/>
  <c r="AE13" s="1"/>
  <c r="AE12" s="1"/>
  <c r="AZ39" i="12"/>
  <c r="AY39"/>
  <c r="AC14" i="18" s="1"/>
  <c r="AC13" s="1"/>
  <c r="AX39" i="12"/>
  <c r="AB14" i="18" s="1"/>
  <c r="AB13" s="1"/>
  <c r="AB12" s="1"/>
  <c r="AW39" i="12"/>
  <c r="AV39"/>
  <c r="Z14" i="18" s="1"/>
  <c r="Z13" s="1"/>
  <c r="AU39" i="12"/>
  <c r="Y14" i="18" s="1"/>
  <c r="Y13" s="1"/>
  <c r="AL39" i="12"/>
  <c r="AL32" s="1"/>
  <c r="AK39"/>
  <c r="AJ39"/>
  <c r="AD39"/>
  <c r="AD32" s="1"/>
  <c r="AC39"/>
  <c r="AC32" s="1"/>
  <c r="AN38"/>
  <c r="AS38" s="1"/>
  <c r="AB38"/>
  <c r="Y38"/>
  <c r="U38"/>
  <c r="T38"/>
  <c r="S38"/>
  <c r="R38"/>
  <c r="L38"/>
  <c r="M38" s="1"/>
  <c r="AB37"/>
  <c r="Y37"/>
  <c r="U37"/>
  <c r="T37"/>
  <c r="S37"/>
  <c r="R37"/>
  <c r="L37"/>
  <c r="AS36"/>
  <c r="AN36"/>
  <c r="AB36"/>
  <c r="Y36"/>
  <c r="U36"/>
  <c r="T36"/>
  <c r="S36"/>
  <c r="R36"/>
  <c r="L36"/>
  <c r="M36" s="1"/>
  <c r="AQ36" s="1"/>
  <c r="AN35"/>
  <c r="AS35"/>
  <c r="AB35"/>
  <c r="Y35"/>
  <c r="U35"/>
  <c r="T35"/>
  <c r="S35"/>
  <c r="R35"/>
  <c r="L35"/>
  <c r="M35" s="1"/>
  <c r="AN34"/>
  <c r="AS34" s="1"/>
  <c r="AB34"/>
  <c r="Y34"/>
  <c r="U34"/>
  <c r="T34"/>
  <c r="S34"/>
  <c r="R34"/>
  <c r="L34"/>
  <c r="M34" s="1"/>
  <c r="AB33"/>
  <c r="Y33"/>
  <c r="U33"/>
  <c r="U39" s="1"/>
  <c r="U32" s="1"/>
  <c r="T33"/>
  <c r="T39" s="1"/>
  <c r="T32" s="1"/>
  <c r="S33"/>
  <c r="S39" s="1"/>
  <c r="S32" s="1"/>
  <c r="R33"/>
  <c r="L33"/>
  <c r="M33" s="1"/>
  <c r="BA32"/>
  <c r="BA31" s="1"/>
  <c r="AY32"/>
  <c r="AX32"/>
  <c r="AV32"/>
  <c r="AU32"/>
  <c r="AK32"/>
  <c r="AJ32"/>
  <c r="AK31"/>
  <c r="BA30"/>
  <c r="AE11" i="18" s="1"/>
  <c r="AZ30" i="12"/>
  <c r="AD11" i="18" s="1"/>
  <c r="AY30" i="12"/>
  <c r="AC11" i="18" s="1"/>
  <c r="AX30" i="12"/>
  <c r="AB11" i="18" s="1"/>
  <c r="AW30" i="12"/>
  <c r="AA11" i="18" s="1"/>
  <c r="AV30" i="12"/>
  <c r="Z11" i="18" s="1"/>
  <c r="AU30" i="12"/>
  <c r="Y11" i="18" s="1"/>
  <c r="AL30" i="12"/>
  <c r="AK30"/>
  <c r="AJ30"/>
  <c r="AD30"/>
  <c r="AC30"/>
  <c r="AN29"/>
  <c r="AS29" s="1"/>
  <c r="AB29"/>
  <c r="Y29"/>
  <c r="U29"/>
  <c r="T29"/>
  <c r="S29"/>
  <c r="R29"/>
  <c r="L29"/>
  <c r="AN28"/>
  <c r="AS28" s="1"/>
  <c r="AB28"/>
  <c r="Y28"/>
  <c r="U28"/>
  <c r="T28"/>
  <c r="S28"/>
  <c r="R28"/>
  <c r="L28"/>
  <c r="M28" s="1"/>
  <c r="AB27"/>
  <c r="Y27"/>
  <c r="U27"/>
  <c r="T27"/>
  <c r="S27"/>
  <c r="R27"/>
  <c r="L27"/>
  <c r="M27" s="1"/>
  <c r="AM30"/>
  <c r="AB26"/>
  <c r="Y26"/>
  <c r="U26"/>
  <c r="U30" s="1"/>
  <c r="T26"/>
  <c r="S26"/>
  <c r="R26"/>
  <c r="L26"/>
  <c r="M26" s="1"/>
  <c r="BA25"/>
  <c r="AE10" i="18" s="1"/>
  <c r="AZ25" i="12"/>
  <c r="AD10" i="18" s="1"/>
  <c r="AY25" i="12"/>
  <c r="AC10" i="18" s="1"/>
  <c r="AX25" i="12"/>
  <c r="AB10" i="18" s="1"/>
  <c r="AW25" i="12"/>
  <c r="AA10" i="18" s="1"/>
  <c r="AV25" i="12"/>
  <c r="Z10" i="18" s="1"/>
  <c r="AU25" i="12"/>
  <c r="Y10" i="18" s="1"/>
  <c r="AL25" i="12"/>
  <c r="AK25"/>
  <c r="AJ25"/>
  <c r="AD25"/>
  <c r="AC25"/>
  <c r="AN24"/>
  <c r="AB24"/>
  <c r="Y24"/>
  <c r="U24"/>
  <c r="T24"/>
  <c r="S24"/>
  <c r="R24"/>
  <c r="L24"/>
  <c r="AB23"/>
  <c r="Y23"/>
  <c r="U23"/>
  <c r="T23"/>
  <c r="S23"/>
  <c r="R23"/>
  <c r="L23"/>
  <c r="M23" s="1"/>
  <c r="AN22"/>
  <c r="AS22" s="1"/>
  <c r="AB22"/>
  <c r="Y22"/>
  <c r="U22"/>
  <c r="T22"/>
  <c r="S22"/>
  <c r="R22"/>
  <c r="L22"/>
  <c r="AB21"/>
  <c r="Y21"/>
  <c r="U21"/>
  <c r="T21"/>
  <c r="S21"/>
  <c r="R21"/>
  <c r="L21"/>
  <c r="AN20"/>
  <c r="AS20" s="1"/>
  <c r="AB20"/>
  <c r="Y20"/>
  <c r="U20"/>
  <c r="T20"/>
  <c r="S20"/>
  <c r="R20"/>
  <c r="L20"/>
  <c r="AN19"/>
  <c r="AS19" s="1"/>
  <c r="AB19"/>
  <c r="Y19"/>
  <c r="U19"/>
  <c r="T19"/>
  <c r="S19"/>
  <c r="R19"/>
  <c r="L19"/>
  <c r="M19" s="1"/>
  <c r="AS18"/>
  <c r="AN18"/>
  <c r="AM18"/>
  <c r="AB18"/>
  <c r="Y18"/>
  <c r="Y25" s="1"/>
  <c r="U18"/>
  <c r="T18"/>
  <c r="S18"/>
  <c r="R18"/>
  <c r="L18"/>
  <c r="M18" s="1"/>
  <c r="BA17"/>
  <c r="AE9" i="18" s="1"/>
  <c r="AZ17" i="12"/>
  <c r="AD9" i="18" s="1"/>
  <c r="AY17" i="12"/>
  <c r="AC9" i="18" s="1"/>
  <c r="AX17" i="12"/>
  <c r="AB9" i="18" s="1"/>
  <c r="AW17" i="12"/>
  <c r="AA9" i="18" s="1"/>
  <c r="AV17" i="12"/>
  <c r="Z9" i="18" s="1"/>
  <c r="AU17" i="12"/>
  <c r="Y9" i="18" s="1"/>
  <c r="AL17" i="12"/>
  <c r="AK17"/>
  <c r="AJ17"/>
  <c r="AD17"/>
  <c r="AC17"/>
  <c r="AN16"/>
  <c r="AS16" s="1"/>
  <c r="AM17"/>
  <c r="AB16"/>
  <c r="Y16"/>
  <c r="Y17" s="1"/>
  <c r="U16"/>
  <c r="U17" s="1"/>
  <c r="T16"/>
  <c r="T17" s="1"/>
  <c r="S16"/>
  <c r="S17" s="1"/>
  <c r="R16"/>
  <c r="R17" s="1"/>
  <c r="L16"/>
  <c r="M16" s="1"/>
  <c r="M17" s="1"/>
  <c r="BA15"/>
  <c r="AE8" i="18" s="1"/>
  <c r="AZ15" i="12"/>
  <c r="AD8" i="18" s="1"/>
  <c r="AY15" i="12"/>
  <c r="AC8" i="18" s="1"/>
  <c r="AC7" s="1"/>
  <c r="AC6" s="1"/>
  <c r="AX15" i="12"/>
  <c r="AW15"/>
  <c r="AA8" i="18" s="1"/>
  <c r="AA7" s="1"/>
  <c r="AA6" s="1"/>
  <c r="AV15" i="12"/>
  <c r="AU15"/>
  <c r="AL15"/>
  <c r="AK15"/>
  <c r="AJ15"/>
  <c r="AD15"/>
  <c r="AN14"/>
  <c r="AS14" s="1"/>
  <c r="AB14"/>
  <c r="Y14"/>
  <c r="U14"/>
  <c r="T14"/>
  <c r="S14"/>
  <c r="R14"/>
  <c r="L14"/>
  <c r="M14" s="1"/>
  <c r="AN13"/>
  <c r="AS13" s="1"/>
  <c r="AB13"/>
  <c r="Y13"/>
  <c r="U13"/>
  <c r="AE13" s="1"/>
  <c r="AF13" s="1"/>
  <c r="AR13" s="1"/>
  <c r="T13"/>
  <c r="S13"/>
  <c r="R13"/>
  <c r="L13"/>
  <c r="M13" s="1"/>
  <c r="AN12"/>
  <c r="AB12"/>
  <c r="Y12"/>
  <c r="U12"/>
  <c r="T12"/>
  <c r="S12"/>
  <c r="R12"/>
  <c r="L12"/>
  <c r="AB11"/>
  <c r="Y11"/>
  <c r="U11"/>
  <c r="T11"/>
  <c r="S11"/>
  <c r="R11"/>
  <c r="L11"/>
  <c r="M11" s="1"/>
  <c r="AN10"/>
  <c r="AS10" s="1"/>
  <c r="AB10"/>
  <c r="Y10"/>
  <c r="U10"/>
  <c r="T10"/>
  <c r="S10"/>
  <c r="R10"/>
  <c r="L10"/>
  <c r="M10" s="1"/>
  <c r="AB9"/>
  <c r="Y9"/>
  <c r="U9"/>
  <c r="T9"/>
  <c r="S9"/>
  <c r="R9"/>
  <c r="L9"/>
  <c r="AN8"/>
  <c r="AS8" s="1"/>
  <c r="AB8"/>
  <c r="Y8"/>
  <c r="U8"/>
  <c r="T8"/>
  <c r="S8"/>
  <c r="R8"/>
  <c r="L8"/>
  <c r="AN7"/>
  <c r="AS7" s="1"/>
  <c r="AM15"/>
  <c r="AB7"/>
  <c r="Y7"/>
  <c r="Y15" s="1"/>
  <c r="U7"/>
  <c r="T7"/>
  <c r="S7"/>
  <c r="R7"/>
  <c r="L7"/>
  <c r="AY6"/>
  <c r="AY5" s="1"/>
  <c r="AK6"/>
  <c r="AK5" s="1"/>
  <c r="AA6"/>
  <c r="AA5" s="1"/>
  <c r="Z6"/>
  <c r="Z5" s="1"/>
  <c r="AA235" i="1"/>
  <c r="AM241"/>
  <c r="AN241" s="1"/>
  <c r="AM240"/>
  <c r="AN240" s="1"/>
  <c r="AM239"/>
  <c r="AN239" s="1"/>
  <c r="AM238"/>
  <c r="AN238" s="1"/>
  <c r="AM237"/>
  <c r="AN237" s="1"/>
  <c r="AM235"/>
  <c r="AN235" s="1"/>
  <c r="AM234"/>
  <c r="AN234" s="1"/>
  <c r="AM233"/>
  <c r="AN233" s="1"/>
  <c r="AM230"/>
  <c r="AN230" s="1"/>
  <c r="AM229"/>
  <c r="AN229" s="1"/>
  <c r="AM228"/>
  <c r="AN228" s="1"/>
  <c r="AM226"/>
  <c r="AN226" s="1"/>
  <c r="AM225"/>
  <c r="AN225" s="1"/>
  <c r="AM221"/>
  <c r="AN221" s="1"/>
  <c r="AM220"/>
  <c r="AN220" s="1"/>
  <c r="AM219"/>
  <c r="AN219" s="1"/>
  <c r="AM218"/>
  <c r="AN218" s="1"/>
  <c r="AM217"/>
  <c r="AN217" s="1"/>
  <c r="AM216"/>
  <c r="AN216" s="1"/>
  <c r="AM215"/>
  <c r="AN215" s="1"/>
  <c r="AM213"/>
  <c r="AN213" s="1"/>
  <c r="AM212"/>
  <c r="AN212" s="1"/>
  <c r="AM204"/>
  <c r="AN204" s="1"/>
  <c r="AM203"/>
  <c r="AN203" s="1"/>
  <c r="AM194"/>
  <c r="AN194" s="1"/>
  <c r="AM193"/>
  <c r="AN193" s="1"/>
  <c r="AM192"/>
  <c r="AN192" s="1"/>
  <c r="AM191"/>
  <c r="AN191" s="1"/>
  <c r="AM190"/>
  <c r="AN190" s="1"/>
  <c r="AM189"/>
  <c r="AN189" s="1"/>
  <c r="AM188"/>
  <c r="AN188" s="1"/>
  <c r="AM187"/>
  <c r="AN187" s="1"/>
  <c r="AM186"/>
  <c r="AN186" s="1"/>
  <c r="AM185"/>
  <c r="AN185" s="1"/>
  <c r="AM184"/>
  <c r="AN184" s="1"/>
  <c r="AM183"/>
  <c r="AN183" s="1"/>
  <c r="AM182"/>
  <c r="AN182" s="1"/>
  <c r="AM181"/>
  <c r="AN181" s="1"/>
  <c r="AM180"/>
  <c r="AN180" s="1"/>
  <c r="AM175"/>
  <c r="AN175" s="1"/>
  <c r="AM174"/>
  <c r="AN174" s="1"/>
  <c r="AM173"/>
  <c r="AN173" s="1"/>
  <c r="AM172"/>
  <c r="AN172" s="1"/>
  <c r="AM171"/>
  <c r="AN171" s="1"/>
  <c r="AM170"/>
  <c r="AN170" s="1"/>
  <c r="AM169"/>
  <c r="AN169" s="1"/>
  <c r="AM165"/>
  <c r="AN165" s="1"/>
  <c r="AM164"/>
  <c r="AN164" s="1"/>
  <c r="AM163"/>
  <c r="AN163" s="1"/>
  <c r="AM162"/>
  <c r="AN162" s="1"/>
  <c r="AM161"/>
  <c r="AN161" s="1"/>
  <c r="AM160"/>
  <c r="AN160" s="1"/>
  <c r="AM159"/>
  <c r="AN159" s="1"/>
  <c r="AM158"/>
  <c r="AN158" s="1"/>
  <c r="AM154"/>
  <c r="AN154" s="1"/>
  <c r="AM151"/>
  <c r="AN151" s="1"/>
  <c r="AM150"/>
  <c r="AN150" s="1"/>
  <c r="AM149"/>
  <c r="AN149" s="1"/>
  <c r="AN144"/>
  <c r="AM141"/>
  <c r="AN141" s="1"/>
  <c r="AM140"/>
  <c r="AN140" s="1"/>
  <c r="AM138"/>
  <c r="AN138" s="1"/>
  <c r="AM137"/>
  <c r="AN137" s="1"/>
  <c r="AM135"/>
  <c r="AN135" s="1"/>
  <c r="AM134"/>
  <c r="AN134" s="1"/>
  <c r="AM133"/>
  <c r="AN133" s="1"/>
  <c r="AM132"/>
  <c r="AN132" s="1"/>
  <c r="AM130"/>
  <c r="AN130" s="1"/>
  <c r="AM129"/>
  <c r="AN129" s="1"/>
  <c r="AM128"/>
  <c r="AN128" s="1"/>
  <c r="AM127"/>
  <c r="AN127" s="1"/>
  <c r="AM126"/>
  <c r="AN126" s="1"/>
  <c r="AM125"/>
  <c r="AN125" s="1"/>
  <c r="AM124"/>
  <c r="AN124" s="1"/>
  <c r="AM123"/>
  <c r="AN123" s="1"/>
  <c r="AM122"/>
  <c r="AN122" s="1"/>
  <c r="AM121"/>
  <c r="AN121" s="1"/>
  <c r="AM120"/>
  <c r="AN120" s="1"/>
  <c r="AM119"/>
  <c r="AN119" s="1"/>
  <c r="AM118"/>
  <c r="AN118" s="1"/>
  <c r="AM117"/>
  <c r="AN117" s="1"/>
  <c r="AM116"/>
  <c r="AN116" s="1"/>
  <c r="AM115"/>
  <c r="AN115" s="1"/>
  <c r="AM114"/>
  <c r="AN114" s="1"/>
  <c r="AM112"/>
  <c r="AN112" s="1"/>
  <c r="AM111"/>
  <c r="AN111" s="1"/>
  <c r="AM110"/>
  <c r="AN110" s="1"/>
  <c r="AM109"/>
  <c r="AN109" s="1"/>
  <c r="AM108"/>
  <c r="AN108" s="1"/>
  <c r="AM107"/>
  <c r="AN107" s="1"/>
  <c r="AM106"/>
  <c r="AN106" s="1"/>
  <c r="AM105"/>
  <c r="AN105" s="1"/>
  <c r="AM104"/>
  <c r="AN104" s="1"/>
  <c r="AM103"/>
  <c r="AN103" s="1"/>
  <c r="AM102"/>
  <c r="AN102" s="1"/>
  <c r="AM100"/>
  <c r="AN100" s="1"/>
  <c r="AM99"/>
  <c r="AN99" s="1"/>
  <c r="AM98"/>
  <c r="AN98" s="1"/>
  <c r="AM97"/>
  <c r="AN97" s="1"/>
  <c r="AM96"/>
  <c r="AN96" s="1"/>
  <c r="AM95"/>
  <c r="AN95" s="1"/>
  <c r="AM94"/>
  <c r="AN94" s="1"/>
  <c r="AM90"/>
  <c r="AN90" s="1"/>
  <c r="AM89"/>
  <c r="AN89" s="1"/>
  <c r="AM88"/>
  <c r="AN88" s="1"/>
  <c r="AM87"/>
  <c r="AN87" s="1"/>
  <c r="AM86"/>
  <c r="AN86" s="1"/>
  <c r="AM85"/>
  <c r="AN85" s="1"/>
  <c r="AM84"/>
  <c r="AN84" s="1"/>
  <c r="AM83"/>
  <c r="AN83" s="1"/>
  <c r="AM82"/>
  <c r="AN82" s="1"/>
  <c r="AM81"/>
  <c r="AN81" s="1"/>
  <c r="AM78"/>
  <c r="AN78" s="1"/>
  <c r="AM77"/>
  <c r="AN77" s="1"/>
  <c r="AM76"/>
  <c r="AN76" s="1"/>
  <c r="AM75"/>
  <c r="AN75" s="1"/>
  <c r="AM74"/>
  <c r="AN74" s="1"/>
  <c r="AM73"/>
  <c r="AN73" s="1"/>
  <c r="AM72"/>
  <c r="AN72" s="1"/>
  <c r="AM71"/>
  <c r="AN71" s="1"/>
  <c r="AM70"/>
  <c r="AN70" s="1"/>
  <c r="AM69"/>
  <c r="AN69" s="1"/>
  <c r="AM68"/>
  <c r="AN68" s="1"/>
  <c r="AM67"/>
  <c r="AN67" s="1"/>
  <c r="AM66"/>
  <c r="AN66" s="1"/>
  <c r="AM65"/>
  <c r="AN65" s="1"/>
  <c r="AM64"/>
  <c r="AN64" s="1"/>
  <c r="AM63"/>
  <c r="AN63" s="1"/>
  <c r="AM62"/>
  <c r="AN62" s="1"/>
  <c r="AM61"/>
  <c r="AN61" s="1"/>
  <c r="AM60"/>
  <c r="AN60" s="1"/>
  <c r="AM58"/>
  <c r="AN58" s="1"/>
  <c r="AM57"/>
  <c r="AN57" s="1"/>
  <c r="AM56"/>
  <c r="AN56" s="1"/>
  <c r="AM55"/>
  <c r="AN55" s="1"/>
  <c r="AM54"/>
  <c r="AN54" s="1"/>
  <c r="AM53"/>
  <c r="AN53" s="1"/>
  <c r="AM52"/>
  <c r="AN52" s="1"/>
  <c r="AM51"/>
  <c r="AN51" s="1"/>
  <c r="AM50"/>
  <c r="AN50" s="1"/>
  <c r="AM49"/>
  <c r="AN49" s="1"/>
  <c r="AM48"/>
  <c r="AN48" s="1"/>
  <c r="AM47"/>
  <c r="AN47" s="1"/>
  <c r="AM46"/>
  <c r="AN46" s="1"/>
  <c r="AM45"/>
  <c r="AN45" s="1"/>
  <c r="AM44"/>
  <c r="AN44" s="1"/>
  <c r="AM43"/>
  <c r="AN43" s="1"/>
  <c r="AM42"/>
  <c r="AN42" s="1"/>
  <c r="AM41"/>
  <c r="AN41" s="1"/>
  <c r="AM38"/>
  <c r="AN38" s="1"/>
  <c r="AM37"/>
  <c r="AN37" s="1"/>
  <c r="AM36"/>
  <c r="AN36" s="1"/>
  <c r="AM35"/>
  <c r="AN35" s="1"/>
  <c r="AM34"/>
  <c r="AN34" s="1"/>
  <c r="AM33"/>
  <c r="AN33" s="1"/>
  <c r="AM29"/>
  <c r="AN29" s="1"/>
  <c r="AM28"/>
  <c r="AN28" s="1"/>
  <c r="AM27"/>
  <c r="AN27" s="1"/>
  <c r="AM26"/>
  <c r="AN26" s="1"/>
  <c r="AM24"/>
  <c r="AN24" s="1"/>
  <c r="AM23"/>
  <c r="AN23" s="1"/>
  <c r="AM22"/>
  <c r="AN22" s="1"/>
  <c r="AM21"/>
  <c r="AN21" s="1"/>
  <c r="AM20"/>
  <c r="AN20" s="1"/>
  <c r="AM19"/>
  <c r="AN19" s="1"/>
  <c r="AM18"/>
  <c r="AN18" s="1"/>
  <c r="AM16"/>
  <c r="AN16" s="1"/>
  <c r="AM14"/>
  <c r="AN14" s="1"/>
  <c r="AM13"/>
  <c r="AN13" s="1"/>
  <c r="AM12"/>
  <c r="AN12" s="1"/>
  <c r="AM11"/>
  <c r="AN11" s="1"/>
  <c r="AM10"/>
  <c r="AN10" s="1"/>
  <c r="AM9"/>
  <c r="AN9" s="1"/>
  <c r="AM8"/>
  <c r="AN8" s="1"/>
  <c r="AM7"/>
  <c r="AN7" s="1"/>
  <c r="L241"/>
  <c r="L240"/>
  <c r="L239"/>
  <c r="L238"/>
  <c r="L237"/>
  <c r="L235"/>
  <c r="L234"/>
  <c r="L233"/>
  <c r="L231"/>
  <c r="L230"/>
  <c r="L229"/>
  <c r="L228"/>
  <c r="L226"/>
  <c r="L225"/>
  <c r="L221"/>
  <c r="L220"/>
  <c r="L219"/>
  <c r="L218"/>
  <c r="L217"/>
  <c r="L216"/>
  <c r="L215"/>
  <c r="L213"/>
  <c r="L212"/>
  <c r="L211"/>
  <c r="L210"/>
  <c r="L208"/>
  <c r="L207"/>
  <c r="L206"/>
  <c r="L204"/>
  <c r="L203"/>
  <c r="L200"/>
  <c r="L199"/>
  <c r="L197"/>
  <c r="L196"/>
  <c r="L194"/>
  <c r="L193"/>
  <c r="L192"/>
  <c r="L191"/>
  <c r="L190"/>
  <c r="L189"/>
  <c r="L188"/>
  <c r="L187"/>
  <c r="L186"/>
  <c r="L185"/>
  <c r="L184"/>
  <c r="L183"/>
  <c r="L182"/>
  <c r="L181"/>
  <c r="L180"/>
  <c r="L177"/>
  <c r="L175"/>
  <c r="L174"/>
  <c r="L173"/>
  <c r="L172"/>
  <c r="L171"/>
  <c r="L170"/>
  <c r="L169"/>
  <c r="L141"/>
  <c r="L140"/>
  <c r="L138"/>
  <c r="L137"/>
  <c r="L135"/>
  <c r="L134"/>
  <c r="L133"/>
  <c r="L132"/>
  <c r="L130"/>
  <c r="L129"/>
  <c r="L128"/>
  <c r="L127"/>
  <c r="L126"/>
  <c r="L125"/>
  <c r="L124"/>
  <c r="L123"/>
  <c r="L122"/>
  <c r="L121"/>
  <c r="L120"/>
  <c r="L119"/>
  <c r="L118"/>
  <c r="L117"/>
  <c r="L116"/>
  <c r="L115"/>
  <c r="L114"/>
  <c r="L112"/>
  <c r="L111"/>
  <c r="L110"/>
  <c r="L109"/>
  <c r="L108"/>
  <c r="L107"/>
  <c r="L106"/>
  <c r="L105"/>
  <c r="L104"/>
  <c r="L103"/>
  <c r="L102"/>
  <c r="L100"/>
  <c r="L99"/>
  <c r="L98"/>
  <c r="L97"/>
  <c r="L96"/>
  <c r="L95"/>
  <c r="L94"/>
  <c r="L90"/>
  <c r="L89"/>
  <c r="L88"/>
  <c r="L87"/>
  <c r="L86"/>
  <c r="L85"/>
  <c r="L84"/>
  <c r="L83"/>
  <c r="L82"/>
  <c r="L81"/>
  <c r="L78"/>
  <c r="L77"/>
  <c r="L76"/>
  <c r="L75"/>
  <c r="L74"/>
  <c r="L73"/>
  <c r="L72"/>
  <c r="L71"/>
  <c r="L70"/>
  <c r="L69"/>
  <c r="L68"/>
  <c r="L67"/>
  <c r="L66"/>
  <c r="L65"/>
  <c r="L64"/>
  <c r="L63"/>
  <c r="L62"/>
  <c r="L61"/>
  <c r="L60"/>
  <c r="L58"/>
  <c r="L57"/>
  <c r="L56"/>
  <c r="L55"/>
  <c r="L54"/>
  <c r="L53"/>
  <c r="L52"/>
  <c r="L51"/>
  <c r="L50"/>
  <c r="L49"/>
  <c r="L48"/>
  <c r="L47"/>
  <c r="L46"/>
  <c r="L45"/>
  <c r="L44"/>
  <c r="L43"/>
  <c r="L42"/>
  <c r="L41"/>
  <c r="L38"/>
  <c r="L37"/>
  <c r="L36"/>
  <c r="L35"/>
  <c r="L34"/>
  <c r="L33"/>
  <c r="L29"/>
  <c r="L28"/>
  <c r="L27"/>
  <c r="L26"/>
  <c r="L24"/>
  <c r="L23"/>
  <c r="L22"/>
  <c r="L21"/>
  <c r="L20"/>
  <c r="L19"/>
  <c r="L18"/>
  <c r="L16"/>
  <c r="L14"/>
  <c r="L13"/>
  <c r="L12"/>
  <c r="L11"/>
  <c r="L10"/>
  <c r="L9"/>
  <c r="L8"/>
  <c r="L7"/>
  <c r="AB241"/>
  <c r="AB240"/>
  <c r="AB239"/>
  <c r="AB238"/>
  <c r="AB237"/>
  <c r="AB235"/>
  <c r="AB234"/>
  <c r="AB233"/>
  <c r="AB231"/>
  <c r="AB230"/>
  <c r="AB229"/>
  <c r="AB228"/>
  <c r="AB226"/>
  <c r="AB225"/>
  <c r="AB221"/>
  <c r="AB220"/>
  <c r="AB219"/>
  <c r="AB218"/>
  <c r="AB217"/>
  <c r="AB216"/>
  <c r="AB215"/>
  <c r="AB213"/>
  <c r="AB212"/>
  <c r="AB211"/>
  <c r="AB210"/>
  <c r="AB208"/>
  <c r="AB207"/>
  <c r="AB206"/>
  <c r="AB204"/>
  <c r="AB203"/>
  <c r="AB200"/>
  <c r="AB199"/>
  <c r="AB197"/>
  <c r="AB196"/>
  <c r="AB194"/>
  <c r="AB193"/>
  <c r="AB192"/>
  <c r="AB191"/>
  <c r="AB190"/>
  <c r="AB189"/>
  <c r="AB188"/>
  <c r="AB187"/>
  <c r="AB186"/>
  <c r="AB185"/>
  <c r="AB184"/>
  <c r="AB183"/>
  <c r="AB182"/>
  <c r="AB181"/>
  <c r="AB180"/>
  <c r="AB177"/>
  <c r="AB174"/>
  <c r="AB173"/>
  <c r="AB172"/>
  <c r="AB171"/>
  <c r="AB170"/>
  <c r="AB169"/>
  <c r="AB167"/>
  <c r="AB165"/>
  <c r="AB164"/>
  <c r="AB163"/>
  <c r="AB162"/>
  <c r="AB161"/>
  <c r="AB160"/>
  <c r="AB159"/>
  <c r="AB158"/>
  <c r="AB157"/>
  <c r="AB156"/>
  <c r="AB154"/>
  <c r="AB153"/>
  <c r="AB151"/>
  <c r="AB150"/>
  <c r="AB149"/>
  <c r="AB147"/>
  <c r="AB144"/>
  <c r="AB141"/>
  <c r="AB140"/>
  <c r="AB138"/>
  <c r="AB137"/>
  <c r="AB135"/>
  <c r="AB134"/>
  <c r="AB133"/>
  <c r="AB132"/>
  <c r="AB130"/>
  <c r="AB129"/>
  <c r="AB128"/>
  <c r="AB127"/>
  <c r="AB126"/>
  <c r="AB125"/>
  <c r="AB124"/>
  <c r="AB123"/>
  <c r="AB122"/>
  <c r="AB121"/>
  <c r="AB120"/>
  <c r="AB119"/>
  <c r="AB118"/>
  <c r="AB117"/>
  <c r="AB116"/>
  <c r="AB115"/>
  <c r="AB114"/>
  <c r="AB112"/>
  <c r="AB111"/>
  <c r="AB110"/>
  <c r="AB109"/>
  <c r="AB108"/>
  <c r="AB107"/>
  <c r="AB106"/>
  <c r="AB105"/>
  <c r="AB104"/>
  <c r="AB103"/>
  <c r="AB102"/>
  <c r="AB100"/>
  <c r="AB99"/>
  <c r="AB98"/>
  <c r="AB97"/>
  <c r="AB96"/>
  <c r="AB95"/>
  <c r="AB94"/>
  <c r="AB90"/>
  <c r="AB89"/>
  <c r="AB88"/>
  <c r="AB87"/>
  <c r="AB86"/>
  <c r="AB85"/>
  <c r="AB84"/>
  <c r="AB83"/>
  <c r="AB82"/>
  <c r="AB81"/>
  <c r="AB78"/>
  <c r="AB77"/>
  <c r="AB76"/>
  <c r="AB75"/>
  <c r="AB74"/>
  <c r="AB73"/>
  <c r="AB72"/>
  <c r="AB71"/>
  <c r="AB70"/>
  <c r="AB69"/>
  <c r="AB68"/>
  <c r="AB67"/>
  <c r="AB66"/>
  <c r="AB65"/>
  <c r="AB64"/>
  <c r="AB63"/>
  <c r="AB62"/>
  <c r="AB61"/>
  <c r="AB60"/>
  <c r="AB58"/>
  <c r="AB57"/>
  <c r="AB56"/>
  <c r="AB55"/>
  <c r="AB54"/>
  <c r="AB53"/>
  <c r="AB52"/>
  <c r="AB51"/>
  <c r="AB50"/>
  <c r="AB49"/>
  <c r="AB48"/>
  <c r="AB47"/>
  <c r="AB46"/>
  <c r="AB45"/>
  <c r="AB44"/>
  <c r="AB43"/>
  <c r="AB42"/>
  <c r="AB41"/>
  <c r="AB38"/>
  <c r="AB37"/>
  <c r="AB36"/>
  <c r="AB35"/>
  <c r="AB34"/>
  <c r="AB33"/>
  <c r="AB29"/>
  <c r="AB28"/>
  <c r="AB27"/>
  <c r="AB26"/>
  <c r="AB24"/>
  <c r="AB23"/>
  <c r="AB22"/>
  <c r="AB21"/>
  <c r="AB20"/>
  <c r="AB19"/>
  <c r="AB18"/>
  <c r="AB16"/>
  <c r="AB14"/>
  <c r="AB13"/>
  <c r="AB12"/>
  <c r="AB11"/>
  <c r="AB10"/>
  <c r="AB9"/>
  <c r="AB8"/>
  <c r="AB7"/>
  <c r="Y241"/>
  <c r="Y240"/>
  <c r="Y239"/>
  <c r="Y238"/>
  <c r="Y237"/>
  <c r="Y235"/>
  <c r="Y234"/>
  <c r="Y233"/>
  <c r="Y231"/>
  <c r="Y230"/>
  <c r="Y229"/>
  <c r="Y228"/>
  <c r="Y226"/>
  <c r="Y225"/>
  <c r="Y221"/>
  <c r="Y220"/>
  <c r="Y219"/>
  <c r="Y218"/>
  <c r="Y217"/>
  <c r="Y216"/>
  <c r="Y215"/>
  <c r="Y213"/>
  <c r="Y212"/>
  <c r="Y211"/>
  <c r="Y210"/>
  <c r="Y208"/>
  <c r="Y207"/>
  <c r="Y206"/>
  <c r="Y204"/>
  <c r="Y203"/>
  <c r="Y200"/>
  <c r="Y199"/>
  <c r="Y197"/>
  <c r="Y196"/>
  <c r="Y194"/>
  <c r="Y193"/>
  <c r="Y192"/>
  <c r="Y191"/>
  <c r="Y190"/>
  <c r="Y189"/>
  <c r="Y188"/>
  <c r="Y187"/>
  <c r="Y186"/>
  <c r="Y185"/>
  <c r="Y184"/>
  <c r="Y183"/>
  <c r="Y182"/>
  <c r="Y181"/>
  <c r="Y180"/>
  <c r="Y177"/>
  <c r="Y175"/>
  <c r="Y174"/>
  <c r="Y173"/>
  <c r="Y172"/>
  <c r="Y171"/>
  <c r="Y170"/>
  <c r="Y169"/>
  <c r="Y167"/>
  <c r="Y165"/>
  <c r="Y164"/>
  <c r="Y163"/>
  <c r="Y162"/>
  <c r="Y161"/>
  <c r="Y160"/>
  <c r="Y159"/>
  <c r="Y158"/>
  <c r="Y157"/>
  <c r="Y156"/>
  <c r="Y154"/>
  <c r="Y153"/>
  <c r="Y151"/>
  <c r="Y150"/>
  <c r="Y149"/>
  <c r="Y147"/>
  <c r="Y144"/>
  <c r="Y141"/>
  <c r="Y140"/>
  <c r="Y138"/>
  <c r="Y137"/>
  <c r="Y135"/>
  <c r="Y134"/>
  <c r="Y133"/>
  <c r="Y132"/>
  <c r="Y130"/>
  <c r="Y129"/>
  <c r="Y128"/>
  <c r="Y127"/>
  <c r="Y126"/>
  <c r="Y125"/>
  <c r="Y124"/>
  <c r="Y123"/>
  <c r="Y122"/>
  <c r="Y121"/>
  <c r="Y120"/>
  <c r="Y119"/>
  <c r="Y118"/>
  <c r="Y117"/>
  <c r="Y116"/>
  <c r="Y115"/>
  <c r="Y114"/>
  <c r="Y112"/>
  <c r="Y111"/>
  <c r="Y110"/>
  <c r="Y109"/>
  <c r="Y108"/>
  <c r="Y107"/>
  <c r="Y106"/>
  <c r="Y105"/>
  <c r="Y104"/>
  <c r="Y103"/>
  <c r="Y102"/>
  <c r="Y100"/>
  <c r="Y99"/>
  <c r="Y98"/>
  <c r="Y97"/>
  <c r="Y96"/>
  <c r="Y95"/>
  <c r="Y94"/>
  <c r="Y90"/>
  <c r="Y89"/>
  <c r="Y88"/>
  <c r="Y87"/>
  <c r="Y86"/>
  <c r="Y85"/>
  <c r="Y84"/>
  <c r="Y83"/>
  <c r="Y82"/>
  <c r="Y81"/>
  <c r="Y78"/>
  <c r="Y77"/>
  <c r="Y76"/>
  <c r="Y75"/>
  <c r="Y74"/>
  <c r="Y73"/>
  <c r="Y72"/>
  <c r="Y71"/>
  <c r="Y70"/>
  <c r="Y69"/>
  <c r="Y68"/>
  <c r="Y67"/>
  <c r="Y66"/>
  <c r="Y65"/>
  <c r="Y64"/>
  <c r="Y63"/>
  <c r="Y62"/>
  <c r="Y61"/>
  <c r="Y60"/>
  <c r="Y58"/>
  <c r="Y57"/>
  <c r="Y56"/>
  <c r="Y55"/>
  <c r="Y54"/>
  <c r="Y53"/>
  <c r="Y52"/>
  <c r="Y51"/>
  <c r="Y50"/>
  <c r="Y49"/>
  <c r="Y48"/>
  <c r="Y47"/>
  <c r="Y46"/>
  <c r="Y45"/>
  <c r="Y44"/>
  <c r="Y43"/>
  <c r="Y42"/>
  <c r="Y41"/>
  <c r="Y38"/>
  <c r="Y37"/>
  <c r="Y36"/>
  <c r="Y35"/>
  <c r="Y34"/>
  <c r="Y33"/>
  <c r="Y29"/>
  <c r="Y28"/>
  <c r="Y27"/>
  <c r="Y26"/>
  <c r="Y24"/>
  <c r="Y23"/>
  <c r="Y22"/>
  <c r="Y21"/>
  <c r="Y20"/>
  <c r="Y19"/>
  <c r="Y18"/>
  <c r="Y16"/>
  <c r="Y14"/>
  <c r="Y13"/>
  <c r="Y12"/>
  <c r="Y11"/>
  <c r="Y10"/>
  <c r="Y9"/>
  <c r="Y8"/>
  <c r="Y7"/>
  <c r="AE217"/>
  <c r="U90"/>
  <c r="U89"/>
  <c r="U88"/>
  <c r="U87"/>
  <c r="U86"/>
  <c r="U85"/>
  <c r="U84"/>
  <c r="U83"/>
  <c r="U82"/>
  <c r="U81"/>
  <c r="U78"/>
  <c r="U77"/>
  <c r="U76"/>
  <c r="U75"/>
  <c r="U74"/>
  <c r="U73"/>
  <c r="U72"/>
  <c r="U71"/>
  <c r="U70"/>
  <c r="U69"/>
  <c r="U68"/>
  <c r="U67"/>
  <c r="U66"/>
  <c r="U65"/>
  <c r="U64"/>
  <c r="U63"/>
  <c r="U62"/>
  <c r="U61"/>
  <c r="U60"/>
  <c r="U58"/>
  <c r="U57"/>
  <c r="U56"/>
  <c r="U55"/>
  <c r="U54"/>
  <c r="U53"/>
  <c r="U52"/>
  <c r="U51"/>
  <c r="U50"/>
  <c r="U49"/>
  <c r="U48"/>
  <c r="U47"/>
  <c r="U46"/>
  <c r="U45"/>
  <c r="U44"/>
  <c r="U43"/>
  <c r="U42"/>
  <c r="U41"/>
  <c r="U38"/>
  <c r="U37"/>
  <c r="U36"/>
  <c r="U35"/>
  <c r="U34"/>
  <c r="U33"/>
  <c r="U29"/>
  <c r="U28"/>
  <c r="U27"/>
  <c r="U26"/>
  <c r="U24"/>
  <c r="U23"/>
  <c r="U22"/>
  <c r="U21"/>
  <c r="U20"/>
  <c r="U19"/>
  <c r="U18"/>
  <c r="U16"/>
  <c r="U14"/>
  <c r="U13"/>
  <c r="U12"/>
  <c r="U11"/>
  <c r="U10"/>
  <c r="U9"/>
  <c r="U8"/>
  <c r="U7"/>
  <c r="T90"/>
  <c r="T89"/>
  <c r="T88"/>
  <c r="T87"/>
  <c r="T86"/>
  <c r="T85"/>
  <c r="T84"/>
  <c r="T83"/>
  <c r="T82"/>
  <c r="T81"/>
  <c r="T78"/>
  <c r="T77"/>
  <c r="T76"/>
  <c r="T75"/>
  <c r="T74"/>
  <c r="T73"/>
  <c r="T72"/>
  <c r="T71"/>
  <c r="T70"/>
  <c r="T69"/>
  <c r="T68"/>
  <c r="T67"/>
  <c r="T66"/>
  <c r="T65"/>
  <c r="T64"/>
  <c r="T63"/>
  <c r="T62"/>
  <c r="T61"/>
  <c r="T60"/>
  <c r="T58"/>
  <c r="T57"/>
  <c r="T56"/>
  <c r="T55"/>
  <c r="T54"/>
  <c r="T53"/>
  <c r="T52"/>
  <c r="T51"/>
  <c r="T50"/>
  <c r="T49"/>
  <c r="T48"/>
  <c r="T47"/>
  <c r="T46"/>
  <c r="T45"/>
  <c r="T44"/>
  <c r="T43"/>
  <c r="T42"/>
  <c r="T41"/>
  <c r="T38"/>
  <c r="T37"/>
  <c r="T36"/>
  <c r="T35"/>
  <c r="T34"/>
  <c r="T33"/>
  <c r="T29"/>
  <c r="T28"/>
  <c r="T27"/>
  <c r="T26"/>
  <c r="T24"/>
  <c r="T23"/>
  <c r="T22"/>
  <c r="T21"/>
  <c r="T20"/>
  <c r="T19"/>
  <c r="T18"/>
  <c r="T16"/>
  <c r="T14"/>
  <c r="T13"/>
  <c r="T12"/>
  <c r="T11"/>
  <c r="T10"/>
  <c r="T9"/>
  <c r="T8"/>
  <c r="T7"/>
  <c r="S90"/>
  <c r="S89"/>
  <c r="S88"/>
  <c r="S87"/>
  <c r="S86"/>
  <c r="S85"/>
  <c r="S84"/>
  <c r="S83"/>
  <c r="S82"/>
  <c r="S81"/>
  <c r="S78"/>
  <c r="S77"/>
  <c r="S76"/>
  <c r="S75"/>
  <c r="S74"/>
  <c r="S73"/>
  <c r="S72"/>
  <c r="S71"/>
  <c r="S70"/>
  <c r="S69"/>
  <c r="S68"/>
  <c r="S67"/>
  <c r="S66"/>
  <c r="S65"/>
  <c r="S64"/>
  <c r="S63"/>
  <c r="S62"/>
  <c r="S61"/>
  <c r="S60"/>
  <c r="S58"/>
  <c r="S57"/>
  <c r="S56"/>
  <c r="S55"/>
  <c r="S54"/>
  <c r="S53"/>
  <c r="S52"/>
  <c r="S51"/>
  <c r="S50"/>
  <c r="S49"/>
  <c r="S48"/>
  <c r="S47"/>
  <c r="S46"/>
  <c r="S45"/>
  <c r="S44"/>
  <c r="S43"/>
  <c r="S42"/>
  <c r="S41"/>
  <c r="S38"/>
  <c r="S37"/>
  <c r="S36"/>
  <c r="S35"/>
  <c r="S34"/>
  <c r="S33"/>
  <c r="S29"/>
  <c r="S28"/>
  <c r="S27"/>
  <c r="S26"/>
  <c r="S24"/>
  <c r="S23"/>
  <c r="S22"/>
  <c r="S21"/>
  <c r="S20"/>
  <c r="S19"/>
  <c r="S18"/>
  <c r="S16"/>
  <c r="S14"/>
  <c r="S13"/>
  <c r="S12"/>
  <c r="S11"/>
  <c r="S10"/>
  <c r="S9"/>
  <c r="S8"/>
  <c r="S7"/>
  <c r="R90"/>
  <c r="R89"/>
  <c r="R88"/>
  <c r="R87"/>
  <c r="R86"/>
  <c r="R85"/>
  <c r="R84"/>
  <c r="R83"/>
  <c r="R82"/>
  <c r="R81"/>
  <c r="R78"/>
  <c r="R77"/>
  <c r="R76"/>
  <c r="R75"/>
  <c r="R74"/>
  <c r="R73"/>
  <c r="R72"/>
  <c r="R71"/>
  <c r="R70"/>
  <c r="R69"/>
  <c r="R68"/>
  <c r="R67"/>
  <c r="R66"/>
  <c r="R65"/>
  <c r="R64"/>
  <c r="R63"/>
  <c r="R62"/>
  <c r="R61"/>
  <c r="R60"/>
  <c r="R58"/>
  <c r="R57"/>
  <c r="R56"/>
  <c r="R55"/>
  <c r="R54"/>
  <c r="R53"/>
  <c r="R52"/>
  <c r="R51"/>
  <c r="R50"/>
  <c r="R49"/>
  <c r="R48"/>
  <c r="R47"/>
  <c r="R46"/>
  <c r="R45"/>
  <c r="R44"/>
  <c r="R43"/>
  <c r="R42"/>
  <c r="R41"/>
  <c r="R38"/>
  <c r="R37"/>
  <c r="R36"/>
  <c r="R35"/>
  <c r="R34"/>
  <c r="R33"/>
  <c r="R29"/>
  <c r="R28"/>
  <c r="R27"/>
  <c r="R26"/>
  <c r="R24"/>
  <c r="R23"/>
  <c r="R22"/>
  <c r="R21"/>
  <c r="R20"/>
  <c r="R19"/>
  <c r="R18"/>
  <c r="R16"/>
  <c r="R8"/>
  <c r="R9"/>
  <c r="R10"/>
  <c r="R11"/>
  <c r="R12"/>
  <c r="R13"/>
  <c r="R14"/>
  <c r="R7"/>
  <c r="L145"/>
  <c r="M145" s="1"/>
  <c r="L146"/>
  <c r="M146" s="1"/>
  <c r="L147"/>
  <c r="M147" s="1"/>
  <c r="L148"/>
  <c r="M148" s="1"/>
  <c r="L149"/>
  <c r="M149" s="1"/>
  <c r="L150"/>
  <c r="M150" s="1"/>
  <c r="L151"/>
  <c r="M151" s="1"/>
  <c r="L152"/>
  <c r="M152" s="1"/>
  <c r="L153"/>
  <c r="M153" s="1"/>
  <c r="L154"/>
  <c r="M154" s="1"/>
  <c r="L155"/>
  <c r="M155" s="1"/>
  <c r="L156"/>
  <c r="M156" s="1"/>
  <c r="L157"/>
  <c r="M157" s="1"/>
  <c r="L158"/>
  <c r="M158" s="1"/>
  <c r="L159"/>
  <c r="M159" s="1"/>
  <c r="L160"/>
  <c r="M160" s="1"/>
  <c r="L161"/>
  <c r="M161" s="1"/>
  <c r="L162"/>
  <c r="M162" s="1"/>
  <c r="L163"/>
  <c r="M163" s="1"/>
  <c r="L164"/>
  <c r="M164" s="1"/>
  <c r="L165"/>
  <c r="M165" s="1"/>
  <c r="L166"/>
  <c r="M166" s="1"/>
  <c r="L167"/>
  <c r="L144"/>
  <c r="M144" s="1"/>
  <c r="F23" i="2"/>
  <c r="D4"/>
  <c r="C4"/>
  <c r="AC200" i="1"/>
  <c r="AC188"/>
  <c r="AE188" s="1"/>
  <c r="AC181"/>
  <c r="AE181" s="1"/>
  <c r="AA175"/>
  <c r="AB175" s="1"/>
  <c r="AE175" s="1"/>
  <c r="AC153"/>
  <c r="AE153" s="1"/>
  <c r="AC149"/>
  <c r="AE149" s="1"/>
  <c r="AC144"/>
  <c r="AE144" s="1"/>
  <c r="AC130"/>
  <c r="AE130" s="1"/>
  <c r="AC116"/>
  <c r="AE116" s="1"/>
  <c r="AC115"/>
  <c r="AB227"/>
  <c r="Y227"/>
  <c r="L227"/>
  <c r="M227" s="1"/>
  <c r="AB214"/>
  <c r="Y214"/>
  <c r="L214"/>
  <c r="M214" s="1"/>
  <c r="AB209"/>
  <c r="Y209"/>
  <c r="L209"/>
  <c r="M209" s="1"/>
  <c r="AB205"/>
  <c r="Y205"/>
  <c r="L205"/>
  <c r="M205" s="1"/>
  <c r="AS195"/>
  <c r="AB195"/>
  <c r="Y195"/>
  <c r="L195"/>
  <c r="M195" s="1"/>
  <c r="AS198"/>
  <c r="AB198"/>
  <c r="Y198"/>
  <c r="L198"/>
  <c r="AB176"/>
  <c r="Y176"/>
  <c r="L176"/>
  <c r="M176" s="1"/>
  <c r="AS166"/>
  <c r="AB166"/>
  <c r="Y166"/>
  <c r="AB155"/>
  <c r="Y155"/>
  <c r="AB152"/>
  <c r="Y152"/>
  <c r="AC148"/>
  <c r="AB148"/>
  <c r="Y148"/>
  <c r="AB146"/>
  <c r="Y146"/>
  <c r="AB145"/>
  <c r="Y145"/>
  <c r="AS131"/>
  <c r="AB131"/>
  <c r="Y131"/>
  <c r="L131"/>
  <c r="M131" s="1"/>
  <c r="AE16" l="1"/>
  <c r="AE33"/>
  <c r="AE37"/>
  <c r="AE97"/>
  <c r="AE102"/>
  <c r="AE106"/>
  <c r="AE110"/>
  <c r="AE119"/>
  <c r="AE123"/>
  <c r="AE127"/>
  <c r="AE132"/>
  <c r="AE151"/>
  <c r="AE157"/>
  <c r="AE161"/>
  <c r="AE165"/>
  <c r="AE171"/>
  <c r="AE177"/>
  <c r="AE183"/>
  <c r="AE187"/>
  <c r="AE191"/>
  <c r="AE203"/>
  <c r="AE218"/>
  <c r="AE225"/>
  <c r="AE230"/>
  <c r="AE36"/>
  <c r="AE96"/>
  <c r="AE100"/>
  <c r="AE105"/>
  <c r="AE109"/>
  <c r="AE114"/>
  <c r="AE118"/>
  <c r="AE122"/>
  <c r="AE126"/>
  <c r="AE135"/>
  <c r="AE141"/>
  <c r="AE156"/>
  <c r="AE160"/>
  <c r="AE164"/>
  <c r="AE170"/>
  <c r="AE174"/>
  <c r="AE182"/>
  <c r="AE186"/>
  <c r="AE190"/>
  <c r="AE194"/>
  <c r="AE207"/>
  <c r="AE212"/>
  <c r="AE221"/>
  <c r="AE229"/>
  <c r="AE234"/>
  <c r="AE239"/>
  <c r="AE35"/>
  <c r="AE95"/>
  <c r="AE99"/>
  <c r="AE104"/>
  <c r="AE108"/>
  <c r="AE112"/>
  <c r="AE117"/>
  <c r="AE121"/>
  <c r="AE125"/>
  <c r="AE129"/>
  <c r="AE134"/>
  <c r="AE140"/>
  <c r="AE159"/>
  <c r="AE163"/>
  <c r="AE169"/>
  <c r="AE173"/>
  <c r="AE185"/>
  <c r="AE189"/>
  <c r="AE199"/>
  <c r="AE206"/>
  <c r="AE216"/>
  <c r="AE220"/>
  <c r="AE228"/>
  <c r="AE233"/>
  <c r="AE238"/>
  <c r="AE34"/>
  <c r="AE38"/>
  <c r="AE94"/>
  <c r="AE98"/>
  <c r="AE103"/>
  <c r="AE107"/>
  <c r="AE111"/>
  <c r="AE120"/>
  <c r="AE124"/>
  <c r="AE128"/>
  <c r="AE133"/>
  <c r="AE172"/>
  <c r="AE180"/>
  <c r="AE184"/>
  <c r="AE192"/>
  <c r="AE210"/>
  <c r="AE215"/>
  <c r="AE219"/>
  <c r="AE237"/>
  <c r="AE7"/>
  <c r="AE21"/>
  <c r="AE26"/>
  <c r="AE60"/>
  <c r="AE64"/>
  <c r="AE68"/>
  <c r="AE72"/>
  <c r="AE76"/>
  <c r="AE42"/>
  <c r="AE46"/>
  <c r="AE50"/>
  <c r="AE54"/>
  <c r="AE58"/>
  <c r="AE81"/>
  <c r="AE85"/>
  <c r="AE89"/>
  <c r="AE193"/>
  <c r="AE10"/>
  <c r="AE14"/>
  <c r="AE20"/>
  <c r="AE24"/>
  <c r="AE29"/>
  <c r="AE63"/>
  <c r="AE67"/>
  <c r="AE71"/>
  <c r="AE75"/>
  <c r="AE41"/>
  <c r="AE45"/>
  <c r="AE49"/>
  <c r="AE53"/>
  <c r="AE57"/>
  <c r="AE84"/>
  <c r="AE88"/>
  <c r="AE154"/>
  <c r="AE197"/>
  <c r="AE204"/>
  <c r="AE226"/>
  <c r="AE241"/>
  <c r="AE9"/>
  <c r="AE13"/>
  <c r="AE19"/>
  <c r="AE23"/>
  <c r="AE28"/>
  <c r="AE62"/>
  <c r="AE66"/>
  <c r="AE70"/>
  <c r="AE74"/>
  <c r="AE78"/>
  <c r="AE44"/>
  <c r="AE48"/>
  <c r="AE52"/>
  <c r="AE56"/>
  <c r="AE83"/>
  <c r="AE87"/>
  <c r="AE147"/>
  <c r="AE162"/>
  <c r="AE196"/>
  <c r="AE208"/>
  <c r="AE213"/>
  <c r="AE235"/>
  <c r="AE240"/>
  <c r="AE8"/>
  <c r="AE12"/>
  <c r="AE22"/>
  <c r="AE61"/>
  <c r="AE65"/>
  <c r="AE69"/>
  <c r="AE73"/>
  <c r="AE77"/>
  <c r="AE43"/>
  <c r="AE47"/>
  <c r="AE51"/>
  <c r="AE55"/>
  <c r="AE82"/>
  <c r="AE86"/>
  <c r="AE90"/>
  <c r="L91" i="12"/>
  <c r="L80" s="1"/>
  <c r="AQ155"/>
  <c r="AQ156"/>
  <c r="AV93"/>
  <c r="Z23" i="18"/>
  <c r="BA224" i="12"/>
  <c r="BA223" s="1"/>
  <c r="AE36" i="18"/>
  <c r="AE35" s="1"/>
  <c r="AE34" s="1"/>
  <c r="AE14" i="12"/>
  <c r="AF14" s="1"/>
  <c r="AR14" s="1"/>
  <c r="AJ6"/>
  <c r="AJ5" s="1"/>
  <c r="AE16"/>
  <c r="T30"/>
  <c r="AE36"/>
  <c r="AF36" s="1"/>
  <c r="AR36" s="1"/>
  <c r="AE38"/>
  <c r="AF38" s="1"/>
  <c r="AR38" s="1"/>
  <c r="AX31"/>
  <c r="AE43"/>
  <c r="AF43" s="1"/>
  <c r="AR43" s="1"/>
  <c r="AE44"/>
  <c r="AF44" s="1"/>
  <c r="AR44" s="1"/>
  <c r="AE54"/>
  <c r="AF54" s="1"/>
  <c r="AR54" s="1"/>
  <c r="AE55"/>
  <c r="AF55" s="1"/>
  <c r="AR55" s="1"/>
  <c r="AE56"/>
  <c r="AF56" s="1"/>
  <c r="AR56" s="1"/>
  <c r="AE61"/>
  <c r="AF61" s="1"/>
  <c r="AR61" s="1"/>
  <c r="R91"/>
  <c r="R80" s="1"/>
  <c r="AS100"/>
  <c r="AB113"/>
  <c r="AE110"/>
  <c r="AE112"/>
  <c r="AF112" s="1"/>
  <c r="AR112" s="1"/>
  <c r="AF124"/>
  <c r="AR124" s="1"/>
  <c r="AF131"/>
  <c r="AB139"/>
  <c r="AF177"/>
  <c r="AR177" s="1"/>
  <c r="AK143"/>
  <c r="AF211"/>
  <c r="AR211" s="1"/>
  <c r="T236"/>
  <c r="AM135" i="17"/>
  <c r="AN135" s="1"/>
  <c r="AM124" i="22"/>
  <c r="AN124" s="1"/>
  <c r="AZ202" i="12"/>
  <c r="AD33" i="18"/>
  <c r="AD32" s="1"/>
  <c r="AW224" i="12"/>
  <c r="AW223" s="1"/>
  <c r="AA37" i="18"/>
  <c r="AY179" i="12"/>
  <c r="AC31" i="18"/>
  <c r="AC30" s="1"/>
  <c r="U15" i="12"/>
  <c r="AE24"/>
  <c r="AF24" s="1"/>
  <c r="AR24" s="1"/>
  <c r="AB30"/>
  <c r="R39"/>
  <c r="R32" s="1"/>
  <c r="AE34"/>
  <c r="AF34" s="1"/>
  <c r="AR34" s="1"/>
  <c r="Y39"/>
  <c r="Y32" s="1"/>
  <c r="L59"/>
  <c r="AE45"/>
  <c r="AF45" s="1"/>
  <c r="AR45" s="1"/>
  <c r="AE57"/>
  <c r="AF57" s="1"/>
  <c r="AR57" s="1"/>
  <c r="AQ68"/>
  <c r="Y91"/>
  <c r="Y80" s="1"/>
  <c r="U91"/>
  <c r="U80" s="1"/>
  <c r="S101"/>
  <c r="AB101"/>
  <c r="AS99"/>
  <c r="AE117"/>
  <c r="AF117" s="1"/>
  <c r="AR117" s="1"/>
  <c r="AF119"/>
  <c r="AR119" s="1"/>
  <c r="AE141"/>
  <c r="AF141" s="1"/>
  <c r="AR141" s="1"/>
  <c r="AF160"/>
  <c r="AR160" s="1"/>
  <c r="AF162"/>
  <c r="AR162" s="1"/>
  <c r="Y27" i="18"/>
  <c r="T178" i="12"/>
  <c r="AE175"/>
  <c r="AE189"/>
  <c r="AF189" s="1"/>
  <c r="AR189" s="1"/>
  <c r="AE205"/>
  <c r="AF205" s="1"/>
  <c r="AR205" s="1"/>
  <c r="S236"/>
  <c r="AM124" i="14"/>
  <c r="AN124" s="1"/>
  <c r="AM124" i="16"/>
  <c r="AN124" s="1"/>
  <c r="AM124" i="17"/>
  <c r="AN124" s="1"/>
  <c r="AS124" s="1"/>
  <c r="AM124" i="23"/>
  <c r="AC201" i="12"/>
  <c r="AC179" s="1"/>
  <c r="AS17"/>
  <c r="W9" i="18" s="1"/>
  <c r="AY202" i="12"/>
  <c r="AC33" i="18"/>
  <c r="AC32" s="1"/>
  <c r="AE28" i="12"/>
  <c r="AF28" s="1"/>
  <c r="AR28" s="1"/>
  <c r="AE29"/>
  <c r="AF29" s="1"/>
  <c r="AR29" s="1"/>
  <c r="AE69"/>
  <c r="AF69" s="1"/>
  <c r="AR69" s="1"/>
  <c r="AE85"/>
  <c r="AF85" s="1"/>
  <c r="AR85" s="1"/>
  <c r="AE88"/>
  <c r="AF88" s="1"/>
  <c r="AR88" s="1"/>
  <c r="AA21" i="18"/>
  <c r="AF166" i="12"/>
  <c r="AR166" s="1"/>
  <c r="AF167"/>
  <c r="AR167" s="1"/>
  <c r="AE171"/>
  <c r="AF171" s="1"/>
  <c r="AR171" s="1"/>
  <c r="AE210"/>
  <c r="AF210" s="1"/>
  <c r="AR210" s="1"/>
  <c r="AE234"/>
  <c r="AF234" s="1"/>
  <c r="AR234" s="1"/>
  <c r="AE239"/>
  <c r="AF239" s="1"/>
  <c r="AR239" s="1"/>
  <c r="AS124" i="13"/>
  <c r="AM124" i="15"/>
  <c r="AN124" s="1"/>
  <c r="AS124" s="1"/>
  <c r="AM135"/>
  <c r="AN135" s="1"/>
  <c r="AS135" s="1"/>
  <c r="AM135" i="21"/>
  <c r="Y25" i="18"/>
  <c r="AL6" i="12"/>
  <c r="AL5" s="1"/>
  <c r="Y30"/>
  <c r="AJ31"/>
  <c r="AE42"/>
  <c r="AF42" s="1"/>
  <c r="AR42" s="1"/>
  <c r="AQ72"/>
  <c r="AE90"/>
  <c r="AF90" s="1"/>
  <c r="AR90" s="1"/>
  <c r="AK92"/>
  <c r="AE102"/>
  <c r="AE103"/>
  <c r="AF103" s="1"/>
  <c r="AR103" s="1"/>
  <c r="AD93"/>
  <c r="AD92" s="1"/>
  <c r="AF137"/>
  <c r="AF138"/>
  <c r="AR138" s="1"/>
  <c r="Y142"/>
  <c r="AF156"/>
  <c r="AR156" s="1"/>
  <c r="AE173"/>
  <c r="AF173" s="1"/>
  <c r="AR173" s="1"/>
  <c r="AL143"/>
  <c r="AL92" s="1"/>
  <c r="S222"/>
  <c r="S202" s="1"/>
  <c r="AE229"/>
  <c r="AF229" s="1"/>
  <c r="AR229" s="1"/>
  <c r="AA35" i="18"/>
  <c r="AA34" s="1"/>
  <c r="U236" i="12"/>
  <c r="Y236"/>
  <c r="AM135" i="13"/>
  <c r="AM135" i="22"/>
  <c r="AN135" s="1"/>
  <c r="AS135" s="1"/>
  <c r="AE197" i="12"/>
  <c r="AX204"/>
  <c r="BJ204" i="23" s="1"/>
  <c r="AW179" i="12"/>
  <c r="AW92" s="1"/>
  <c r="AA31" i="18"/>
  <c r="AA30" s="1"/>
  <c r="AA20" s="1"/>
  <c r="AZ143" i="12"/>
  <c r="AD29" i="18"/>
  <c r="AE27"/>
  <c r="BA92" i="12"/>
  <c r="BA143"/>
  <c r="AD27" i="18"/>
  <c r="AN137" i="15"/>
  <c r="AS137" s="1"/>
  <c r="AU143" i="12"/>
  <c r="AS99" i="17"/>
  <c r="AT99" s="1"/>
  <c r="BB99" s="1"/>
  <c r="AM113"/>
  <c r="AM232"/>
  <c r="AS18" i="16"/>
  <c r="AS135" i="17"/>
  <c r="AM113" i="15"/>
  <c r="AQ115" i="12"/>
  <c r="Y30" i="13"/>
  <c r="AE167"/>
  <c r="AF167" s="1"/>
  <c r="AR167" s="1"/>
  <c r="AE177"/>
  <c r="AF177" s="1"/>
  <c r="AR177" s="1"/>
  <c r="AE231"/>
  <c r="AF231" s="1"/>
  <c r="AR231" s="1"/>
  <c r="AC168"/>
  <c r="AC143" s="1"/>
  <c r="AC242"/>
  <c r="AL143"/>
  <c r="AY202"/>
  <c r="AF204"/>
  <c r="AR204" s="1"/>
  <c r="AF218"/>
  <c r="AR218" s="1"/>
  <c r="Y236"/>
  <c r="AF115"/>
  <c r="AR115" s="1"/>
  <c r="AE117"/>
  <c r="AF117" s="1"/>
  <c r="AR117" s="1"/>
  <c r="AE118"/>
  <c r="AF118" s="1"/>
  <c r="AR118" s="1"/>
  <c r="AC101"/>
  <c r="AJ93"/>
  <c r="AW179"/>
  <c r="AU202"/>
  <c r="BA179"/>
  <c r="AM7" i="18"/>
  <c r="AM6" s="1"/>
  <c r="AQ7"/>
  <c r="AQ6" s="1"/>
  <c r="AR12"/>
  <c r="AL15"/>
  <c r="AP15"/>
  <c r="AP12" s="1"/>
  <c r="AO7"/>
  <c r="AO6" s="1"/>
  <c r="AR27"/>
  <c r="AN27"/>
  <c r="M7" i="13"/>
  <c r="AC7" s="1"/>
  <c r="AR32" i="18"/>
  <c r="AN32"/>
  <c r="AE20" i="13"/>
  <c r="AF20" s="1"/>
  <c r="AR20" s="1"/>
  <c r="AE63"/>
  <c r="AF63" s="1"/>
  <c r="AR63" s="1"/>
  <c r="AE65"/>
  <c r="AF65" s="1"/>
  <c r="AR65" s="1"/>
  <c r="Y91"/>
  <c r="Y80" s="1"/>
  <c r="AE103"/>
  <c r="AF103" s="1"/>
  <c r="AR103" s="1"/>
  <c r="AM139"/>
  <c r="AM242"/>
  <c r="AD224"/>
  <c r="AD223" s="1"/>
  <c r="AO35" i="18"/>
  <c r="AO34" s="1"/>
  <c r="AZ202" i="13"/>
  <c r="AV202"/>
  <c r="AX179"/>
  <c r="AQ27" i="18"/>
  <c r="AM27"/>
  <c r="AY143" i="13"/>
  <c r="AU143"/>
  <c r="AO21" i="18"/>
  <c r="AV93" i="13"/>
  <c r="AO32" i="18"/>
  <c r="AQ30"/>
  <c r="AM30"/>
  <c r="T15" i="13"/>
  <c r="T25"/>
  <c r="AB25"/>
  <c r="AE27"/>
  <c r="AF27" s="1"/>
  <c r="AR27" s="1"/>
  <c r="AE29"/>
  <c r="AF29" s="1"/>
  <c r="AR29" s="1"/>
  <c r="T39"/>
  <c r="T32" s="1"/>
  <c r="T59"/>
  <c r="AQ67"/>
  <c r="AJ40"/>
  <c r="AJ31" s="1"/>
  <c r="AE83"/>
  <c r="AF83" s="1"/>
  <c r="AR83" s="1"/>
  <c r="AB139"/>
  <c r="AE157"/>
  <c r="AF157" s="1"/>
  <c r="AR157" s="1"/>
  <c r="AE171"/>
  <c r="AF171" s="1"/>
  <c r="AR171" s="1"/>
  <c r="Y232"/>
  <c r="AD93"/>
  <c r="AD92" s="1"/>
  <c r="AL93"/>
  <c r="AL92" s="1"/>
  <c r="BA202"/>
  <c r="AW202"/>
  <c r="AY179"/>
  <c r="AU179"/>
  <c r="AZ143"/>
  <c r="AV143"/>
  <c r="AP21" i="18"/>
  <c r="AL21"/>
  <c r="AP32"/>
  <c r="AL32"/>
  <c r="AR30"/>
  <c r="AN30"/>
  <c r="AE34" i="13"/>
  <c r="AF34" s="1"/>
  <c r="AR34" s="1"/>
  <c r="AE43"/>
  <c r="AF43" s="1"/>
  <c r="AR43" s="1"/>
  <c r="AE68"/>
  <c r="AF68" s="1"/>
  <c r="AR68" s="1"/>
  <c r="AE78"/>
  <c r="AF78" s="1"/>
  <c r="AR78" s="1"/>
  <c r="AE85"/>
  <c r="AF85" s="1"/>
  <c r="AR85" s="1"/>
  <c r="AE88"/>
  <c r="AF88" s="1"/>
  <c r="AR88" s="1"/>
  <c r="AC136"/>
  <c r="AX202"/>
  <c r="AZ179"/>
  <c r="AV179"/>
  <c r="AO27" i="18"/>
  <c r="BA143" i="13"/>
  <c r="AW143"/>
  <c r="AM21" i="18"/>
  <c r="AM20" s="1"/>
  <c r="AQ32"/>
  <c r="AM32"/>
  <c r="AE12" i="13"/>
  <c r="AF12" s="1"/>
  <c r="AR12" s="1"/>
  <c r="R25"/>
  <c r="Y25"/>
  <c r="AY32"/>
  <c r="AY31" s="1"/>
  <c r="R39"/>
  <c r="R32" s="1"/>
  <c r="Y39"/>
  <c r="Y32" s="1"/>
  <c r="AE35"/>
  <c r="AF35" s="1"/>
  <c r="AR35" s="1"/>
  <c r="AE37"/>
  <c r="AF37" s="1"/>
  <c r="AR37" s="1"/>
  <c r="R59"/>
  <c r="Y59"/>
  <c r="AE46"/>
  <c r="AF46" s="1"/>
  <c r="AR46" s="1"/>
  <c r="AE56"/>
  <c r="AF56" s="1"/>
  <c r="AR56" s="1"/>
  <c r="AE186"/>
  <c r="AF186" s="1"/>
  <c r="AR186" s="1"/>
  <c r="AF209"/>
  <c r="AR209" s="1"/>
  <c r="AP27" i="18"/>
  <c r="AL27"/>
  <c r="AX143" i="13"/>
  <c r="AR21" i="18"/>
  <c r="AR20" s="1"/>
  <c r="AN21"/>
  <c r="AN20" s="1"/>
  <c r="AZ113" i="13"/>
  <c r="AQ23" i="18" s="1"/>
  <c r="AQ35"/>
  <c r="AQ34" s="1"/>
  <c r="AM35"/>
  <c r="AM34" s="1"/>
  <c r="AY224" i="13"/>
  <c r="AY223" s="1"/>
  <c r="AU224"/>
  <c r="AU223" s="1"/>
  <c r="AR35" i="18"/>
  <c r="AR34" s="1"/>
  <c r="AN35"/>
  <c r="AN34" s="1"/>
  <c r="AZ224" i="13"/>
  <c r="AZ223" s="1"/>
  <c r="AV224"/>
  <c r="AV223" s="1"/>
  <c r="BA224"/>
  <c r="BA223" s="1"/>
  <c r="AW224"/>
  <c r="AW223" s="1"/>
  <c r="AP35" i="18"/>
  <c r="AP34" s="1"/>
  <c r="AL35"/>
  <c r="AL34" s="1"/>
  <c r="AX224" i="13"/>
  <c r="AX223" s="1"/>
  <c r="AN124" i="23"/>
  <c r="AS124" s="1"/>
  <c r="AN99"/>
  <c r="AS99" s="1"/>
  <c r="AS123"/>
  <c r="AN140"/>
  <c r="AN142" s="1"/>
  <c r="AM139"/>
  <c r="AM101"/>
  <c r="AM136"/>
  <c r="AN141" i="22"/>
  <c r="AS141" s="1"/>
  <c r="AN100" i="21"/>
  <c r="AS100" s="1"/>
  <c r="AN99"/>
  <c r="AS99" s="1"/>
  <c r="AN124"/>
  <c r="AS124" s="1"/>
  <c r="AN138"/>
  <c r="AS138" s="1"/>
  <c r="AN137"/>
  <c r="AS137" s="1"/>
  <c r="AN18"/>
  <c r="AS18" s="1"/>
  <c r="AN140"/>
  <c r="AN142" s="1"/>
  <c r="AB178" i="23"/>
  <c r="AE46"/>
  <c r="AF46" s="1"/>
  <c r="AR46" s="1"/>
  <c r="AE110"/>
  <c r="AF110" s="1"/>
  <c r="AR110" s="1"/>
  <c r="AB39"/>
  <c r="AB32" s="1"/>
  <c r="AE14"/>
  <c r="AF14" s="1"/>
  <c r="AR14" s="1"/>
  <c r="AE51"/>
  <c r="AF51" s="1"/>
  <c r="AR51" s="1"/>
  <c r="AE195"/>
  <c r="AF195" s="1"/>
  <c r="AR195" s="1"/>
  <c r="AB236"/>
  <c r="AE231"/>
  <c r="AF231" s="1"/>
  <c r="AR231" s="1"/>
  <c r="AE114"/>
  <c r="AF114" s="1"/>
  <c r="AE164"/>
  <c r="AF164" s="1"/>
  <c r="AR164" s="1"/>
  <c r="AE68"/>
  <c r="AF68" s="1"/>
  <c r="AR68" s="1"/>
  <c r="AE102"/>
  <c r="AB15"/>
  <c r="AE28"/>
  <c r="AF28" s="1"/>
  <c r="AR28" s="1"/>
  <c r="AE191" i="22"/>
  <c r="AF191" s="1"/>
  <c r="AR191" s="1"/>
  <c r="AB15"/>
  <c r="AF148"/>
  <c r="AR148" s="1"/>
  <c r="AE239"/>
  <c r="AF239" s="1"/>
  <c r="AR239" s="1"/>
  <c r="AE241"/>
  <c r="AF241" s="1"/>
  <c r="AR241" s="1"/>
  <c r="AE105"/>
  <c r="AF105" s="1"/>
  <c r="AR105" s="1"/>
  <c r="AB139"/>
  <c r="AE204"/>
  <c r="AF204" s="1"/>
  <c r="AR204" s="1"/>
  <c r="AE129"/>
  <c r="AF129" s="1"/>
  <c r="AR129" s="1"/>
  <c r="AE216"/>
  <c r="AF216" s="1"/>
  <c r="AR216" s="1"/>
  <c r="AE35"/>
  <c r="AF35" s="1"/>
  <c r="AR35" s="1"/>
  <c r="AE165"/>
  <c r="AF165" s="1"/>
  <c r="AR165" s="1"/>
  <c r="AE72" i="21"/>
  <c r="AF72" s="1"/>
  <c r="AR72" s="1"/>
  <c r="AE111"/>
  <c r="AF111" s="1"/>
  <c r="AR111" s="1"/>
  <c r="AE135"/>
  <c r="AF135" s="1"/>
  <c r="AR135" s="1"/>
  <c r="AE158"/>
  <c r="AF158" s="1"/>
  <c r="AR158" s="1"/>
  <c r="AE212"/>
  <c r="AF212" s="1"/>
  <c r="AR212" s="1"/>
  <c r="AE77"/>
  <c r="AF77" s="1"/>
  <c r="AR77" s="1"/>
  <c r="AE42"/>
  <c r="AF42" s="1"/>
  <c r="AR42" s="1"/>
  <c r="AE125"/>
  <c r="AF125" s="1"/>
  <c r="AR125" s="1"/>
  <c r="AE14"/>
  <c r="AF14" s="1"/>
  <c r="AR14" s="1"/>
  <c r="AB39"/>
  <c r="AB32" s="1"/>
  <c r="Y59" i="23"/>
  <c r="AE43"/>
  <c r="AF43" s="1"/>
  <c r="AR43" s="1"/>
  <c r="AE234"/>
  <c r="AF234" s="1"/>
  <c r="AR234" s="1"/>
  <c r="Y25"/>
  <c r="AE161"/>
  <c r="AF161" s="1"/>
  <c r="AR161" s="1"/>
  <c r="AE220"/>
  <c r="AF220" s="1"/>
  <c r="AR220" s="1"/>
  <c r="AE62"/>
  <c r="AF62" s="1"/>
  <c r="AR62" s="1"/>
  <c r="Y91"/>
  <c r="Y80" s="1"/>
  <c r="AE126"/>
  <c r="AF126" s="1"/>
  <c r="AR126" s="1"/>
  <c r="AE186"/>
  <c r="AF186" s="1"/>
  <c r="AR186" s="1"/>
  <c r="AE194"/>
  <c r="AF194" s="1"/>
  <c r="AR194" s="1"/>
  <c r="AE210"/>
  <c r="AF210" s="1"/>
  <c r="AR210" s="1"/>
  <c r="AE239"/>
  <c r="AF239" s="1"/>
  <c r="AR239" s="1"/>
  <c r="AE108"/>
  <c r="AF108" s="1"/>
  <c r="AR108" s="1"/>
  <c r="AE77"/>
  <c r="AF77" s="1"/>
  <c r="AR77" s="1"/>
  <c r="AE156"/>
  <c r="AF156" s="1"/>
  <c r="AR156" s="1"/>
  <c r="AE238"/>
  <c r="AF238" s="1"/>
  <c r="AR238" s="1"/>
  <c r="Y15"/>
  <c r="AE65"/>
  <c r="AF65" s="1"/>
  <c r="AR65" s="1"/>
  <c r="AE144"/>
  <c r="AE10"/>
  <c r="AF10" s="1"/>
  <c r="AR10" s="1"/>
  <c r="AE56"/>
  <c r="AF56" s="1"/>
  <c r="AR56" s="1"/>
  <c r="AE241"/>
  <c r="AF241" s="1"/>
  <c r="AR241" s="1"/>
  <c r="AE90" i="22"/>
  <c r="AF90" s="1"/>
  <c r="AR90" s="1"/>
  <c r="AE64"/>
  <c r="AF64" s="1"/>
  <c r="AR64" s="1"/>
  <c r="AE111"/>
  <c r="AF111" s="1"/>
  <c r="AR111" s="1"/>
  <c r="AE167"/>
  <c r="AF167" s="1"/>
  <c r="AR167" s="1"/>
  <c r="AE60"/>
  <c r="Y139"/>
  <c r="AE24"/>
  <c r="AF24" s="1"/>
  <c r="AR24" s="1"/>
  <c r="Y113"/>
  <c r="AE131"/>
  <c r="AF131" s="1"/>
  <c r="AR131" s="1"/>
  <c r="AE45"/>
  <c r="AF45" s="1"/>
  <c r="AR45" s="1"/>
  <c r="AE56"/>
  <c r="AF56" s="1"/>
  <c r="AR56" s="1"/>
  <c r="AE189"/>
  <c r="AF189" s="1"/>
  <c r="AR189" s="1"/>
  <c r="AE13"/>
  <c r="AF13" s="1"/>
  <c r="AR13" s="1"/>
  <c r="AE78"/>
  <c r="AF78" s="1"/>
  <c r="AR78" s="1"/>
  <c r="AE186"/>
  <c r="AF186" s="1"/>
  <c r="AR186" s="1"/>
  <c r="AE213"/>
  <c r="AF213" s="1"/>
  <c r="AR213" s="1"/>
  <c r="AE21"/>
  <c r="AF21" s="1"/>
  <c r="AR21" s="1"/>
  <c r="AE110"/>
  <c r="AF110" s="1"/>
  <c r="AR110" s="1"/>
  <c r="AE166"/>
  <c r="AF166" s="1"/>
  <c r="AR166" s="1"/>
  <c r="Y15"/>
  <c r="AE12"/>
  <c r="AF12" s="1"/>
  <c r="AR12" s="1"/>
  <c r="Y59"/>
  <c r="Y232"/>
  <c r="Y224" s="1"/>
  <c r="Y223" s="1"/>
  <c r="AE64" i="21"/>
  <c r="AF64" s="1"/>
  <c r="AR64" s="1"/>
  <c r="AE67"/>
  <c r="AF67" s="1"/>
  <c r="AR67" s="1"/>
  <c r="AE9"/>
  <c r="AF9" s="1"/>
  <c r="AR9" s="1"/>
  <c r="AE48"/>
  <c r="AF48" s="1"/>
  <c r="AR48" s="1"/>
  <c r="AE45"/>
  <c r="AF45" s="1"/>
  <c r="AR45" s="1"/>
  <c r="AE51"/>
  <c r="AF51" s="1"/>
  <c r="AR51" s="1"/>
  <c r="AE60"/>
  <c r="AF60" s="1"/>
  <c r="AR60" s="1"/>
  <c r="AE82"/>
  <c r="AF82" s="1"/>
  <c r="AR82" s="1"/>
  <c r="AE157"/>
  <c r="AF157" s="1"/>
  <c r="AR157" s="1"/>
  <c r="AE239"/>
  <c r="AF239" s="1"/>
  <c r="AR239" s="1"/>
  <c r="Y39"/>
  <c r="Y32" s="1"/>
  <c r="AE56"/>
  <c r="AF56" s="1"/>
  <c r="AR56" s="1"/>
  <c r="AE231"/>
  <c r="AF231" s="1"/>
  <c r="AR231" s="1"/>
  <c r="Y91"/>
  <c r="Y80" s="1"/>
  <c r="AE84"/>
  <c r="AF84" s="1"/>
  <c r="AR84" s="1"/>
  <c r="AE225"/>
  <c r="AE110"/>
  <c r="AF110" s="1"/>
  <c r="AR110" s="1"/>
  <c r="AE128"/>
  <c r="AF128" s="1"/>
  <c r="AR128" s="1"/>
  <c r="AE186"/>
  <c r="AF186" s="1"/>
  <c r="AR186" s="1"/>
  <c r="Y15"/>
  <c r="AE37"/>
  <c r="AF37" s="1"/>
  <c r="AR37" s="1"/>
  <c r="AE57"/>
  <c r="AF57" s="1"/>
  <c r="AR57" s="1"/>
  <c r="AE76"/>
  <c r="AF76" s="1"/>
  <c r="AR76" s="1"/>
  <c r="AE197"/>
  <c r="AF197" s="1"/>
  <c r="AR197" s="1"/>
  <c r="S15" i="23"/>
  <c r="AE9"/>
  <c r="AF9" s="1"/>
  <c r="AR9" s="1"/>
  <c r="U39"/>
  <c r="U32" s="1"/>
  <c r="AE74"/>
  <c r="AF74" s="1"/>
  <c r="AR74" s="1"/>
  <c r="S101"/>
  <c r="AE112"/>
  <c r="AF112" s="1"/>
  <c r="AR112" s="1"/>
  <c r="AE149"/>
  <c r="AF149" s="1"/>
  <c r="AR149" s="1"/>
  <c r="AE183"/>
  <c r="AF183" s="1"/>
  <c r="AR183" s="1"/>
  <c r="AE190"/>
  <c r="AF190" s="1"/>
  <c r="AR190" s="1"/>
  <c r="AE199"/>
  <c r="AF199" s="1"/>
  <c r="AR199" s="1"/>
  <c r="AE216"/>
  <c r="AF216" s="1"/>
  <c r="AR216" s="1"/>
  <c r="AE21"/>
  <c r="AF21" s="1"/>
  <c r="AR21" s="1"/>
  <c r="AE37"/>
  <c r="AF37" s="1"/>
  <c r="AR37" s="1"/>
  <c r="T101"/>
  <c r="AE95"/>
  <c r="AF95" s="1"/>
  <c r="AR95" s="1"/>
  <c r="AE111"/>
  <c r="AF111" s="1"/>
  <c r="AR111" s="1"/>
  <c r="AE122"/>
  <c r="AF122" s="1"/>
  <c r="AR122" s="1"/>
  <c r="AF137"/>
  <c r="AE141"/>
  <c r="AF141" s="1"/>
  <c r="AR141" s="1"/>
  <c r="AE170"/>
  <c r="AF170" s="1"/>
  <c r="AR170" s="1"/>
  <c r="AE173"/>
  <c r="AF173" s="1"/>
  <c r="AR173" s="1"/>
  <c r="AE182"/>
  <c r="AF182" s="1"/>
  <c r="AR182" s="1"/>
  <c r="AE193"/>
  <c r="AF193" s="1"/>
  <c r="AR193" s="1"/>
  <c r="AE209"/>
  <c r="AF209" s="1"/>
  <c r="AR209" s="1"/>
  <c r="T236"/>
  <c r="U15"/>
  <c r="AE57"/>
  <c r="AF57" s="1"/>
  <c r="AR57" s="1"/>
  <c r="AE84"/>
  <c r="AF84" s="1"/>
  <c r="AR84" s="1"/>
  <c r="AE130"/>
  <c r="AF130" s="1"/>
  <c r="AR130" s="1"/>
  <c r="AE134"/>
  <c r="AF134" s="1"/>
  <c r="AR134" s="1"/>
  <c r="AE206"/>
  <c r="AF206" s="1"/>
  <c r="AR206" s="1"/>
  <c r="AE219"/>
  <c r="AF219" s="1"/>
  <c r="AR219" s="1"/>
  <c r="AE221"/>
  <c r="AF221" s="1"/>
  <c r="AR221" s="1"/>
  <c r="R232"/>
  <c r="AE229"/>
  <c r="AF229" s="1"/>
  <c r="AR229" s="1"/>
  <c r="AE240"/>
  <c r="AF240" s="1"/>
  <c r="AR240" s="1"/>
  <c r="R15"/>
  <c r="R6" s="1"/>
  <c r="R5" s="1"/>
  <c r="AE11"/>
  <c r="AF11" s="1"/>
  <c r="AR11" s="1"/>
  <c r="AE16"/>
  <c r="AE24"/>
  <c r="AF24" s="1"/>
  <c r="AR24" s="1"/>
  <c r="AE47"/>
  <c r="AF47" s="1"/>
  <c r="AR47" s="1"/>
  <c r="AE64"/>
  <c r="AF64" s="1"/>
  <c r="AR64" s="1"/>
  <c r="AE67"/>
  <c r="AF67" s="1"/>
  <c r="AR67" s="1"/>
  <c r="AE94"/>
  <c r="AE97"/>
  <c r="AF97" s="1"/>
  <c r="AR97" s="1"/>
  <c r="U136"/>
  <c r="AE121"/>
  <c r="AF121" s="1"/>
  <c r="AR121" s="1"/>
  <c r="AE125"/>
  <c r="AF125" s="1"/>
  <c r="AR125" s="1"/>
  <c r="AE157"/>
  <c r="AF157" s="1"/>
  <c r="AR157" s="1"/>
  <c r="AE175"/>
  <c r="AF175" s="1"/>
  <c r="AR175" s="1"/>
  <c r="AE196"/>
  <c r="AF196" s="1"/>
  <c r="AR196" s="1"/>
  <c r="AE8"/>
  <c r="AF8" s="1"/>
  <c r="AR8" s="1"/>
  <c r="AE76"/>
  <c r="AF76" s="1"/>
  <c r="AR76" s="1"/>
  <c r="AE107"/>
  <c r="AF107" s="1"/>
  <c r="AR107" s="1"/>
  <c r="AE140"/>
  <c r="AE142" s="1"/>
  <c r="AT161"/>
  <c r="BB161" s="1"/>
  <c r="AE192"/>
  <c r="AF192" s="1"/>
  <c r="AR192" s="1"/>
  <c r="AE212"/>
  <c r="AF212" s="1"/>
  <c r="AR212" s="1"/>
  <c r="T232"/>
  <c r="AE228"/>
  <c r="AF228" s="1"/>
  <c r="AR228" s="1"/>
  <c r="R236"/>
  <c r="T15"/>
  <c r="U30"/>
  <c r="R101"/>
  <c r="S113"/>
  <c r="R201"/>
  <c r="R179" s="1"/>
  <c r="AE208"/>
  <c r="AF208" s="1"/>
  <c r="AR208" s="1"/>
  <c r="T79"/>
  <c r="T40" s="1"/>
  <c r="T31" s="1"/>
  <c r="AE83"/>
  <c r="AF83" s="1"/>
  <c r="AR83" s="1"/>
  <c r="AE89"/>
  <c r="AF89" s="1"/>
  <c r="AR89" s="1"/>
  <c r="AE109"/>
  <c r="AF109" s="1"/>
  <c r="AR109" s="1"/>
  <c r="AE133"/>
  <c r="AF133" s="1"/>
  <c r="AR133" s="1"/>
  <c r="AE211"/>
  <c r="AF211" s="1"/>
  <c r="AR211" s="1"/>
  <c r="AE58"/>
  <c r="AF58" s="1"/>
  <c r="AR58" s="1"/>
  <c r="T136"/>
  <c r="AE124"/>
  <c r="AF124" s="1"/>
  <c r="AR124" s="1"/>
  <c r="T178"/>
  <c r="AE188"/>
  <c r="AF188" s="1"/>
  <c r="AR188" s="1"/>
  <c r="AT188" s="1"/>
  <c r="BB188" s="1"/>
  <c r="AE207"/>
  <c r="AF207" s="1"/>
  <c r="AR207" s="1"/>
  <c r="U236"/>
  <c r="S30"/>
  <c r="AE38"/>
  <c r="AF38" s="1"/>
  <c r="AR38" s="1"/>
  <c r="AE78"/>
  <c r="AF78" s="1"/>
  <c r="AR78" s="1"/>
  <c r="T91"/>
  <c r="T80" s="1"/>
  <c r="AE88"/>
  <c r="AF88" s="1"/>
  <c r="AR88" s="1"/>
  <c r="R136"/>
  <c r="AE118"/>
  <c r="AF118" s="1"/>
  <c r="AR118" s="1"/>
  <c r="AF150"/>
  <c r="AR150" s="1"/>
  <c r="R242"/>
  <c r="S25"/>
  <c r="AE19"/>
  <c r="AF19" s="1"/>
  <c r="AR19" s="1"/>
  <c r="AE34"/>
  <c r="AF34" s="1"/>
  <c r="AR34" s="1"/>
  <c r="U91"/>
  <c r="U80" s="1"/>
  <c r="U113"/>
  <c r="S136"/>
  <c r="AF138"/>
  <c r="AR138" s="1"/>
  <c r="T25"/>
  <c r="S39"/>
  <c r="S32" s="1"/>
  <c r="AE55"/>
  <c r="AF55" s="1"/>
  <c r="AR55" s="1"/>
  <c r="AE72"/>
  <c r="AF72" s="1"/>
  <c r="AR72" s="1"/>
  <c r="AE115"/>
  <c r="AF115" s="1"/>
  <c r="AR115" s="1"/>
  <c r="AE119"/>
  <c r="AF119" s="1"/>
  <c r="AR119" s="1"/>
  <c r="AE132"/>
  <c r="AF132" s="1"/>
  <c r="AR132" s="1"/>
  <c r="S142"/>
  <c r="AE167"/>
  <c r="AF167" s="1"/>
  <c r="AR167" s="1"/>
  <c r="U222"/>
  <c r="U202" s="1"/>
  <c r="AE213"/>
  <c r="AF213" s="1"/>
  <c r="AR213" s="1"/>
  <c r="AE230"/>
  <c r="AF230" s="1"/>
  <c r="AR230" s="1"/>
  <c r="T242"/>
  <c r="AE34" i="22"/>
  <c r="AF34" s="1"/>
  <c r="AR34" s="1"/>
  <c r="AE66"/>
  <c r="AF66" s="1"/>
  <c r="AR66" s="1"/>
  <c r="AE89"/>
  <c r="AF89" s="1"/>
  <c r="AR89" s="1"/>
  <c r="AE164"/>
  <c r="AF164" s="1"/>
  <c r="AR164" s="1"/>
  <c r="AE174"/>
  <c r="AF174" s="1"/>
  <c r="AR174" s="1"/>
  <c r="AE182"/>
  <c r="AF182" s="1"/>
  <c r="AR182" s="1"/>
  <c r="AE211"/>
  <c r="AF211" s="1"/>
  <c r="AR211" s="1"/>
  <c r="AE229"/>
  <c r="AF229" s="1"/>
  <c r="AR229" s="1"/>
  <c r="U15"/>
  <c r="AE54"/>
  <c r="AF54" s="1"/>
  <c r="AR54" s="1"/>
  <c r="AE73"/>
  <c r="AF73" s="1"/>
  <c r="AR73" s="1"/>
  <c r="AE86"/>
  <c r="AF86" s="1"/>
  <c r="AR86" s="1"/>
  <c r="AE108"/>
  <c r="AF108" s="1"/>
  <c r="AR108" s="1"/>
  <c r="AE119"/>
  <c r="AF119" s="1"/>
  <c r="AR119" s="1"/>
  <c r="S139"/>
  <c r="AE158"/>
  <c r="AF158" s="1"/>
  <c r="AR158" s="1"/>
  <c r="R222"/>
  <c r="R202" s="1"/>
  <c r="S79"/>
  <c r="AE83"/>
  <c r="AF83" s="1"/>
  <c r="AR83" s="1"/>
  <c r="T101"/>
  <c r="AE134"/>
  <c r="AF134" s="1"/>
  <c r="AR134" s="1"/>
  <c r="AF138"/>
  <c r="AR138" s="1"/>
  <c r="AE155"/>
  <c r="AF155" s="1"/>
  <c r="AR155" s="1"/>
  <c r="AE161"/>
  <c r="AF161" s="1"/>
  <c r="AR161" s="1"/>
  <c r="AE198"/>
  <c r="AF198" s="1"/>
  <c r="AR198" s="1"/>
  <c r="AE207"/>
  <c r="AF207" s="1"/>
  <c r="AR207" s="1"/>
  <c r="AE9"/>
  <c r="AF9" s="1"/>
  <c r="AR9" s="1"/>
  <c r="AE28"/>
  <c r="AF28" s="1"/>
  <c r="AR28" s="1"/>
  <c r="AE37"/>
  <c r="AF37" s="1"/>
  <c r="AR37" s="1"/>
  <c r="S59"/>
  <c r="AE65"/>
  <c r="AF65" s="1"/>
  <c r="AR65" s="1"/>
  <c r="U101"/>
  <c r="AE195"/>
  <c r="AF195" s="1"/>
  <c r="AR195" s="1"/>
  <c r="S222"/>
  <c r="S202" s="1"/>
  <c r="T232"/>
  <c r="T224" s="1"/>
  <c r="T223" s="1"/>
  <c r="AE16"/>
  <c r="T39"/>
  <c r="T32" s="1"/>
  <c r="AE47"/>
  <c r="AF47" s="1"/>
  <c r="AR47" s="1"/>
  <c r="R59"/>
  <c r="AE63"/>
  <c r="AF63" s="1"/>
  <c r="AR63" s="1"/>
  <c r="AE88"/>
  <c r="AF88" s="1"/>
  <c r="AR88" s="1"/>
  <c r="AE97"/>
  <c r="AF97" s="1"/>
  <c r="AR97" s="1"/>
  <c r="AE99"/>
  <c r="AF99" s="1"/>
  <c r="AR99" s="1"/>
  <c r="AE100"/>
  <c r="AF100" s="1"/>
  <c r="AR100" s="1"/>
  <c r="AE121"/>
  <c r="AF121" s="1"/>
  <c r="AR121" s="1"/>
  <c r="AE163"/>
  <c r="AF163" s="1"/>
  <c r="AR163" s="1"/>
  <c r="AE228"/>
  <c r="AF228" s="1"/>
  <c r="AR228" s="1"/>
  <c r="U25"/>
  <c r="AE23"/>
  <c r="AF23" s="1"/>
  <c r="AR23" s="1"/>
  <c r="U39"/>
  <c r="U32" s="1"/>
  <c r="AE234"/>
  <c r="AF234" s="1"/>
  <c r="AR234" s="1"/>
  <c r="AE20"/>
  <c r="AF20" s="1"/>
  <c r="AR20" s="1"/>
  <c r="S30"/>
  <c r="AE27"/>
  <c r="AF27" s="1"/>
  <c r="AR27" s="1"/>
  <c r="AE44"/>
  <c r="AF44" s="1"/>
  <c r="AR44" s="1"/>
  <c r="AE50"/>
  <c r="AF50" s="1"/>
  <c r="AR50" s="1"/>
  <c r="AE68"/>
  <c r="AF68" s="1"/>
  <c r="AR68" s="1"/>
  <c r="AE82"/>
  <c r="AF82" s="1"/>
  <c r="AR82" s="1"/>
  <c r="AE84"/>
  <c r="AF84" s="1"/>
  <c r="AR84" s="1"/>
  <c r="AE94"/>
  <c r="AE104"/>
  <c r="AF104" s="1"/>
  <c r="AR104" s="1"/>
  <c r="AE107"/>
  <c r="AF107" s="1"/>
  <c r="AR107" s="1"/>
  <c r="AE127"/>
  <c r="AF127" s="1"/>
  <c r="AR127" s="1"/>
  <c r="AE151"/>
  <c r="AF151" s="1"/>
  <c r="AR151" s="1"/>
  <c r="S178"/>
  <c r="AE200"/>
  <c r="AF200" s="1"/>
  <c r="AR200" s="1"/>
  <c r="AE206"/>
  <c r="AF206" s="1"/>
  <c r="AR206" s="1"/>
  <c r="R15"/>
  <c r="AE8"/>
  <c r="AF8" s="1"/>
  <c r="AR8" s="1"/>
  <c r="AE11"/>
  <c r="AF11" s="1"/>
  <c r="AR11" s="1"/>
  <c r="AE33"/>
  <c r="R136"/>
  <c r="AE154"/>
  <c r="AF154" s="1"/>
  <c r="AR154" s="1"/>
  <c r="S15"/>
  <c r="AE14"/>
  <c r="AF14" s="1"/>
  <c r="AR14" s="1"/>
  <c r="S25"/>
  <c r="U30"/>
  <c r="AE74"/>
  <c r="AF74" s="1"/>
  <c r="AR74" s="1"/>
  <c r="AE87"/>
  <c r="AF87" s="1"/>
  <c r="AR87" s="1"/>
  <c r="AE175"/>
  <c r="AF175" s="1"/>
  <c r="AR175" s="1"/>
  <c r="AE230"/>
  <c r="AF230" s="1"/>
  <c r="AR230" s="1"/>
  <c r="U236"/>
  <c r="U224" s="1"/>
  <c r="U223" s="1"/>
  <c r="T15"/>
  <c r="T6" s="1"/>
  <c r="T5" s="1"/>
  <c r="T25"/>
  <c r="AE22"/>
  <c r="AF22" s="1"/>
  <c r="AR22" s="1"/>
  <c r="AE52"/>
  <c r="AF52" s="1"/>
  <c r="AR52" s="1"/>
  <c r="AE55"/>
  <c r="AF55" s="1"/>
  <c r="AR55" s="1"/>
  <c r="AE58"/>
  <c r="AF58" s="1"/>
  <c r="AR58" s="1"/>
  <c r="AE98"/>
  <c r="AF98" s="1"/>
  <c r="AR98" s="1"/>
  <c r="AE109"/>
  <c r="AF109" s="1"/>
  <c r="AR109" s="1"/>
  <c r="S142"/>
  <c r="AE141"/>
  <c r="AF141" s="1"/>
  <c r="AR141" s="1"/>
  <c r="AE159"/>
  <c r="AF159" s="1"/>
  <c r="AR159" s="1"/>
  <c r="AE162"/>
  <c r="AF162" s="1"/>
  <c r="AR162" s="1"/>
  <c r="AE172"/>
  <c r="AF172" s="1"/>
  <c r="AR172" s="1"/>
  <c r="AE227"/>
  <c r="AF227" s="1"/>
  <c r="AR227" s="1"/>
  <c r="R30"/>
  <c r="T91"/>
  <c r="T80" s="1"/>
  <c r="AE103"/>
  <c r="AF103" s="1"/>
  <c r="AR103" s="1"/>
  <c r="AE117"/>
  <c r="AF117" s="1"/>
  <c r="AR117" s="1"/>
  <c r="AE120"/>
  <c r="AF120" s="1"/>
  <c r="AR120" s="1"/>
  <c r="AE126"/>
  <c r="AF126" s="1"/>
  <c r="AR126" s="1"/>
  <c r="T178"/>
  <c r="AE177"/>
  <c r="AF177" s="1"/>
  <c r="AR177" s="1"/>
  <c r="AE217"/>
  <c r="AF217" s="1"/>
  <c r="AR217" s="1"/>
  <c r="AE237"/>
  <c r="AE18"/>
  <c r="T79"/>
  <c r="AE70"/>
  <c r="AF70" s="1"/>
  <c r="AR70" s="1"/>
  <c r="AT70" s="1"/>
  <c r="BB70" s="1"/>
  <c r="AE135"/>
  <c r="AF135" s="1"/>
  <c r="AR135" s="1"/>
  <c r="AF150"/>
  <c r="AR150" s="1"/>
  <c r="AE156"/>
  <c r="AF156" s="1"/>
  <c r="AR156" s="1"/>
  <c r="R201"/>
  <c r="R179" s="1"/>
  <c r="AE220"/>
  <c r="AF220" s="1"/>
  <c r="AR220" s="1"/>
  <c r="AE8" i="21"/>
  <c r="AF8" s="1"/>
  <c r="AR8" s="1"/>
  <c r="AE16"/>
  <c r="T25"/>
  <c r="AE22"/>
  <c r="AF22" s="1"/>
  <c r="AR22" s="1"/>
  <c r="AE35"/>
  <c r="AF35" s="1"/>
  <c r="AR35" s="1"/>
  <c r="AE116"/>
  <c r="AF116" s="1"/>
  <c r="AR116" s="1"/>
  <c r="AE127"/>
  <c r="AF127" s="1"/>
  <c r="AR127" s="1"/>
  <c r="AE165"/>
  <c r="AF165" s="1"/>
  <c r="AR165" s="1"/>
  <c r="AE167"/>
  <c r="AF167" s="1"/>
  <c r="AR167" s="1"/>
  <c r="R15"/>
  <c r="U25"/>
  <c r="AE19"/>
  <c r="AF19" s="1"/>
  <c r="AR19" s="1"/>
  <c r="AE90"/>
  <c r="AF90" s="1"/>
  <c r="AR90" s="1"/>
  <c r="AE170"/>
  <c r="AF170" s="1"/>
  <c r="AR170" s="1"/>
  <c r="AE184"/>
  <c r="AF184" s="1"/>
  <c r="AR184" s="1"/>
  <c r="AE200"/>
  <c r="AF200" s="1"/>
  <c r="AR200" s="1"/>
  <c r="AE230"/>
  <c r="AF230" s="1"/>
  <c r="AR230" s="1"/>
  <c r="T236"/>
  <c r="AE11"/>
  <c r="AF11" s="1"/>
  <c r="AR11" s="1"/>
  <c r="AE13"/>
  <c r="AF13" s="1"/>
  <c r="AR13" s="1"/>
  <c r="AE28"/>
  <c r="AF28" s="1"/>
  <c r="AR28" s="1"/>
  <c r="R91"/>
  <c r="R80" s="1"/>
  <c r="AE88"/>
  <c r="AF88" s="1"/>
  <c r="AR88" s="1"/>
  <c r="AE102"/>
  <c r="AE208"/>
  <c r="AF208" s="1"/>
  <c r="AR208" s="1"/>
  <c r="AE214"/>
  <c r="AF214" s="1"/>
  <c r="AR214" s="1"/>
  <c r="T15"/>
  <c r="T6" s="1"/>
  <c r="T5" s="1"/>
  <c r="AE18"/>
  <c r="AE21"/>
  <c r="AF21" s="1"/>
  <c r="AR21" s="1"/>
  <c r="AE34"/>
  <c r="AF34" s="1"/>
  <c r="AR34" s="1"/>
  <c r="AE50"/>
  <c r="AF50" s="1"/>
  <c r="AR50" s="1"/>
  <c r="AE58"/>
  <c r="AF58" s="1"/>
  <c r="AR58" s="1"/>
  <c r="AE63"/>
  <c r="AF63" s="1"/>
  <c r="AR63" s="1"/>
  <c r="AE86"/>
  <c r="AF86" s="1"/>
  <c r="AR86" s="1"/>
  <c r="AE115"/>
  <c r="AF115" s="1"/>
  <c r="AR115" s="1"/>
  <c r="AE190"/>
  <c r="AF190" s="1"/>
  <c r="AR190" s="1"/>
  <c r="AE193"/>
  <c r="AF193" s="1"/>
  <c r="AR193" s="1"/>
  <c r="S201"/>
  <c r="S179" s="1"/>
  <c r="U15"/>
  <c r="R59"/>
  <c r="AE52"/>
  <c r="AF52" s="1"/>
  <c r="AR52" s="1"/>
  <c r="AE100"/>
  <c r="AF100" s="1"/>
  <c r="AR100" s="1"/>
  <c r="AE122"/>
  <c r="AF122" s="1"/>
  <c r="AR122" s="1"/>
  <c r="AE164"/>
  <c r="AF164" s="1"/>
  <c r="AR164" s="1"/>
  <c r="T242"/>
  <c r="AE10"/>
  <c r="AF10" s="1"/>
  <c r="AR10" s="1"/>
  <c r="R25"/>
  <c r="AE24"/>
  <c r="AF24" s="1"/>
  <c r="AR24" s="1"/>
  <c r="AE43"/>
  <c r="AF43" s="1"/>
  <c r="AR43" s="1"/>
  <c r="AE54"/>
  <c r="AF54" s="1"/>
  <c r="AR54" s="1"/>
  <c r="AE69"/>
  <c r="AF69" s="1"/>
  <c r="AR69" s="1"/>
  <c r="AE97"/>
  <c r="AF97" s="1"/>
  <c r="AR97" s="1"/>
  <c r="S136"/>
  <c r="R139"/>
  <c r="AE181"/>
  <c r="AF181" s="1"/>
  <c r="AR181" s="1"/>
  <c r="AE229"/>
  <c r="AF229" s="1"/>
  <c r="AR229" s="1"/>
  <c r="S25"/>
  <c r="S91"/>
  <c r="S80" s="1"/>
  <c r="AE95"/>
  <c r="AF95" s="1"/>
  <c r="AR95" s="1"/>
  <c r="AE160"/>
  <c r="AF160" s="1"/>
  <c r="AR160" s="1"/>
  <c r="AE174"/>
  <c r="AF174" s="1"/>
  <c r="AR174" s="1"/>
  <c r="AE175"/>
  <c r="AF175" s="1"/>
  <c r="AR175" s="1"/>
  <c r="AE188"/>
  <c r="AF188" s="1"/>
  <c r="AR188" s="1"/>
  <c r="AE216"/>
  <c r="AF216" s="1"/>
  <c r="AR216" s="1"/>
  <c r="AE20"/>
  <c r="AF20" s="1"/>
  <c r="AR20" s="1"/>
  <c r="U30"/>
  <c r="R222"/>
  <c r="R202" s="1"/>
  <c r="AE207"/>
  <c r="AF207" s="1"/>
  <c r="AR207" s="1"/>
  <c r="AE61"/>
  <c r="AF61" s="1"/>
  <c r="AR61" s="1"/>
  <c r="AE68"/>
  <c r="AF68" s="1"/>
  <c r="AR68" s="1"/>
  <c r="AE153"/>
  <c r="AF153" s="1"/>
  <c r="AR153" s="1"/>
  <c r="AE182"/>
  <c r="AF182" s="1"/>
  <c r="AR182" s="1"/>
  <c r="AT182" s="1"/>
  <c r="BB182" s="1"/>
  <c r="AE185"/>
  <c r="AF185" s="1"/>
  <c r="AR185" s="1"/>
  <c r="S222"/>
  <c r="S202" s="1"/>
  <c r="AE215"/>
  <c r="AF215" s="1"/>
  <c r="AR215" s="1"/>
  <c r="AE23"/>
  <c r="AF23" s="1"/>
  <c r="AR23" s="1"/>
  <c r="U79"/>
  <c r="AE70"/>
  <c r="AF70" s="1"/>
  <c r="AR70" s="1"/>
  <c r="AE106"/>
  <c r="AF106" s="1"/>
  <c r="AR106" s="1"/>
  <c r="AE124"/>
  <c r="AF124" s="1"/>
  <c r="AR124" s="1"/>
  <c r="AE131"/>
  <c r="AF131" s="1"/>
  <c r="AR131" s="1"/>
  <c r="T142"/>
  <c r="AE141"/>
  <c r="AF141" s="1"/>
  <c r="AR141" s="1"/>
  <c r="S59"/>
  <c r="AE53"/>
  <c r="AF53" s="1"/>
  <c r="AR53" s="1"/>
  <c r="AE74"/>
  <c r="AF74" s="1"/>
  <c r="AR74" s="1"/>
  <c r="AE98"/>
  <c r="AF98" s="1"/>
  <c r="AR98" s="1"/>
  <c r="AE109"/>
  <c r="AF109" s="1"/>
  <c r="AR109" s="1"/>
  <c r="AE112"/>
  <c r="AF112" s="1"/>
  <c r="AR112" s="1"/>
  <c r="AE117"/>
  <c r="AF117" s="1"/>
  <c r="AR117" s="1"/>
  <c r="U142"/>
  <c r="AF150"/>
  <c r="AR150" s="1"/>
  <c r="AE162"/>
  <c r="AF162" s="1"/>
  <c r="AR162" s="1"/>
  <c r="AQ106" i="23"/>
  <c r="AQ150"/>
  <c r="AQ171"/>
  <c r="AQ174"/>
  <c r="AQ185"/>
  <c r="AQ189"/>
  <c r="AQ206"/>
  <c r="M12"/>
  <c r="AQ12" s="1"/>
  <c r="AT12" s="1"/>
  <c r="BB12" s="1"/>
  <c r="M48"/>
  <c r="AQ48" s="1"/>
  <c r="M66"/>
  <c r="AQ66" s="1"/>
  <c r="M76"/>
  <c r="AQ76" s="1"/>
  <c r="AQ107"/>
  <c r="AQ216"/>
  <c r="AQ234"/>
  <c r="AQ127"/>
  <c r="M144"/>
  <c r="AQ144" s="1"/>
  <c r="AQ212"/>
  <c r="M216"/>
  <c r="M234"/>
  <c r="AQ238"/>
  <c r="AQ29"/>
  <c r="AQ36"/>
  <c r="M47"/>
  <c r="AQ47" s="1"/>
  <c r="AT47" s="1"/>
  <c r="BB47" s="1"/>
  <c r="M70"/>
  <c r="AQ70" s="1"/>
  <c r="M96"/>
  <c r="AQ96" s="1"/>
  <c r="AT96" s="1"/>
  <c r="BB96" s="1"/>
  <c r="AQ135"/>
  <c r="AQ177"/>
  <c r="M11"/>
  <c r="AQ11" s="1"/>
  <c r="AT11" s="1"/>
  <c r="BB11" s="1"/>
  <c r="M36"/>
  <c r="AQ51"/>
  <c r="AQ57"/>
  <c r="L113"/>
  <c r="AQ121"/>
  <c r="M135"/>
  <c r="AQ172"/>
  <c r="M177"/>
  <c r="AQ184"/>
  <c r="M241"/>
  <c r="AQ241" s="1"/>
  <c r="M57"/>
  <c r="M102"/>
  <c r="AQ117"/>
  <c r="AT117" s="1"/>
  <c r="BB117" s="1"/>
  <c r="AQ126"/>
  <c r="AQ191"/>
  <c r="L15"/>
  <c r="AQ14"/>
  <c r="M16"/>
  <c r="M17" s="1"/>
  <c r="M26"/>
  <c r="M30" s="1"/>
  <c r="M78"/>
  <c r="AQ78" s="1"/>
  <c r="AT78" s="1"/>
  <c r="BB78" s="1"/>
  <c r="M86"/>
  <c r="AQ86" s="1"/>
  <c r="AQ88"/>
  <c r="M110"/>
  <c r="AQ110" s="1"/>
  <c r="M117"/>
  <c r="M191"/>
  <c r="AQ194"/>
  <c r="M10"/>
  <c r="AQ10" s="1"/>
  <c r="AT10" s="1"/>
  <c r="BB10" s="1"/>
  <c r="AQ24"/>
  <c r="M64"/>
  <c r="AQ64" s="1"/>
  <c r="M68"/>
  <c r="AQ68" s="1"/>
  <c r="AQ89"/>
  <c r="AQ105"/>
  <c r="AQ120"/>
  <c r="AQ167"/>
  <c r="M169"/>
  <c r="AQ169" s="1"/>
  <c r="AQ183"/>
  <c r="M237"/>
  <c r="AQ237" s="1"/>
  <c r="M24"/>
  <c r="AT138"/>
  <c r="BB138" s="1"/>
  <c r="M13"/>
  <c r="AQ13" s="1"/>
  <c r="AQ49"/>
  <c r="M67"/>
  <c r="AQ67" s="1"/>
  <c r="AQ98"/>
  <c r="AQ108"/>
  <c r="M124"/>
  <c r="AQ124" s="1"/>
  <c r="M133"/>
  <c r="AQ133" s="1"/>
  <c r="AT133" s="1"/>
  <c r="BB133" s="1"/>
  <c r="M164"/>
  <c r="AQ164" s="1"/>
  <c r="AQ193"/>
  <c r="M49"/>
  <c r="M98"/>
  <c r="M104"/>
  <c r="AQ104" s="1"/>
  <c r="AQ123"/>
  <c r="AQ128"/>
  <c r="AQ132"/>
  <c r="AQ140"/>
  <c r="M193"/>
  <c r="AQ220"/>
  <c r="L242"/>
  <c r="AQ133" i="22"/>
  <c r="L39"/>
  <c r="L32" s="1"/>
  <c r="M45"/>
  <c r="AQ45" s="1"/>
  <c r="AT45" s="1"/>
  <c r="BB45" s="1"/>
  <c r="AQ60"/>
  <c r="M111"/>
  <c r="AQ111" s="1"/>
  <c r="M116"/>
  <c r="AQ116" s="1"/>
  <c r="M133"/>
  <c r="AQ171"/>
  <c r="AQ184"/>
  <c r="AQ211"/>
  <c r="AQ38"/>
  <c r="M42"/>
  <c r="AQ42" s="1"/>
  <c r="M60"/>
  <c r="AQ75"/>
  <c r="L91"/>
  <c r="L80" s="1"/>
  <c r="M104"/>
  <c r="AQ104" s="1"/>
  <c r="AT104" s="1"/>
  <c r="BB104" s="1"/>
  <c r="AQ167"/>
  <c r="AQ191"/>
  <c r="L142"/>
  <c r="AQ160"/>
  <c r="M167"/>
  <c r="M191"/>
  <c r="L15"/>
  <c r="M41"/>
  <c r="AQ41" s="1"/>
  <c r="M51"/>
  <c r="AQ51" s="1"/>
  <c r="M58"/>
  <c r="AQ58" s="1"/>
  <c r="AT58" s="1"/>
  <c r="BB58" s="1"/>
  <c r="AQ64"/>
  <c r="M99"/>
  <c r="AQ99" s="1"/>
  <c r="M110"/>
  <c r="AQ110" s="1"/>
  <c r="AT110" s="1"/>
  <c r="BB110" s="1"/>
  <c r="M160"/>
  <c r="AQ237"/>
  <c r="AQ12"/>
  <c r="AQ24"/>
  <c r="M183"/>
  <c r="AQ183" s="1"/>
  <c r="AQ190"/>
  <c r="M237"/>
  <c r="M242" s="1"/>
  <c r="M24"/>
  <c r="AQ56"/>
  <c r="M89"/>
  <c r="AQ89" s="1"/>
  <c r="AT89" s="1"/>
  <c r="BB89" s="1"/>
  <c r="AQ98"/>
  <c r="AQ109"/>
  <c r="M135"/>
  <c r="AQ135" s="1"/>
  <c r="AQ194"/>
  <c r="AQ213"/>
  <c r="M217"/>
  <c r="AQ217" s="1"/>
  <c r="M18"/>
  <c r="AQ18" s="1"/>
  <c r="AQ54"/>
  <c r="M65"/>
  <c r="AQ65" s="1"/>
  <c r="AT65" s="1"/>
  <c r="BB65" s="1"/>
  <c r="M83"/>
  <c r="AQ83" s="1"/>
  <c r="AT83" s="1"/>
  <c r="BB83" s="1"/>
  <c r="AQ182"/>
  <c r="AQ189"/>
  <c r="AQ208"/>
  <c r="AQ11"/>
  <c r="M54"/>
  <c r="M72"/>
  <c r="AQ72" s="1"/>
  <c r="AQ121"/>
  <c r="M182"/>
  <c r="M189"/>
  <c r="AQ192"/>
  <c r="M203"/>
  <c r="AQ203" s="1"/>
  <c r="M11"/>
  <c r="M23"/>
  <c r="AQ23" s="1"/>
  <c r="AT23" s="1"/>
  <c r="BB23" s="1"/>
  <c r="AQ53"/>
  <c r="M71"/>
  <c r="AQ71" s="1"/>
  <c r="AT71" s="1"/>
  <c r="BB71" s="1"/>
  <c r="AQ162"/>
  <c r="AQ172"/>
  <c r="AQ193"/>
  <c r="M216"/>
  <c r="AQ216" s="1"/>
  <c r="AQ231"/>
  <c r="AQ46"/>
  <c r="AQ108"/>
  <c r="AQ145"/>
  <c r="M156"/>
  <c r="AQ156" s="1"/>
  <c r="M162"/>
  <c r="M185"/>
  <c r="AQ185" s="1"/>
  <c r="M231"/>
  <c r="M46"/>
  <c r="M105"/>
  <c r="AQ105" s="1"/>
  <c r="M108"/>
  <c r="AQ120"/>
  <c r="AQ146"/>
  <c r="M212"/>
  <c r="AQ212" s="1"/>
  <c r="AT212" s="1"/>
  <c r="BB212" s="1"/>
  <c r="M121" i="21"/>
  <c r="AQ121" s="1"/>
  <c r="AQ193"/>
  <c r="AQ195"/>
  <c r="AQ9"/>
  <c r="M21"/>
  <c r="AQ21" s="1"/>
  <c r="M24"/>
  <c r="AQ24" s="1"/>
  <c r="M45"/>
  <c r="AQ45" s="1"/>
  <c r="AT45" s="1"/>
  <c r="BB45" s="1"/>
  <c r="AQ74"/>
  <c r="M90"/>
  <c r="AQ90" s="1"/>
  <c r="M95"/>
  <c r="AQ95" s="1"/>
  <c r="AT95" s="1"/>
  <c r="BB95" s="1"/>
  <c r="M126"/>
  <c r="AQ126" s="1"/>
  <c r="L178"/>
  <c r="AQ182"/>
  <c r="M216"/>
  <c r="AQ216" s="1"/>
  <c r="AQ218"/>
  <c r="AQ83"/>
  <c r="AQ160"/>
  <c r="M9"/>
  <c r="M12"/>
  <c r="AQ12" s="1"/>
  <c r="AT12" s="1"/>
  <c r="BB12" s="1"/>
  <c r="L17"/>
  <c r="AQ67"/>
  <c r="AQ71"/>
  <c r="AQ75"/>
  <c r="AQ82"/>
  <c r="AQ102"/>
  <c r="M139"/>
  <c r="AQ72"/>
  <c r="AQ20"/>
  <c r="M67"/>
  <c r="AQ78"/>
  <c r="M120"/>
  <c r="AQ120" s="1"/>
  <c r="M189"/>
  <c r="AQ189" s="1"/>
  <c r="AQ211"/>
  <c r="AQ8"/>
  <c r="M57"/>
  <c r="AQ57" s="1"/>
  <c r="AT57" s="1"/>
  <c r="BB57" s="1"/>
  <c r="M78"/>
  <c r="AQ85"/>
  <c r="M98"/>
  <c r="AQ98" s="1"/>
  <c r="M110"/>
  <c r="AQ110" s="1"/>
  <c r="AQ118"/>
  <c r="AQ122"/>
  <c r="M132"/>
  <c r="AQ132" s="1"/>
  <c r="M211"/>
  <c r="AQ225"/>
  <c r="M48"/>
  <c r="AQ48" s="1"/>
  <c r="AT48" s="1"/>
  <c r="BB48" s="1"/>
  <c r="M51"/>
  <c r="AQ51" s="1"/>
  <c r="AQ70"/>
  <c r="M94"/>
  <c r="AQ94" s="1"/>
  <c r="AQ162"/>
  <c r="AQ165"/>
  <c r="AQ172"/>
  <c r="AQ234"/>
  <c r="M37"/>
  <c r="AQ37" s="1"/>
  <c r="M70"/>
  <c r="M88"/>
  <c r="AQ88" s="1"/>
  <c r="AT88" s="1"/>
  <c r="BB88" s="1"/>
  <c r="M123"/>
  <c r="AQ123" s="1"/>
  <c r="M128"/>
  <c r="AQ128" s="1"/>
  <c r="AQ157"/>
  <c r="M162"/>
  <c r="M177"/>
  <c r="AQ177" s="1"/>
  <c r="AQ206"/>
  <c r="AQ231"/>
  <c r="L6"/>
  <c r="L5" s="1"/>
  <c r="AQ14"/>
  <c r="M19"/>
  <c r="AQ19" s="1"/>
  <c r="AT19" s="1"/>
  <c r="BB19" s="1"/>
  <c r="M27"/>
  <c r="AQ27" s="1"/>
  <c r="M66"/>
  <c r="AQ66" s="1"/>
  <c r="AQ69"/>
  <c r="AT69" s="1"/>
  <c r="BB69" s="1"/>
  <c r="M173"/>
  <c r="AQ173" s="1"/>
  <c r="AQ184"/>
  <c r="M210"/>
  <c r="AQ210" s="1"/>
  <c r="M231"/>
  <c r="AQ239"/>
  <c r="AQ36"/>
  <c r="M69"/>
  <c r="AQ84"/>
  <c r="M97"/>
  <c r="AQ97" s="1"/>
  <c r="M109"/>
  <c r="AQ109" s="1"/>
  <c r="M135"/>
  <c r="AQ135" s="1"/>
  <c r="AQ161"/>
  <c r="AQ26"/>
  <c r="M36"/>
  <c r="M73"/>
  <c r="AQ73" s="1"/>
  <c r="M191"/>
  <c r="AQ191" s="1"/>
  <c r="AQ13"/>
  <c r="M26"/>
  <c r="AQ60"/>
  <c r="M61"/>
  <c r="AQ61" s="1"/>
  <c r="AT61" s="1"/>
  <c r="BB61" s="1"/>
  <c r="M87"/>
  <c r="AQ87" s="1"/>
  <c r="AQ183"/>
  <c r="AQ203"/>
  <c r="M213"/>
  <c r="AQ213" s="1"/>
  <c r="M231" i="17"/>
  <c r="AQ231" s="1"/>
  <c r="U222"/>
  <c r="U202" s="1"/>
  <c r="AE217"/>
  <c r="AF217" s="1"/>
  <c r="AR217" s="1"/>
  <c r="AE213"/>
  <c r="AF213" s="1"/>
  <c r="AR213" s="1"/>
  <c r="AE216"/>
  <c r="AF216" s="1"/>
  <c r="AR216" s="1"/>
  <c r="AQ212"/>
  <c r="M217"/>
  <c r="AQ217" s="1"/>
  <c r="M216"/>
  <c r="AQ216" s="1"/>
  <c r="AT216" s="1"/>
  <c r="BB216" s="1"/>
  <c r="M215"/>
  <c r="AQ215" s="1"/>
  <c r="M213"/>
  <c r="AQ213" s="1"/>
  <c r="AT213" s="1"/>
  <c r="BB213" s="1"/>
  <c r="M210"/>
  <c r="AQ210" s="1"/>
  <c r="M203"/>
  <c r="AQ203" s="1"/>
  <c r="M194"/>
  <c r="AQ194" s="1"/>
  <c r="M176"/>
  <c r="M177"/>
  <c r="AQ177" s="1"/>
  <c r="AF148"/>
  <c r="AR148" s="1"/>
  <c r="AE159"/>
  <c r="AF159" s="1"/>
  <c r="AR159" s="1"/>
  <c r="R168"/>
  <c r="M160"/>
  <c r="AQ160" s="1"/>
  <c r="AT160" s="1"/>
  <c r="BB160" s="1"/>
  <c r="M164"/>
  <c r="AQ164" s="1"/>
  <c r="AQ166"/>
  <c r="M167"/>
  <c r="AQ167" s="1"/>
  <c r="AT167" s="1"/>
  <c r="BB167" s="1"/>
  <c r="M158"/>
  <c r="AQ158" s="1"/>
  <c r="AQ161"/>
  <c r="M148"/>
  <c r="AQ148" s="1"/>
  <c r="M152"/>
  <c r="AQ152" s="1"/>
  <c r="AQ151"/>
  <c r="M155"/>
  <c r="AQ155" s="1"/>
  <c r="M151"/>
  <c r="AQ157"/>
  <c r="AQ150"/>
  <c r="AV143"/>
  <c r="AV92" s="1"/>
  <c r="AE146"/>
  <c r="AF146" s="1"/>
  <c r="AR146" s="1"/>
  <c r="L168"/>
  <c r="M146"/>
  <c r="AQ146" s="1"/>
  <c r="AQ145"/>
  <c r="AQ132"/>
  <c r="AE130"/>
  <c r="AF130" s="1"/>
  <c r="AR130" s="1"/>
  <c r="M126"/>
  <c r="AQ126" s="1"/>
  <c r="AT126" s="1"/>
  <c r="AQ129"/>
  <c r="AT129" s="1"/>
  <c r="BB129" s="1"/>
  <c r="AQ128"/>
  <c r="M128"/>
  <c r="AQ127"/>
  <c r="M127"/>
  <c r="AE116"/>
  <c r="AF116" s="1"/>
  <c r="AR116" s="1"/>
  <c r="AQ115"/>
  <c r="AU93" i="14"/>
  <c r="AY24" i="18"/>
  <c r="AY21" s="1"/>
  <c r="AY20" s="1"/>
  <c r="BA93" i="13"/>
  <c r="BA92" s="1"/>
  <c r="AZ93"/>
  <c r="AZ92" s="1"/>
  <c r="AY93"/>
  <c r="AY92" s="1"/>
  <c r="AX93"/>
  <c r="AX92" s="1"/>
  <c r="AW93"/>
  <c r="AW92" s="1"/>
  <c r="AU93"/>
  <c r="AU92" s="1"/>
  <c r="Z21" i="18"/>
  <c r="Z20" s="1"/>
  <c r="AC21"/>
  <c r="AD21"/>
  <c r="AD20" s="1"/>
  <c r="AE21"/>
  <c r="AE20" s="1"/>
  <c r="AW80" i="16"/>
  <c r="CA19" i="18"/>
  <c r="CA18" s="1"/>
  <c r="AY80" i="16"/>
  <c r="CC19" i="18"/>
  <c r="CC18" s="1"/>
  <c r="CC12" s="1"/>
  <c r="AZ80" i="16"/>
  <c r="CD19" i="18"/>
  <c r="CD18" s="1"/>
  <c r="CA12"/>
  <c r="AV80" i="16"/>
  <c r="BZ19" i="18"/>
  <c r="BZ18" s="1"/>
  <c r="BZ12" s="1"/>
  <c r="AE89" i="16"/>
  <c r="AF89" s="1"/>
  <c r="AR89" s="1"/>
  <c r="AE82"/>
  <c r="AF82" s="1"/>
  <c r="AR82" s="1"/>
  <c r="R91"/>
  <c r="R80" s="1"/>
  <c r="AE86"/>
  <c r="AF86" s="1"/>
  <c r="AR86" s="1"/>
  <c r="AE88"/>
  <c r="AF88" s="1"/>
  <c r="AR88" s="1"/>
  <c r="M82"/>
  <c r="AQ82" s="1"/>
  <c r="AT82" s="1"/>
  <c r="BB82" s="1"/>
  <c r="AQ85"/>
  <c r="M88"/>
  <c r="AQ88" s="1"/>
  <c r="M84"/>
  <c r="AQ84" s="1"/>
  <c r="M87"/>
  <c r="AQ87" s="1"/>
  <c r="M90"/>
  <c r="AQ90" s="1"/>
  <c r="AE68"/>
  <c r="AF68" s="1"/>
  <c r="AR68" s="1"/>
  <c r="AE74"/>
  <c r="AF74" s="1"/>
  <c r="AR74" s="1"/>
  <c r="AE67"/>
  <c r="AF67" s="1"/>
  <c r="AR67" s="1"/>
  <c r="AE64"/>
  <c r="AF64" s="1"/>
  <c r="AR64" s="1"/>
  <c r="AE73"/>
  <c r="AF73" s="1"/>
  <c r="AR73" s="1"/>
  <c r="AE70"/>
  <c r="AF70" s="1"/>
  <c r="AR70" s="1"/>
  <c r="S79"/>
  <c r="AE76"/>
  <c r="AF76" s="1"/>
  <c r="AR76" s="1"/>
  <c r="AE63"/>
  <c r="AF63" s="1"/>
  <c r="AR63" s="1"/>
  <c r="AQ60"/>
  <c r="M63"/>
  <c r="AQ63" s="1"/>
  <c r="M67"/>
  <c r="AQ67" s="1"/>
  <c r="M78"/>
  <c r="AQ78" s="1"/>
  <c r="AQ77"/>
  <c r="AQ66"/>
  <c r="AQ69"/>
  <c r="M73"/>
  <c r="AQ73" s="1"/>
  <c r="AT73" s="1"/>
  <c r="BB73" s="1"/>
  <c r="M77"/>
  <c r="M66"/>
  <c r="M69"/>
  <c r="M72"/>
  <c r="AQ72" s="1"/>
  <c r="M61"/>
  <c r="AQ61" s="1"/>
  <c r="AQ74"/>
  <c r="M76"/>
  <c r="AQ76" s="1"/>
  <c r="AQ75"/>
  <c r="AV40"/>
  <c r="AW40"/>
  <c r="AW31"/>
  <c r="AZ40"/>
  <c r="CD16" i="18"/>
  <c r="CD15" s="1"/>
  <c r="AB59" i="16"/>
  <c r="AY32"/>
  <c r="AX32"/>
  <c r="AX31" s="1"/>
  <c r="CB14" i="18"/>
  <c r="CB13" s="1"/>
  <c r="CB12" s="1"/>
  <c r="AZ32" i="16"/>
  <c r="CD14" i="18"/>
  <c r="CD13" s="1"/>
  <c r="CD12" s="1"/>
  <c r="AV32" i="16"/>
  <c r="AE21"/>
  <c r="AF21" s="1"/>
  <c r="AR21" s="1"/>
  <c r="AE23"/>
  <c r="AF23" s="1"/>
  <c r="AR23" s="1"/>
  <c r="R30"/>
  <c r="R25"/>
  <c r="S25"/>
  <c r="AE22"/>
  <c r="AF22" s="1"/>
  <c r="AR22" s="1"/>
  <c r="AQ28"/>
  <c r="M29"/>
  <c r="M30" s="1"/>
  <c r="L25"/>
  <c r="M20"/>
  <c r="AQ20" s="1"/>
  <c r="M19"/>
  <c r="AQ19" s="1"/>
  <c r="AT19" s="1"/>
  <c r="BB19" s="1"/>
  <c r="M16"/>
  <c r="M17" s="1"/>
  <c r="BY7" i="18"/>
  <c r="BY6" s="1"/>
  <c r="AV6" i="16"/>
  <c r="AV5" s="1"/>
  <c r="BZ8" i="18"/>
  <c r="BZ7" s="1"/>
  <c r="BZ6" s="1"/>
  <c r="BA6" i="16"/>
  <c r="BA5" s="1"/>
  <c r="CE8" i="18"/>
  <c r="CE7" s="1"/>
  <c r="CE6" s="1"/>
  <c r="AZ6" i="16"/>
  <c r="AZ5" s="1"/>
  <c r="AW6"/>
  <c r="AW5" s="1"/>
  <c r="AC6"/>
  <c r="AC5" s="1"/>
  <c r="AE9"/>
  <c r="AF9" s="1"/>
  <c r="AR9" s="1"/>
  <c r="AE8"/>
  <c r="AF8" s="1"/>
  <c r="AR8" s="1"/>
  <c r="AE13"/>
  <c r="AF13" s="1"/>
  <c r="AR13" s="1"/>
  <c r="T15"/>
  <c r="U15"/>
  <c r="U6" s="1"/>
  <c r="U5" s="1"/>
  <c r="AE10"/>
  <c r="AF10" s="1"/>
  <c r="AR10" s="1"/>
  <c r="M10"/>
  <c r="AQ10" s="1"/>
  <c r="M13"/>
  <c r="AQ13" s="1"/>
  <c r="AT13" s="1"/>
  <c r="BB13" s="1"/>
  <c r="M12"/>
  <c r="AQ12" s="1"/>
  <c r="M8"/>
  <c r="AQ8" s="1"/>
  <c r="AT8" s="1"/>
  <c r="BB8" s="1"/>
  <c r="L15"/>
  <c r="AQ7"/>
  <c r="AY80" i="15"/>
  <c r="AY31" s="1"/>
  <c r="BP19" i="18"/>
  <c r="BP18" s="1"/>
  <c r="BP12" s="1"/>
  <c r="BA80" i="15"/>
  <c r="BR19" i="18"/>
  <c r="BR18" s="1"/>
  <c r="AE82" i="15"/>
  <c r="AF82" s="1"/>
  <c r="AR82" s="1"/>
  <c r="AE90"/>
  <c r="AF90" s="1"/>
  <c r="AR90" s="1"/>
  <c r="AE84"/>
  <c r="AF84" s="1"/>
  <c r="AR84" s="1"/>
  <c r="AE85"/>
  <c r="AF85" s="1"/>
  <c r="AR85" s="1"/>
  <c r="AE89"/>
  <c r="AF89" s="1"/>
  <c r="AR89" s="1"/>
  <c r="M82"/>
  <c r="AQ82" s="1"/>
  <c r="AT82" s="1"/>
  <c r="BB82" s="1"/>
  <c r="AQ87"/>
  <c r="AW31"/>
  <c r="AE60"/>
  <c r="AE71"/>
  <c r="AF71" s="1"/>
  <c r="AR71" s="1"/>
  <c r="AE70"/>
  <c r="AF70" s="1"/>
  <c r="AR70" s="1"/>
  <c r="AE66"/>
  <c r="AF66" s="1"/>
  <c r="AR66" s="1"/>
  <c r="AE65"/>
  <c r="AF65" s="1"/>
  <c r="AR65" s="1"/>
  <c r="AE78"/>
  <c r="AF78" s="1"/>
  <c r="AR78" s="1"/>
  <c r="AE74"/>
  <c r="AF74" s="1"/>
  <c r="AR74" s="1"/>
  <c r="U79"/>
  <c r="AE64"/>
  <c r="AF64" s="1"/>
  <c r="AR64" s="1"/>
  <c r="AE73"/>
  <c r="AF73" s="1"/>
  <c r="AR73" s="1"/>
  <c r="M60"/>
  <c r="AQ60" s="1"/>
  <c r="M70"/>
  <c r="AQ70" s="1"/>
  <c r="AT70" s="1"/>
  <c r="BB70" s="1"/>
  <c r="AQ68"/>
  <c r="AQ69"/>
  <c r="AQ78"/>
  <c r="AQ72"/>
  <c r="AQ75"/>
  <c r="AQ71"/>
  <c r="M67"/>
  <c r="AQ67" s="1"/>
  <c r="M71"/>
  <c r="AZ40"/>
  <c r="AZ31" s="1"/>
  <c r="AU40"/>
  <c r="BL16" i="18"/>
  <c r="BL15" s="1"/>
  <c r="BL12" s="1"/>
  <c r="BA40" i="15"/>
  <c r="BR16" i="18"/>
  <c r="BR15" s="1"/>
  <c r="AX31" i="15"/>
  <c r="AC31"/>
  <c r="AQ52"/>
  <c r="M41"/>
  <c r="AQ41" s="1"/>
  <c r="M48"/>
  <c r="AQ48" s="1"/>
  <c r="AQ49"/>
  <c r="AQ45"/>
  <c r="AQ42"/>
  <c r="U30"/>
  <c r="AE29"/>
  <c r="AF29" s="1"/>
  <c r="AR29" s="1"/>
  <c r="R30"/>
  <c r="AE27"/>
  <c r="AF27" s="1"/>
  <c r="AR27" s="1"/>
  <c r="S30"/>
  <c r="M29"/>
  <c r="M30" s="1"/>
  <c r="AQ28"/>
  <c r="T25"/>
  <c r="AE21"/>
  <c r="AF21" s="1"/>
  <c r="AR21" s="1"/>
  <c r="R25"/>
  <c r="R6" s="1"/>
  <c r="R5" s="1"/>
  <c r="AE22"/>
  <c r="AF22" s="1"/>
  <c r="AR22" s="1"/>
  <c r="AE19"/>
  <c r="AF19" s="1"/>
  <c r="AR19" s="1"/>
  <c r="AQ23"/>
  <c r="M24"/>
  <c r="AQ24" s="1"/>
  <c r="AU6"/>
  <c r="AU5" s="1"/>
  <c r="BL7" i="18"/>
  <c r="BL6" s="1"/>
  <c r="BN7"/>
  <c r="BN6" s="1"/>
  <c r="AX6" i="15"/>
  <c r="AX5" s="1"/>
  <c r="BO8" i="18"/>
  <c r="BO7" s="1"/>
  <c r="BO6" s="1"/>
  <c r="AY6" i="15"/>
  <c r="AY5" s="1"/>
  <c r="BP8" i="18"/>
  <c r="BP7" s="1"/>
  <c r="BP6" s="1"/>
  <c r="AZ6" i="15"/>
  <c r="AZ5" s="1"/>
  <c r="BQ8" i="18"/>
  <c r="BQ7" s="1"/>
  <c r="BQ6" s="1"/>
  <c r="AV6" i="15"/>
  <c r="AV5" s="1"/>
  <c r="BM8" i="18"/>
  <c r="BM7" s="1"/>
  <c r="BM6" s="1"/>
  <c r="AE13" i="15"/>
  <c r="AF13" s="1"/>
  <c r="AR13" s="1"/>
  <c r="M16"/>
  <c r="M17" s="1"/>
  <c r="AE7"/>
  <c r="AE10"/>
  <c r="AF10" s="1"/>
  <c r="AR10" s="1"/>
  <c r="AE12"/>
  <c r="AF12" s="1"/>
  <c r="AR12" s="1"/>
  <c r="AE11"/>
  <c r="AF11" s="1"/>
  <c r="AR11" s="1"/>
  <c r="L15"/>
  <c r="M10"/>
  <c r="AQ10" s="1"/>
  <c r="AT10" s="1"/>
  <c r="BB10" s="1"/>
  <c r="AQ12"/>
  <c r="AX80" i="14"/>
  <c r="AX31" s="1"/>
  <c r="AY80"/>
  <c r="BC19" i="18"/>
  <c r="BC18" s="1"/>
  <c r="BA80" i="14"/>
  <c r="BA31" s="1"/>
  <c r="BE19" i="18"/>
  <c r="BE18" s="1"/>
  <c r="BE12" s="1"/>
  <c r="BC12"/>
  <c r="AE86" i="14"/>
  <c r="AF86" s="1"/>
  <c r="AR86" s="1"/>
  <c r="AE85"/>
  <c r="AF85" s="1"/>
  <c r="AR85" s="1"/>
  <c r="R91"/>
  <c r="R80" s="1"/>
  <c r="T91"/>
  <c r="T80" s="1"/>
  <c r="AE84"/>
  <c r="AF84" s="1"/>
  <c r="AR84" s="1"/>
  <c r="AE87"/>
  <c r="AF87" s="1"/>
  <c r="AR87" s="1"/>
  <c r="AE89"/>
  <c r="AF89" s="1"/>
  <c r="AR89" s="1"/>
  <c r="AE82"/>
  <c r="AF82" s="1"/>
  <c r="AR82" s="1"/>
  <c r="AE83"/>
  <c r="AF83" s="1"/>
  <c r="AR83" s="1"/>
  <c r="M85"/>
  <c r="AQ85" s="1"/>
  <c r="M81"/>
  <c r="AQ81" s="1"/>
  <c r="AQ90"/>
  <c r="M84"/>
  <c r="AQ84" s="1"/>
  <c r="M88"/>
  <c r="AQ88" s="1"/>
  <c r="BD15" i="18"/>
  <c r="BA12"/>
  <c r="AV31" i="14"/>
  <c r="AE73"/>
  <c r="AF73" s="1"/>
  <c r="AR73" s="1"/>
  <c r="AE70"/>
  <c r="AF70" s="1"/>
  <c r="AR70" s="1"/>
  <c r="AE66"/>
  <c r="AF66" s="1"/>
  <c r="AR66" s="1"/>
  <c r="AE63"/>
  <c r="AF63" s="1"/>
  <c r="AR63" s="1"/>
  <c r="AE72"/>
  <c r="AF72" s="1"/>
  <c r="AR72" s="1"/>
  <c r="AE78"/>
  <c r="AF78" s="1"/>
  <c r="AR78" s="1"/>
  <c r="AE74"/>
  <c r="AF74" s="1"/>
  <c r="AR74" s="1"/>
  <c r="AE77"/>
  <c r="AF77" s="1"/>
  <c r="AR77" s="1"/>
  <c r="R79"/>
  <c r="M69"/>
  <c r="AQ69" s="1"/>
  <c r="M72"/>
  <c r="AQ72" s="1"/>
  <c r="M76"/>
  <c r="AQ76" s="1"/>
  <c r="AQ68"/>
  <c r="M64"/>
  <c r="AQ64" s="1"/>
  <c r="AQ66"/>
  <c r="AY40"/>
  <c r="AY31" s="1"/>
  <c r="AZ40"/>
  <c r="AE44"/>
  <c r="AF44" s="1"/>
  <c r="AR44" s="1"/>
  <c r="AE45"/>
  <c r="AF45" s="1"/>
  <c r="AR45" s="1"/>
  <c r="AB59"/>
  <c r="AE49"/>
  <c r="AF49" s="1"/>
  <c r="AR49" s="1"/>
  <c r="AE50"/>
  <c r="AF50" s="1"/>
  <c r="AR50" s="1"/>
  <c r="AE52"/>
  <c r="AF52" s="1"/>
  <c r="AR52" s="1"/>
  <c r="AE58"/>
  <c r="AF58" s="1"/>
  <c r="AR58" s="1"/>
  <c r="AQ54"/>
  <c r="L59"/>
  <c r="M50"/>
  <c r="AQ50" s="1"/>
  <c r="AT50" s="1"/>
  <c r="BB50" s="1"/>
  <c r="M58"/>
  <c r="AQ58" s="1"/>
  <c r="AT58" s="1"/>
  <c r="BB58" s="1"/>
  <c r="AQ57"/>
  <c r="M42"/>
  <c r="AQ42" s="1"/>
  <c r="AQ45"/>
  <c r="M49"/>
  <c r="AQ49" s="1"/>
  <c r="M57"/>
  <c r="M45"/>
  <c r="M52"/>
  <c r="AQ52" s="1"/>
  <c r="AU32"/>
  <c r="AU31" s="1"/>
  <c r="AY14" i="18"/>
  <c r="AY13" s="1"/>
  <c r="AY12" s="1"/>
  <c r="AZ32" i="14"/>
  <c r="BD14" i="18"/>
  <c r="BD13" s="1"/>
  <c r="BD12" s="1"/>
  <c r="AE35" i="14"/>
  <c r="AF35" s="1"/>
  <c r="AR35" s="1"/>
  <c r="S39"/>
  <c r="S32" s="1"/>
  <c r="M33"/>
  <c r="AQ33" s="1"/>
  <c r="M36"/>
  <c r="AQ36" s="1"/>
  <c r="AW6"/>
  <c r="AW5" s="1"/>
  <c r="BA7" i="18"/>
  <c r="BA6" s="1"/>
  <c r="BC7"/>
  <c r="BC6" s="1"/>
  <c r="AY7"/>
  <c r="AY6" s="1"/>
  <c r="BA6" i="14"/>
  <c r="BA5" s="1"/>
  <c r="BE9" i="18"/>
  <c r="BE7" s="1"/>
  <c r="BE6" s="1"/>
  <c r="AE27" i="14"/>
  <c r="AF27" s="1"/>
  <c r="AR27" s="1"/>
  <c r="T30"/>
  <c r="AE20"/>
  <c r="AF20" s="1"/>
  <c r="AR20" s="1"/>
  <c r="AE23"/>
  <c r="AF23" s="1"/>
  <c r="AR23" s="1"/>
  <c r="S25"/>
  <c r="AE19"/>
  <c r="AF19" s="1"/>
  <c r="AR19" s="1"/>
  <c r="AE22"/>
  <c r="AF22" s="1"/>
  <c r="AR22" s="1"/>
  <c r="U25"/>
  <c r="U6" s="1"/>
  <c r="U5" s="1"/>
  <c r="AE18"/>
  <c r="M26"/>
  <c r="AQ26" s="1"/>
  <c r="M29"/>
  <c r="AQ29" s="1"/>
  <c r="AQ21"/>
  <c r="M24"/>
  <c r="AQ24" s="1"/>
  <c r="AT24" s="1"/>
  <c r="BB24" s="1"/>
  <c r="M20"/>
  <c r="AQ20" s="1"/>
  <c r="M18"/>
  <c r="M25" s="1"/>
  <c r="M22"/>
  <c r="AQ22" s="1"/>
  <c r="L25"/>
  <c r="L17"/>
  <c r="AV6"/>
  <c r="AV5" s="1"/>
  <c r="AZ8" i="18"/>
  <c r="AZ7" s="1"/>
  <c r="AZ6" s="1"/>
  <c r="AX6" i="14"/>
  <c r="AX5" s="1"/>
  <c r="BB8" i="18"/>
  <c r="BB7" s="1"/>
  <c r="BB6" s="1"/>
  <c r="AZ6" i="14"/>
  <c r="AZ5" s="1"/>
  <c r="BD8" i="18"/>
  <c r="BD7" s="1"/>
  <c r="BD6" s="1"/>
  <c r="AE11" i="14"/>
  <c r="AF11" s="1"/>
  <c r="AR11" s="1"/>
  <c r="S15"/>
  <c r="AE13"/>
  <c r="AF13" s="1"/>
  <c r="AR13" s="1"/>
  <c r="T15"/>
  <c r="T6" s="1"/>
  <c r="T5" s="1"/>
  <c r="AE8"/>
  <c r="AF8" s="1"/>
  <c r="AR8" s="1"/>
  <c r="AE14"/>
  <c r="AF14" s="1"/>
  <c r="AR14" s="1"/>
  <c r="AE10"/>
  <c r="AF10" s="1"/>
  <c r="AR10" s="1"/>
  <c r="M9"/>
  <c r="AQ9" s="1"/>
  <c r="M12"/>
  <c r="AQ12" s="1"/>
  <c r="AT12" s="1"/>
  <c r="BB12" s="1"/>
  <c r="M8"/>
  <c r="AQ8" s="1"/>
  <c r="L15"/>
  <c r="M14"/>
  <c r="AQ14" s="1"/>
  <c r="AT14" s="1"/>
  <c r="BB14" s="1"/>
  <c r="AQ10"/>
  <c r="AC31" i="13"/>
  <c r="AD31"/>
  <c r="AE89"/>
  <c r="AF89" s="1"/>
  <c r="AR89" s="1"/>
  <c r="R91"/>
  <c r="R80" s="1"/>
  <c r="AE87"/>
  <c r="AF87" s="1"/>
  <c r="AR87" s="1"/>
  <c r="AE84"/>
  <c r="AF84" s="1"/>
  <c r="AR84" s="1"/>
  <c r="M85"/>
  <c r="AQ85" s="1"/>
  <c r="M84"/>
  <c r="AQ84" s="1"/>
  <c r="AQ89"/>
  <c r="M83"/>
  <c r="AQ83" s="1"/>
  <c r="M86"/>
  <c r="AQ86" s="1"/>
  <c r="AE75"/>
  <c r="AF75" s="1"/>
  <c r="AR75" s="1"/>
  <c r="AE69"/>
  <c r="AF69" s="1"/>
  <c r="AR69" s="1"/>
  <c r="AE60"/>
  <c r="AE66"/>
  <c r="AF66" s="1"/>
  <c r="AR66" s="1"/>
  <c r="AE72"/>
  <c r="AF72" s="1"/>
  <c r="AR72" s="1"/>
  <c r="AE67"/>
  <c r="AF67" s="1"/>
  <c r="AR67" s="1"/>
  <c r="AE62"/>
  <c r="AF62" s="1"/>
  <c r="AR62" s="1"/>
  <c r="AE74"/>
  <c r="AF74" s="1"/>
  <c r="AR74" s="1"/>
  <c r="AE77"/>
  <c r="AF77" s="1"/>
  <c r="AR77" s="1"/>
  <c r="R79"/>
  <c r="R40" s="1"/>
  <c r="R31" s="1"/>
  <c r="AE61"/>
  <c r="AF61" s="1"/>
  <c r="AR61" s="1"/>
  <c r="AE64"/>
  <c r="AF64" s="1"/>
  <c r="AR64" s="1"/>
  <c r="S79"/>
  <c r="T79"/>
  <c r="AE70"/>
  <c r="AF70" s="1"/>
  <c r="AR70" s="1"/>
  <c r="AE73"/>
  <c r="AF73" s="1"/>
  <c r="AR73" s="1"/>
  <c r="AE76"/>
  <c r="AF76" s="1"/>
  <c r="AR76" s="1"/>
  <c r="U79"/>
  <c r="M70"/>
  <c r="AQ70" s="1"/>
  <c r="AQ62"/>
  <c r="M69"/>
  <c r="AQ69" s="1"/>
  <c r="M72"/>
  <c r="AQ72" s="1"/>
  <c r="M68"/>
  <c r="AQ68" s="1"/>
  <c r="M78"/>
  <c r="AQ78" s="1"/>
  <c r="M75"/>
  <c r="AQ75" s="1"/>
  <c r="AQ60"/>
  <c r="AQ66"/>
  <c r="AX40"/>
  <c r="AE44"/>
  <c r="AF44" s="1"/>
  <c r="AR44" s="1"/>
  <c r="AE51"/>
  <c r="AF51" s="1"/>
  <c r="AR51" s="1"/>
  <c r="U59"/>
  <c r="AE50"/>
  <c r="AF50" s="1"/>
  <c r="AR50" s="1"/>
  <c r="AE41"/>
  <c r="AE47"/>
  <c r="AF47" s="1"/>
  <c r="AR47" s="1"/>
  <c r="T40"/>
  <c r="AE53"/>
  <c r="AF53" s="1"/>
  <c r="AR53" s="1"/>
  <c r="AE49"/>
  <c r="AF49" s="1"/>
  <c r="AR49" s="1"/>
  <c r="AE55"/>
  <c r="AF55" s="1"/>
  <c r="AR55" s="1"/>
  <c r="AE58"/>
  <c r="AF58" s="1"/>
  <c r="AR58" s="1"/>
  <c r="AE42"/>
  <c r="AF42" s="1"/>
  <c r="AR42" s="1"/>
  <c r="AE48"/>
  <c r="AF48" s="1"/>
  <c r="AR48" s="1"/>
  <c r="AE45"/>
  <c r="AF45" s="1"/>
  <c r="AR45" s="1"/>
  <c r="AE54"/>
  <c r="AF54" s="1"/>
  <c r="AR54" s="1"/>
  <c r="M55"/>
  <c r="AQ55" s="1"/>
  <c r="L59"/>
  <c r="M41"/>
  <c r="AQ47"/>
  <c r="AQ51"/>
  <c r="M50"/>
  <c r="AQ50" s="1"/>
  <c r="M43"/>
  <c r="AQ43" s="1"/>
  <c r="AQ48"/>
  <c r="M53"/>
  <c r="AQ53" s="1"/>
  <c r="AQ49"/>
  <c r="AU32"/>
  <c r="AU31" s="1"/>
  <c r="AL14" i="18"/>
  <c r="AL13" s="1"/>
  <c r="AL12" s="1"/>
  <c r="AW32" i="13"/>
  <c r="AW31" s="1"/>
  <c r="AN14" i="18"/>
  <c r="AN13" s="1"/>
  <c r="AN12" s="1"/>
  <c r="AE36" i="13"/>
  <c r="AF36" s="1"/>
  <c r="AR36" s="1"/>
  <c r="M35"/>
  <c r="AQ35" s="1"/>
  <c r="M38"/>
  <c r="AQ38" s="1"/>
  <c r="AQ36"/>
  <c r="M37"/>
  <c r="AQ37" s="1"/>
  <c r="AP7" i="18"/>
  <c r="AP6" s="1"/>
  <c r="R30" i="13"/>
  <c r="AQ26"/>
  <c r="M29"/>
  <c r="M30" s="1"/>
  <c r="AX6"/>
  <c r="AX5" s="1"/>
  <c r="AE24"/>
  <c r="AF24" s="1"/>
  <c r="AR24" s="1"/>
  <c r="AE23"/>
  <c r="AF23" s="1"/>
  <c r="AR23" s="1"/>
  <c r="AE19"/>
  <c r="AF19" s="1"/>
  <c r="AR19" s="1"/>
  <c r="AE22"/>
  <c r="AF22" s="1"/>
  <c r="AR22" s="1"/>
  <c r="AB6"/>
  <c r="AB5" s="1"/>
  <c r="AQ24"/>
  <c r="M19"/>
  <c r="AQ19" s="1"/>
  <c r="AQ18"/>
  <c r="M23"/>
  <c r="AQ23" s="1"/>
  <c r="AE14"/>
  <c r="AF14" s="1"/>
  <c r="AR14" s="1"/>
  <c r="U15"/>
  <c r="AE11"/>
  <c r="AF11" s="1"/>
  <c r="AR11" s="1"/>
  <c r="M8"/>
  <c r="AQ8" s="1"/>
  <c r="AQ12"/>
  <c r="M13"/>
  <c r="AQ13" s="1"/>
  <c r="AY80" i="12"/>
  <c r="AC19" i="18"/>
  <c r="AC18" s="1"/>
  <c r="AC12" s="1"/>
  <c r="AV80" i="12"/>
  <c r="Z19" i="18"/>
  <c r="Z18" s="1"/>
  <c r="Z12" s="1"/>
  <c r="AM91" i="12"/>
  <c r="AM80" s="1"/>
  <c r="AD31"/>
  <c r="AC31"/>
  <c r="AE84"/>
  <c r="AF84" s="1"/>
  <c r="AR84" s="1"/>
  <c r="AE87"/>
  <c r="AF87" s="1"/>
  <c r="AR87" s="1"/>
  <c r="AQ86"/>
  <c r="M85"/>
  <c r="AQ85" s="1"/>
  <c r="M83"/>
  <c r="AQ83" s="1"/>
  <c r="AQ82"/>
  <c r="AE72"/>
  <c r="AF72" s="1"/>
  <c r="AR72" s="1"/>
  <c r="AE75"/>
  <c r="AF75" s="1"/>
  <c r="AR75" s="1"/>
  <c r="AE65"/>
  <c r="AF65" s="1"/>
  <c r="AR65" s="1"/>
  <c r="AE62"/>
  <c r="AF62" s="1"/>
  <c r="AR62" s="1"/>
  <c r="U79"/>
  <c r="AE77"/>
  <c r="AF77" s="1"/>
  <c r="AR77" s="1"/>
  <c r="AE74"/>
  <c r="AF74" s="1"/>
  <c r="AR74" s="1"/>
  <c r="AE76"/>
  <c r="AF76" s="1"/>
  <c r="AR76" s="1"/>
  <c r="AE68"/>
  <c r="AF68" s="1"/>
  <c r="AR68" s="1"/>
  <c r="AE66"/>
  <c r="AF66" s="1"/>
  <c r="AR66" s="1"/>
  <c r="AE73"/>
  <c r="AF73" s="1"/>
  <c r="AR73" s="1"/>
  <c r="M62"/>
  <c r="AQ62" s="1"/>
  <c r="M73"/>
  <c r="AQ73" s="1"/>
  <c r="AQ66"/>
  <c r="AQ67"/>
  <c r="AQ71"/>
  <c r="M75"/>
  <c r="AQ75" s="1"/>
  <c r="M70"/>
  <c r="AQ70" s="1"/>
  <c r="AQ74"/>
  <c r="AT74" s="1"/>
  <c r="BB74" s="1"/>
  <c r="AU40"/>
  <c r="AU31" s="1"/>
  <c r="Y16" i="18"/>
  <c r="Y15" s="1"/>
  <c r="Y12" s="1"/>
  <c r="AZ40" i="12"/>
  <c r="AW40"/>
  <c r="AA16" i="18"/>
  <c r="AA15" s="1"/>
  <c r="AM59" i="12"/>
  <c r="AL40"/>
  <c r="AL31" s="1"/>
  <c r="AE49"/>
  <c r="AF49" s="1"/>
  <c r="AR49" s="1"/>
  <c r="M48"/>
  <c r="AQ48" s="1"/>
  <c r="M41"/>
  <c r="AQ41" s="1"/>
  <c r="M51"/>
  <c r="AQ51" s="1"/>
  <c r="M56"/>
  <c r="AQ56" s="1"/>
  <c r="AQ58"/>
  <c r="M55"/>
  <c r="AQ55" s="1"/>
  <c r="AQ49"/>
  <c r="AQ44"/>
  <c r="M54"/>
  <c r="AQ54" s="1"/>
  <c r="M43"/>
  <c r="AQ43" s="1"/>
  <c r="AQ52"/>
  <c r="AW32"/>
  <c r="AA14" i="18"/>
  <c r="AA13" s="1"/>
  <c r="AZ32" i="12"/>
  <c r="AD14" i="18"/>
  <c r="AD13" s="1"/>
  <c r="AD12" s="1"/>
  <c r="AV31" i="12"/>
  <c r="AY31"/>
  <c r="AT36"/>
  <c r="BB36" s="1"/>
  <c r="AE37"/>
  <c r="AF37" s="1"/>
  <c r="AR37" s="1"/>
  <c r="AE33"/>
  <c r="AQ38"/>
  <c r="M37"/>
  <c r="AQ37" s="1"/>
  <c r="R30"/>
  <c r="S30"/>
  <c r="AE27"/>
  <c r="AF27" s="1"/>
  <c r="AR27" s="1"/>
  <c r="AE26"/>
  <c r="AB25"/>
  <c r="AE21"/>
  <c r="AF21" s="1"/>
  <c r="AR21" s="1"/>
  <c r="AE20"/>
  <c r="AF20" s="1"/>
  <c r="AR20" s="1"/>
  <c r="AE23"/>
  <c r="AF23" s="1"/>
  <c r="AR23" s="1"/>
  <c r="R25"/>
  <c r="U25"/>
  <c r="U6"/>
  <c r="U5" s="1"/>
  <c r="AE22"/>
  <c r="AF22" s="1"/>
  <c r="AR22" s="1"/>
  <c r="T25"/>
  <c r="AQ18"/>
  <c r="M22"/>
  <c r="AQ22" s="1"/>
  <c r="M21"/>
  <c r="AQ21" s="1"/>
  <c r="M24"/>
  <c r="AQ24" s="1"/>
  <c r="M20"/>
  <c r="AQ20" s="1"/>
  <c r="AQ19"/>
  <c r="AD7" i="18"/>
  <c r="AD6" s="1"/>
  <c r="AE7"/>
  <c r="AE6" s="1"/>
  <c r="AD6" i="12"/>
  <c r="AD5" s="1"/>
  <c r="AB17"/>
  <c r="L17"/>
  <c r="AZ6"/>
  <c r="AZ5" s="1"/>
  <c r="BA6"/>
  <c r="BA5" s="1"/>
  <c r="AU6"/>
  <c r="AU5" s="1"/>
  <c r="Y8" i="18"/>
  <c r="Y7" s="1"/>
  <c r="Y6" s="1"/>
  <c r="AV6" i="12"/>
  <c r="AV5" s="1"/>
  <c r="Z8" i="18"/>
  <c r="Z7" s="1"/>
  <c r="Z6" s="1"/>
  <c r="AW6" i="12"/>
  <c r="AW5" s="1"/>
  <c r="AX6"/>
  <c r="AX5" s="1"/>
  <c r="AB8" i="18"/>
  <c r="AB7" s="1"/>
  <c r="AB6" s="1"/>
  <c r="AB15" i="12"/>
  <c r="AB6" s="1"/>
  <c r="AB5" s="1"/>
  <c r="AE10"/>
  <c r="AF10" s="1"/>
  <c r="AR10" s="1"/>
  <c r="T15"/>
  <c r="T6" s="1"/>
  <c r="T5" s="1"/>
  <c r="AE9"/>
  <c r="AF9" s="1"/>
  <c r="AR9" s="1"/>
  <c r="S15"/>
  <c r="AE11"/>
  <c r="AF11" s="1"/>
  <c r="AR11" s="1"/>
  <c r="M8"/>
  <c r="AQ8" s="1"/>
  <c r="M7"/>
  <c r="AC7" s="1"/>
  <c r="AQ10"/>
  <c r="M9"/>
  <c r="AQ9" s="1"/>
  <c r="M12"/>
  <c r="AQ12" s="1"/>
  <c r="AE27" i="1"/>
  <c r="AE18"/>
  <c r="AE11"/>
  <c r="AE166" i="13"/>
  <c r="AF166" s="1"/>
  <c r="AR166" s="1"/>
  <c r="AE195"/>
  <c r="AF195" s="1"/>
  <c r="AR195" s="1"/>
  <c r="AE196" i="15"/>
  <c r="AF196" s="1"/>
  <c r="AR196" s="1"/>
  <c r="S168" i="17"/>
  <c r="S143" s="1"/>
  <c r="AE145" i="22"/>
  <c r="AF145" s="1"/>
  <c r="AR145" s="1"/>
  <c r="AE152"/>
  <c r="AF152" s="1"/>
  <c r="AR152" s="1"/>
  <c r="AE197"/>
  <c r="AF197" s="1"/>
  <c r="AR197" s="1"/>
  <c r="T222"/>
  <c r="T202" s="1"/>
  <c r="AE166" i="23"/>
  <c r="AF166" s="1"/>
  <c r="AR166" s="1"/>
  <c r="M214"/>
  <c r="AQ214" s="1"/>
  <c r="AF209" i="15"/>
  <c r="AR209" s="1"/>
  <c r="AE131" i="17"/>
  <c r="AF131" s="1"/>
  <c r="AR131" s="1"/>
  <c r="S222"/>
  <c r="S202" s="1"/>
  <c r="AE154" i="21"/>
  <c r="AF154" s="1"/>
  <c r="AR154" s="1"/>
  <c r="AE147" i="22"/>
  <c r="AF147" s="1"/>
  <c r="AR147" s="1"/>
  <c r="M154"/>
  <c r="AQ154" s="1"/>
  <c r="AT154" s="1"/>
  <c r="BB154" s="1"/>
  <c r="L232"/>
  <c r="AB201" i="23"/>
  <c r="AB179" s="1"/>
  <c r="AC168" i="16"/>
  <c r="AC143" s="1"/>
  <c r="L222" i="1"/>
  <c r="AE196" i="17"/>
  <c r="AF196" s="1"/>
  <c r="AR196" s="1"/>
  <c r="AE214"/>
  <c r="AF214" s="1"/>
  <c r="AR214" s="1"/>
  <c r="AE147" i="21"/>
  <c r="AF147" s="1"/>
  <c r="AR147" s="1"/>
  <c r="S232"/>
  <c r="Y168" i="22"/>
  <c r="AE227" i="1"/>
  <c r="AF227" s="1"/>
  <c r="AR227" s="1"/>
  <c r="T201" i="14"/>
  <c r="T179" s="1"/>
  <c r="AE146" i="16"/>
  <c r="AF146" s="1"/>
  <c r="AR146" s="1"/>
  <c r="AQ197" i="17"/>
  <c r="AE227"/>
  <c r="AF227" s="1"/>
  <c r="AR227" s="1"/>
  <c r="AB168" i="22"/>
  <c r="T168"/>
  <c r="T143" s="1"/>
  <c r="M198"/>
  <c r="AQ198" s="1"/>
  <c r="AT198" s="1"/>
  <c r="BB198" s="1"/>
  <c r="AE209"/>
  <c r="AF209" s="1"/>
  <c r="AR209" s="1"/>
  <c r="R232"/>
  <c r="R224" s="1"/>
  <c r="R223" s="1"/>
  <c r="AE176" i="23"/>
  <c r="AF176" s="1"/>
  <c r="AR176" s="1"/>
  <c r="AE198"/>
  <c r="AF198" s="1"/>
  <c r="AR198" s="1"/>
  <c r="AE227"/>
  <c r="AF227" s="1"/>
  <c r="AR227" s="1"/>
  <c r="AE209" i="17"/>
  <c r="AF209" s="1"/>
  <c r="AR209" s="1"/>
  <c r="M147" i="23"/>
  <c r="AQ147" s="1"/>
  <c r="AE145" i="12"/>
  <c r="AF145" s="1"/>
  <c r="AR145" s="1"/>
  <c r="S178" i="14"/>
  <c r="AC168" i="17"/>
  <c r="AC143" s="1"/>
  <c r="AE153"/>
  <c r="AF153" s="1"/>
  <c r="AR153" s="1"/>
  <c r="AE176"/>
  <c r="AF176" s="1"/>
  <c r="AR176" s="1"/>
  <c r="AE195"/>
  <c r="AF195" s="1"/>
  <c r="AR195" s="1"/>
  <c r="R222"/>
  <c r="R202" s="1"/>
  <c r="M214" i="22"/>
  <c r="AQ214" s="1"/>
  <c r="AE214" i="23"/>
  <c r="AF214" s="1"/>
  <c r="AR214" s="1"/>
  <c r="AC201" i="13"/>
  <c r="AC179" s="1"/>
  <c r="AE195" i="12"/>
  <c r="AF195" s="1"/>
  <c r="AR195" s="1"/>
  <c r="AF197" i="13"/>
  <c r="AR197" s="1"/>
  <c r="AE198" i="16"/>
  <c r="AF198" s="1"/>
  <c r="AR198" s="1"/>
  <c r="S168" i="21"/>
  <c r="AQ176"/>
  <c r="AE196"/>
  <c r="AF196" s="1"/>
  <c r="AR196" s="1"/>
  <c r="S168" i="22"/>
  <c r="S143" s="1"/>
  <c r="Y201"/>
  <c r="Y179" s="1"/>
  <c r="AE197" i="23"/>
  <c r="AF197" s="1"/>
  <c r="AR197" s="1"/>
  <c r="AE145" i="14"/>
  <c r="AF145" s="1"/>
  <c r="AR145" s="1"/>
  <c r="AE195" i="16"/>
  <c r="AF195" s="1"/>
  <c r="AR195" s="1"/>
  <c r="AQ131" i="17"/>
  <c r="M154"/>
  <c r="AQ154" s="1"/>
  <c r="R232"/>
  <c r="R224" s="1"/>
  <c r="R223" s="1"/>
  <c r="AE155" i="21"/>
  <c r="AF155" s="1"/>
  <c r="AR155" s="1"/>
  <c r="M205"/>
  <c r="AQ205" s="1"/>
  <c r="M176" i="22"/>
  <c r="AQ176" s="1"/>
  <c r="AE205"/>
  <c r="AF205" s="1"/>
  <c r="AR205" s="1"/>
  <c r="L178" i="23"/>
  <c r="T222"/>
  <c r="T202" s="1"/>
  <c r="M178" i="16"/>
  <c r="M131" i="17"/>
  <c r="AE147"/>
  <c r="AF147" s="1"/>
  <c r="AR147" s="1"/>
  <c r="AQ214"/>
  <c r="S232"/>
  <c r="S224" s="1"/>
  <c r="S223" s="1"/>
  <c r="AQ147" i="21"/>
  <c r="U178"/>
  <c r="AE209"/>
  <c r="AF209" s="1"/>
  <c r="AR209" s="1"/>
  <c r="AQ131"/>
  <c r="AF148"/>
  <c r="AR148" s="1"/>
  <c r="T222"/>
  <c r="T202" s="1"/>
  <c r="AE153" i="22"/>
  <c r="AF153" s="1"/>
  <c r="AR153" s="1"/>
  <c r="AT153" s="1"/>
  <c r="BB153" s="1"/>
  <c r="U178"/>
  <c r="AQ176" i="23"/>
  <c r="S201"/>
  <c r="S179" s="1"/>
  <c r="M198"/>
  <c r="AQ198" s="1"/>
  <c r="Y232"/>
  <c r="M227"/>
  <c r="AQ227" s="1"/>
  <c r="AC136" i="14"/>
  <c r="AQ227" i="1"/>
  <c r="L143" i="17"/>
  <c r="M154" i="21"/>
  <c r="AQ154" s="1"/>
  <c r="AQ214"/>
  <c r="AE146" i="22"/>
  <c r="AF146" s="1"/>
  <c r="AR146" s="1"/>
  <c r="AT146" s="1"/>
  <c r="BB146" s="1"/>
  <c r="AQ195"/>
  <c r="AE214"/>
  <c r="AF214" s="1"/>
  <c r="AR214" s="1"/>
  <c r="AE147" i="23"/>
  <c r="AF147" s="1"/>
  <c r="AR147" s="1"/>
  <c r="T201"/>
  <c r="T179" s="1"/>
  <c r="AB232"/>
  <c r="AB224" s="1"/>
  <c r="AB223" s="1"/>
  <c r="AC201" i="16"/>
  <c r="AC179" s="1"/>
  <c r="AN123"/>
  <c r="AS123" s="1"/>
  <c r="AS135"/>
  <c r="AN138"/>
  <c r="AS138" s="1"/>
  <c r="AS137"/>
  <c r="AN139"/>
  <c r="AM139"/>
  <c r="AS159"/>
  <c r="AM178"/>
  <c r="AS212"/>
  <c r="AN112"/>
  <c r="AS112" s="1"/>
  <c r="AC93"/>
  <c r="AE158"/>
  <c r="AF158" s="1"/>
  <c r="AR158" s="1"/>
  <c r="AF190"/>
  <c r="AR190" s="1"/>
  <c r="AE165"/>
  <c r="AF165" s="1"/>
  <c r="AR165" s="1"/>
  <c r="AE239"/>
  <c r="AF239" s="1"/>
  <c r="AR239" s="1"/>
  <c r="AB232"/>
  <c r="AE225"/>
  <c r="AE106"/>
  <c r="AF106" s="1"/>
  <c r="AR106" s="1"/>
  <c r="AF204"/>
  <c r="AR204" s="1"/>
  <c r="AF150"/>
  <c r="AR150" s="1"/>
  <c r="AE162"/>
  <c r="AF162" s="1"/>
  <c r="AR162" s="1"/>
  <c r="AF176"/>
  <c r="AR176" s="1"/>
  <c r="AE117"/>
  <c r="AF117" s="1"/>
  <c r="AR117" s="1"/>
  <c r="AE120"/>
  <c r="AF120" s="1"/>
  <c r="AR120" s="1"/>
  <c r="U113"/>
  <c r="AE163"/>
  <c r="AF163" s="1"/>
  <c r="AR163" s="1"/>
  <c r="AE192"/>
  <c r="AF192" s="1"/>
  <c r="AR192" s="1"/>
  <c r="AE203"/>
  <c r="AF209"/>
  <c r="AR209" s="1"/>
  <c r="AE216"/>
  <c r="AF216" s="1"/>
  <c r="AR216" s="1"/>
  <c r="AE133"/>
  <c r="AF133" s="1"/>
  <c r="AR133" s="1"/>
  <c r="AE145"/>
  <c r="AF145" s="1"/>
  <c r="AR145" s="1"/>
  <c r="AE206"/>
  <c r="AF206" s="1"/>
  <c r="AR206" s="1"/>
  <c r="AF208"/>
  <c r="AR208" s="1"/>
  <c r="AE130"/>
  <c r="AF130" s="1"/>
  <c r="AR130" s="1"/>
  <c r="AE170"/>
  <c r="AF170" s="1"/>
  <c r="AR170" s="1"/>
  <c r="AE173"/>
  <c r="AF173" s="1"/>
  <c r="AR173" s="1"/>
  <c r="AT173" s="1"/>
  <c r="BB173" s="1"/>
  <c r="AF215"/>
  <c r="AR215" s="1"/>
  <c r="R232"/>
  <c r="R224" s="1"/>
  <c r="R223" s="1"/>
  <c r="T236"/>
  <c r="AE240"/>
  <c r="AF240" s="1"/>
  <c r="AR240" s="1"/>
  <c r="AE97"/>
  <c r="AF97" s="1"/>
  <c r="AR97" s="1"/>
  <c r="AF108"/>
  <c r="AR108" s="1"/>
  <c r="AE123"/>
  <c r="AF123" s="1"/>
  <c r="AR123" s="1"/>
  <c r="AE166"/>
  <c r="AF166" s="1"/>
  <c r="AR166" s="1"/>
  <c r="S178"/>
  <c r="AE111"/>
  <c r="AF111" s="1"/>
  <c r="AR111" s="1"/>
  <c r="AE149"/>
  <c r="AF149" s="1"/>
  <c r="AR149" s="1"/>
  <c r="AE154"/>
  <c r="AF154" s="1"/>
  <c r="AR154" s="1"/>
  <c r="AE155"/>
  <c r="AF155" s="1"/>
  <c r="AR155" s="1"/>
  <c r="AE211"/>
  <c r="AF211" s="1"/>
  <c r="AR211" s="1"/>
  <c r="T232"/>
  <c r="AE107"/>
  <c r="AF107" s="1"/>
  <c r="AR107" s="1"/>
  <c r="AE116"/>
  <c r="AF116" s="1"/>
  <c r="AR116" s="1"/>
  <c r="AE205"/>
  <c r="AF205" s="1"/>
  <c r="AR205" s="1"/>
  <c r="U232"/>
  <c r="R236"/>
  <c r="AE103"/>
  <c r="AF103" s="1"/>
  <c r="AR103" s="1"/>
  <c r="AE129"/>
  <c r="AF129" s="1"/>
  <c r="AR129" s="1"/>
  <c r="AE182"/>
  <c r="AF182" s="1"/>
  <c r="AR182" s="1"/>
  <c r="AF194"/>
  <c r="AR194" s="1"/>
  <c r="AF131"/>
  <c r="AR131" s="1"/>
  <c r="AF148"/>
  <c r="AR148" s="1"/>
  <c r="AE151"/>
  <c r="AF151" s="1"/>
  <c r="AR151" s="1"/>
  <c r="AE157"/>
  <c r="AF157" s="1"/>
  <c r="AR157" s="1"/>
  <c r="AE191"/>
  <c r="AF191" s="1"/>
  <c r="AR191" s="1"/>
  <c r="AF214"/>
  <c r="AR214" s="1"/>
  <c r="T168"/>
  <c r="AE159"/>
  <c r="AF159" s="1"/>
  <c r="AR159" s="1"/>
  <c r="AF197"/>
  <c r="AR197" s="1"/>
  <c r="AE207"/>
  <c r="AF207" s="1"/>
  <c r="AR207" s="1"/>
  <c r="AE210"/>
  <c r="AF210" s="1"/>
  <c r="AR210" s="1"/>
  <c r="AE217"/>
  <c r="AF217" s="1"/>
  <c r="AR217" s="1"/>
  <c r="R113"/>
  <c r="U136"/>
  <c r="AE118"/>
  <c r="AF118" s="1"/>
  <c r="AR118" s="1"/>
  <c r="AE152"/>
  <c r="AF152" s="1"/>
  <c r="AR152" s="1"/>
  <c r="AE199"/>
  <c r="AF199" s="1"/>
  <c r="AR199" s="1"/>
  <c r="S222"/>
  <c r="S202" s="1"/>
  <c r="AE220"/>
  <c r="AF220" s="1"/>
  <c r="AR220" s="1"/>
  <c r="AE238"/>
  <c r="AF238" s="1"/>
  <c r="AR238" s="1"/>
  <c r="AE109"/>
  <c r="AF109" s="1"/>
  <c r="AR109" s="1"/>
  <c r="AT109" s="1"/>
  <c r="BB109" s="1"/>
  <c r="U178"/>
  <c r="AF184"/>
  <c r="AR184" s="1"/>
  <c r="AE193"/>
  <c r="AF193" s="1"/>
  <c r="AR193" s="1"/>
  <c r="AE230"/>
  <c r="AF230" s="1"/>
  <c r="AR230" s="1"/>
  <c r="AR232" s="1"/>
  <c r="T242"/>
  <c r="AQ115"/>
  <c r="AQ173"/>
  <c r="AQ187"/>
  <c r="AQ203"/>
  <c r="AQ217"/>
  <c r="AQ94"/>
  <c r="L101"/>
  <c r="M115"/>
  <c r="L168"/>
  <c r="AQ150"/>
  <c r="AQ171"/>
  <c r="M213"/>
  <c r="AQ213" s="1"/>
  <c r="AT213" s="1"/>
  <c r="BB213" s="1"/>
  <c r="AQ109"/>
  <c r="M109"/>
  <c r="AQ147"/>
  <c r="M151"/>
  <c r="AQ151" s="1"/>
  <c r="AQ158"/>
  <c r="AQ198"/>
  <c r="AQ212"/>
  <c r="AQ114"/>
  <c r="AQ118"/>
  <c r="M129"/>
  <c r="AQ129" s="1"/>
  <c r="AQ194"/>
  <c r="AQ216"/>
  <c r="AQ140"/>
  <c r="AT110"/>
  <c r="BB110" s="1"/>
  <c r="M125"/>
  <c r="AQ125" s="1"/>
  <c r="AT125" s="1"/>
  <c r="BB125" s="1"/>
  <c r="M140"/>
  <c r="M142" s="1"/>
  <c r="AQ175"/>
  <c r="M211"/>
  <c r="AQ211" s="1"/>
  <c r="AQ99"/>
  <c r="AQ121"/>
  <c r="AQ176"/>
  <c r="M197"/>
  <c r="AQ197" s="1"/>
  <c r="AQ134"/>
  <c r="AT134" s="1"/>
  <c r="BB134" s="1"/>
  <c r="AQ190"/>
  <c r="M236"/>
  <c r="L242"/>
  <c r="M104"/>
  <c r="AQ104" s="1"/>
  <c r="AQ111"/>
  <c r="M134"/>
  <c r="M190"/>
  <c r="M193"/>
  <c r="AQ193" s="1"/>
  <c r="M207"/>
  <c r="AQ207" s="1"/>
  <c r="AT207" s="1"/>
  <c r="BB207" s="1"/>
  <c r="M221"/>
  <c r="AQ221" s="1"/>
  <c r="M111"/>
  <c r="M156"/>
  <c r="AQ156" s="1"/>
  <c r="AT156" s="1"/>
  <c r="BB156" s="1"/>
  <c r="AQ214"/>
  <c r="AQ133"/>
  <c r="L142"/>
  <c r="M145"/>
  <c r="AQ145" s="1"/>
  <c r="M152"/>
  <c r="AQ152" s="1"/>
  <c r="AQ159"/>
  <c r="M189"/>
  <c r="AQ189" s="1"/>
  <c r="AT189" s="1"/>
  <c r="BB189" s="1"/>
  <c r="AQ199"/>
  <c r="AT199" s="1"/>
  <c r="BB199" s="1"/>
  <c r="AQ228"/>
  <c r="BA224" i="15"/>
  <c r="BA223" s="1"/>
  <c r="AY224"/>
  <c r="AY223" s="1"/>
  <c r="AZ143"/>
  <c r="AY143"/>
  <c r="AW92"/>
  <c r="AV92"/>
  <c r="BA93"/>
  <c r="BA92" s="1"/>
  <c r="AZ93"/>
  <c r="AZ92" s="1"/>
  <c r="AY93"/>
  <c r="AU93"/>
  <c r="AU92" s="1"/>
  <c r="AX93"/>
  <c r="AX92" s="1"/>
  <c r="AS94"/>
  <c r="AN109"/>
  <c r="AS109" s="1"/>
  <c r="AK92"/>
  <c r="AN140"/>
  <c r="AS140" s="1"/>
  <c r="AM101"/>
  <c r="AL92"/>
  <c r="AN94"/>
  <c r="AB101"/>
  <c r="AB113"/>
  <c r="AE160"/>
  <c r="AF160" s="1"/>
  <c r="AR160" s="1"/>
  <c r="AE218"/>
  <c r="AF218" s="1"/>
  <c r="AR218" s="1"/>
  <c r="AE217"/>
  <c r="AF217" s="1"/>
  <c r="AR217" s="1"/>
  <c r="AE156"/>
  <c r="AF156" s="1"/>
  <c r="AR156" s="1"/>
  <c r="AF194"/>
  <c r="AR194" s="1"/>
  <c r="AE103"/>
  <c r="AF103" s="1"/>
  <c r="AR103" s="1"/>
  <c r="AE124"/>
  <c r="AF124" s="1"/>
  <c r="AR124" s="1"/>
  <c r="AE152"/>
  <c r="AF152" s="1"/>
  <c r="AR152" s="1"/>
  <c r="AE159"/>
  <c r="AF159" s="1"/>
  <c r="AR159" s="1"/>
  <c r="AE200"/>
  <c r="AF200" s="1"/>
  <c r="AR200" s="1"/>
  <c r="AT200" s="1"/>
  <c r="AF207"/>
  <c r="AR207" s="1"/>
  <c r="U232"/>
  <c r="AE98"/>
  <c r="AF98" s="1"/>
  <c r="AR98" s="1"/>
  <c r="U136"/>
  <c r="AE135"/>
  <c r="AF135" s="1"/>
  <c r="AR135" s="1"/>
  <c r="AE146"/>
  <c r="AF146" s="1"/>
  <c r="AR146" s="1"/>
  <c r="R201"/>
  <c r="R179" s="1"/>
  <c r="AE191"/>
  <c r="AF191" s="1"/>
  <c r="AR191" s="1"/>
  <c r="T222"/>
  <c r="T202" s="1"/>
  <c r="AE210"/>
  <c r="AF210" s="1"/>
  <c r="AR210" s="1"/>
  <c r="AF213"/>
  <c r="AR213" s="1"/>
  <c r="AF131"/>
  <c r="AR131" s="1"/>
  <c r="AF138"/>
  <c r="AR138" s="1"/>
  <c r="AE155"/>
  <c r="AF155" s="1"/>
  <c r="AR155" s="1"/>
  <c r="AE177"/>
  <c r="AF177" s="1"/>
  <c r="AR177" s="1"/>
  <c r="U222"/>
  <c r="U202" s="1"/>
  <c r="AE240"/>
  <c r="AF240" s="1"/>
  <c r="AR240" s="1"/>
  <c r="U113"/>
  <c r="AE109"/>
  <c r="AF109" s="1"/>
  <c r="AR109" s="1"/>
  <c r="AE145"/>
  <c r="AF145" s="1"/>
  <c r="AR145" s="1"/>
  <c r="AE149"/>
  <c r="AF149" s="1"/>
  <c r="AR149" s="1"/>
  <c r="AE171"/>
  <c r="AF171" s="1"/>
  <c r="AR171" s="1"/>
  <c r="T201"/>
  <c r="T179" s="1"/>
  <c r="AF188"/>
  <c r="AR188" s="1"/>
  <c r="AF197"/>
  <c r="AR197" s="1"/>
  <c r="AE225"/>
  <c r="AF148"/>
  <c r="AR148" s="1"/>
  <c r="AF184"/>
  <c r="AR184" s="1"/>
  <c r="AE97"/>
  <c r="AF97" s="1"/>
  <c r="AR97" s="1"/>
  <c r="AE134"/>
  <c r="AF134" s="1"/>
  <c r="AR134" s="1"/>
  <c r="AE193"/>
  <c r="AF193" s="1"/>
  <c r="AR193" s="1"/>
  <c r="AE199"/>
  <c r="AF199" s="1"/>
  <c r="AR199" s="1"/>
  <c r="AE203"/>
  <c r="AE230"/>
  <c r="AF230" s="1"/>
  <c r="AR230" s="1"/>
  <c r="AR232" s="1"/>
  <c r="AE234"/>
  <c r="AF234" s="1"/>
  <c r="AR234" s="1"/>
  <c r="AE133"/>
  <c r="AF133" s="1"/>
  <c r="AR133" s="1"/>
  <c r="R242"/>
  <c r="AE100"/>
  <c r="AF100" s="1"/>
  <c r="AR100" s="1"/>
  <c r="AE111"/>
  <c r="AF111" s="1"/>
  <c r="AR111" s="1"/>
  <c r="AE189"/>
  <c r="AF189" s="1"/>
  <c r="AR189" s="1"/>
  <c r="AE198"/>
  <c r="AF198" s="1"/>
  <c r="AR198" s="1"/>
  <c r="AE206"/>
  <c r="AF206" s="1"/>
  <c r="AR206" s="1"/>
  <c r="S242"/>
  <c r="R101"/>
  <c r="AF137"/>
  <c r="AE154"/>
  <c r="AF154" s="1"/>
  <c r="AR154" s="1"/>
  <c r="AE163"/>
  <c r="AF163" s="1"/>
  <c r="AR163" s="1"/>
  <c r="AF175"/>
  <c r="AR175" s="1"/>
  <c r="AE186"/>
  <c r="AF186" s="1"/>
  <c r="AR186" s="1"/>
  <c r="T242"/>
  <c r="T224" s="1"/>
  <c r="T223" s="1"/>
  <c r="AE241"/>
  <c r="AF241" s="1"/>
  <c r="AR241" s="1"/>
  <c r="AR242" s="1"/>
  <c r="BI38" i="18" s="1"/>
  <c r="AE182" i="15"/>
  <c r="AF182" s="1"/>
  <c r="AR182" s="1"/>
  <c r="AE192"/>
  <c r="AF192" s="1"/>
  <c r="AR192" s="1"/>
  <c r="AF214"/>
  <c r="AR214" s="1"/>
  <c r="R232"/>
  <c r="AE229"/>
  <c r="AF229" s="1"/>
  <c r="AR229" s="1"/>
  <c r="S113"/>
  <c r="S93" s="1"/>
  <c r="AF104"/>
  <c r="AR104" s="1"/>
  <c r="AE107"/>
  <c r="AF107" s="1"/>
  <c r="AR107" s="1"/>
  <c r="AE128"/>
  <c r="AF128" s="1"/>
  <c r="AR128" s="1"/>
  <c r="AE144"/>
  <c r="T168"/>
  <c r="AE147"/>
  <c r="AF147" s="1"/>
  <c r="AR147" s="1"/>
  <c r="AF150"/>
  <c r="AR150" s="1"/>
  <c r="AE157"/>
  <c r="AF157" s="1"/>
  <c r="AR157" s="1"/>
  <c r="AE172"/>
  <c r="AF172" s="1"/>
  <c r="AR172" s="1"/>
  <c r="AF208"/>
  <c r="AR208" s="1"/>
  <c r="AE233"/>
  <c r="AE235"/>
  <c r="AF235" s="1"/>
  <c r="AR235" s="1"/>
  <c r="M115"/>
  <c r="AQ115" s="1"/>
  <c r="AT115" s="1"/>
  <c r="BB115" s="1"/>
  <c r="AQ126"/>
  <c r="AQ154"/>
  <c r="M126"/>
  <c r="L139"/>
  <c r="AQ147"/>
  <c r="M118"/>
  <c r="AQ118" s="1"/>
  <c r="M135"/>
  <c r="AQ135" s="1"/>
  <c r="AT135" s="1"/>
  <c r="BB135" s="1"/>
  <c r="AQ167"/>
  <c r="M237"/>
  <c r="AQ237" s="1"/>
  <c r="M241"/>
  <c r="AQ241" s="1"/>
  <c r="AQ120"/>
  <c r="M164"/>
  <c r="AQ164" s="1"/>
  <c r="AQ171"/>
  <c r="M174"/>
  <c r="M178" s="1"/>
  <c r="AQ206"/>
  <c r="AQ208"/>
  <c r="M105"/>
  <c r="AQ105" s="1"/>
  <c r="AT105" s="1"/>
  <c r="BB105" s="1"/>
  <c r="AQ121"/>
  <c r="M134"/>
  <c r="AQ134" s="1"/>
  <c r="AQ215"/>
  <c r="AQ216"/>
  <c r="AQ220"/>
  <c r="AQ95"/>
  <c r="M121"/>
  <c r="AQ127"/>
  <c r="AQ185"/>
  <c r="AQ128"/>
  <c r="M140"/>
  <c r="AQ140" s="1"/>
  <c r="AQ142" s="1"/>
  <c r="AQ170"/>
  <c r="M185"/>
  <c r="M227"/>
  <c r="AQ227" s="1"/>
  <c r="M128"/>
  <c r="M139"/>
  <c r="AQ194"/>
  <c r="AQ214"/>
  <c r="M234"/>
  <c r="AQ234" s="1"/>
  <c r="AQ193"/>
  <c r="M176"/>
  <c r="AQ176" s="1"/>
  <c r="M191"/>
  <c r="AQ191" s="1"/>
  <c r="M194"/>
  <c r="M107"/>
  <c r="M113" s="1"/>
  <c r="M132"/>
  <c r="AQ132" s="1"/>
  <c r="AT132" s="1"/>
  <c r="BB132" s="1"/>
  <c r="M155"/>
  <c r="AQ155" s="1"/>
  <c r="L242"/>
  <c r="AQ103"/>
  <c r="AQ119"/>
  <c r="AQ151"/>
  <c r="AQ183"/>
  <c r="AQ197"/>
  <c r="AZ93" i="12"/>
  <c r="AY93"/>
  <c r="AZ92" i="14"/>
  <c r="AU92"/>
  <c r="AY92"/>
  <c r="BA92"/>
  <c r="AK92"/>
  <c r="AN141"/>
  <c r="AS141" s="1"/>
  <c r="AJ92"/>
  <c r="AN111"/>
  <c r="AS111" s="1"/>
  <c r="AM142"/>
  <c r="AM168"/>
  <c r="AC93"/>
  <c r="AC92" s="1"/>
  <c r="AF108"/>
  <c r="AR108" s="1"/>
  <c r="AB136"/>
  <c r="AE151"/>
  <c r="AF151" s="1"/>
  <c r="AR151" s="1"/>
  <c r="AE116"/>
  <c r="AF116" s="1"/>
  <c r="AR116" s="1"/>
  <c r="AB224"/>
  <c r="AB223" s="1"/>
  <c r="AE124"/>
  <c r="AF124" s="1"/>
  <c r="AR124" s="1"/>
  <c r="AE193"/>
  <c r="AF193" s="1"/>
  <c r="AR193" s="1"/>
  <c r="AE133"/>
  <c r="AF133" s="1"/>
  <c r="AR133" s="1"/>
  <c r="AF213"/>
  <c r="AR213" s="1"/>
  <c r="AE183"/>
  <c r="AF183" s="1"/>
  <c r="AR183" s="1"/>
  <c r="AE186"/>
  <c r="AF186" s="1"/>
  <c r="AR186" s="1"/>
  <c r="AE98"/>
  <c r="AF98" s="1"/>
  <c r="AR98" s="1"/>
  <c r="AE165"/>
  <c r="AF165" s="1"/>
  <c r="AR165" s="1"/>
  <c r="AT165" s="1"/>
  <c r="BB165" s="1"/>
  <c r="AE225"/>
  <c r="AF225" s="1"/>
  <c r="AE241"/>
  <c r="AF241" s="1"/>
  <c r="AR241" s="1"/>
  <c r="Y178"/>
  <c r="AE97"/>
  <c r="AF97" s="1"/>
  <c r="AR97" s="1"/>
  <c r="AE100"/>
  <c r="AF100" s="1"/>
  <c r="AR100" s="1"/>
  <c r="AF112"/>
  <c r="AR112" s="1"/>
  <c r="AE217"/>
  <c r="AF217" s="1"/>
  <c r="AR217" s="1"/>
  <c r="AE135"/>
  <c r="AF135" s="1"/>
  <c r="AR135" s="1"/>
  <c r="AE216"/>
  <c r="AF216" s="1"/>
  <c r="AR216" s="1"/>
  <c r="AE152"/>
  <c r="AF152" s="1"/>
  <c r="AR152" s="1"/>
  <c r="AF176"/>
  <c r="AR176" s="1"/>
  <c r="AF104"/>
  <c r="AR104" s="1"/>
  <c r="AE129"/>
  <c r="AF129" s="1"/>
  <c r="AR129" s="1"/>
  <c r="AF141"/>
  <c r="AR141" s="1"/>
  <c r="AE163"/>
  <c r="AF163" s="1"/>
  <c r="AR163" s="1"/>
  <c r="AF215"/>
  <c r="AR215" s="1"/>
  <c r="AE126"/>
  <c r="AF126" s="1"/>
  <c r="AR126" s="1"/>
  <c r="AF150"/>
  <c r="AR150" s="1"/>
  <c r="S236"/>
  <c r="AE234"/>
  <c r="AF234" s="1"/>
  <c r="AR234" s="1"/>
  <c r="T242"/>
  <c r="AE96"/>
  <c r="AF96" s="1"/>
  <c r="AR96" s="1"/>
  <c r="AE134"/>
  <c r="AF134" s="1"/>
  <c r="AR134" s="1"/>
  <c r="AE211"/>
  <c r="AF211" s="1"/>
  <c r="AR211" s="1"/>
  <c r="AE230"/>
  <c r="AF230" s="1"/>
  <c r="AR230" s="1"/>
  <c r="U242"/>
  <c r="AE125"/>
  <c r="AF125" s="1"/>
  <c r="AR125" s="1"/>
  <c r="AE128"/>
  <c r="AF128" s="1"/>
  <c r="AR128" s="1"/>
  <c r="U139"/>
  <c r="AE140"/>
  <c r="AF140" s="1"/>
  <c r="AE162"/>
  <c r="AF162" s="1"/>
  <c r="AR162" s="1"/>
  <c r="R201"/>
  <c r="R179" s="1"/>
  <c r="AF207"/>
  <c r="AR207" s="1"/>
  <c r="AF214"/>
  <c r="AR214" s="1"/>
  <c r="AE227"/>
  <c r="AF227" s="1"/>
  <c r="AR227" s="1"/>
  <c r="R242"/>
  <c r="AE99"/>
  <c r="AF99" s="1"/>
  <c r="AR99" s="1"/>
  <c r="AF115"/>
  <c r="AR115" s="1"/>
  <c r="R136"/>
  <c r="AF121"/>
  <c r="AR121" s="1"/>
  <c r="AF131"/>
  <c r="AR131" s="1"/>
  <c r="AE146"/>
  <c r="AF146" s="1"/>
  <c r="AR146" s="1"/>
  <c r="AE159"/>
  <c r="AF159" s="1"/>
  <c r="AR159" s="1"/>
  <c r="AE172"/>
  <c r="AF172" s="1"/>
  <c r="AR172" s="1"/>
  <c r="AE192"/>
  <c r="AF192" s="1"/>
  <c r="AR192" s="1"/>
  <c r="S222"/>
  <c r="S202" s="1"/>
  <c r="AF137"/>
  <c r="AF175"/>
  <c r="AR175" s="1"/>
  <c r="AE181"/>
  <c r="AF181" s="1"/>
  <c r="AR181" s="1"/>
  <c r="AF197"/>
  <c r="AR197" s="1"/>
  <c r="AE199"/>
  <c r="AF199" s="1"/>
  <c r="AR199" s="1"/>
  <c r="AE109"/>
  <c r="AF109" s="1"/>
  <c r="AR109" s="1"/>
  <c r="AF188"/>
  <c r="AR188" s="1"/>
  <c r="U222"/>
  <c r="U202" s="1"/>
  <c r="R232"/>
  <c r="R224" s="1"/>
  <c r="R223" s="1"/>
  <c r="AE106"/>
  <c r="AF106" s="1"/>
  <c r="AR106" s="1"/>
  <c r="AE161"/>
  <c r="AF161" s="1"/>
  <c r="AR161" s="1"/>
  <c r="AF177"/>
  <c r="AR177" s="1"/>
  <c r="R222"/>
  <c r="R202" s="1"/>
  <c r="S232"/>
  <c r="S101"/>
  <c r="AE102"/>
  <c r="S142"/>
  <c r="AE155"/>
  <c r="AF155" s="1"/>
  <c r="AR155" s="1"/>
  <c r="AE164"/>
  <c r="AF164" s="1"/>
  <c r="AR164" s="1"/>
  <c r="AE191"/>
  <c r="AF191" s="1"/>
  <c r="AR191" s="1"/>
  <c r="AE206"/>
  <c r="AF206" s="1"/>
  <c r="AR206" s="1"/>
  <c r="T232"/>
  <c r="R101"/>
  <c r="U113"/>
  <c r="R142"/>
  <c r="AF209"/>
  <c r="AR209" s="1"/>
  <c r="AT209" s="1"/>
  <c r="BB209" s="1"/>
  <c r="L113"/>
  <c r="AQ134"/>
  <c r="AQ165"/>
  <c r="AQ198"/>
  <c r="AQ212"/>
  <c r="AT138"/>
  <c r="BB138" s="1"/>
  <c r="AQ172"/>
  <c r="AQ241"/>
  <c r="M117"/>
  <c r="AQ117" s="1"/>
  <c r="AQ124"/>
  <c r="M147"/>
  <c r="AQ147" s="1"/>
  <c r="M155"/>
  <c r="AQ155" s="1"/>
  <c r="M215"/>
  <c r="AQ215" s="1"/>
  <c r="M108"/>
  <c r="AQ108" s="1"/>
  <c r="M176"/>
  <c r="AQ176" s="1"/>
  <c r="M197"/>
  <c r="AQ197" s="1"/>
  <c r="M211"/>
  <c r="AQ211" s="1"/>
  <c r="AQ95"/>
  <c r="M127"/>
  <c r="AQ127" s="1"/>
  <c r="M140"/>
  <c r="AQ140" s="1"/>
  <c r="M154"/>
  <c r="AQ154" s="1"/>
  <c r="AQ238"/>
  <c r="M95"/>
  <c r="M107"/>
  <c r="AQ107" s="1"/>
  <c r="AQ123"/>
  <c r="AQ146"/>
  <c r="AQ163"/>
  <c r="AQ169"/>
  <c r="AQ230"/>
  <c r="AQ109"/>
  <c r="M123"/>
  <c r="AQ160"/>
  <c r="AT160" s="1"/>
  <c r="BB160" s="1"/>
  <c r="M169"/>
  <c r="AQ177"/>
  <c r="M230"/>
  <c r="AQ106"/>
  <c r="AQ122"/>
  <c r="AT122" s="1"/>
  <c r="BB122" s="1"/>
  <c r="M133"/>
  <c r="AQ133" s="1"/>
  <c r="AT133" s="1"/>
  <c r="BB133" s="1"/>
  <c r="M153"/>
  <c r="AQ153" s="1"/>
  <c r="M160"/>
  <c r="AQ192"/>
  <c r="M106"/>
  <c r="M122"/>
  <c r="M199"/>
  <c r="AQ199" s="1"/>
  <c r="M203"/>
  <c r="AQ203" s="1"/>
  <c r="AQ209"/>
  <c r="M213"/>
  <c r="AQ213" s="1"/>
  <c r="AQ217"/>
  <c r="AQ105"/>
  <c r="AQ131"/>
  <c r="L242"/>
  <c r="AJ92" i="13"/>
  <c r="AK92"/>
  <c r="AS99"/>
  <c r="AM101"/>
  <c r="AS138"/>
  <c r="AS134"/>
  <c r="AC93"/>
  <c r="AC224"/>
  <c r="AC223" s="1"/>
  <c r="AE100"/>
  <c r="AF100" s="1"/>
  <c r="AR100" s="1"/>
  <c r="AE172"/>
  <c r="AF172" s="1"/>
  <c r="AR172" s="1"/>
  <c r="AB178"/>
  <c r="AE239"/>
  <c r="AF239" s="1"/>
  <c r="AR239" s="1"/>
  <c r="AF185"/>
  <c r="AR185" s="1"/>
  <c r="AF194"/>
  <c r="AR194" s="1"/>
  <c r="AF200"/>
  <c r="AR200" s="1"/>
  <c r="AB232"/>
  <c r="AE173"/>
  <c r="AF173" s="1"/>
  <c r="AR173" s="1"/>
  <c r="AF108"/>
  <c r="AR108" s="1"/>
  <c r="AE133"/>
  <c r="AF133" s="1"/>
  <c r="AR133" s="1"/>
  <c r="AB242"/>
  <c r="AB201"/>
  <c r="AB179" s="1"/>
  <c r="AE192"/>
  <c r="AF192" s="1"/>
  <c r="AR192" s="1"/>
  <c r="AE219"/>
  <c r="AF219" s="1"/>
  <c r="AR219" s="1"/>
  <c r="Y113"/>
  <c r="AF124"/>
  <c r="AR124" s="1"/>
  <c r="AF155"/>
  <c r="AR155" s="1"/>
  <c r="AF121"/>
  <c r="AR121" s="1"/>
  <c r="AE225"/>
  <c r="AE145"/>
  <c r="AF145" s="1"/>
  <c r="AR145" s="1"/>
  <c r="AE238"/>
  <c r="AF238" s="1"/>
  <c r="AR238" s="1"/>
  <c r="AE126"/>
  <c r="AF126" s="1"/>
  <c r="AR126" s="1"/>
  <c r="AE135"/>
  <c r="AF135" s="1"/>
  <c r="AR135" s="1"/>
  <c r="U93"/>
  <c r="AE147"/>
  <c r="AF147" s="1"/>
  <c r="AR147" s="1"/>
  <c r="AF150"/>
  <c r="AR150" s="1"/>
  <c r="AF184"/>
  <c r="AR184" s="1"/>
  <c r="AF153"/>
  <c r="AR153" s="1"/>
  <c r="AF215"/>
  <c r="AR215" s="1"/>
  <c r="AE107"/>
  <c r="AF107" s="1"/>
  <c r="AR107" s="1"/>
  <c r="AF110"/>
  <c r="AR110" s="1"/>
  <c r="AE120"/>
  <c r="AF120" s="1"/>
  <c r="AR120" s="1"/>
  <c r="AE146"/>
  <c r="AF146" s="1"/>
  <c r="AR146" s="1"/>
  <c r="AF190"/>
  <c r="AR190" s="1"/>
  <c r="AE196"/>
  <c r="AF196" s="1"/>
  <c r="AR196" s="1"/>
  <c r="AE203"/>
  <c r="AE233"/>
  <c r="AF233" s="1"/>
  <c r="AE99"/>
  <c r="AF99" s="1"/>
  <c r="AR99" s="1"/>
  <c r="AF132"/>
  <c r="AR132" s="1"/>
  <c r="AR175"/>
  <c r="AE193"/>
  <c r="AF193" s="1"/>
  <c r="AR193" s="1"/>
  <c r="AF199"/>
  <c r="AR199" s="1"/>
  <c r="AE206"/>
  <c r="AF206" s="1"/>
  <c r="AR206" s="1"/>
  <c r="AE116"/>
  <c r="AF116" s="1"/>
  <c r="AR116" s="1"/>
  <c r="AE123"/>
  <c r="AF123" s="1"/>
  <c r="AR123" s="1"/>
  <c r="AF151"/>
  <c r="AR151" s="1"/>
  <c r="AE162"/>
  <c r="AF162" s="1"/>
  <c r="AR162" s="1"/>
  <c r="AE183"/>
  <c r="AF183" s="1"/>
  <c r="AR183" s="1"/>
  <c r="AE205"/>
  <c r="AF205" s="1"/>
  <c r="AR205" s="1"/>
  <c r="AE106"/>
  <c r="AF106" s="1"/>
  <c r="AR106" s="1"/>
  <c r="AE112"/>
  <c r="AF112" s="1"/>
  <c r="AR112" s="1"/>
  <c r="AE149"/>
  <c r="AF149" s="1"/>
  <c r="AR149" s="1"/>
  <c r="AE152"/>
  <c r="AF152" s="1"/>
  <c r="AR152" s="1"/>
  <c r="AF208"/>
  <c r="AR208" s="1"/>
  <c r="AE211"/>
  <c r="AF211" s="1"/>
  <c r="AR211" s="1"/>
  <c r="AF214"/>
  <c r="AR214" s="1"/>
  <c r="AF131"/>
  <c r="AR131" s="1"/>
  <c r="AE122"/>
  <c r="AF122" s="1"/>
  <c r="AR122" s="1"/>
  <c r="AE128"/>
  <c r="AF128" s="1"/>
  <c r="AR128" s="1"/>
  <c r="AE119"/>
  <c r="AF119" s="1"/>
  <c r="AR119" s="1"/>
  <c r="AE134"/>
  <c r="AF134" s="1"/>
  <c r="AR134" s="1"/>
  <c r="AF148"/>
  <c r="AR148" s="1"/>
  <c r="AF164"/>
  <c r="AR164" s="1"/>
  <c r="AF217"/>
  <c r="AR217" s="1"/>
  <c r="AE227"/>
  <c r="AF227" s="1"/>
  <c r="AR227" s="1"/>
  <c r="AF230"/>
  <c r="AR230" s="1"/>
  <c r="AE127"/>
  <c r="AF127" s="1"/>
  <c r="AR127" s="1"/>
  <c r="AE181"/>
  <c r="AF181" s="1"/>
  <c r="AR181" s="1"/>
  <c r="AF213"/>
  <c r="AR213" s="1"/>
  <c r="AE220"/>
  <c r="AF220" s="1"/>
  <c r="AR220" s="1"/>
  <c r="AE234"/>
  <c r="AF234" s="1"/>
  <c r="AR234" s="1"/>
  <c r="AE96"/>
  <c r="AF96" s="1"/>
  <c r="AR96" s="1"/>
  <c r="AE105"/>
  <c r="AF105" s="1"/>
  <c r="AR105" s="1"/>
  <c r="AF160"/>
  <c r="AR160" s="1"/>
  <c r="AE176"/>
  <c r="AF176" s="1"/>
  <c r="AR176" s="1"/>
  <c r="AE191"/>
  <c r="AF191" s="1"/>
  <c r="AR191" s="1"/>
  <c r="AF207"/>
  <c r="AR207" s="1"/>
  <c r="AE241"/>
  <c r="AF241" s="1"/>
  <c r="AR241" s="1"/>
  <c r="AE130"/>
  <c r="AF130" s="1"/>
  <c r="AR130" s="1"/>
  <c r="AF137"/>
  <c r="AF187"/>
  <c r="AR187" s="1"/>
  <c r="AF188"/>
  <c r="AR188" s="1"/>
  <c r="AE216"/>
  <c r="AF216" s="1"/>
  <c r="AR216" s="1"/>
  <c r="AE229"/>
  <c r="AF229" s="1"/>
  <c r="AR229" s="1"/>
  <c r="M184"/>
  <c r="AQ184" s="1"/>
  <c r="M99"/>
  <c r="AQ99" s="1"/>
  <c r="M147"/>
  <c r="AQ147" s="1"/>
  <c r="M172"/>
  <c r="AQ172" s="1"/>
  <c r="M216"/>
  <c r="AQ216" s="1"/>
  <c r="AQ183"/>
  <c r="AT183" s="1"/>
  <c r="BB183" s="1"/>
  <c r="M191"/>
  <c r="AQ191" s="1"/>
  <c r="AQ195"/>
  <c r="M238"/>
  <c r="AQ238" s="1"/>
  <c r="M119"/>
  <c r="AQ119" s="1"/>
  <c r="AT119" s="1"/>
  <c r="BB119" s="1"/>
  <c r="AQ177"/>
  <c r="M198"/>
  <c r="AQ198" s="1"/>
  <c r="L242"/>
  <c r="M190"/>
  <c r="AQ190" s="1"/>
  <c r="M214"/>
  <c r="AQ214" s="1"/>
  <c r="M237"/>
  <c r="M242" s="1"/>
  <c r="AQ129"/>
  <c r="M103"/>
  <c r="AQ103" s="1"/>
  <c r="AT103" s="1"/>
  <c r="BB103" s="1"/>
  <c r="M182"/>
  <c r="AQ182" s="1"/>
  <c r="AQ186"/>
  <c r="AT186" s="1"/>
  <c r="BB186" s="1"/>
  <c r="AQ192"/>
  <c r="L232"/>
  <c r="AQ212"/>
  <c r="AQ100"/>
  <c r="AT100" s="1"/>
  <c r="BB100" s="1"/>
  <c r="M118"/>
  <c r="AQ118" s="1"/>
  <c r="L142"/>
  <c r="AQ145"/>
  <c r="M152"/>
  <c r="AQ152" s="1"/>
  <c r="AQ213"/>
  <c r="M218"/>
  <c r="AQ218" s="1"/>
  <c r="AT218" s="1"/>
  <c r="BB218" s="1"/>
  <c r="M225"/>
  <c r="AQ231"/>
  <c r="AQ111"/>
  <c r="M121"/>
  <c r="AQ121" s="1"/>
  <c r="M140"/>
  <c r="M142" s="1"/>
  <c r="AQ162"/>
  <c r="M176"/>
  <c r="AQ176" s="1"/>
  <c r="M189"/>
  <c r="AQ189" s="1"/>
  <c r="M193"/>
  <c r="AQ193" s="1"/>
  <c r="M204"/>
  <c r="AQ204" s="1"/>
  <c r="AT204" s="1"/>
  <c r="BB204" s="1"/>
  <c r="AQ161"/>
  <c r="M102"/>
  <c r="AQ102" s="1"/>
  <c r="M155"/>
  <c r="AQ155" s="1"/>
  <c r="M185"/>
  <c r="AQ185" s="1"/>
  <c r="AQ217"/>
  <c r="AQ105"/>
  <c r="M117"/>
  <c r="AQ117" s="1"/>
  <c r="AT117" s="1"/>
  <c r="BB117" s="1"/>
  <c r="AQ165"/>
  <c r="AT165" s="1"/>
  <c r="BB165" s="1"/>
  <c r="AQ230"/>
  <c r="AE241" i="12"/>
  <c r="AF241" s="1"/>
  <c r="AR241" s="1"/>
  <c r="AE238"/>
  <c r="AF238" s="1"/>
  <c r="AR238" s="1"/>
  <c r="U242"/>
  <c r="T242"/>
  <c r="M238"/>
  <c r="AQ238" s="1"/>
  <c r="M237"/>
  <c r="AQ237" s="1"/>
  <c r="L236"/>
  <c r="AV224"/>
  <c r="AV223" s="1"/>
  <c r="AS231"/>
  <c r="T232"/>
  <c r="T224" s="1"/>
  <c r="T223" s="1"/>
  <c r="U232"/>
  <c r="AE228"/>
  <c r="AF228" s="1"/>
  <c r="AR228" s="1"/>
  <c r="AE225"/>
  <c r="AF230"/>
  <c r="AR230" s="1"/>
  <c r="AE227"/>
  <c r="AF227" s="1"/>
  <c r="AR227" s="1"/>
  <c r="AF231"/>
  <c r="AR231" s="1"/>
  <c r="R232"/>
  <c r="L232"/>
  <c r="M225"/>
  <c r="M231"/>
  <c r="AQ231" s="1"/>
  <c r="AT231" s="1"/>
  <c r="AQ229"/>
  <c r="AZ92"/>
  <c r="AF209"/>
  <c r="AR209" s="1"/>
  <c r="AF212"/>
  <c r="AR212" s="1"/>
  <c r="AF206"/>
  <c r="AR206" s="1"/>
  <c r="AF217"/>
  <c r="AR217" s="1"/>
  <c r="AF208"/>
  <c r="AR208" s="1"/>
  <c r="AE221"/>
  <c r="AF221" s="1"/>
  <c r="AR221" s="1"/>
  <c r="AE214"/>
  <c r="AF214" s="1"/>
  <c r="AR214" s="1"/>
  <c r="AE213"/>
  <c r="AF213" s="1"/>
  <c r="AR213" s="1"/>
  <c r="AE220"/>
  <c r="AF220" s="1"/>
  <c r="AR220" s="1"/>
  <c r="AF215"/>
  <c r="AR215" s="1"/>
  <c r="AQ210"/>
  <c r="M204"/>
  <c r="AQ204" s="1"/>
  <c r="AU204" s="1"/>
  <c r="M217"/>
  <c r="AQ217" s="1"/>
  <c r="AU217" s="1"/>
  <c r="AQ212"/>
  <c r="AU212" s="1"/>
  <c r="M216"/>
  <c r="AQ216" s="1"/>
  <c r="M215"/>
  <c r="AQ215" s="1"/>
  <c r="AQ211"/>
  <c r="AQ214"/>
  <c r="AQ218"/>
  <c r="AU218" s="1"/>
  <c r="AB201"/>
  <c r="AB179" s="1"/>
  <c r="AF197"/>
  <c r="AR197" s="1"/>
  <c r="AE187"/>
  <c r="AF187" s="1"/>
  <c r="AR187" s="1"/>
  <c r="AE199"/>
  <c r="AF199" s="1"/>
  <c r="AR199" s="1"/>
  <c r="AE183"/>
  <c r="AF183" s="1"/>
  <c r="AR183" s="1"/>
  <c r="AE185"/>
  <c r="AF185" s="1"/>
  <c r="AR185" s="1"/>
  <c r="AF188"/>
  <c r="AR188" s="1"/>
  <c r="AE192"/>
  <c r="AF192" s="1"/>
  <c r="AR192" s="1"/>
  <c r="AT192" s="1"/>
  <c r="BB192" s="1"/>
  <c r="AE194"/>
  <c r="AF194" s="1"/>
  <c r="AR194" s="1"/>
  <c r="AE181"/>
  <c r="AF181" s="1"/>
  <c r="AR181" s="1"/>
  <c r="S201"/>
  <c r="S179" s="1"/>
  <c r="AF200"/>
  <c r="AR200" s="1"/>
  <c r="AF184"/>
  <c r="AR184" s="1"/>
  <c r="AF190"/>
  <c r="AR190" s="1"/>
  <c r="AQ197"/>
  <c r="M189"/>
  <c r="AQ189" s="1"/>
  <c r="M193"/>
  <c r="AQ193" s="1"/>
  <c r="AQ182"/>
  <c r="M184"/>
  <c r="AQ184" s="1"/>
  <c r="AQ190"/>
  <c r="M191"/>
  <c r="AQ191" s="1"/>
  <c r="M195"/>
  <c r="AQ195" s="1"/>
  <c r="AQ186"/>
  <c r="AQ194"/>
  <c r="M198"/>
  <c r="AQ198" s="1"/>
  <c r="AE172"/>
  <c r="AF172" s="1"/>
  <c r="AR172" s="1"/>
  <c r="R178"/>
  <c r="AF176"/>
  <c r="AR176" s="1"/>
  <c r="AE170"/>
  <c r="AF170" s="1"/>
  <c r="AR170" s="1"/>
  <c r="AQ177"/>
  <c r="AV92"/>
  <c r="S168"/>
  <c r="U168"/>
  <c r="AF164"/>
  <c r="AR164" s="1"/>
  <c r="AE147"/>
  <c r="AF147" s="1"/>
  <c r="AR147" s="1"/>
  <c r="AE165"/>
  <c r="AF165" s="1"/>
  <c r="AR165" s="1"/>
  <c r="AF159"/>
  <c r="AR159" s="1"/>
  <c r="AE146"/>
  <c r="AF146" s="1"/>
  <c r="AR146" s="1"/>
  <c r="AE152"/>
  <c r="AF152" s="1"/>
  <c r="AR152" s="1"/>
  <c r="AF158"/>
  <c r="AR158" s="1"/>
  <c r="AE155"/>
  <c r="AF155" s="1"/>
  <c r="AR155" s="1"/>
  <c r="AQ161"/>
  <c r="M154"/>
  <c r="AQ154" s="1"/>
  <c r="M167"/>
  <c r="AQ167" s="1"/>
  <c r="M160"/>
  <c r="AQ160" s="1"/>
  <c r="M163"/>
  <c r="AQ163" s="1"/>
  <c r="AQ164"/>
  <c r="M145"/>
  <c r="AQ145" s="1"/>
  <c r="M151"/>
  <c r="AQ151" s="1"/>
  <c r="L142"/>
  <c r="AR137"/>
  <c r="AR139" s="1"/>
  <c r="V25" i="18" s="1"/>
  <c r="AN124" i="12"/>
  <c r="AS124" s="1"/>
  <c r="AS125"/>
  <c r="AS135"/>
  <c r="AE133"/>
  <c r="AF133" s="1"/>
  <c r="AR133" s="1"/>
  <c r="AE127"/>
  <c r="AF127" s="1"/>
  <c r="AR127" s="1"/>
  <c r="AF115"/>
  <c r="AR115" s="1"/>
  <c r="AT115" s="1"/>
  <c r="BB115" s="1"/>
  <c r="AE120"/>
  <c r="AF120" s="1"/>
  <c r="AR120" s="1"/>
  <c r="AE123"/>
  <c r="AF123" s="1"/>
  <c r="AR123" s="1"/>
  <c r="AE116"/>
  <c r="AF116" s="1"/>
  <c r="AR116" s="1"/>
  <c r="AE130"/>
  <c r="AF130" s="1"/>
  <c r="AR130" s="1"/>
  <c r="AE129"/>
  <c r="AF129" s="1"/>
  <c r="AR129" s="1"/>
  <c r="S136"/>
  <c r="AE122"/>
  <c r="AF122" s="1"/>
  <c r="AR122" s="1"/>
  <c r="AE118"/>
  <c r="AF118" s="1"/>
  <c r="AR118" s="1"/>
  <c r="AE125"/>
  <c r="AF125" s="1"/>
  <c r="AR125" s="1"/>
  <c r="M117"/>
  <c r="AQ117" s="1"/>
  <c r="M128"/>
  <c r="AQ128" s="1"/>
  <c r="M135"/>
  <c r="AQ135" s="1"/>
  <c r="AQ114"/>
  <c r="M126"/>
  <c r="AQ126" s="1"/>
  <c r="M118"/>
  <c r="AQ118" s="1"/>
  <c r="M129"/>
  <c r="AQ129" s="1"/>
  <c r="AF108"/>
  <c r="AR108" s="1"/>
  <c r="AE111"/>
  <c r="AF111" s="1"/>
  <c r="AR111" s="1"/>
  <c r="AQ106"/>
  <c r="M110"/>
  <c r="AQ110" s="1"/>
  <c r="M103"/>
  <c r="AQ103" s="1"/>
  <c r="M102"/>
  <c r="AQ102" s="1"/>
  <c r="AQ111"/>
  <c r="AF100"/>
  <c r="AR100" s="1"/>
  <c r="AE96"/>
  <c r="AF96" s="1"/>
  <c r="AR96" s="1"/>
  <c r="AQ100"/>
  <c r="AS198"/>
  <c r="AS212"/>
  <c r="AT38"/>
  <c r="BB38" s="1"/>
  <c r="AN108"/>
  <c r="AS108" s="1"/>
  <c r="AM39"/>
  <c r="AM32" s="1"/>
  <c r="AT210"/>
  <c r="AS147"/>
  <c r="AS198" i="13"/>
  <c r="AS212"/>
  <c r="AS159"/>
  <c r="AN37"/>
  <c r="AS37" s="1"/>
  <c r="AS51"/>
  <c r="AS21"/>
  <c r="AT36"/>
  <c r="BB36" s="1"/>
  <c r="AS90"/>
  <c r="AS125"/>
  <c r="AT48"/>
  <c r="BB48" s="1"/>
  <c r="AS64"/>
  <c r="AT12"/>
  <c r="BB12" s="1"/>
  <c r="AT49"/>
  <c r="BB49" s="1"/>
  <c r="AS76"/>
  <c r="AT131" i="14"/>
  <c r="AN147"/>
  <c r="AT187"/>
  <c r="BB187" s="1"/>
  <c r="AM25"/>
  <c r="AS90"/>
  <c r="AT90"/>
  <c r="BB90" s="1"/>
  <c r="AN108"/>
  <c r="AS108" s="1"/>
  <c r="AN21" i="15"/>
  <c r="AS21" s="1"/>
  <c r="AT28"/>
  <c r="BB28" s="1"/>
  <c r="AM178"/>
  <c r="AT19"/>
  <c r="BB19" s="1"/>
  <c r="AN90"/>
  <c r="AS90" s="1"/>
  <c r="AT103"/>
  <c r="BB103" s="1"/>
  <c r="AN172"/>
  <c r="AS172" s="1"/>
  <c r="AS76" i="16"/>
  <c r="AS198"/>
  <c r="AS37"/>
  <c r="AM59"/>
  <c r="AT159"/>
  <c r="BB159" s="1"/>
  <c r="AT36"/>
  <c r="BB36" s="1"/>
  <c r="AN64"/>
  <c r="AS64" s="1"/>
  <c r="AN198"/>
  <c r="AN76"/>
  <c r="AS64" i="17"/>
  <c r="AS76"/>
  <c r="AT166"/>
  <c r="AT20"/>
  <c r="BB20" s="1"/>
  <c r="AT97"/>
  <c r="BB97" s="1"/>
  <c r="AN108"/>
  <c r="AS108" s="1"/>
  <c r="AT14"/>
  <c r="BB14" s="1"/>
  <c r="AM25"/>
  <c r="AT183"/>
  <c r="BB183" s="1"/>
  <c r="AN64"/>
  <c r="AN76"/>
  <c r="AT45"/>
  <c r="BB45" s="1"/>
  <c r="AN76" i="21"/>
  <c r="AS76" s="1"/>
  <c r="AS212"/>
  <c r="AT234"/>
  <c r="BB234" s="1"/>
  <c r="AN37"/>
  <c r="AS37" s="1"/>
  <c r="AT13"/>
  <c r="BB13" s="1"/>
  <c r="AM39"/>
  <c r="AM32" s="1"/>
  <c r="AN159"/>
  <c r="AS159" s="1"/>
  <c r="AN64"/>
  <c r="AS64" s="1"/>
  <c r="AN51"/>
  <c r="AS51" s="1"/>
  <c r="AN108"/>
  <c r="AS108" s="1"/>
  <c r="AS125" i="22"/>
  <c r="AT125" s="1"/>
  <c r="BB125" s="1"/>
  <c r="AN108"/>
  <c r="AS108" s="1"/>
  <c r="AT108" s="1"/>
  <c r="BB108" s="1"/>
  <c r="AN51"/>
  <c r="AS51" s="1"/>
  <c r="AM168"/>
  <c r="AS16"/>
  <c r="AS17" s="1"/>
  <c r="AS21"/>
  <c r="AN125"/>
  <c r="AN64" i="23"/>
  <c r="AS64" s="1"/>
  <c r="AN125"/>
  <c r="AS125" s="1"/>
  <c r="AN108"/>
  <c r="AS108" s="1"/>
  <c r="AT108" s="1"/>
  <c r="BB108" s="1"/>
  <c r="AS147"/>
  <c r="AT172"/>
  <c r="BB172" s="1"/>
  <c r="AN76"/>
  <c r="AS76" s="1"/>
  <c r="AT212"/>
  <c r="BB212" s="1"/>
  <c r="AN15"/>
  <c r="AT14"/>
  <c r="BB14" s="1"/>
  <c r="M39"/>
  <c r="M32" s="1"/>
  <c r="AE17"/>
  <c r="AF16"/>
  <c r="AN25"/>
  <c r="AS18"/>
  <c r="M7"/>
  <c r="M15" s="1"/>
  <c r="M19"/>
  <c r="AQ19" s="1"/>
  <c r="AQ27"/>
  <c r="AS28"/>
  <c r="AT28" s="1"/>
  <c r="BB28" s="1"/>
  <c r="R39"/>
  <c r="R32" s="1"/>
  <c r="AQ35"/>
  <c r="AE36"/>
  <c r="AF36" s="1"/>
  <c r="AR36" s="1"/>
  <c r="AE41"/>
  <c r="AB59"/>
  <c r="AE42"/>
  <c r="AF42" s="1"/>
  <c r="AR42" s="1"/>
  <c r="R79"/>
  <c r="AE63"/>
  <c r="AF63" s="1"/>
  <c r="AR63" s="1"/>
  <c r="AB113"/>
  <c r="AE103"/>
  <c r="AF103" s="1"/>
  <c r="AR103" s="1"/>
  <c r="AQ7"/>
  <c r="AS7"/>
  <c r="AS15" s="1"/>
  <c r="AE13"/>
  <c r="AF13" s="1"/>
  <c r="AR13" s="1"/>
  <c r="L17"/>
  <c r="AB25"/>
  <c r="AB6" s="1"/>
  <c r="AB5" s="1"/>
  <c r="AS19"/>
  <c r="L30"/>
  <c r="AE44"/>
  <c r="AF44" s="1"/>
  <c r="AR44" s="1"/>
  <c r="AE54"/>
  <c r="AF54" s="1"/>
  <c r="AR54" s="1"/>
  <c r="AQ55"/>
  <c r="AT55" s="1"/>
  <c r="BB55" s="1"/>
  <c r="AE18"/>
  <c r="Y30"/>
  <c r="Y6" s="1"/>
  <c r="Y5" s="1"/>
  <c r="AN36"/>
  <c r="AS36" s="1"/>
  <c r="AS41"/>
  <c r="AN41"/>
  <c r="AN82"/>
  <c r="AS82" s="1"/>
  <c r="AT89"/>
  <c r="BB89" s="1"/>
  <c r="AQ95"/>
  <c r="AT95" s="1"/>
  <c r="BB95" s="1"/>
  <c r="AF102"/>
  <c r="AN72"/>
  <c r="AS72" s="1"/>
  <c r="AE45"/>
  <c r="AF45" s="1"/>
  <c r="AR45" s="1"/>
  <c r="AQ54"/>
  <c r="M79"/>
  <c r="AQ8"/>
  <c r="AT8" s="1"/>
  <c r="BB8" s="1"/>
  <c r="AM17"/>
  <c r="AT24"/>
  <c r="BB24" s="1"/>
  <c r="AE26"/>
  <c r="AS42"/>
  <c r="AQ44"/>
  <c r="U93"/>
  <c r="AE33"/>
  <c r="Y39"/>
  <c r="Y32" s="1"/>
  <c r="AQ37"/>
  <c r="AT37" s="1"/>
  <c r="BB37" s="1"/>
  <c r="AN38"/>
  <c r="AS38" s="1"/>
  <c r="AT38" s="1"/>
  <c r="BB38" s="1"/>
  <c r="AQ43"/>
  <c r="AT43" s="1"/>
  <c r="BB43" s="1"/>
  <c r="AE53"/>
  <c r="AF53" s="1"/>
  <c r="AR53" s="1"/>
  <c r="S79"/>
  <c r="AE61"/>
  <c r="AF61" s="1"/>
  <c r="AR61" s="1"/>
  <c r="AQ62"/>
  <c r="AT62" s="1"/>
  <c r="BB62" s="1"/>
  <c r="AQ74"/>
  <c r="AT74" s="1"/>
  <c r="BB74" s="1"/>
  <c r="M87"/>
  <c r="AQ87" s="1"/>
  <c r="M94"/>
  <c r="M101" s="1"/>
  <c r="L101"/>
  <c r="AM15"/>
  <c r="L25"/>
  <c r="AQ21"/>
  <c r="AT21" s="1"/>
  <c r="BB21" s="1"/>
  <c r="AM30"/>
  <c r="L59"/>
  <c r="M41"/>
  <c r="M59" s="1"/>
  <c r="M40" s="1"/>
  <c r="AN53"/>
  <c r="AS53" s="1"/>
  <c r="AE73"/>
  <c r="AF73" s="1"/>
  <c r="AR73" s="1"/>
  <c r="AE7"/>
  <c r="AN16"/>
  <c r="AN17" s="1"/>
  <c r="M18"/>
  <c r="AE23"/>
  <c r="AF23" s="1"/>
  <c r="AR23" s="1"/>
  <c r="AT23" s="1"/>
  <c r="BB23" s="1"/>
  <c r="AM25"/>
  <c r="AN26"/>
  <c r="AS26" s="1"/>
  <c r="R59"/>
  <c r="R40" s="1"/>
  <c r="AE49"/>
  <c r="AF49" s="1"/>
  <c r="AR49" s="1"/>
  <c r="AT49" s="1"/>
  <c r="BB49" s="1"/>
  <c r="AM59"/>
  <c r="U79"/>
  <c r="AQ61"/>
  <c r="AE29"/>
  <c r="AF29" s="1"/>
  <c r="AR29" s="1"/>
  <c r="AN33"/>
  <c r="AE35"/>
  <c r="AF35" s="1"/>
  <c r="AR35" s="1"/>
  <c r="AM39"/>
  <c r="AM32" s="1"/>
  <c r="S59"/>
  <c r="S40" s="1"/>
  <c r="S31" s="1"/>
  <c r="AQ45"/>
  <c r="AT116"/>
  <c r="AQ9"/>
  <c r="AT9" s="1"/>
  <c r="BB9" s="1"/>
  <c r="AT22"/>
  <c r="BB22" s="1"/>
  <c r="AN27"/>
  <c r="AS27" s="1"/>
  <c r="AN52"/>
  <c r="AS52" s="1"/>
  <c r="AF60"/>
  <c r="M149"/>
  <c r="AQ149" s="1"/>
  <c r="AT57"/>
  <c r="BB57" s="1"/>
  <c r="AE20"/>
  <c r="AF20" s="1"/>
  <c r="AR20" s="1"/>
  <c r="AT20" s="1"/>
  <c r="BB20" s="1"/>
  <c r="AN29"/>
  <c r="AS29" s="1"/>
  <c r="AQ33"/>
  <c r="U59"/>
  <c r="AS48"/>
  <c r="AM79"/>
  <c r="AN60"/>
  <c r="AE66"/>
  <c r="AF66" s="1"/>
  <c r="AR66" s="1"/>
  <c r="AS67"/>
  <c r="AQ69"/>
  <c r="L79"/>
  <c r="AS50"/>
  <c r="AT50" s="1"/>
  <c r="BB50" s="1"/>
  <c r="AS69"/>
  <c r="AQ82"/>
  <c r="AM113"/>
  <c r="AE105"/>
  <c r="AF105" s="1"/>
  <c r="AR105" s="1"/>
  <c r="AS107"/>
  <c r="AT107" s="1"/>
  <c r="BB107" s="1"/>
  <c r="AN110"/>
  <c r="AS110" s="1"/>
  <c r="AE120"/>
  <c r="AF120" s="1"/>
  <c r="AR120" s="1"/>
  <c r="AT123"/>
  <c r="BB123" s="1"/>
  <c r="AE127"/>
  <c r="AF127" s="1"/>
  <c r="AR127" s="1"/>
  <c r="AT127" s="1"/>
  <c r="T168"/>
  <c r="T143" s="1"/>
  <c r="AE146"/>
  <c r="AF146" s="1"/>
  <c r="AR146" s="1"/>
  <c r="AE162"/>
  <c r="AF162" s="1"/>
  <c r="AR162" s="1"/>
  <c r="AQ53"/>
  <c r="AQ60"/>
  <c r="AQ72"/>
  <c r="L91"/>
  <c r="L80" s="1"/>
  <c r="M81"/>
  <c r="S93"/>
  <c r="AE104"/>
  <c r="AF104" s="1"/>
  <c r="AR104" s="1"/>
  <c r="AE153"/>
  <c r="AF153" s="1"/>
  <c r="AR153" s="1"/>
  <c r="AQ34"/>
  <c r="AT34" s="1"/>
  <c r="BB34" s="1"/>
  <c r="AQ46"/>
  <c r="AT46" s="1"/>
  <c r="BB46" s="1"/>
  <c r="AN51"/>
  <c r="AS51" s="1"/>
  <c r="AT51" s="1"/>
  <c r="BB51" s="1"/>
  <c r="AQ58"/>
  <c r="AT58" s="1"/>
  <c r="BB58" s="1"/>
  <c r="AQ65"/>
  <c r="AT65" s="1"/>
  <c r="BB65" s="1"/>
  <c r="AN70"/>
  <c r="AS70" s="1"/>
  <c r="AQ77"/>
  <c r="AT77" s="1"/>
  <c r="BB77" s="1"/>
  <c r="R91"/>
  <c r="R80" s="1"/>
  <c r="AQ102"/>
  <c r="AB168"/>
  <c r="AB143" s="1"/>
  <c r="AE145"/>
  <c r="AF145" s="1"/>
  <c r="AR145" s="1"/>
  <c r="L39"/>
  <c r="L32" s="1"/>
  <c r="AQ90"/>
  <c r="AS90"/>
  <c r="AE99"/>
  <c r="AF99" s="1"/>
  <c r="AR99" s="1"/>
  <c r="AS104"/>
  <c r="AS105"/>
  <c r="AQ109"/>
  <c r="AT109" s="1"/>
  <c r="BB109" s="1"/>
  <c r="Y136"/>
  <c r="AT121"/>
  <c r="BB121" s="1"/>
  <c r="AE131"/>
  <c r="AF131" s="1"/>
  <c r="AR131" s="1"/>
  <c r="AQ56"/>
  <c r="AT56" s="1"/>
  <c r="BB56" s="1"/>
  <c r="AQ63"/>
  <c r="AQ75"/>
  <c r="AT75" s="1"/>
  <c r="BB75" s="1"/>
  <c r="AQ83"/>
  <c r="AT83" s="1"/>
  <c r="BB83" s="1"/>
  <c r="AE85"/>
  <c r="AF85" s="1"/>
  <c r="AR85" s="1"/>
  <c r="AF94"/>
  <c r="AN54"/>
  <c r="AS54" s="1"/>
  <c r="AN61"/>
  <c r="AS61" s="1"/>
  <c r="AN73"/>
  <c r="AS73" s="1"/>
  <c r="AB79"/>
  <c r="AE86"/>
  <c r="AF86" s="1"/>
  <c r="AR86" s="1"/>
  <c r="AE87"/>
  <c r="AF87" s="1"/>
  <c r="AR87" s="1"/>
  <c r="AS100"/>
  <c r="R113"/>
  <c r="R93" s="1"/>
  <c r="AR114"/>
  <c r="AQ118"/>
  <c r="AT118" s="1"/>
  <c r="BB118" s="1"/>
  <c r="AT120"/>
  <c r="BB120" s="1"/>
  <c r="AE129"/>
  <c r="AF129" s="1"/>
  <c r="AR129" s="1"/>
  <c r="AQ134"/>
  <c r="AT134" s="1"/>
  <c r="BB134" s="1"/>
  <c r="Y139"/>
  <c r="AT167"/>
  <c r="BB167" s="1"/>
  <c r="AQ73"/>
  <c r="AF139"/>
  <c r="AR137"/>
  <c r="AR139" s="1"/>
  <c r="Y79"/>
  <c r="Y40" s="1"/>
  <c r="AN71"/>
  <c r="AS71" s="1"/>
  <c r="AB91"/>
  <c r="AB80" s="1"/>
  <c r="AE81"/>
  <c r="AN85"/>
  <c r="AS85" s="1"/>
  <c r="AS87"/>
  <c r="AQ100"/>
  <c r="AT100" s="1"/>
  <c r="BB100" s="1"/>
  <c r="T113"/>
  <c r="T93" s="1"/>
  <c r="AN112"/>
  <c r="AS112" s="1"/>
  <c r="AS137"/>
  <c r="AS139" s="1"/>
  <c r="AS149"/>
  <c r="AQ52"/>
  <c r="AQ71"/>
  <c r="AF140"/>
  <c r="L168"/>
  <c r="L143" s="1"/>
  <c r="AF148"/>
  <c r="AR148" s="1"/>
  <c r="AM91"/>
  <c r="AM80" s="1"/>
  <c r="AE82"/>
  <c r="AF82" s="1"/>
  <c r="AR82" s="1"/>
  <c r="AQ85"/>
  <c r="AN86"/>
  <c r="AS86" s="1"/>
  <c r="AS88"/>
  <c r="AT88" s="1"/>
  <c r="BB88" s="1"/>
  <c r="AN98"/>
  <c r="AN101" s="1"/>
  <c r="AS111"/>
  <c r="AQ125"/>
  <c r="M168"/>
  <c r="AQ97"/>
  <c r="AT97" s="1"/>
  <c r="BB97" s="1"/>
  <c r="Y101"/>
  <c r="AE106"/>
  <c r="AF106" s="1"/>
  <c r="AR106" s="1"/>
  <c r="AT106" s="1"/>
  <c r="BB106" s="1"/>
  <c r="Y113"/>
  <c r="L136"/>
  <c r="M114"/>
  <c r="AQ114" s="1"/>
  <c r="AQ137"/>
  <c r="L142"/>
  <c r="R168"/>
  <c r="AE151"/>
  <c r="AF151" s="1"/>
  <c r="AR151" s="1"/>
  <c r="AE191"/>
  <c r="AF191" s="1"/>
  <c r="AR191" s="1"/>
  <c r="AQ112"/>
  <c r="S168"/>
  <c r="U201"/>
  <c r="U179" s="1"/>
  <c r="R224"/>
  <c r="R223" s="1"/>
  <c r="AN126"/>
  <c r="AS126" s="1"/>
  <c r="AT126" s="1"/>
  <c r="AN128"/>
  <c r="AS128" s="1"/>
  <c r="AT128" s="1"/>
  <c r="BB128" s="1"/>
  <c r="M130"/>
  <c r="AQ130" s="1"/>
  <c r="AT130" s="1"/>
  <c r="BB130" s="1"/>
  <c r="AN135"/>
  <c r="AS135" s="1"/>
  <c r="M137"/>
  <c r="M139" s="1"/>
  <c r="AN150"/>
  <c r="AS150" s="1"/>
  <c r="AT150" s="1"/>
  <c r="BB150" s="1"/>
  <c r="AN151"/>
  <c r="AS151" s="1"/>
  <c r="AE152"/>
  <c r="AF152" s="1"/>
  <c r="AR152" s="1"/>
  <c r="AE158"/>
  <c r="AF158" s="1"/>
  <c r="AR158" s="1"/>
  <c r="AE159"/>
  <c r="AF159" s="1"/>
  <c r="AR159" s="1"/>
  <c r="AE160"/>
  <c r="AF160" s="1"/>
  <c r="AR160" s="1"/>
  <c r="R178"/>
  <c r="AE177"/>
  <c r="AF177" s="1"/>
  <c r="AR177" s="1"/>
  <c r="Y201"/>
  <c r="Y179" s="1"/>
  <c r="AQ203"/>
  <c r="L222"/>
  <c r="L202" s="1"/>
  <c r="S232"/>
  <c r="S224" s="1"/>
  <c r="S223" s="1"/>
  <c r="AM142"/>
  <c r="U168"/>
  <c r="AQ151"/>
  <c r="AQ155"/>
  <c r="AS155"/>
  <c r="AQ156"/>
  <c r="AT156" s="1"/>
  <c r="BB156" s="1"/>
  <c r="S178"/>
  <c r="AE181"/>
  <c r="AF181" s="1"/>
  <c r="AR181" s="1"/>
  <c r="AT181" s="1"/>
  <c r="BB181" s="1"/>
  <c r="M222"/>
  <c r="M202" s="1"/>
  <c r="S222"/>
  <c r="S202" s="1"/>
  <c r="AQ217"/>
  <c r="T224"/>
  <c r="T223" s="1"/>
  <c r="AN227"/>
  <c r="AQ84"/>
  <c r="AT84" s="1"/>
  <c r="BB84" s="1"/>
  <c r="AQ103"/>
  <c r="AT103" s="1"/>
  <c r="BB103" s="1"/>
  <c r="AQ119"/>
  <c r="AT119" s="1"/>
  <c r="BB119" s="1"/>
  <c r="AB139"/>
  <c r="AB93" s="1"/>
  <c r="Y168"/>
  <c r="AQ145"/>
  <c r="AT145" s="1"/>
  <c r="BB145" s="1"/>
  <c r="AN157"/>
  <c r="AS157" s="1"/>
  <c r="AE163"/>
  <c r="AF163" s="1"/>
  <c r="AR163" s="1"/>
  <c r="AS180"/>
  <c r="AN180"/>
  <c r="AM201"/>
  <c r="AM179" s="1"/>
  <c r="AE189"/>
  <c r="AF189" s="1"/>
  <c r="AR189" s="1"/>
  <c r="AT189" s="1"/>
  <c r="BB189" s="1"/>
  <c r="R222"/>
  <c r="R202" s="1"/>
  <c r="AN206"/>
  <c r="AS206" s="1"/>
  <c r="AT206" s="1"/>
  <c r="BB206" s="1"/>
  <c r="U232"/>
  <c r="U224" s="1"/>
  <c r="U223" s="1"/>
  <c r="AE226"/>
  <c r="AF226" s="1"/>
  <c r="AR226" s="1"/>
  <c r="AE237"/>
  <c r="Y242"/>
  <c r="Y224" s="1"/>
  <c r="Y223" s="1"/>
  <c r="M115"/>
  <c r="AQ115" s="1"/>
  <c r="AT115" s="1"/>
  <c r="BB115" s="1"/>
  <c r="AQ157"/>
  <c r="AQ160"/>
  <c r="AB222"/>
  <c r="AB202" s="1"/>
  <c r="AN220"/>
  <c r="AS220" s="1"/>
  <c r="AT220" s="1"/>
  <c r="BB220" s="1"/>
  <c r="AQ231"/>
  <c r="AE235"/>
  <c r="AF235" s="1"/>
  <c r="AR235" s="1"/>
  <c r="Y142"/>
  <c r="AQ148"/>
  <c r="AQ152"/>
  <c r="Y178"/>
  <c r="U178"/>
  <c r="AE174"/>
  <c r="AF174" s="1"/>
  <c r="AR174" s="1"/>
  <c r="AQ215"/>
  <c r="AM242"/>
  <c r="AQ122"/>
  <c r="AT122" s="1"/>
  <c r="BB122" s="1"/>
  <c r="AQ131"/>
  <c r="AQ141"/>
  <c r="AT141" s="1"/>
  <c r="BB141" s="1"/>
  <c r="AF225"/>
  <c r="AQ99"/>
  <c r="AQ111"/>
  <c r="AT111" s="1"/>
  <c r="BB111" s="1"/>
  <c r="AQ129"/>
  <c r="AF144"/>
  <c r="AE154"/>
  <c r="AF154" s="1"/>
  <c r="AR154" s="1"/>
  <c r="AT154" s="1"/>
  <c r="BB154" s="1"/>
  <c r="M159"/>
  <c r="AQ159" s="1"/>
  <c r="AR169"/>
  <c r="AN173"/>
  <c r="AS173" s="1"/>
  <c r="AS174"/>
  <c r="AT200"/>
  <c r="Y222"/>
  <c r="Y202" s="1"/>
  <c r="AQ229"/>
  <c r="AN241"/>
  <c r="AS241" s="1"/>
  <c r="AS94"/>
  <c r="AM168"/>
  <c r="AQ146"/>
  <c r="AQ153"/>
  <c r="AS163"/>
  <c r="AN164"/>
  <c r="AS164" s="1"/>
  <c r="AN166"/>
  <c r="AS166" s="1"/>
  <c r="AM178"/>
  <c r="AE171"/>
  <c r="AF171" s="1"/>
  <c r="AR171" s="1"/>
  <c r="AQ173"/>
  <c r="M175"/>
  <c r="AQ175" s="1"/>
  <c r="AT176"/>
  <c r="BB176" s="1"/>
  <c r="M180"/>
  <c r="M201" s="1"/>
  <c r="M179" s="1"/>
  <c r="L201"/>
  <c r="L179" s="1"/>
  <c r="AQ182"/>
  <c r="AT182" s="1"/>
  <c r="BB182" s="1"/>
  <c r="AT183"/>
  <c r="BB183" s="1"/>
  <c r="AQ208"/>
  <c r="AN234"/>
  <c r="AS234" s="1"/>
  <c r="AT234" s="1"/>
  <c r="BB234" s="1"/>
  <c r="AN144"/>
  <c r="AQ163"/>
  <c r="AT163" s="1"/>
  <c r="BB163" s="1"/>
  <c r="AQ165"/>
  <c r="AT165" s="1"/>
  <c r="BB165" s="1"/>
  <c r="AQ166"/>
  <c r="AN170"/>
  <c r="AS170" s="1"/>
  <c r="AN171"/>
  <c r="AS171" s="1"/>
  <c r="AQ162"/>
  <c r="AT162" s="1"/>
  <c r="BB162" s="1"/>
  <c r="AS185"/>
  <c r="AT185" s="1"/>
  <c r="BB185" s="1"/>
  <c r="AQ190"/>
  <c r="AT190" s="1"/>
  <c r="BB190" s="1"/>
  <c r="AS194"/>
  <c r="AT194" s="1"/>
  <c r="BB194" s="1"/>
  <c r="AQ199"/>
  <c r="AT199" s="1"/>
  <c r="BB199" s="1"/>
  <c r="AS203"/>
  <c r="AQ213"/>
  <c r="AT213" s="1"/>
  <c r="BB213" s="1"/>
  <c r="AS215"/>
  <c r="AS217"/>
  <c r="AS231"/>
  <c r="L236"/>
  <c r="AS238"/>
  <c r="AT238" s="1"/>
  <c r="BB238" s="1"/>
  <c r="AS192"/>
  <c r="AT192" s="1"/>
  <c r="AS208"/>
  <c r="AS229"/>
  <c r="AQ197"/>
  <c r="AT197" s="1"/>
  <c r="BB197" s="1"/>
  <c r="AQ211"/>
  <c r="AT211" s="1"/>
  <c r="BB211" s="1"/>
  <c r="AM222"/>
  <c r="AM202" s="1"/>
  <c r="AQ186"/>
  <c r="AT186" s="1"/>
  <c r="BB186" s="1"/>
  <c r="AQ195"/>
  <c r="AT195" s="1"/>
  <c r="BB195" s="1"/>
  <c r="AQ204"/>
  <c r="AT204" s="1"/>
  <c r="BB204" s="1"/>
  <c r="AQ218"/>
  <c r="AT218" s="1"/>
  <c r="BB218" s="1"/>
  <c r="AQ225"/>
  <c r="L232"/>
  <c r="L224" s="1"/>
  <c r="L223" s="1"/>
  <c r="AM236"/>
  <c r="AQ239"/>
  <c r="AT239" s="1"/>
  <c r="BB239" s="1"/>
  <c r="AQ158"/>
  <c r="AN177"/>
  <c r="AS177" s="1"/>
  <c r="AE180"/>
  <c r="AN184"/>
  <c r="AS184" s="1"/>
  <c r="AN191"/>
  <c r="AS191" s="1"/>
  <c r="AN193"/>
  <c r="AS193" s="1"/>
  <c r="AT193" s="1"/>
  <c r="BB193" s="1"/>
  <c r="AE205"/>
  <c r="AF205" s="1"/>
  <c r="AR205" s="1"/>
  <c r="AQ209"/>
  <c r="AT209" s="1"/>
  <c r="BB209" s="1"/>
  <c r="AN214"/>
  <c r="AS214" s="1"/>
  <c r="AN216"/>
  <c r="AS216" s="1"/>
  <c r="AT216" s="1"/>
  <c r="BB216" s="1"/>
  <c r="AQ230"/>
  <c r="AT230" s="1"/>
  <c r="AE233"/>
  <c r="AN237"/>
  <c r="M239"/>
  <c r="M242" s="1"/>
  <c r="AQ170"/>
  <c r="AS225"/>
  <c r="AQ207"/>
  <c r="AT207" s="1"/>
  <c r="BB207" s="1"/>
  <c r="AQ221"/>
  <c r="AT221" s="1"/>
  <c r="BB221" s="1"/>
  <c r="AQ228"/>
  <c r="AT228" s="1"/>
  <c r="BB228" s="1"/>
  <c r="AM232"/>
  <c r="AN187"/>
  <c r="AS187" s="1"/>
  <c r="AN196"/>
  <c r="AS196" s="1"/>
  <c r="AF203"/>
  <c r="AN205"/>
  <c r="AS205" s="1"/>
  <c r="AN219"/>
  <c r="AS219" s="1"/>
  <c r="AN226"/>
  <c r="AS226" s="1"/>
  <c r="AN233"/>
  <c r="M235"/>
  <c r="M236" s="1"/>
  <c r="AN240"/>
  <c r="AS240" s="1"/>
  <c r="AQ187"/>
  <c r="AQ196"/>
  <c r="AQ205"/>
  <c r="AQ219"/>
  <c r="AQ226"/>
  <c r="AQ233"/>
  <c r="AQ240"/>
  <c r="AQ210"/>
  <c r="AT210" s="1"/>
  <c r="BB210" s="1"/>
  <c r="AT24" i="22"/>
  <c r="BB24" s="1"/>
  <c r="AT12"/>
  <c r="BB12" s="1"/>
  <c r="U6"/>
  <c r="U5" s="1"/>
  <c r="AS14"/>
  <c r="AS18"/>
  <c r="AF33"/>
  <c r="AT11"/>
  <c r="BB11" s="1"/>
  <c r="S40"/>
  <c r="AF16"/>
  <c r="AE17"/>
  <c r="M25"/>
  <c r="S6"/>
  <c r="S5" s="1"/>
  <c r="AF18"/>
  <c r="AT53"/>
  <c r="BB53" s="1"/>
  <c r="AF60"/>
  <c r="AE7"/>
  <c r="AS13"/>
  <c r="AE19"/>
  <c r="AF19" s="1"/>
  <c r="AR19" s="1"/>
  <c r="R25"/>
  <c r="R6" s="1"/>
  <c r="R5" s="1"/>
  <c r="AN42"/>
  <c r="AS42" s="1"/>
  <c r="AN67"/>
  <c r="AS67" s="1"/>
  <c r="AS75"/>
  <c r="AM25"/>
  <c r="AM6" s="1"/>
  <c r="AM5" s="1"/>
  <c r="AQ28"/>
  <c r="AT28" s="1"/>
  <c r="BB28" s="1"/>
  <c r="AT97"/>
  <c r="BB97" s="1"/>
  <c r="AN14"/>
  <c r="M16"/>
  <c r="M17" s="1"/>
  <c r="AQ21"/>
  <c r="AT21" s="1"/>
  <c r="BB21" s="1"/>
  <c r="AN26"/>
  <c r="AN30" s="1"/>
  <c r="U79"/>
  <c r="AE61"/>
  <c r="AF61" s="1"/>
  <c r="AR61" s="1"/>
  <c r="AE62"/>
  <c r="AF62" s="1"/>
  <c r="AR62" s="1"/>
  <c r="AT64"/>
  <c r="BB64" s="1"/>
  <c r="AN7"/>
  <c r="AS7" s="1"/>
  <c r="M9"/>
  <c r="M15" s="1"/>
  <c r="AE10"/>
  <c r="AF10" s="1"/>
  <c r="AR10" s="1"/>
  <c r="AQ14"/>
  <c r="AN19"/>
  <c r="L30"/>
  <c r="AN37"/>
  <c r="AS37" s="1"/>
  <c r="AT38"/>
  <c r="BB38" s="1"/>
  <c r="M59"/>
  <c r="AE49"/>
  <c r="AF49" s="1"/>
  <c r="AR49" s="1"/>
  <c r="AT56"/>
  <c r="BB56" s="1"/>
  <c r="Y79"/>
  <c r="AN74"/>
  <c r="AS74" s="1"/>
  <c r="AM79"/>
  <c r="AQ7"/>
  <c r="AQ19"/>
  <c r="M26"/>
  <c r="M30" s="1"/>
  <c r="M33"/>
  <c r="AQ34"/>
  <c r="AT34" s="1"/>
  <c r="BB34" s="1"/>
  <c r="AS35"/>
  <c r="AN36"/>
  <c r="AE48"/>
  <c r="AF48" s="1"/>
  <c r="AR48" s="1"/>
  <c r="AQ50"/>
  <c r="AT50" s="1"/>
  <c r="BB50" s="1"/>
  <c r="AN55"/>
  <c r="AS55" s="1"/>
  <c r="AB79"/>
  <c r="AQ63"/>
  <c r="AT63" s="1"/>
  <c r="BB63" s="1"/>
  <c r="AT121"/>
  <c r="BB121" s="1"/>
  <c r="R39"/>
  <c r="R32" s="1"/>
  <c r="AN49"/>
  <c r="AS49" s="1"/>
  <c r="AN54"/>
  <c r="AS54" s="1"/>
  <c r="AT54" s="1"/>
  <c r="BB54" s="1"/>
  <c r="AN62"/>
  <c r="AS62" s="1"/>
  <c r="AT109"/>
  <c r="BB109" s="1"/>
  <c r="AQ29"/>
  <c r="AT29" s="1"/>
  <c r="BB29" s="1"/>
  <c r="S39"/>
  <c r="S32" s="1"/>
  <c r="T59"/>
  <c r="T40" s="1"/>
  <c r="T31" s="1"/>
  <c r="AN48"/>
  <c r="AS48" s="1"/>
  <c r="AQ52"/>
  <c r="AT52" s="1"/>
  <c r="BB52" s="1"/>
  <c r="AB59"/>
  <c r="AB40" s="1"/>
  <c r="AB31" s="1"/>
  <c r="AN61"/>
  <c r="AS61" s="1"/>
  <c r="AE72"/>
  <c r="AF72" s="1"/>
  <c r="AR72" s="1"/>
  <c r="AN73"/>
  <c r="AS73" s="1"/>
  <c r="AE77"/>
  <c r="AF77" s="1"/>
  <c r="AR77" s="1"/>
  <c r="AQ10"/>
  <c r="AQ22"/>
  <c r="AT22" s="1"/>
  <c r="BB22" s="1"/>
  <c r="U59"/>
  <c r="U40" s="1"/>
  <c r="U31" s="1"/>
  <c r="AN8"/>
  <c r="AS8" s="1"/>
  <c r="AN20"/>
  <c r="AS20" s="1"/>
  <c r="AQ27"/>
  <c r="AT27" s="1"/>
  <c r="BB27" s="1"/>
  <c r="Y40"/>
  <c r="Y31" s="1"/>
  <c r="AE42"/>
  <c r="AF42" s="1"/>
  <c r="AR42" s="1"/>
  <c r="AE43"/>
  <c r="AF43" s="1"/>
  <c r="AR43" s="1"/>
  <c r="AS60"/>
  <c r="AQ8"/>
  <c r="AQ20"/>
  <c r="Y30"/>
  <c r="Y6" s="1"/>
  <c r="Y5" s="1"/>
  <c r="AE76"/>
  <c r="AF76" s="1"/>
  <c r="AR76" s="1"/>
  <c r="AQ13"/>
  <c r="AT13" s="1"/>
  <c r="BB13" s="1"/>
  <c r="L25"/>
  <c r="AB30"/>
  <c r="AB6" s="1"/>
  <c r="AB5" s="1"/>
  <c r="AQ44"/>
  <c r="AT44" s="1"/>
  <c r="BB44" s="1"/>
  <c r="AT46"/>
  <c r="BB46" s="1"/>
  <c r="M79"/>
  <c r="AE67"/>
  <c r="AF67" s="1"/>
  <c r="AR67" s="1"/>
  <c r="AQ69"/>
  <c r="AT69" s="1"/>
  <c r="BB69" s="1"/>
  <c r="AE26"/>
  <c r="AE36"/>
  <c r="AF36" s="1"/>
  <c r="AR36" s="1"/>
  <c r="AF41"/>
  <c r="AN43"/>
  <c r="AS43" s="1"/>
  <c r="AE57"/>
  <c r="AF57" s="1"/>
  <c r="AR57" s="1"/>
  <c r="AT57" s="1"/>
  <c r="BB57" s="1"/>
  <c r="R79"/>
  <c r="R40" s="1"/>
  <c r="AN68"/>
  <c r="AS68" s="1"/>
  <c r="AE75"/>
  <c r="AF75" s="1"/>
  <c r="AR75" s="1"/>
  <c r="AQ77"/>
  <c r="AQ84"/>
  <c r="AT84" s="1"/>
  <c r="BB84" s="1"/>
  <c r="AT98"/>
  <c r="BB98" s="1"/>
  <c r="M84"/>
  <c r="AS99"/>
  <c r="AQ103"/>
  <c r="AT103" s="1"/>
  <c r="BB103" s="1"/>
  <c r="L113"/>
  <c r="AQ119"/>
  <c r="AT119" s="1"/>
  <c r="BB119" s="1"/>
  <c r="AE123"/>
  <c r="AF123" s="1"/>
  <c r="AR123" s="1"/>
  <c r="AS124"/>
  <c r="AE132"/>
  <c r="AF132" s="1"/>
  <c r="AR132" s="1"/>
  <c r="AQ82"/>
  <c r="AT82" s="1"/>
  <c r="BB82" s="1"/>
  <c r="S91"/>
  <c r="S80" s="1"/>
  <c r="AM91"/>
  <c r="AM80" s="1"/>
  <c r="AS132"/>
  <c r="AN132"/>
  <c r="AQ87"/>
  <c r="AT87" s="1"/>
  <c r="BB87" s="1"/>
  <c r="M102"/>
  <c r="M113" s="1"/>
  <c r="M118"/>
  <c r="AQ118" s="1"/>
  <c r="AT118" s="1"/>
  <c r="BB118" s="1"/>
  <c r="AN123"/>
  <c r="AS123" s="1"/>
  <c r="AF139"/>
  <c r="AR137"/>
  <c r="AR139" s="1"/>
  <c r="AT138"/>
  <c r="BB138" s="1"/>
  <c r="AT145"/>
  <c r="BB145" s="1"/>
  <c r="AQ37"/>
  <c r="AQ49"/>
  <c r="AQ68"/>
  <c r="AN85"/>
  <c r="AS85" s="1"/>
  <c r="AF94"/>
  <c r="AE95"/>
  <c r="AF95" s="1"/>
  <c r="AR95" s="1"/>
  <c r="L101"/>
  <c r="R113"/>
  <c r="AN107"/>
  <c r="U136"/>
  <c r="U93" s="1"/>
  <c r="AT120"/>
  <c r="BB120" s="1"/>
  <c r="AN122"/>
  <c r="AS122" s="1"/>
  <c r="AM139"/>
  <c r="AN137"/>
  <c r="AN139" s="1"/>
  <c r="M139"/>
  <c r="AE144"/>
  <c r="AM39"/>
  <c r="AM32" s="1"/>
  <c r="AQ61"/>
  <c r="AQ73"/>
  <c r="AE81"/>
  <c r="AQ85"/>
  <c r="AM101"/>
  <c r="AE96"/>
  <c r="AF96" s="1"/>
  <c r="AR96" s="1"/>
  <c r="S113"/>
  <c r="AS105"/>
  <c r="AN106"/>
  <c r="AS106" s="1"/>
  <c r="AQ107"/>
  <c r="Y136"/>
  <c r="Y93" s="1"/>
  <c r="AQ35"/>
  <c r="AQ47"/>
  <c r="AT47" s="1"/>
  <c r="BB47" s="1"/>
  <c r="L59"/>
  <c r="AQ66"/>
  <c r="AT66" s="1"/>
  <c r="BB66" s="1"/>
  <c r="AQ78"/>
  <c r="AT78" s="1"/>
  <c r="BB78" s="1"/>
  <c r="AQ90"/>
  <c r="AT90" s="1"/>
  <c r="BB90" s="1"/>
  <c r="AN94"/>
  <c r="AN101" s="1"/>
  <c r="AN95"/>
  <c r="AS95" s="1"/>
  <c r="AS96"/>
  <c r="AE112"/>
  <c r="AF112" s="1"/>
  <c r="AR112" s="1"/>
  <c r="AE114"/>
  <c r="AB136"/>
  <c r="T136"/>
  <c r="T93" s="1"/>
  <c r="AS129"/>
  <c r="AQ94"/>
  <c r="AQ95"/>
  <c r="AS114"/>
  <c r="AE115"/>
  <c r="AF115" s="1"/>
  <c r="AR115" s="1"/>
  <c r="S136"/>
  <c r="AQ126"/>
  <c r="AT126" s="1"/>
  <c r="AT162"/>
  <c r="BB162" s="1"/>
  <c r="AQ76"/>
  <c r="AT76" s="1"/>
  <c r="BB76" s="1"/>
  <c r="AQ88"/>
  <c r="AT88" s="1"/>
  <c r="BB88" s="1"/>
  <c r="M101"/>
  <c r="AS115"/>
  <c r="AE116"/>
  <c r="AF116" s="1"/>
  <c r="AR116" s="1"/>
  <c r="AQ127"/>
  <c r="AT127" s="1"/>
  <c r="AQ128"/>
  <c r="AT128" s="1"/>
  <c r="BB128" s="1"/>
  <c r="AN86"/>
  <c r="AS86" s="1"/>
  <c r="R101"/>
  <c r="AE102"/>
  <c r="AB113"/>
  <c r="AQ139"/>
  <c r="AQ43"/>
  <c r="AQ55"/>
  <c r="AM59"/>
  <c r="AQ62"/>
  <c r="AQ74"/>
  <c r="M81"/>
  <c r="M91" s="1"/>
  <c r="M80" s="1"/>
  <c r="AQ86"/>
  <c r="S101"/>
  <c r="AS111"/>
  <c r="AN112"/>
  <c r="AS112" s="1"/>
  <c r="AM136"/>
  <c r="AQ134"/>
  <c r="AT134" s="1"/>
  <c r="BB134" s="1"/>
  <c r="R142"/>
  <c r="AE140"/>
  <c r="AQ36"/>
  <c r="AQ48"/>
  <c r="AQ67"/>
  <c r="L79"/>
  <c r="L136"/>
  <c r="AN117"/>
  <c r="AS117" s="1"/>
  <c r="AE133"/>
  <c r="AF133" s="1"/>
  <c r="AR133" s="1"/>
  <c r="AT133" s="1"/>
  <c r="BB133" s="1"/>
  <c r="AS100"/>
  <c r="AE106"/>
  <c r="AF106" s="1"/>
  <c r="AR106" s="1"/>
  <c r="M114"/>
  <c r="AQ117"/>
  <c r="AE122"/>
  <c r="AF122" s="1"/>
  <c r="AR122" s="1"/>
  <c r="AE124"/>
  <c r="AF124" s="1"/>
  <c r="AR124" s="1"/>
  <c r="AT213"/>
  <c r="BB213" s="1"/>
  <c r="AM113"/>
  <c r="M129"/>
  <c r="AQ129" s="1"/>
  <c r="L139"/>
  <c r="M155"/>
  <c r="AQ155" s="1"/>
  <c r="AT155" s="1"/>
  <c r="BB155" s="1"/>
  <c r="AN163"/>
  <c r="AS163" s="1"/>
  <c r="AQ165"/>
  <c r="AE176"/>
  <c r="AF176" s="1"/>
  <c r="AR176" s="1"/>
  <c r="M181"/>
  <c r="M201" s="1"/>
  <c r="M179" s="1"/>
  <c r="AN184"/>
  <c r="AS184" s="1"/>
  <c r="AT184" s="1"/>
  <c r="BB184" s="1"/>
  <c r="AQ206"/>
  <c r="AT206" s="1"/>
  <c r="BB206" s="1"/>
  <c r="AM232"/>
  <c r="AN225"/>
  <c r="L168"/>
  <c r="AT182"/>
  <c r="BB182" s="1"/>
  <c r="M144"/>
  <c r="AQ144"/>
  <c r="AQ151"/>
  <c r="AT151" s="1"/>
  <c r="BB151" s="1"/>
  <c r="AQ158"/>
  <c r="AT158" s="1"/>
  <c r="BB158" s="1"/>
  <c r="M164"/>
  <c r="AQ164" s="1"/>
  <c r="AE190"/>
  <c r="AF190" s="1"/>
  <c r="AR190" s="1"/>
  <c r="AT190" s="1"/>
  <c r="BB190" s="1"/>
  <c r="AE210"/>
  <c r="AF210" s="1"/>
  <c r="AR210" s="1"/>
  <c r="AN216"/>
  <c r="AS216" s="1"/>
  <c r="AE231"/>
  <c r="AF231" s="1"/>
  <c r="AR231" s="1"/>
  <c r="AN234"/>
  <c r="AS234" s="1"/>
  <c r="AF237"/>
  <c r="AQ123"/>
  <c r="AQ132"/>
  <c r="R168"/>
  <c r="R143" s="1"/>
  <c r="AN156"/>
  <c r="AS156" s="1"/>
  <c r="AE194"/>
  <c r="AF194" s="1"/>
  <c r="AR194" s="1"/>
  <c r="AE196"/>
  <c r="AF196" s="1"/>
  <c r="AR196" s="1"/>
  <c r="AE203"/>
  <c r="U222"/>
  <c r="U202" s="1"/>
  <c r="L222"/>
  <c r="L202" s="1"/>
  <c r="AQ234"/>
  <c r="AS237"/>
  <c r="AQ100"/>
  <c r="AT100" s="1"/>
  <c r="BB100" s="1"/>
  <c r="AQ112"/>
  <c r="AN140"/>
  <c r="AE173"/>
  <c r="AF173" s="1"/>
  <c r="AR173" s="1"/>
  <c r="AE183"/>
  <c r="AF183" s="1"/>
  <c r="AR183" s="1"/>
  <c r="Y222"/>
  <c r="Y202" s="1"/>
  <c r="AN214"/>
  <c r="AS214" s="1"/>
  <c r="M232"/>
  <c r="AE233"/>
  <c r="AQ238"/>
  <c r="M130"/>
  <c r="AQ130" s="1"/>
  <c r="AT130" s="1"/>
  <c r="BB130" s="1"/>
  <c r="AQ140"/>
  <c r="AQ147"/>
  <c r="AT147" s="1"/>
  <c r="BB147" s="1"/>
  <c r="M149"/>
  <c r="AQ149" s="1"/>
  <c r="AT149" s="1"/>
  <c r="BB149" s="1"/>
  <c r="Y178"/>
  <c r="Y143" s="1"/>
  <c r="AE171"/>
  <c r="AF171" s="1"/>
  <c r="AR171" s="1"/>
  <c r="AM178"/>
  <c r="T201"/>
  <c r="T179" s="1"/>
  <c r="AE188"/>
  <c r="AF188" s="1"/>
  <c r="AR188" s="1"/>
  <c r="AE192"/>
  <c r="AF192" s="1"/>
  <c r="AR192" s="1"/>
  <c r="AT192" s="1"/>
  <c r="AB222"/>
  <c r="AB202" s="1"/>
  <c r="AM222"/>
  <c r="AM202" s="1"/>
  <c r="AN204"/>
  <c r="AS204" s="1"/>
  <c r="AE208"/>
  <c r="AF208" s="1"/>
  <c r="AR208" s="1"/>
  <c r="AT208" s="1"/>
  <c r="BB208" s="1"/>
  <c r="AQ215"/>
  <c r="AQ220"/>
  <c r="AN227"/>
  <c r="AS227" s="1"/>
  <c r="AE240"/>
  <c r="AF240" s="1"/>
  <c r="AR240" s="1"/>
  <c r="AN241"/>
  <c r="AS241" s="1"/>
  <c r="U168"/>
  <c r="U143" s="1"/>
  <c r="AE169"/>
  <c r="AQ174"/>
  <c r="AT174" s="1"/>
  <c r="BB174" s="1"/>
  <c r="U201"/>
  <c r="U179" s="1"/>
  <c r="AE185"/>
  <c r="AF185" s="1"/>
  <c r="AR185" s="1"/>
  <c r="AE187"/>
  <c r="AF187" s="1"/>
  <c r="AR187" s="1"/>
  <c r="AS195"/>
  <c r="AT195" s="1"/>
  <c r="BB195" s="1"/>
  <c r="AQ197"/>
  <c r="AT197" s="1"/>
  <c r="BB197" s="1"/>
  <c r="AM201"/>
  <c r="AM179" s="1"/>
  <c r="AQ204"/>
  <c r="AS209"/>
  <c r="AE219"/>
  <c r="AF219" s="1"/>
  <c r="AR219" s="1"/>
  <c r="AS220"/>
  <c r="S232"/>
  <c r="AE226"/>
  <c r="AF226" s="1"/>
  <c r="AR226" s="1"/>
  <c r="AQ227"/>
  <c r="AQ241"/>
  <c r="AQ152"/>
  <c r="AT152" s="1"/>
  <c r="BB152" s="1"/>
  <c r="AQ159"/>
  <c r="AT159" s="1"/>
  <c r="BB159" s="1"/>
  <c r="AN177"/>
  <c r="AS177" s="1"/>
  <c r="AE181"/>
  <c r="AF181" s="1"/>
  <c r="AR181" s="1"/>
  <c r="AT211"/>
  <c r="BB211" s="1"/>
  <c r="AN150"/>
  <c r="AS150" s="1"/>
  <c r="AN157"/>
  <c r="AS157" s="1"/>
  <c r="AN169"/>
  <c r="AN172"/>
  <c r="AS172" s="1"/>
  <c r="AT172" s="1"/>
  <c r="BB172" s="1"/>
  <c r="AB201"/>
  <c r="AB179" s="1"/>
  <c r="AE180"/>
  <c r="AQ199"/>
  <c r="AE238"/>
  <c r="AF238" s="1"/>
  <c r="AR238" s="1"/>
  <c r="AQ157"/>
  <c r="AN170"/>
  <c r="AS170" s="1"/>
  <c r="AQ188"/>
  <c r="AN193"/>
  <c r="AS193" s="1"/>
  <c r="AT193" s="1"/>
  <c r="BB193" s="1"/>
  <c r="S242"/>
  <c r="AQ106"/>
  <c r="AQ122"/>
  <c r="AQ131"/>
  <c r="AT131" s="1"/>
  <c r="BB131" s="1"/>
  <c r="AQ141"/>
  <c r="AQ148"/>
  <c r="AT148" s="1"/>
  <c r="AS165"/>
  <c r="AS167"/>
  <c r="AT167" s="1"/>
  <c r="BB167" s="1"/>
  <c r="AN186"/>
  <c r="AS186" s="1"/>
  <c r="AN191"/>
  <c r="AS191" s="1"/>
  <c r="AT191" s="1"/>
  <c r="BB191" s="1"/>
  <c r="AT200"/>
  <c r="AE215"/>
  <c r="AF215" s="1"/>
  <c r="AR215" s="1"/>
  <c r="AN218"/>
  <c r="AS218" s="1"/>
  <c r="AB232"/>
  <c r="AE235"/>
  <c r="AF235" s="1"/>
  <c r="AR235" s="1"/>
  <c r="AN160"/>
  <c r="AS160" s="1"/>
  <c r="AT160" s="1"/>
  <c r="BB160" s="1"/>
  <c r="L178"/>
  <c r="AQ186"/>
  <c r="AT189"/>
  <c r="BB189" s="1"/>
  <c r="AE199"/>
  <c r="AF199" s="1"/>
  <c r="AR199" s="1"/>
  <c r="M222"/>
  <c r="M202" s="1"/>
  <c r="AQ218"/>
  <c r="AR225"/>
  <c r="AQ229"/>
  <c r="AT229" s="1"/>
  <c r="BB229" s="1"/>
  <c r="AE232"/>
  <c r="AN239"/>
  <c r="AS239" s="1"/>
  <c r="AS164"/>
  <c r="AQ169"/>
  <c r="AS171"/>
  <c r="AS185"/>
  <c r="AS194"/>
  <c r="L201"/>
  <c r="L179" s="1"/>
  <c r="AS203"/>
  <c r="AS215"/>
  <c r="AS217"/>
  <c r="AS231"/>
  <c r="L236"/>
  <c r="AQ225"/>
  <c r="AN230"/>
  <c r="AS230" s="1"/>
  <c r="AM236"/>
  <c r="AQ239"/>
  <c r="AQ209"/>
  <c r="AQ230"/>
  <c r="AQ163"/>
  <c r="AQ170"/>
  <c r="AQ177"/>
  <c r="AB178"/>
  <c r="AB143" s="1"/>
  <c r="AN161"/>
  <c r="AS161" s="1"/>
  <c r="AN175"/>
  <c r="AS175" s="1"/>
  <c r="AQ207"/>
  <c r="AT207" s="1"/>
  <c r="BB207" s="1"/>
  <c r="AQ221"/>
  <c r="AT221" s="1"/>
  <c r="BB221" s="1"/>
  <c r="AQ228"/>
  <c r="AT228" s="1"/>
  <c r="BB228" s="1"/>
  <c r="L242"/>
  <c r="AQ161"/>
  <c r="M175"/>
  <c r="M178" s="1"/>
  <c r="AN180"/>
  <c r="AS180" s="1"/>
  <c r="AN187"/>
  <c r="AS187" s="1"/>
  <c r="AN196"/>
  <c r="AS196" s="1"/>
  <c r="AN205"/>
  <c r="AN219"/>
  <c r="AS219" s="1"/>
  <c r="AN226"/>
  <c r="AS226" s="1"/>
  <c r="AN233"/>
  <c r="AN236" s="1"/>
  <c r="M235"/>
  <c r="AQ235" s="1"/>
  <c r="AB236"/>
  <c r="AN240"/>
  <c r="AS240" s="1"/>
  <c r="AQ166"/>
  <c r="AT166" s="1"/>
  <c r="AQ173"/>
  <c r="AT173" s="1"/>
  <c r="BB173" s="1"/>
  <c r="AQ180"/>
  <c r="AQ187"/>
  <c r="AQ196"/>
  <c r="AQ205"/>
  <c r="AQ219"/>
  <c r="AQ226"/>
  <c r="AQ233"/>
  <c r="AQ240"/>
  <c r="AQ210"/>
  <c r="AN238"/>
  <c r="AS238" s="1"/>
  <c r="U6" i="21"/>
  <c r="U5" s="1"/>
  <c r="M39"/>
  <c r="M32" s="1"/>
  <c r="AF16"/>
  <c r="AE17"/>
  <c r="M15"/>
  <c r="M30"/>
  <c r="R6"/>
  <c r="R5" s="1"/>
  <c r="AF18"/>
  <c r="AF41"/>
  <c r="S6"/>
  <c r="S5" s="1"/>
  <c r="Y6"/>
  <c r="Y5" s="1"/>
  <c r="AT20"/>
  <c r="BB20" s="1"/>
  <c r="AS8"/>
  <c r="AM79"/>
  <c r="AN60"/>
  <c r="AN66"/>
  <c r="AS66" s="1"/>
  <c r="AN84"/>
  <c r="AS84" s="1"/>
  <c r="AE7"/>
  <c r="AQ11"/>
  <c r="AT11" s="1"/>
  <c r="BB11" s="1"/>
  <c r="AN16"/>
  <c r="AN17" s="1"/>
  <c r="M18"/>
  <c r="M25" s="1"/>
  <c r="AQ23"/>
  <c r="AT23" s="1"/>
  <c r="BB23" s="1"/>
  <c r="AF26"/>
  <c r="AN28"/>
  <c r="AS28" s="1"/>
  <c r="AQ35"/>
  <c r="AN41"/>
  <c r="AE44"/>
  <c r="AF44" s="1"/>
  <c r="AR44" s="1"/>
  <c r="M50"/>
  <c r="AQ50" s="1"/>
  <c r="AN53"/>
  <c r="AS53" s="1"/>
  <c r="AN56"/>
  <c r="AS56" s="1"/>
  <c r="M227"/>
  <c r="AQ227" s="1"/>
  <c r="AN9"/>
  <c r="AS9" s="1"/>
  <c r="AQ16"/>
  <c r="AN21"/>
  <c r="AN25" s="1"/>
  <c r="AM25"/>
  <c r="AQ28"/>
  <c r="AN33"/>
  <c r="AE36"/>
  <c r="AF36" s="1"/>
  <c r="AR36" s="1"/>
  <c r="AT36" s="1"/>
  <c r="BB36" s="1"/>
  <c r="AN44"/>
  <c r="AS44" s="1"/>
  <c r="M52"/>
  <c r="AQ52" s="1"/>
  <c r="AT52" s="1"/>
  <c r="BB52" s="1"/>
  <c r="AN55"/>
  <c r="AS55" s="1"/>
  <c r="AE75"/>
  <c r="AF75" s="1"/>
  <c r="AR75" s="1"/>
  <c r="M100"/>
  <c r="AQ100" s="1"/>
  <c r="R168"/>
  <c r="AN14"/>
  <c r="AS14" s="1"/>
  <c r="AT14" s="1"/>
  <c r="BB14" s="1"/>
  <c r="AN26"/>
  <c r="AM30"/>
  <c r="L39"/>
  <c r="L32" s="1"/>
  <c r="AQ33"/>
  <c r="AN38"/>
  <c r="AS38" s="1"/>
  <c r="L59"/>
  <c r="AN43"/>
  <c r="AS43" s="1"/>
  <c r="AQ53"/>
  <c r="AQ55"/>
  <c r="M79"/>
  <c r="AQ62"/>
  <c r="AQ64"/>
  <c r="AE73"/>
  <c r="AF73" s="1"/>
  <c r="AR73" s="1"/>
  <c r="AT82"/>
  <c r="BB82" s="1"/>
  <c r="AN98"/>
  <c r="AS98" s="1"/>
  <c r="M112"/>
  <c r="M113" s="1"/>
  <c r="AS16"/>
  <c r="AS17" s="1"/>
  <c r="AQ38"/>
  <c r="AQ43"/>
  <c r="AE47"/>
  <c r="AF47" s="1"/>
  <c r="AR47" s="1"/>
  <c r="AE49"/>
  <c r="AF49" s="1"/>
  <c r="AR49" s="1"/>
  <c r="L91"/>
  <c r="L80" s="1"/>
  <c r="U101"/>
  <c r="S113"/>
  <c r="AQ7"/>
  <c r="AE27"/>
  <c r="AF27" s="1"/>
  <c r="AR27" s="1"/>
  <c r="AS33"/>
  <c r="AQ56"/>
  <c r="AQ58"/>
  <c r="AT58" s="1"/>
  <c r="BB58" s="1"/>
  <c r="AM59"/>
  <c r="S79"/>
  <c r="S40" s="1"/>
  <c r="R79"/>
  <c r="R40" s="1"/>
  <c r="R31" s="1"/>
  <c r="AQ63"/>
  <c r="AE71"/>
  <c r="AF71" s="1"/>
  <c r="AR71" s="1"/>
  <c r="AT71" s="1"/>
  <c r="BB71" s="1"/>
  <c r="AQ76"/>
  <c r="M81"/>
  <c r="AE87"/>
  <c r="AF87" s="1"/>
  <c r="AR87" s="1"/>
  <c r="AB25"/>
  <c r="AB6" s="1"/>
  <c r="AB5" s="1"/>
  <c r="S39"/>
  <c r="S32" s="1"/>
  <c r="AQ44"/>
  <c r="AQ46"/>
  <c r="AT46" s="1"/>
  <c r="BB46" s="1"/>
  <c r="T79"/>
  <c r="AT74"/>
  <c r="BB74" s="1"/>
  <c r="U91"/>
  <c r="U80" s="1"/>
  <c r="AE85"/>
  <c r="AF85" s="1"/>
  <c r="AR85" s="1"/>
  <c r="AT85" s="1"/>
  <c r="BB85" s="1"/>
  <c r="AB101"/>
  <c r="AE94"/>
  <c r="AQ29"/>
  <c r="AT29" s="1"/>
  <c r="BB29" s="1"/>
  <c r="AQ10"/>
  <c r="AT10" s="1"/>
  <c r="BB10" s="1"/>
  <c r="AQ22"/>
  <c r="AT22" s="1"/>
  <c r="BB22" s="1"/>
  <c r="AN27"/>
  <c r="AS27" s="1"/>
  <c r="AQ34"/>
  <c r="AT34" s="1"/>
  <c r="BB34" s="1"/>
  <c r="U59"/>
  <c r="U40" s="1"/>
  <c r="Y79"/>
  <c r="AS72"/>
  <c r="AT72" s="1"/>
  <c r="BB72" s="1"/>
  <c r="AN72"/>
  <c r="T91"/>
  <c r="T80" s="1"/>
  <c r="AF102"/>
  <c r="AE114"/>
  <c r="AE149"/>
  <c r="AF149" s="1"/>
  <c r="AR149" s="1"/>
  <c r="Y59"/>
  <c r="AQ47"/>
  <c r="AQ49"/>
  <c r="AN50"/>
  <c r="AS50" s="1"/>
  <c r="AB79"/>
  <c r="AE83"/>
  <c r="AF83" s="1"/>
  <c r="AR83" s="1"/>
  <c r="AT83" s="1"/>
  <c r="BB83" s="1"/>
  <c r="AQ86"/>
  <c r="AT86" s="1"/>
  <c r="BB86" s="1"/>
  <c r="AE99"/>
  <c r="AF99" s="1"/>
  <c r="AR99" s="1"/>
  <c r="AB59"/>
  <c r="AB40" s="1"/>
  <c r="AE55"/>
  <c r="AF55" s="1"/>
  <c r="AR55" s="1"/>
  <c r="T59"/>
  <c r="AE62"/>
  <c r="AF62" s="1"/>
  <c r="AR62" s="1"/>
  <c r="AR79" s="1"/>
  <c r="AQ68"/>
  <c r="AT68" s="1"/>
  <c r="BB68" s="1"/>
  <c r="T168"/>
  <c r="AE33"/>
  <c r="AE66"/>
  <c r="AF66" s="1"/>
  <c r="AR66" s="1"/>
  <c r="AS67"/>
  <c r="AT67" s="1"/>
  <c r="BB67" s="1"/>
  <c r="AT70"/>
  <c r="BB70" s="1"/>
  <c r="AE78"/>
  <c r="AF78" s="1"/>
  <c r="AR78" s="1"/>
  <c r="AB91"/>
  <c r="AB80" s="1"/>
  <c r="AQ142"/>
  <c r="L79"/>
  <c r="AS81"/>
  <c r="AB113"/>
  <c r="AE119"/>
  <c r="AF119" s="1"/>
  <c r="AR119" s="1"/>
  <c r="AE121"/>
  <c r="AF121" s="1"/>
  <c r="AR121" s="1"/>
  <c r="AE123"/>
  <c r="AF123" s="1"/>
  <c r="AR123" s="1"/>
  <c r="AE156"/>
  <c r="AF156" s="1"/>
  <c r="AR156" s="1"/>
  <c r="T178"/>
  <c r="AN206"/>
  <c r="AS206"/>
  <c r="AF225"/>
  <c r="AQ41"/>
  <c r="L101"/>
  <c r="Y113"/>
  <c r="AE120"/>
  <c r="AF120" s="1"/>
  <c r="AR120" s="1"/>
  <c r="AS122"/>
  <c r="AS123"/>
  <c r="AF138"/>
  <c r="AR138" s="1"/>
  <c r="AE146"/>
  <c r="AF146" s="1"/>
  <c r="AR146" s="1"/>
  <c r="AS148"/>
  <c r="AQ150"/>
  <c r="AE161"/>
  <c r="AF161" s="1"/>
  <c r="AR161" s="1"/>
  <c r="AT161" s="1"/>
  <c r="BB161" s="1"/>
  <c r="AQ65"/>
  <c r="AT65" s="1"/>
  <c r="BB65" s="1"/>
  <c r="AQ77"/>
  <c r="AT77" s="1"/>
  <c r="BB77" s="1"/>
  <c r="AQ89"/>
  <c r="AT89" s="1"/>
  <c r="BB89" s="1"/>
  <c r="AM101"/>
  <c r="AQ96"/>
  <c r="AT96" s="1"/>
  <c r="BB96" s="1"/>
  <c r="AE103"/>
  <c r="AF103" s="1"/>
  <c r="AR103" s="1"/>
  <c r="AE105"/>
  <c r="AF105" s="1"/>
  <c r="AR105" s="1"/>
  <c r="Y168"/>
  <c r="AE145"/>
  <c r="AF145" s="1"/>
  <c r="AR145" s="1"/>
  <c r="M181"/>
  <c r="AQ181" s="1"/>
  <c r="AT181" s="1"/>
  <c r="BB181" s="1"/>
  <c r="AN63"/>
  <c r="AS63" s="1"/>
  <c r="AN75"/>
  <c r="AS75" s="1"/>
  <c r="AT75" s="1"/>
  <c r="BB75" s="1"/>
  <c r="AN87"/>
  <c r="AS87" s="1"/>
  <c r="AM91"/>
  <c r="AM80" s="1"/>
  <c r="AN94"/>
  <c r="AS94" s="1"/>
  <c r="AE104"/>
  <c r="AF104" s="1"/>
  <c r="AR104" s="1"/>
  <c r="AT122"/>
  <c r="BB122" s="1"/>
  <c r="AE133"/>
  <c r="AF133" s="1"/>
  <c r="AR133" s="1"/>
  <c r="Y139"/>
  <c r="AQ148"/>
  <c r="AN163"/>
  <c r="AS163" s="1"/>
  <c r="AT163" s="1"/>
  <c r="BB163" s="1"/>
  <c r="AE107"/>
  <c r="AF107" s="1"/>
  <c r="AR107" s="1"/>
  <c r="M114"/>
  <c r="L136"/>
  <c r="M115"/>
  <c r="AQ115" s="1"/>
  <c r="AT115" s="1"/>
  <c r="BB115" s="1"/>
  <c r="AT116"/>
  <c r="AT118"/>
  <c r="BB118" s="1"/>
  <c r="AQ124"/>
  <c r="AQ125"/>
  <c r="AM136"/>
  <c r="AF137"/>
  <c r="AS155"/>
  <c r="AE159"/>
  <c r="AF159" s="1"/>
  <c r="AR159" s="1"/>
  <c r="AE189"/>
  <c r="AF189" s="1"/>
  <c r="AR189" s="1"/>
  <c r="AQ99"/>
  <c r="R136"/>
  <c r="AF144"/>
  <c r="AT147"/>
  <c r="BB147" s="1"/>
  <c r="S178"/>
  <c r="S143" s="1"/>
  <c r="AE171"/>
  <c r="AF171" s="1"/>
  <c r="AR171" s="1"/>
  <c r="M220"/>
  <c r="AQ220" s="1"/>
  <c r="AQ42"/>
  <c r="AT42" s="1"/>
  <c r="BB42" s="1"/>
  <c r="AQ54"/>
  <c r="AT54" s="1"/>
  <c r="BB54" s="1"/>
  <c r="AN78"/>
  <c r="AS78" s="1"/>
  <c r="AE81"/>
  <c r="AN90"/>
  <c r="AS90" s="1"/>
  <c r="R101"/>
  <c r="R93" s="1"/>
  <c r="AN97"/>
  <c r="AS97" s="1"/>
  <c r="AS102"/>
  <c r="AQ103"/>
  <c r="AS104"/>
  <c r="AN112"/>
  <c r="AS112" s="1"/>
  <c r="AE129"/>
  <c r="AF129" s="1"/>
  <c r="AR129" s="1"/>
  <c r="AE130"/>
  <c r="AF130" s="1"/>
  <c r="AR130" s="1"/>
  <c r="AE132"/>
  <c r="AF132" s="1"/>
  <c r="AR132" s="1"/>
  <c r="AE140"/>
  <c r="AM168"/>
  <c r="AM143" s="1"/>
  <c r="AE152"/>
  <c r="AF152" s="1"/>
  <c r="AR152" s="1"/>
  <c r="AN160"/>
  <c r="AS160" s="1"/>
  <c r="AE172"/>
  <c r="AF172" s="1"/>
  <c r="AR172" s="1"/>
  <c r="S101"/>
  <c r="S93" s="1"/>
  <c r="AQ106"/>
  <c r="AT106" s="1"/>
  <c r="BB106" s="1"/>
  <c r="T136"/>
  <c r="AS131"/>
  <c r="AT131" s="1"/>
  <c r="BB131" s="1"/>
  <c r="AS132"/>
  <c r="AS141"/>
  <c r="AT162"/>
  <c r="BB162" s="1"/>
  <c r="M186"/>
  <c r="AQ186"/>
  <c r="Y242"/>
  <c r="AE237"/>
  <c r="T101"/>
  <c r="T93" s="1"/>
  <c r="AQ105"/>
  <c r="AT105" s="1"/>
  <c r="BB105" s="1"/>
  <c r="AN110"/>
  <c r="AS110" s="1"/>
  <c r="AS111"/>
  <c r="U136"/>
  <c r="R113"/>
  <c r="AQ107"/>
  <c r="AQ108"/>
  <c r="L113"/>
  <c r="Y136"/>
  <c r="Y93" s="1"/>
  <c r="AS129"/>
  <c r="AQ133"/>
  <c r="AQ134"/>
  <c r="AQ185"/>
  <c r="AN218"/>
  <c r="AS218" s="1"/>
  <c r="AM232"/>
  <c r="AN225"/>
  <c r="AB236"/>
  <c r="AE233"/>
  <c r="AQ111"/>
  <c r="AS117"/>
  <c r="AT117" s="1"/>
  <c r="BB117" s="1"/>
  <c r="AQ129"/>
  <c r="AS150"/>
  <c r="AQ155"/>
  <c r="AT155" s="1"/>
  <c r="BB155" s="1"/>
  <c r="AS157"/>
  <c r="AE166"/>
  <c r="AF166" s="1"/>
  <c r="AR166" s="1"/>
  <c r="AE169"/>
  <c r="Y178"/>
  <c r="AQ104"/>
  <c r="AT104" s="1"/>
  <c r="BB104" s="1"/>
  <c r="AN109"/>
  <c r="AN113" s="1"/>
  <c r="AM113"/>
  <c r="AN125"/>
  <c r="AS125" s="1"/>
  <c r="AQ127"/>
  <c r="AT127" s="1"/>
  <c r="AN134"/>
  <c r="AS134" s="1"/>
  <c r="L139"/>
  <c r="AQ146"/>
  <c r="AN153"/>
  <c r="AS153" s="1"/>
  <c r="AS164"/>
  <c r="AT164" s="1"/>
  <c r="BB164" s="1"/>
  <c r="AB178"/>
  <c r="R201"/>
  <c r="R179" s="1"/>
  <c r="AQ192"/>
  <c r="AT192" s="1"/>
  <c r="AN193"/>
  <c r="AS193" s="1"/>
  <c r="AT193" s="1"/>
  <c r="BB193" s="1"/>
  <c r="AE203"/>
  <c r="U222"/>
  <c r="U202" s="1"/>
  <c r="AE205"/>
  <c r="AF205" s="1"/>
  <c r="AR205" s="1"/>
  <c r="AM242"/>
  <c r="AN237"/>
  <c r="L168"/>
  <c r="L143" s="1"/>
  <c r="AN144"/>
  <c r="M153"/>
  <c r="AQ153" s="1"/>
  <c r="AN165"/>
  <c r="AS165" s="1"/>
  <c r="AQ166"/>
  <c r="AE176"/>
  <c r="AF176" s="1"/>
  <c r="AR176" s="1"/>
  <c r="AE187"/>
  <c r="AF187" s="1"/>
  <c r="AR187" s="1"/>
  <c r="AS190"/>
  <c r="AQ194"/>
  <c r="Y222"/>
  <c r="Y202" s="1"/>
  <c r="AE213"/>
  <c r="AF213" s="1"/>
  <c r="AR213" s="1"/>
  <c r="AE221"/>
  <c r="AF221" s="1"/>
  <c r="AR221" s="1"/>
  <c r="AE228"/>
  <c r="AF228" s="1"/>
  <c r="AR228" s="1"/>
  <c r="AQ229"/>
  <c r="AT229" s="1"/>
  <c r="BB229" s="1"/>
  <c r="L232"/>
  <c r="AQ238"/>
  <c r="AE241"/>
  <c r="AF241" s="1"/>
  <c r="AR241" s="1"/>
  <c r="AQ151"/>
  <c r="AT151" s="1"/>
  <c r="BB151" s="1"/>
  <c r="AQ158"/>
  <c r="AT158" s="1"/>
  <c r="BB158" s="1"/>
  <c r="AE173"/>
  <c r="AF173" s="1"/>
  <c r="AR173" s="1"/>
  <c r="AM178"/>
  <c r="T201"/>
  <c r="T179" s="1"/>
  <c r="AN191"/>
  <c r="AS191" s="1"/>
  <c r="AE199"/>
  <c r="AF199" s="1"/>
  <c r="AR199" s="1"/>
  <c r="AB222"/>
  <c r="AB202" s="1"/>
  <c r="AE210"/>
  <c r="AF210" s="1"/>
  <c r="AR210" s="1"/>
  <c r="AN216"/>
  <c r="AS216" s="1"/>
  <c r="AQ137"/>
  <c r="AM139"/>
  <c r="L142"/>
  <c r="AN156"/>
  <c r="AS156" s="1"/>
  <c r="AN169"/>
  <c r="AS169" s="1"/>
  <c r="AN170"/>
  <c r="AS170" s="1"/>
  <c r="AS171"/>
  <c r="AS176"/>
  <c r="U201"/>
  <c r="U179" s="1"/>
  <c r="AM222"/>
  <c r="AM202" s="1"/>
  <c r="AN204"/>
  <c r="AS204" s="1"/>
  <c r="AS213"/>
  <c r="AQ217"/>
  <c r="AE220"/>
  <c r="AF220" s="1"/>
  <c r="AR220" s="1"/>
  <c r="R232"/>
  <c r="AE227"/>
  <c r="AF227" s="1"/>
  <c r="AR227" s="1"/>
  <c r="L242"/>
  <c r="AQ241"/>
  <c r="AQ156"/>
  <c r="AN172"/>
  <c r="AS172" s="1"/>
  <c r="AQ174"/>
  <c r="AT174" s="1"/>
  <c r="BB174" s="1"/>
  <c r="AN177"/>
  <c r="AS177" s="1"/>
  <c r="Y201"/>
  <c r="Y179" s="1"/>
  <c r="AQ204"/>
  <c r="AN214"/>
  <c r="AS214" s="1"/>
  <c r="AT214" s="1"/>
  <c r="BB214" s="1"/>
  <c r="L222"/>
  <c r="L202" s="1"/>
  <c r="M242"/>
  <c r="AN126"/>
  <c r="AS126" s="1"/>
  <c r="AN128"/>
  <c r="AS128" s="1"/>
  <c r="M130"/>
  <c r="AQ130" s="1"/>
  <c r="AN135"/>
  <c r="AS135" s="1"/>
  <c r="M149"/>
  <c r="AQ149" s="1"/>
  <c r="AT149" s="1"/>
  <c r="BB149" s="1"/>
  <c r="AN154"/>
  <c r="AS154" s="1"/>
  <c r="AQ169"/>
  <c r="AQ171"/>
  <c r="AB201"/>
  <c r="AB179" s="1"/>
  <c r="AE180"/>
  <c r="AE183"/>
  <c r="AF183" s="1"/>
  <c r="AR183" s="1"/>
  <c r="AN186"/>
  <c r="AS186" s="1"/>
  <c r="AQ188"/>
  <c r="AT188" s="1"/>
  <c r="BB188" s="1"/>
  <c r="M188"/>
  <c r="M201" s="1"/>
  <c r="M179" s="1"/>
  <c r="AQ190"/>
  <c r="AS211"/>
  <c r="AQ215"/>
  <c r="T232"/>
  <c r="T224" s="1"/>
  <c r="T223" s="1"/>
  <c r="R236"/>
  <c r="R242"/>
  <c r="U168"/>
  <c r="U143" s="1"/>
  <c r="AQ167"/>
  <c r="AT167" s="1"/>
  <c r="BB167" s="1"/>
  <c r="AQ170"/>
  <c r="AE194"/>
  <c r="AF194" s="1"/>
  <c r="AR194" s="1"/>
  <c r="AS197"/>
  <c r="AE219"/>
  <c r="AF219" s="1"/>
  <c r="AR219" s="1"/>
  <c r="AS220"/>
  <c r="U232"/>
  <c r="U224" s="1"/>
  <c r="U223" s="1"/>
  <c r="AE226"/>
  <c r="AF226" s="1"/>
  <c r="AR226" s="1"/>
  <c r="AS227"/>
  <c r="S242"/>
  <c r="S224" s="1"/>
  <c r="S223" s="1"/>
  <c r="AE238"/>
  <c r="AF238" s="1"/>
  <c r="AR238" s="1"/>
  <c r="AB242"/>
  <c r="AQ119"/>
  <c r="AQ145"/>
  <c r="AT145" s="1"/>
  <c r="BB145" s="1"/>
  <c r="AQ152"/>
  <c r="AT152" s="1"/>
  <c r="BB152" s="1"/>
  <c r="AQ159"/>
  <c r="R178"/>
  <c r="AE206"/>
  <c r="AF206" s="1"/>
  <c r="AR206" s="1"/>
  <c r="AT206" s="1"/>
  <c r="BB206" s="1"/>
  <c r="AQ208"/>
  <c r="AT208" s="1"/>
  <c r="BB208" s="1"/>
  <c r="Y224"/>
  <c r="Y223" s="1"/>
  <c r="AB168"/>
  <c r="AN183"/>
  <c r="AS183" s="1"/>
  <c r="AN184"/>
  <c r="AN195"/>
  <c r="AS195" s="1"/>
  <c r="AT195" s="1"/>
  <c r="BB195" s="1"/>
  <c r="AQ197"/>
  <c r="AQ199"/>
  <c r="AE217"/>
  <c r="AF217" s="1"/>
  <c r="AR217" s="1"/>
  <c r="AB232"/>
  <c r="AB224" s="1"/>
  <c r="AB223" s="1"/>
  <c r="AS239"/>
  <c r="AT239" s="1"/>
  <c r="BB239" s="1"/>
  <c r="AN239"/>
  <c r="AS185"/>
  <c r="AS194"/>
  <c r="L201"/>
  <c r="L179" s="1"/>
  <c r="AS215"/>
  <c r="AS217"/>
  <c r="AS231"/>
  <c r="AT231" s="1"/>
  <c r="BB231" s="1"/>
  <c r="L236"/>
  <c r="AS238"/>
  <c r="AQ209"/>
  <c r="AT209" s="1"/>
  <c r="BB209" s="1"/>
  <c r="AQ230"/>
  <c r="AT230" s="1"/>
  <c r="AN200"/>
  <c r="AS200" s="1"/>
  <c r="AT200" s="1"/>
  <c r="AN207"/>
  <c r="AS207" s="1"/>
  <c r="AN221"/>
  <c r="AS221" s="1"/>
  <c r="AN228"/>
  <c r="AS228" s="1"/>
  <c r="AQ237"/>
  <c r="AQ207"/>
  <c r="AQ221"/>
  <c r="AQ228"/>
  <c r="M175"/>
  <c r="M178" s="1"/>
  <c r="AQ198"/>
  <c r="AT198" s="1"/>
  <c r="BB198" s="1"/>
  <c r="AQ212"/>
  <c r="AT212" s="1"/>
  <c r="BB212" s="1"/>
  <c r="AN226"/>
  <c r="AS226" s="1"/>
  <c r="AN233"/>
  <c r="AN236" s="1"/>
  <c r="M235"/>
  <c r="M236" s="1"/>
  <c r="AN240"/>
  <c r="AS240" s="1"/>
  <c r="AQ180"/>
  <c r="AQ187"/>
  <c r="AQ196"/>
  <c r="AQ219"/>
  <c r="AQ226"/>
  <c r="AQ233"/>
  <c r="AQ240"/>
  <c r="AT8" i="17"/>
  <c r="BB8" s="1"/>
  <c r="M25"/>
  <c r="AE30"/>
  <c r="AF26"/>
  <c r="AT28"/>
  <c r="BB28" s="1"/>
  <c r="S6"/>
  <c r="S5" s="1"/>
  <c r="U31"/>
  <c r="AT22"/>
  <c r="BB22" s="1"/>
  <c r="AT27"/>
  <c r="BB27" s="1"/>
  <c r="T6"/>
  <c r="T5" s="1"/>
  <c r="AQ17"/>
  <c r="AE25"/>
  <c r="AF18"/>
  <c r="AS29"/>
  <c r="AS30" s="1"/>
  <c r="AE15"/>
  <c r="AE6" s="1"/>
  <c r="AE5" s="1"/>
  <c r="AQ11"/>
  <c r="AQ23"/>
  <c r="AN34"/>
  <c r="AN39" s="1"/>
  <c r="AN32" s="1"/>
  <c r="AT36"/>
  <c r="BB36" s="1"/>
  <c r="AN65"/>
  <c r="AS65" s="1"/>
  <c r="AN77"/>
  <c r="AS77" s="1"/>
  <c r="AF7"/>
  <c r="AN9"/>
  <c r="AS9" s="1"/>
  <c r="AS18"/>
  <c r="AN21"/>
  <c r="AS21" s="1"/>
  <c r="AQ34"/>
  <c r="AE55"/>
  <c r="AF55" s="1"/>
  <c r="AR55" s="1"/>
  <c r="AT66"/>
  <c r="BB66" s="1"/>
  <c r="AE69"/>
  <c r="AF69" s="1"/>
  <c r="AR69" s="1"/>
  <c r="AT69" s="1"/>
  <c r="BB69" s="1"/>
  <c r="AT78"/>
  <c r="BB78" s="1"/>
  <c r="AS84"/>
  <c r="AT84" s="1"/>
  <c r="BB84" s="1"/>
  <c r="M109"/>
  <c r="AQ109" s="1"/>
  <c r="AQ9"/>
  <c r="AS11"/>
  <c r="AR16"/>
  <c r="AR17" s="1"/>
  <c r="AQ21"/>
  <c r="AS23"/>
  <c r="AM30"/>
  <c r="AS33"/>
  <c r="AT38"/>
  <c r="BB38" s="1"/>
  <c r="L40"/>
  <c r="R59"/>
  <c r="R40" s="1"/>
  <c r="R31" s="1"/>
  <c r="AN89"/>
  <c r="AS89" s="1"/>
  <c r="AE121"/>
  <c r="AF121" s="1"/>
  <c r="AR121" s="1"/>
  <c r="AN7"/>
  <c r="AS16"/>
  <c r="AS17" s="1"/>
  <c r="AN19"/>
  <c r="AS19" s="1"/>
  <c r="AT35"/>
  <c r="BB35" s="1"/>
  <c r="M59"/>
  <c r="AN55"/>
  <c r="AS55" s="1"/>
  <c r="AN56"/>
  <c r="AS56" s="1"/>
  <c r="AT56" s="1"/>
  <c r="BB56" s="1"/>
  <c r="M79"/>
  <c r="AT90"/>
  <c r="BB90" s="1"/>
  <c r="R93"/>
  <c r="AQ7"/>
  <c r="AQ19"/>
  <c r="AQ25" s="1"/>
  <c r="M33"/>
  <c r="M39" s="1"/>
  <c r="M32" s="1"/>
  <c r="L39"/>
  <c r="L32" s="1"/>
  <c r="AE48"/>
  <c r="AF48" s="1"/>
  <c r="AR48" s="1"/>
  <c r="AT71"/>
  <c r="BB71" s="1"/>
  <c r="AM91"/>
  <c r="AM80" s="1"/>
  <c r="AR102"/>
  <c r="AS105"/>
  <c r="AT105" s="1"/>
  <c r="BB105" s="1"/>
  <c r="AQ114"/>
  <c r="M7"/>
  <c r="M15" s="1"/>
  <c r="M6" s="1"/>
  <c r="M5" s="1"/>
  <c r="AQ12"/>
  <c r="AT12" s="1"/>
  <c r="BB12" s="1"/>
  <c r="AQ24"/>
  <c r="AT24" s="1"/>
  <c r="BB24" s="1"/>
  <c r="AN29"/>
  <c r="AN30" s="1"/>
  <c r="S59"/>
  <c r="S40" s="1"/>
  <c r="S31" s="1"/>
  <c r="AE49"/>
  <c r="AF49" s="1"/>
  <c r="AR49" s="1"/>
  <c r="AE50"/>
  <c r="AF50" s="1"/>
  <c r="AR50" s="1"/>
  <c r="AT50" s="1"/>
  <c r="BB50" s="1"/>
  <c r="AT70"/>
  <c r="BB70" s="1"/>
  <c r="AU116"/>
  <c r="AT116"/>
  <c r="AQ29"/>
  <c r="AT29" s="1"/>
  <c r="BB29" s="1"/>
  <c r="AB30"/>
  <c r="AB6" s="1"/>
  <c r="AB5" s="1"/>
  <c r="T59"/>
  <c r="T40" s="1"/>
  <c r="AT83"/>
  <c r="BB83" s="1"/>
  <c r="T39"/>
  <c r="T32" s="1"/>
  <c r="AE46"/>
  <c r="AF46" s="1"/>
  <c r="AR46" s="1"/>
  <c r="AE47"/>
  <c r="AF47" s="1"/>
  <c r="AR47" s="1"/>
  <c r="AT47" s="1"/>
  <c r="BB47" s="1"/>
  <c r="AQ55"/>
  <c r="R79"/>
  <c r="AQ67"/>
  <c r="AT67" s="1"/>
  <c r="BB67" s="1"/>
  <c r="AT82"/>
  <c r="BB82" s="1"/>
  <c r="U91"/>
  <c r="U80" s="1"/>
  <c r="AT103"/>
  <c r="BB103" s="1"/>
  <c r="AT104"/>
  <c r="BB104" s="1"/>
  <c r="AE108"/>
  <c r="AF108" s="1"/>
  <c r="AR108" s="1"/>
  <c r="AS120"/>
  <c r="Y201"/>
  <c r="Y179" s="1"/>
  <c r="AE181"/>
  <c r="AF181" s="1"/>
  <c r="AR181" s="1"/>
  <c r="AE37"/>
  <c r="AF37" s="1"/>
  <c r="AR37" s="1"/>
  <c r="AT37" s="1"/>
  <c r="BB37" s="1"/>
  <c r="Y59"/>
  <c r="Y40" s="1"/>
  <c r="Y31" s="1"/>
  <c r="AE43"/>
  <c r="AF43" s="1"/>
  <c r="AR43" s="1"/>
  <c r="AQ53"/>
  <c r="AT53" s="1"/>
  <c r="BB53" s="1"/>
  <c r="AE96"/>
  <c r="AF96" s="1"/>
  <c r="AR96" s="1"/>
  <c r="AT96" s="1"/>
  <c r="BB96" s="1"/>
  <c r="AN46"/>
  <c r="AS46" s="1"/>
  <c r="AQ48"/>
  <c r="AT48" s="1"/>
  <c r="BB48" s="1"/>
  <c r="AQ52"/>
  <c r="AN58"/>
  <c r="AS58" s="1"/>
  <c r="M113"/>
  <c r="AQ13"/>
  <c r="AT13" s="1"/>
  <c r="BB13" s="1"/>
  <c r="L25"/>
  <c r="L6" s="1"/>
  <c r="L5" s="1"/>
  <c r="AF41"/>
  <c r="AN43"/>
  <c r="AS43" s="1"/>
  <c r="AT43" s="1"/>
  <c r="BB43" s="1"/>
  <c r="AT51"/>
  <c r="BB51" s="1"/>
  <c r="AQ74"/>
  <c r="AT74" s="1"/>
  <c r="BB74" s="1"/>
  <c r="L79"/>
  <c r="AT110"/>
  <c r="BB110" s="1"/>
  <c r="AF33"/>
  <c r="AE39"/>
  <c r="AE32" s="1"/>
  <c r="AM59"/>
  <c r="AS41"/>
  <c r="AS42"/>
  <c r="AN44"/>
  <c r="AS44" s="1"/>
  <c r="AT44" s="1"/>
  <c r="BB44" s="1"/>
  <c r="AM79"/>
  <c r="AS72"/>
  <c r="AT72" s="1"/>
  <c r="BB72" s="1"/>
  <c r="T113"/>
  <c r="AQ118"/>
  <c r="AT118" s="1"/>
  <c r="BB118" s="1"/>
  <c r="AT120"/>
  <c r="BB120" s="1"/>
  <c r="AQ41"/>
  <c r="AS62"/>
  <c r="AT62" s="1"/>
  <c r="BB62" s="1"/>
  <c r="AS74"/>
  <c r="AS86"/>
  <c r="AT86" s="1"/>
  <c r="BB86" s="1"/>
  <c r="AQ102"/>
  <c r="AS106"/>
  <c r="AS109"/>
  <c r="AS132"/>
  <c r="AT132" s="1"/>
  <c r="BB132" s="1"/>
  <c r="AN132"/>
  <c r="AQ58"/>
  <c r="AQ65"/>
  <c r="AQ77"/>
  <c r="AQ89"/>
  <c r="AM101"/>
  <c r="AN131"/>
  <c r="AS131" s="1"/>
  <c r="AT131" s="1"/>
  <c r="BB131" s="1"/>
  <c r="AT151"/>
  <c r="BB151" s="1"/>
  <c r="AS60"/>
  <c r="AN63"/>
  <c r="AN79" s="1"/>
  <c r="AN75"/>
  <c r="AS75" s="1"/>
  <c r="AT75" s="1"/>
  <c r="BB75" s="1"/>
  <c r="AN87"/>
  <c r="AN94"/>
  <c r="AE112"/>
  <c r="AF112" s="1"/>
  <c r="AR112" s="1"/>
  <c r="AS130"/>
  <c r="AT150"/>
  <c r="BB150" s="1"/>
  <c r="AQ98"/>
  <c r="AS98"/>
  <c r="AE100"/>
  <c r="AF100" s="1"/>
  <c r="AR100" s="1"/>
  <c r="S113"/>
  <c r="AS107"/>
  <c r="AT107" s="1"/>
  <c r="BB107" s="1"/>
  <c r="AN111"/>
  <c r="U136"/>
  <c r="U93" s="1"/>
  <c r="S136"/>
  <c r="AE117"/>
  <c r="AF117" s="1"/>
  <c r="AR117" s="1"/>
  <c r="AN120"/>
  <c r="AE122"/>
  <c r="AF122" s="1"/>
  <c r="AR122" s="1"/>
  <c r="AT122" s="1"/>
  <c r="BB122" s="1"/>
  <c r="AB139"/>
  <c r="AF137"/>
  <c r="AE154"/>
  <c r="AF154" s="1"/>
  <c r="AR154" s="1"/>
  <c r="AT170"/>
  <c r="BB170" s="1"/>
  <c r="AN174"/>
  <c r="AS174" s="1"/>
  <c r="AQ49"/>
  <c r="AT49" s="1"/>
  <c r="BB49" s="1"/>
  <c r="AQ68"/>
  <c r="AT68" s="1"/>
  <c r="BB68" s="1"/>
  <c r="AB101"/>
  <c r="Y136"/>
  <c r="Y93" s="1"/>
  <c r="T136"/>
  <c r="T93" s="1"/>
  <c r="AM136"/>
  <c r="T168"/>
  <c r="AE145"/>
  <c r="AF145" s="1"/>
  <c r="AR145" s="1"/>
  <c r="AT145" s="1"/>
  <c r="BB145" s="1"/>
  <c r="AN234"/>
  <c r="AS234" s="1"/>
  <c r="AM39"/>
  <c r="AM32" s="1"/>
  <c r="AQ42"/>
  <c r="AQ54"/>
  <c r="AT54" s="1"/>
  <c r="BB54" s="1"/>
  <c r="AQ61"/>
  <c r="AT61" s="1"/>
  <c r="BB61" s="1"/>
  <c r="AQ73"/>
  <c r="AT73" s="1"/>
  <c r="BB73" s="1"/>
  <c r="AE81"/>
  <c r="AQ85"/>
  <c r="AT85" s="1"/>
  <c r="BB85" s="1"/>
  <c r="M94"/>
  <c r="M101" s="1"/>
  <c r="AN95"/>
  <c r="AS95" s="1"/>
  <c r="AT95" s="1"/>
  <c r="BB95" s="1"/>
  <c r="AN112"/>
  <c r="AS112" s="1"/>
  <c r="AB136"/>
  <c r="AN117"/>
  <c r="AS117" s="1"/>
  <c r="AE135"/>
  <c r="AF135" s="1"/>
  <c r="AR135" s="1"/>
  <c r="M138"/>
  <c r="AQ138" s="1"/>
  <c r="AT138" s="1"/>
  <c r="BB138" s="1"/>
  <c r="M142"/>
  <c r="AQ159"/>
  <c r="AT159" s="1"/>
  <c r="BB159" s="1"/>
  <c r="AT161"/>
  <c r="BB161" s="1"/>
  <c r="AE177"/>
  <c r="AF177" s="1"/>
  <c r="AR177" s="1"/>
  <c r="AN52"/>
  <c r="AS52" s="1"/>
  <c r="AN100"/>
  <c r="AS100" s="1"/>
  <c r="AQ112"/>
  <c r="AE114"/>
  <c r="AQ117"/>
  <c r="AS121"/>
  <c r="AT121" s="1"/>
  <c r="BB121" s="1"/>
  <c r="AS122"/>
  <c r="AE124"/>
  <c r="AF124" s="1"/>
  <c r="AR124" s="1"/>
  <c r="AT124" s="1"/>
  <c r="BB124" s="1"/>
  <c r="AE125"/>
  <c r="AF125" s="1"/>
  <c r="AR125" s="1"/>
  <c r="AT125" s="1"/>
  <c r="BB125" s="1"/>
  <c r="AE126"/>
  <c r="AF126" s="1"/>
  <c r="AR126" s="1"/>
  <c r="AE152"/>
  <c r="AF152" s="1"/>
  <c r="AR152" s="1"/>
  <c r="S101"/>
  <c r="AQ100"/>
  <c r="AQ108"/>
  <c r="AS146"/>
  <c r="AN153"/>
  <c r="AS153" s="1"/>
  <c r="AT153" s="1"/>
  <c r="BB153" s="1"/>
  <c r="Y168"/>
  <c r="M178"/>
  <c r="AQ64"/>
  <c r="AT64" s="1"/>
  <c r="BB64" s="1"/>
  <c r="AQ76"/>
  <c r="AT76" s="1"/>
  <c r="BB76" s="1"/>
  <c r="AQ88"/>
  <c r="AT88" s="1"/>
  <c r="BB88" s="1"/>
  <c r="AC136"/>
  <c r="AC93" s="1"/>
  <c r="AC92" s="1"/>
  <c r="AE115"/>
  <c r="AF115" s="1"/>
  <c r="AR115" s="1"/>
  <c r="AT115" s="1"/>
  <c r="BB115" s="1"/>
  <c r="AN134"/>
  <c r="AS134" s="1"/>
  <c r="L136"/>
  <c r="L93" s="1"/>
  <c r="BB166"/>
  <c r="M229"/>
  <c r="AQ229" s="1"/>
  <c r="AT229" s="1"/>
  <c r="BB229" s="1"/>
  <c r="AF60"/>
  <c r="AJ93"/>
  <c r="AJ92" s="1"/>
  <c r="AE106"/>
  <c r="AF106" s="1"/>
  <c r="AR106" s="1"/>
  <c r="AT106" s="1"/>
  <c r="BB106" s="1"/>
  <c r="AS114"/>
  <c r="AN123"/>
  <c r="AS123" s="1"/>
  <c r="AT123" s="1"/>
  <c r="BB123" s="1"/>
  <c r="AE128"/>
  <c r="AF128" s="1"/>
  <c r="AR128" s="1"/>
  <c r="AT128" s="1"/>
  <c r="BB128" s="1"/>
  <c r="AQ134"/>
  <c r="AQ137"/>
  <c r="M139"/>
  <c r="AN185"/>
  <c r="AS185" s="1"/>
  <c r="AT185" s="1"/>
  <c r="BB185" s="1"/>
  <c r="AE94"/>
  <c r="AS125"/>
  <c r="AS127"/>
  <c r="AT127" s="1"/>
  <c r="AT135"/>
  <c r="BB135" s="1"/>
  <c r="Y142"/>
  <c r="AE140"/>
  <c r="L139"/>
  <c r="AS141"/>
  <c r="AT141" s="1"/>
  <c r="BB141" s="1"/>
  <c r="AS148"/>
  <c r="AQ156"/>
  <c r="AT156" s="1"/>
  <c r="BB156" s="1"/>
  <c r="AQ162"/>
  <c r="AQ173"/>
  <c r="AT173" s="1"/>
  <c r="BB173" s="1"/>
  <c r="AQ174"/>
  <c r="AB201"/>
  <c r="AB179" s="1"/>
  <c r="AE180"/>
  <c r="T201"/>
  <c r="T179" s="1"/>
  <c r="AQ184"/>
  <c r="AT184" s="1"/>
  <c r="BB184" s="1"/>
  <c r="M188"/>
  <c r="AQ188" s="1"/>
  <c r="AQ189"/>
  <c r="AQ190"/>
  <c r="AT190" s="1"/>
  <c r="BB190" s="1"/>
  <c r="AQ191"/>
  <c r="AQ193"/>
  <c r="AE197"/>
  <c r="AF197" s="1"/>
  <c r="AR197" s="1"/>
  <c r="AT197" s="1"/>
  <c r="BB197" s="1"/>
  <c r="AE198"/>
  <c r="AF198" s="1"/>
  <c r="AR198" s="1"/>
  <c r="AE200"/>
  <c r="AF200" s="1"/>
  <c r="AR200" s="1"/>
  <c r="AT200" s="1"/>
  <c r="L232"/>
  <c r="AB178"/>
  <c r="AM201"/>
  <c r="AM179" s="1"/>
  <c r="L222"/>
  <c r="L202" s="1"/>
  <c r="AF233"/>
  <c r="AN137"/>
  <c r="AN139" s="1"/>
  <c r="M144"/>
  <c r="AQ144" s="1"/>
  <c r="AE158"/>
  <c r="AF158" s="1"/>
  <c r="AR158" s="1"/>
  <c r="AQ163"/>
  <c r="AT163" s="1"/>
  <c r="BB163" s="1"/>
  <c r="AE169"/>
  <c r="AN180"/>
  <c r="AN227"/>
  <c r="AS227" s="1"/>
  <c r="AM139"/>
  <c r="AQ175"/>
  <c r="AT175" s="1"/>
  <c r="BB175" s="1"/>
  <c r="Y178"/>
  <c r="AN196"/>
  <c r="AS196" s="1"/>
  <c r="AN140"/>
  <c r="AN142" s="1"/>
  <c r="AS144"/>
  <c r="AN147"/>
  <c r="AN168" s="1"/>
  <c r="AN149"/>
  <c r="AS149" s="1"/>
  <c r="AT157"/>
  <c r="BB157" s="1"/>
  <c r="AN169"/>
  <c r="AS180"/>
  <c r="AQ196"/>
  <c r="AE205"/>
  <c r="AF205" s="1"/>
  <c r="AR205" s="1"/>
  <c r="AN206"/>
  <c r="AS206" s="1"/>
  <c r="AU222"/>
  <c r="AU202" s="1"/>
  <c r="AE219"/>
  <c r="AF219" s="1"/>
  <c r="AR219" s="1"/>
  <c r="AN220"/>
  <c r="AS220" s="1"/>
  <c r="T224"/>
  <c r="T223" s="1"/>
  <c r="M130"/>
  <c r="M136" s="1"/>
  <c r="AQ140"/>
  <c r="AQ147"/>
  <c r="M149"/>
  <c r="AQ149" s="1"/>
  <c r="AS164"/>
  <c r="AN176"/>
  <c r="AS176" s="1"/>
  <c r="M222"/>
  <c r="M202" s="1"/>
  <c r="AE210"/>
  <c r="AF210" s="1"/>
  <c r="AR210" s="1"/>
  <c r="AT214"/>
  <c r="BB214" s="1"/>
  <c r="U232"/>
  <c r="U224" s="1"/>
  <c r="U223" s="1"/>
  <c r="AS226"/>
  <c r="AM142"/>
  <c r="U168"/>
  <c r="U143" s="1"/>
  <c r="AQ169"/>
  <c r="M180"/>
  <c r="L201"/>
  <c r="L179" s="1"/>
  <c r="M181"/>
  <c r="AQ181" s="1"/>
  <c r="AE188"/>
  <c r="AF188" s="1"/>
  <c r="AR188" s="1"/>
  <c r="AE189"/>
  <c r="AF189" s="1"/>
  <c r="AR189" s="1"/>
  <c r="AE192"/>
  <c r="AF192" s="1"/>
  <c r="AR192" s="1"/>
  <c r="AE193"/>
  <c r="AF193" s="1"/>
  <c r="AR193" s="1"/>
  <c r="AQ198"/>
  <c r="AT199"/>
  <c r="BB199" s="1"/>
  <c r="T222"/>
  <c r="T202" s="1"/>
  <c r="AE235"/>
  <c r="AF235" s="1"/>
  <c r="AR235" s="1"/>
  <c r="AE237"/>
  <c r="Y242"/>
  <c r="Y224" s="1"/>
  <c r="Y223" s="1"/>
  <c r="AN165"/>
  <c r="AS165" s="1"/>
  <c r="AT165" s="1"/>
  <c r="BB165" s="1"/>
  <c r="AQ176"/>
  <c r="AQ182"/>
  <c r="AT182" s="1"/>
  <c r="BB182" s="1"/>
  <c r="AS205"/>
  <c r="AB168"/>
  <c r="R178"/>
  <c r="R143" s="1"/>
  <c r="AN171"/>
  <c r="AS171" s="1"/>
  <c r="AT171" s="1"/>
  <c r="BB171" s="1"/>
  <c r="S201"/>
  <c r="S179" s="1"/>
  <c r="AN194"/>
  <c r="AS194" s="1"/>
  <c r="AT212"/>
  <c r="BB212" s="1"/>
  <c r="AF225"/>
  <c r="AN241"/>
  <c r="AS241" s="1"/>
  <c r="AN172"/>
  <c r="AS172" s="1"/>
  <c r="AT172" s="1"/>
  <c r="BB172" s="1"/>
  <c r="AE174"/>
  <c r="AF174" s="1"/>
  <c r="AR174" s="1"/>
  <c r="AN187"/>
  <c r="AS187" s="1"/>
  <c r="AS191"/>
  <c r="AT211"/>
  <c r="BB211" s="1"/>
  <c r="AE228"/>
  <c r="AF228" s="1"/>
  <c r="AR228" s="1"/>
  <c r="AE144"/>
  <c r="AS155"/>
  <c r="AS162"/>
  <c r="T178"/>
  <c r="AM178"/>
  <c r="AM143" s="1"/>
  <c r="U201"/>
  <c r="U179" s="1"/>
  <c r="AN186"/>
  <c r="AS186" s="1"/>
  <c r="AQ187"/>
  <c r="AT192"/>
  <c r="Y222"/>
  <c r="Y202" s="1"/>
  <c r="AQ208"/>
  <c r="AT208" s="1"/>
  <c r="BB208" s="1"/>
  <c r="AS203"/>
  <c r="AS215"/>
  <c r="AS217"/>
  <c r="AS231"/>
  <c r="L236"/>
  <c r="AS238"/>
  <c r="AT238" s="1"/>
  <c r="BB238" s="1"/>
  <c r="AQ206"/>
  <c r="AQ220"/>
  <c r="AQ227"/>
  <c r="AQ234"/>
  <c r="AQ241"/>
  <c r="AB242"/>
  <c r="AN195"/>
  <c r="AS195" s="1"/>
  <c r="AN204"/>
  <c r="AS204" s="1"/>
  <c r="AN218"/>
  <c r="AS218" s="1"/>
  <c r="AT218" s="1"/>
  <c r="BB218" s="1"/>
  <c r="AM222"/>
  <c r="AM202" s="1"/>
  <c r="AN225"/>
  <c r="AN239"/>
  <c r="AS239" s="1"/>
  <c r="AQ186"/>
  <c r="AQ195"/>
  <c r="AQ204"/>
  <c r="AQ225"/>
  <c r="AM236"/>
  <c r="AM224" s="1"/>
  <c r="AM223" s="1"/>
  <c r="AQ239"/>
  <c r="AN191"/>
  <c r="AN193"/>
  <c r="AS193" s="1"/>
  <c r="AQ209"/>
  <c r="AT209" s="1"/>
  <c r="BB209" s="1"/>
  <c r="AQ230"/>
  <c r="AT230" s="1"/>
  <c r="AN237"/>
  <c r="AS225"/>
  <c r="AQ207"/>
  <c r="AT207" s="1"/>
  <c r="BB207" s="1"/>
  <c r="AQ221"/>
  <c r="AT221" s="1"/>
  <c r="BB221" s="1"/>
  <c r="AB222"/>
  <c r="AB202" s="1"/>
  <c r="AQ228"/>
  <c r="AT228" s="1"/>
  <c r="BB228" s="1"/>
  <c r="L242"/>
  <c r="AF203"/>
  <c r="AN205"/>
  <c r="AN219"/>
  <c r="AS219" s="1"/>
  <c r="AN226"/>
  <c r="AN233"/>
  <c r="AN236" s="1"/>
  <c r="M235"/>
  <c r="M236" s="1"/>
  <c r="AB236"/>
  <c r="AB224" s="1"/>
  <c r="AB223" s="1"/>
  <c r="AN240"/>
  <c r="AS240" s="1"/>
  <c r="AQ205"/>
  <c r="AQ219"/>
  <c r="AQ226"/>
  <c r="AQ233"/>
  <c r="AQ240"/>
  <c r="AF16" i="16"/>
  <c r="AE17"/>
  <c r="R6"/>
  <c r="R5" s="1"/>
  <c r="AT48"/>
  <c r="BB48" s="1"/>
  <c r="S6"/>
  <c r="S5" s="1"/>
  <c r="AT34"/>
  <c r="BB34" s="1"/>
  <c r="AT46"/>
  <c r="BB46" s="1"/>
  <c r="AS7"/>
  <c r="AE7"/>
  <c r="AN16"/>
  <c r="AN17" s="1"/>
  <c r="M18"/>
  <c r="M25" s="1"/>
  <c r="AQ22"/>
  <c r="AN23"/>
  <c r="AS23" s="1"/>
  <c r="AE26"/>
  <c r="AB30"/>
  <c r="T79"/>
  <c r="T40" s="1"/>
  <c r="T31" s="1"/>
  <c r="U79"/>
  <c r="AE61"/>
  <c r="AF61" s="1"/>
  <c r="AR61" s="1"/>
  <c r="AN68"/>
  <c r="AS68" s="1"/>
  <c r="AN9"/>
  <c r="AN15" s="1"/>
  <c r="M11"/>
  <c r="M15" s="1"/>
  <c r="AB17"/>
  <c r="AQ23"/>
  <c r="AE28"/>
  <c r="AF28" s="1"/>
  <c r="AR28" s="1"/>
  <c r="AT28" s="1"/>
  <c r="BB28" s="1"/>
  <c r="AE44"/>
  <c r="AF44" s="1"/>
  <c r="AR44" s="1"/>
  <c r="AQ55"/>
  <c r="AT55" s="1"/>
  <c r="BB55" s="1"/>
  <c r="AQ57"/>
  <c r="AQ58"/>
  <c r="AT58" s="1"/>
  <c r="BB58" s="1"/>
  <c r="AE62"/>
  <c r="AF62" s="1"/>
  <c r="AR62" s="1"/>
  <c r="M124"/>
  <c r="AQ124" s="1"/>
  <c r="AQ9"/>
  <c r="Y15"/>
  <c r="Y6" s="1"/>
  <c r="Y5" s="1"/>
  <c r="AM30"/>
  <c r="AN26"/>
  <c r="AN30" s="1"/>
  <c r="AE33"/>
  <c r="AS41"/>
  <c r="AE49"/>
  <c r="AF49" s="1"/>
  <c r="AR49" s="1"/>
  <c r="AE50"/>
  <c r="AF50" s="1"/>
  <c r="AR50" s="1"/>
  <c r="S59"/>
  <c r="S40" s="1"/>
  <c r="Y79"/>
  <c r="AQ14"/>
  <c r="AT14" s="1"/>
  <c r="BB14" s="1"/>
  <c r="T25"/>
  <c r="T6" s="1"/>
  <c r="T5" s="1"/>
  <c r="AE20"/>
  <c r="AF20" s="1"/>
  <c r="AR20" s="1"/>
  <c r="AN24"/>
  <c r="AS24" s="1"/>
  <c r="AQ26"/>
  <c r="AE29"/>
  <c r="AF29" s="1"/>
  <c r="AR29" s="1"/>
  <c r="AY31"/>
  <c r="L59"/>
  <c r="AT42"/>
  <c r="BB42" s="1"/>
  <c r="AN44"/>
  <c r="AS44" s="1"/>
  <c r="AT54"/>
  <c r="BB54" s="1"/>
  <c r="AT56"/>
  <c r="BB56" s="1"/>
  <c r="AN67"/>
  <c r="AS67" s="1"/>
  <c r="AE75"/>
  <c r="AF75" s="1"/>
  <c r="AR75" s="1"/>
  <c r="AT75" s="1"/>
  <c r="BB75" s="1"/>
  <c r="AN12"/>
  <c r="AS12" s="1"/>
  <c r="AQ27"/>
  <c r="AT27" s="1"/>
  <c r="BB27" s="1"/>
  <c r="AN33"/>
  <c r="M59"/>
  <c r="AQ51"/>
  <c r="AT51" s="1"/>
  <c r="BB51" s="1"/>
  <c r="AT53"/>
  <c r="BB53" s="1"/>
  <c r="AF60"/>
  <c r="L91"/>
  <c r="L80" s="1"/>
  <c r="AE85"/>
  <c r="AF85" s="1"/>
  <c r="AR85" s="1"/>
  <c r="AT85" s="1"/>
  <c r="BB85" s="1"/>
  <c r="AE87"/>
  <c r="AF87" s="1"/>
  <c r="AR87" s="1"/>
  <c r="AF104"/>
  <c r="AR104" s="1"/>
  <c r="AS20"/>
  <c r="AQ24"/>
  <c r="L30"/>
  <c r="L6" s="1"/>
  <c r="L5" s="1"/>
  <c r="R59"/>
  <c r="AQ45"/>
  <c r="AT45" s="1"/>
  <c r="BB45" s="1"/>
  <c r="AN49"/>
  <c r="AS49" s="1"/>
  <c r="AM79"/>
  <c r="AN60"/>
  <c r="AQ62"/>
  <c r="AQ64"/>
  <c r="AQ65"/>
  <c r="AT65" s="1"/>
  <c r="BB65" s="1"/>
  <c r="AE71"/>
  <c r="AF71" s="1"/>
  <c r="AR71" s="1"/>
  <c r="AE72"/>
  <c r="AF72" s="1"/>
  <c r="AR72" s="1"/>
  <c r="M81"/>
  <c r="M91" s="1"/>
  <c r="M80" s="1"/>
  <c r="U101"/>
  <c r="AE94"/>
  <c r="AB25"/>
  <c r="AB6" s="1"/>
  <c r="AB5" s="1"/>
  <c r="AM25"/>
  <c r="AM6" s="1"/>
  <c r="AM5" s="1"/>
  <c r="AT77"/>
  <c r="BB77" s="1"/>
  <c r="AE18"/>
  <c r="AS29"/>
  <c r="M39"/>
  <c r="M32" s="1"/>
  <c r="AS35"/>
  <c r="AT35" s="1"/>
  <c r="BB35" s="1"/>
  <c r="AN35"/>
  <c r="AZ31"/>
  <c r="AQ47"/>
  <c r="AE57"/>
  <c r="AF57" s="1"/>
  <c r="AR57" s="1"/>
  <c r="AT74"/>
  <c r="BB74" s="1"/>
  <c r="S91"/>
  <c r="S80" s="1"/>
  <c r="AE83"/>
  <c r="AF83" s="1"/>
  <c r="AR83" s="1"/>
  <c r="AB136"/>
  <c r="AE114"/>
  <c r="AE38"/>
  <c r="AF38" s="1"/>
  <c r="AR38" s="1"/>
  <c r="AT38" s="1"/>
  <c r="BB38" s="1"/>
  <c r="U59"/>
  <c r="U40" s="1"/>
  <c r="U31" s="1"/>
  <c r="AE69"/>
  <c r="AF69" s="1"/>
  <c r="AR69" s="1"/>
  <c r="AT69" s="1"/>
  <c r="BB69" s="1"/>
  <c r="AQ86"/>
  <c r="AT86" s="1"/>
  <c r="BB86" s="1"/>
  <c r="S39"/>
  <c r="S32" s="1"/>
  <c r="Y59"/>
  <c r="Y40" s="1"/>
  <c r="Y31" s="1"/>
  <c r="AE55"/>
  <c r="AF55" s="1"/>
  <c r="AR55" s="1"/>
  <c r="AN25"/>
  <c r="AQ21"/>
  <c r="AT21" s="1"/>
  <c r="BB21" s="1"/>
  <c r="AS22"/>
  <c r="AQ37"/>
  <c r="AT37" s="1"/>
  <c r="BB37" s="1"/>
  <c r="AN38"/>
  <c r="AS38"/>
  <c r="AL31"/>
  <c r="AE41"/>
  <c r="AE43"/>
  <c r="AF43" s="1"/>
  <c r="AR43" s="1"/>
  <c r="AT43" s="1"/>
  <c r="BB43" s="1"/>
  <c r="R79"/>
  <c r="AQ70"/>
  <c r="AT70" s="1"/>
  <c r="BB70" s="1"/>
  <c r="Y91"/>
  <c r="Y80" s="1"/>
  <c r="AN84"/>
  <c r="AT107"/>
  <c r="BB107" s="1"/>
  <c r="AE95"/>
  <c r="AF95" s="1"/>
  <c r="AR95" s="1"/>
  <c r="AE105"/>
  <c r="AF105" s="1"/>
  <c r="AR105" s="1"/>
  <c r="AE126"/>
  <c r="AF126" s="1"/>
  <c r="AR126" s="1"/>
  <c r="AS50"/>
  <c r="AS69"/>
  <c r="L79"/>
  <c r="AS81"/>
  <c r="AB101"/>
  <c r="AE96"/>
  <c r="AF96" s="1"/>
  <c r="AR96" s="1"/>
  <c r="Y113"/>
  <c r="AN108"/>
  <c r="AS108" s="1"/>
  <c r="AT108" s="1"/>
  <c r="BB108" s="1"/>
  <c r="AN111"/>
  <c r="AS111" s="1"/>
  <c r="AN122"/>
  <c r="AS122" s="1"/>
  <c r="AN129"/>
  <c r="AS129" s="1"/>
  <c r="R168"/>
  <c r="AT150"/>
  <c r="BB150" s="1"/>
  <c r="AT157"/>
  <c r="BB157" s="1"/>
  <c r="AT175"/>
  <c r="BB175" s="1"/>
  <c r="AQ41"/>
  <c r="AS95"/>
  <c r="AN96"/>
  <c r="AS96" s="1"/>
  <c r="AN99"/>
  <c r="AS99" s="1"/>
  <c r="AB113"/>
  <c r="AE102"/>
  <c r="L113"/>
  <c r="L93" s="1"/>
  <c r="AS141"/>
  <c r="AE147"/>
  <c r="AF147" s="1"/>
  <c r="AR147" s="1"/>
  <c r="AS148"/>
  <c r="AS164"/>
  <c r="AN174"/>
  <c r="AS174" s="1"/>
  <c r="M208"/>
  <c r="AQ208" s="1"/>
  <c r="L222"/>
  <c r="L202" s="1"/>
  <c r="AM236"/>
  <c r="AN234"/>
  <c r="AS234" s="1"/>
  <c r="AQ89"/>
  <c r="AT89" s="1"/>
  <c r="BB89" s="1"/>
  <c r="AM101"/>
  <c r="L139"/>
  <c r="AE140"/>
  <c r="AT166"/>
  <c r="AN87"/>
  <c r="AS87" s="1"/>
  <c r="AM91"/>
  <c r="AM80" s="1"/>
  <c r="AN94"/>
  <c r="Y101"/>
  <c r="AN105"/>
  <c r="AS106"/>
  <c r="AF132"/>
  <c r="AR132" s="1"/>
  <c r="M138"/>
  <c r="AQ138" s="1"/>
  <c r="AN155"/>
  <c r="AS155" s="1"/>
  <c r="Y178"/>
  <c r="Y143" s="1"/>
  <c r="AQ97"/>
  <c r="AT97" s="1"/>
  <c r="BB97" s="1"/>
  <c r="AB178"/>
  <c r="AE169"/>
  <c r="AQ49"/>
  <c r="AQ68"/>
  <c r="R136"/>
  <c r="R93" s="1"/>
  <c r="AB168"/>
  <c r="AE161"/>
  <c r="AF161" s="1"/>
  <c r="AR161" s="1"/>
  <c r="AN47"/>
  <c r="AS47" s="1"/>
  <c r="AN66"/>
  <c r="AS66" s="1"/>
  <c r="AT66" s="1"/>
  <c r="BB66" s="1"/>
  <c r="AN78"/>
  <c r="AS78" s="1"/>
  <c r="AE81"/>
  <c r="AN90"/>
  <c r="AS90" s="1"/>
  <c r="M101"/>
  <c r="AE98"/>
  <c r="AF98" s="1"/>
  <c r="AR98" s="1"/>
  <c r="AT98" s="1"/>
  <c r="BB98" s="1"/>
  <c r="AQ102"/>
  <c r="AQ103"/>
  <c r="AE112"/>
  <c r="AF112" s="1"/>
  <c r="AR112" s="1"/>
  <c r="S136"/>
  <c r="AQ119"/>
  <c r="AT119" s="1"/>
  <c r="BB119" s="1"/>
  <c r="AC92"/>
  <c r="AE144"/>
  <c r="S201"/>
  <c r="S179" s="1"/>
  <c r="AB79"/>
  <c r="AB40" s="1"/>
  <c r="AB31" s="1"/>
  <c r="M113"/>
  <c r="AQ105"/>
  <c r="T136"/>
  <c r="AS131"/>
  <c r="T201"/>
  <c r="T179" s="1"/>
  <c r="AQ52"/>
  <c r="AT52" s="1"/>
  <c r="BB52" s="1"/>
  <c r="AQ71"/>
  <c r="AQ83"/>
  <c r="AQ117"/>
  <c r="AT117" s="1"/>
  <c r="BB117" s="1"/>
  <c r="AN177"/>
  <c r="AS177" s="1"/>
  <c r="T101"/>
  <c r="T93" s="1"/>
  <c r="S113"/>
  <c r="Y136"/>
  <c r="AF121"/>
  <c r="AR121" s="1"/>
  <c r="AF137"/>
  <c r="AQ106"/>
  <c r="AS115"/>
  <c r="AQ122"/>
  <c r="AS124"/>
  <c r="AQ131"/>
  <c r="AS133"/>
  <c r="AT133" s="1"/>
  <c r="BB133" s="1"/>
  <c r="AQ141"/>
  <c r="AQ148"/>
  <c r="AQ164"/>
  <c r="AE171"/>
  <c r="AF171" s="1"/>
  <c r="AR171" s="1"/>
  <c r="U201"/>
  <c r="U179" s="1"/>
  <c r="AE200"/>
  <c r="AF200" s="1"/>
  <c r="AR200" s="1"/>
  <c r="AT200" s="1"/>
  <c r="AN206"/>
  <c r="AS206" s="1"/>
  <c r="L136"/>
  <c r="AN146"/>
  <c r="AS146" s="1"/>
  <c r="AS168" s="1"/>
  <c r="AS143" s="1"/>
  <c r="AQ155"/>
  <c r="AN165"/>
  <c r="AS165" s="1"/>
  <c r="AT165" s="1"/>
  <c r="BB165" s="1"/>
  <c r="AN172"/>
  <c r="AS172" s="1"/>
  <c r="Y201"/>
  <c r="Y179" s="1"/>
  <c r="AE185"/>
  <c r="AF185" s="1"/>
  <c r="AR185" s="1"/>
  <c r="AN186"/>
  <c r="AS186" s="1"/>
  <c r="AE221"/>
  <c r="AF221" s="1"/>
  <c r="AR221" s="1"/>
  <c r="M232"/>
  <c r="AM113"/>
  <c r="AQ120"/>
  <c r="AT120" s="1"/>
  <c r="BB120" s="1"/>
  <c r="AQ127"/>
  <c r="AT127" s="1"/>
  <c r="AM168"/>
  <c r="AQ146"/>
  <c r="AQ160"/>
  <c r="AT160" s="1"/>
  <c r="BB160" s="1"/>
  <c r="AE167"/>
  <c r="AF167" s="1"/>
  <c r="AR167" s="1"/>
  <c r="AN171"/>
  <c r="AS171" s="1"/>
  <c r="AQ172"/>
  <c r="AB201"/>
  <c r="AB179" s="1"/>
  <c r="AE180"/>
  <c r="AE181"/>
  <c r="AF181" s="1"/>
  <c r="AR181" s="1"/>
  <c r="AN185"/>
  <c r="AS185"/>
  <c r="AQ186"/>
  <c r="AQ188"/>
  <c r="AT190"/>
  <c r="BB190" s="1"/>
  <c r="AN114"/>
  <c r="AN116"/>
  <c r="AS116" s="1"/>
  <c r="AT116" s="1"/>
  <c r="AN118"/>
  <c r="AS118" s="1"/>
  <c r="AN144"/>
  <c r="AN151"/>
  <c r="AS151" s="1"/>
  <c r="M153"/>
  <c r="AQ153" s="1"/>
  <c r="AT153" s="1"/>
  <c r="BB153" s="1"/>
  <c r="AN158"/>
  <c r="AS158" s="1"/>
  <c r="AT158" s="1"/>
  <c r="BB158" s="1"/>
  <c r="AS169"/>
  <c r="AE196"/>
  <c r="AF196" s="1"/>
  <c r="AR196" s="1"/>
  <c r="S232"/>
  <c r="S224" s="1"/>
  <c r="S223" s="1"/>
  <c r="AN227"/>
  <c r="AS227" s="1"/>
  <c r="AE237"/>
  <c r="Y242"/>
  <c r="AM136"/>
  <c r="AQ144"/>
  <c r="L178"/>
  <c r="L143" s="1"/>
  <c r="AS184"/>
  <c r="AN184"/>
  <c r="AM201"/>
  <c r="AM179" s="1"/>
  <c r="AQ192"/>
  <c r="AT192" s="1"/>
  <c r="T222"/>
  <c r="T202" s="1"/>
  <c r="AE226"/>
  <c r="AF226" s="1"/>
  <c r="AR226" s="1"/>
  <c r="AT228"/>
  <c r="BB228" s="1"/>
  <c r="AQ123"/>
  <c r="AQ132"/>
  <c r="U222"/>
  <c r="U202" s="1"/>
  <c r="AN220"/>
  <c r="AS220" s="1"/>
  <c r="U224"/>
  <c r="U223" s="1"/>
  <c r="AQ100"/>
  <c r="AT100" s="1"/>
  <c r="BB100" s="1"/>
  <c r="AQ112"/>
  <c r="AF115"/>
  <c r="AR115" s="1"/>
  <c r="AT115" s="1"/>
  <c r="BB115" s="1"/>
  <c r="AN121"/>
  <c r="AS121" s="1"/>
  <c r="AN130"/>
  <c r="AS130" s="1"/>
  <c r="AN140"/>
  <c r="AN142" s="1"/>
  <c r="S168"/>
  <c r="S143" s="1"/>
  <c r="AS144"/>
  <c r="AN147"/>
  <c r="AS147" s="1"/>
  <c r="AN149"/>
  <c r="AS149" s="1"/>
  <c r="AS161"/>
  <c r="R178"/>
  <c r="AQ185"/>
  <c r="AT198"/>
  <c r="BB198" s="1"/>
  <c r="AF203"/>
  <c r="R222"/>
  <c r="R202" s="1"/>
  <c r="AE219"/>
  <c r="AF219" s="1"/>
  <c r="AR219" s="1"/>
  <c r="Y224"/>
  <c r="Y223" s="1"/>
  <c r="AE235"/>
  <c r="AF235" s="1"/>
  <c r="AR235" s="1"/>
  <c r="AT235" s="1"/>
  <c r="BB235" s="1"/>
  <c r="AQ238"/>
  <c r="M130"/>
  <c r="AQ130" s="1"/>
  <c r="AQ167"/>
  <c r="AT167" s="1"/>
  <c r="BB167" s="1"/>
  <c r="M181"/>
  <c r="AQ181" s="1"/>
  <c r="AQ182"/>
  <c r="AQ183"/>
  <c r="AT183" s="1"/>
  <c r="BB183" s="1"/>
  <c r="AB222"/>
  <c r="AB202" s="1"/>
  <c r="AE212"/>
  <c r="AF212" s="1"/>
  <c r="AR212" s="1"/>
  <c r="AT212" s="1"/>
  <c r="BB212" s="1"/>
  <c r="AQ231"/>
  <c r="AN241"/>
  <c r="AS241" s="1"/>
  <c r="AQ126"/>
  <c r="AT126" s="1"/>
  <c r="AQ128"/>
  <c r="AT128" s="1"/>
  <c r="BB128" s="1"/>
  <c r="AQ135"/>
  <c r="AM142"/>
  <c r="U168"/>
  <c r="U143" s="1"/>
  <c r="AQ154"/>
  <c r="AE164"/>
  <c r="AF164" s="1"/>
  <c r="AR164" s="1"/>
  <c r="M180"/>
  <c r="L201"/>
  <c r="L179" s="1"/>
  <c r="AF225"/>
  <c r="AQ162"/>
  <c r="AT162" s="1"/>
  <c r="BB162" s="1"/>
  <c r="T178"/>
  <c r="T143" s="1"/>
  <c r="AE174"/>
  <c r="AF174" s="1"/>
  <c r="AR174" s="1"/>
  <c r="R201"/>
  <c r="R179" s="1"/>
  <c r="AF187"/>
  <c r="AR187" s="1"/>
  <c r="AT187" s="1"/>
  <c r="BB187" s="1"/>
  <c r="AF188"/>
  <c r="AR188" s="1"/>
  <c r="AQ215"/>
  <c r="AM232"/>
  <c r="AM224" s="1"/>
  <c r="AM223" s="1"/>
  <c r="AQ229"/>
  <c r="AT229" s="1"/>
  <c r="BB229" s="1"/>
  <c r="U236"/>
  <c r="AQ169"/>
  <c r="AS194"/>
  <c r="AS203"/>
  <c r="AS215"/>
  <c r="AS217"/>
  <c r="AS231"/>
  <c r="L236"/>
  <c r="AS238"/>
  <c r="AQ206"/>
  <c r="AQ220"/>
  <c r="AQ227"/>
  <c r="AQ234"/>
  <c r="AQ241"/>
  <c r="AB242"/>
  <c r="AB224" s="1"/>
  <c r="AB223" s="1"/>
  <c r="M188"/>
  <c r="AN195"/>
  <c r="AS195" s="1"/>
  <c r="AS201" s="1"/>
  <c r="AS179" s="1"/>
  <c r="AN204"/>
  <c r="AN218"/>
  <c r="AS218" s="1"/>
  <c r="AM222"/>
  <c r="AM202" s="1"/>
  <c r="AN225"/>
  <c r="AN239"/>
  <c r="AS239" s="1"/>
  <c r="AQ195"/>
  <c r="AQ204"/>
  <c r="AQ218"/>
  <c r="AQ225"/>
  <c r="L232"/>
  <c r="AQ239"/>
  <c r="AN191"/>
  <c r="AN193"/>
  <c r="AS193" s="1"/>
  <c r="AQ209"/>
  <c r="AT209" s="1"/>
  <c r="BB209" s="1"/>
  <c r="AN214"/>
  <c r="AS214" s="1"/>
  <c r="AS222" s="1"/>
  <c r="AS202" s="1"/>
  <c r="AN216"/>
  <c r="AS216" s="1"/>
  <c r="AT216" s="1"/>
  <c r="BB216" s="1"/>
  <c r="AQ230"/>
  <c r="AT230" s="1"/>
  <c r="AE233"/>
  <c r="AN236"/>
  <c r="AN237"/>
  <c r="AQ163"/>
  <c r="AT163" s="1"/>
  <c r="BB163" s="1"/>
  <c r="AQ170"/>
  <c r="AQ177"/>
  <c r="AQ184"/>
  <c r="AQ191"/>
  <c r="Y222"/>
  <c r="Y202" s="1"/>
  <c r="AS225"/>
  <c r="M237"/>
  <c r="M242" s="1"/>
  <c r="AS237"/>
  <c r="AQ196"/>
  <c r="AQ205"/>
  <c r="AT205" s="1"/>
  <c r="AQ219"/>
  <c r="AQ226"/>
  <c r="AQ233"/>
  <c r="AQ240"/>
  <c r="AT240" s="1"/>
  <c r="BB240" s="1"/>
  <c r="AQ210"/>
  <c r="AT210" s="1"/>
  <c r="BB210" s="1"/>
  <c r="AS7" i="15"/>
  <c r="AT12"/>
  <c r="BB12" s="1"/>
  <c r="AT27"/>
  <c r="BB27" s="1"/>
  <c r="M15"/>
  <c r="AT52"/>
  <c r="BB52" s="1"/>
  <c r="AF7"/>
  <c r="AT35"/>
  <c r="BB35" s="1"/>
  <c r="AS12"/>
  <c r="AE18"/>
  <c r="M20"/>
  <c r="AQ20" s="1"/>
  <c r="AQ22"/>
  <c r="AT22" s="1"/>
  <c r="BB22" s="1"/>
  <c r="AE24"/>
  <c r="AF24" s="1"/>
  <c r="AR24" s="1"/>
  <c r="Y30"/>
  <c r="Y6" s="1"/>
  <c r="Y5" s="1"/>
  <c r="AE38"/>
  <c r="AF38" s="1"/>
  <c r="AR38" s="1"/>
  <c r="AT38" s="1"/>
  <c r="BB38" s="1"/>
  <c r="M59"/>
  <c r="AQ43"/>
  <c r="AN44"/>
  <c r="AS44" s="1"/>
  <c r="M51"/>
  <c r="AQ51" s="1"/>
  <c r="AT51" s="1"/>
  <c r="BB51" s="1"/>
  <c r="AE58"/>
  <c r="AF58" s="1"/>
  <c r="AR58" s="1"/>
  <c r="AM79"/>
  <c r="AN60"/>
  <c r="AE61"/>
  <c r="AF61" s="1"/>
  <c r="AR61" s="1"/>
  <c r="AQ63"/>
  <c r="AS64"/>
  <c r="R91"/>
  <c r="R80" s="1"/>
  <c r="AE26"/>
  <c r="AB30"/>
  <c r="AB6" s="1"/>
  <c r="AB5" s="1"/>
  <c r="AK31"/>
  <c r="AT45"/>
  <c r="BB45" s="1"/>
  <c r="AF60"/>
  <c r="AQ8"/>
  <c r="AT8" s="1"/>
  <c r="BB8" s="1"/>
  <c r="AN13"/>
  <c r="AN15" s="1"/>
  <c r="AE16"/>
  <c r="AM25"/>
  <c r="AT37"/>
  <c r="BB37" s="1"/>
  <c r="AE48"/>
  <c r="AF48" s="1"/>
  <c r="AR48" s="1"/>
  <c r="AN61"/>
  <c r="AS61" s="1"/>
  <c r="T91"/>
  <c r="T80" s="1"/>
  <c r="AN43"/>
  <c r="AS75"/>
  <c r="AE9"/>
  <c r="AF9" s="1"/>
  <c r="AR9" s="1"/>
  <c r="AQ13"/>
  <c r="AN18"/>
  <c r="AS23"/>
  <c r="AT23" s="1"/>
  <c r="BB23" s="1"/>
  <c r="AS30"/>
  <c r="BJ11" i="18" s="1"/>
  <c r="U39" i="15"/>
  <c r="U32" s="1"/>
  <c r="AS53"/>
  <c r="AN56"/>
  <c r="AS56" s="1"/>
  <c r="AE68"/>
  <c r="AF68" s="1"/>
  <c r="AR68" s="1"/>
  <c r="AE72"/>
  <c r="AF72" s="1"/>
  <c r="AR72" s="1"/>
  <c r="AM15"/>
  <c r="AQ18"/>
  <c r="AN30"/>
  <c r="AL31"/>
  <c r="U59"/>
  <c r="U40" s="1"/>
  <c r="AQ47"/>
  <c r="AQ53"/>
  <c r="AS54"/>
  <c r="AN55"/>
  <c r="AS55" s="1"/>
  <c r="AQ56"/>
  <c r="AQ57"/>
  <c r="AQ58"/>
  <c r="M79"/>
  <c r="AQ61"/>
  <c r="AE69"/>
  <c r="AF69" s="1"/>
  <c r="AR69" s="1"/>
  <c r="AT69" s="1"/>
  <c r="BB69" s="1"/>
  <c r="AT119"/>
  <c r="BB119" s="1"/>
  <c r="AQ11"/>
  <c r="AT11" s="1"/>
  <c r="BB11" s="1"/>
  <c r="AS18"/>
  <c r="AU31"/>
  <c r="AB39"/>
  <c r="AB32" s="1"/>
  <c r="AE34"/>
  <c r="AF34" s="1"/>
  <c r="AR34" s="1"/>
  <c r="AT34" s="1"/>
  <c r="BB34" s="1"/>
  <c r="Y59"/>
  <c r="Y40" s="1"/>
  <c r="Y31" s="1"/>
  <c r="AS47"/>
  <c r="AE50"/>
  <c r="AF50" s="1"/>
  <c r="AR50" s="1"/>
  <c r="AQ55"/>
  <c r="AS57"/>
  <c r="AM59"/>
  <c r="R79"/>
  <c r="R40" s="1"/>
  <c r="R31" s="1"/>
  <c r="AE77"/>
  <c r="AF77" s="1"/>
  <c r="AR77" s="1"/>
  <c r="AN78"/>
  <c r="AS78"/>
  <c r="AT78" s="1"/>
  <c r="BB78" s="1"/>
  <c r="AE20"/>
  <c r="AF20" s="1"/>
  <c r="AR20" s="1"/>
  <c r="L30"/>
  <c r="AE33"/>
  <c r="L39"/>
  <c r="L32" s="1"/>
  <c r="AQ54"/>
  <c r="S79"/>
  <c r="S40" s="1"/>
  <c r="S31" s="1"/>
  <c r="AE67"/>
  <c r="AF67" s="1"/>
  <c r="AR67" s="1"/>
  <c r="AN158"/>
  <c r="AS158" s="1"/>
  <c r="AQ9"/>
  <c r="S25"/>
  <c r="S6" s="1"/>
  <c r="S5" s="1"/>
  <c r="AM39"/>
  <c r="AM32" s="1"/>
  <c r="AN33"/>
  <c r="AN39" s="1"/>
  <c r="AN32" s="1"/>
  <c r="AE41"/>
  <c r="AT49"/>
  <c r="BB49" s="1"/>
  <c r="L59"/>
  <c r="T79"/>
  <c r="T40" s="1"/>
  <c r="AT68"/>
  <c r="BB68" s="1"/>
  <c r="AQ73"/>
  <c r="AT73" s="1"/>
  <c r="BB73" s="1"/>
  <c r="AS42"/>
  <c r="AT42" s="1"/>
  <c r="BB42" s="1"/>
  <c r="AQ14"/>
  <c r="AT14" s="1"/>
  <c r="BB14" s="1"/>
  <c r="L25"/>
  <c r="AQ33"/>
  <c r="M89"/>
  <c r="AQ89" s="1"/>
  <c r="AT89" s="1"/>
  <c r="BB89" s="1"/>
  <c r="M117"/>
  <c r="AQ117"/>
  <c r="AQ7"/>
  <c r="U25"/>
  <c r="U6" s="1"/>
  <c r="U5" s="1"/>
  <c r="AN20"/>
  <c r="AS20" s="1"/>
  <c r="AS33"/>
  <c r="AS39" s="1"/>
  <c r="AS32" s="1"/>
  <c r="AE36"/>
  <c r="AF36" s="1"/>
  <c r="AR36" s="1"/>
  <c r="AT36" s="1"/>
  <c r="BB36" s="1"/>
  <c r="AE37"/>
  <c r="AF37" s="1"/>
  <c r="AR37" s="1"/>
  <c r="Y79"/>
  <c r="AN66"/>
  <c r="AS66" s="1"/>
  <c r="AT71"/>
  <c r="BB71" s="1"/>
  <c r="M91"/>
  <c r="M80" s="1"/>
  <c r="AQ21"/>
  <c r="T30"/>
  <c r="T6" s="1"/>
  <c r="T5" s="1"/>
  <c r="AS41"/>
  <c r="AB59"/>
  <c r="AB40" s="1"/>
  <c r="AE44"/>
  <c r="AF44" s="1"/>
  <c r="AR44" s="1"/>
  <c r="AE46"/>
  <c r="AF46" s="1"/>
  <c r="AR46" s="1"/>
  <c r="AT46" s="1"/>
  <c r="BB46" s="1"/>
  <c r="AQ50"/>
  <c r="AE63"/>
  <c r="AF63" s="1"/>
  <c r="AR63" s="1"/>
  <c r="AQ66"/>
  <c r="AE75"/>
  <c r="AF75" s="1"/>
  <c r="AR75" s="1"/>
  <c r="AN76"/>
  <c r="AS76" s="1"/>
  <c r="AQ83"/>
  <c r="AS83"/>
  <c r="AQ96"/>
  <c r="AT96" s="1"/>
  <c r="BB96" s="1"/>
  <c r="T113"/>
  <c r="AQ108"/>
  <c r="AT108" s="1"/>
  <c r="BB108" s="1"/>
  <c r="AN111"/>
  <c r="AS111" s="1"/>
  <c r="AQ112"/>
  <c r="AT112" s="1"/>
  <c r="BB112" s="1"/>
  <c r="R136"/>
  <c r="L168"/>
  <c r="AQ64"/>
  <c r="AT64" s="1"/>
  <c r="BB64" s="1"/>
  <c r="AQ76"/>
  <c r="T136"/>
  <c r="M153"/>
  <c r="AQ153" s="1"/>
  <c r="AT153" s="1"/>
  <c r="BB153" s="1"/>
  <c r="AQ26"/>
  <c r="AN62"/>
  <c r="AS62" s="1"/>
  <c r="AT62" s="1"/>
  <c r="BB62" s="1"/>
  <c r="AN74"/>
  <c r="AS74" s="1"/>
  <c r="L91"/>
  <c r="L80" s="1"/>
  <c r="AQ81"/>
  <c r="AM91"/>
  <c r="AM80" s="1"/>
  <c r="Y113"/>
  <c r="AQ110"/>
  <c r="AT110" s="1"/>
  <c r="BB110" s="1"/>
  <c r="AQ111"/>
  <c r="AQ146"/>
  <c r="AN151"/>
  <c r="AS151" s="1"/>
  <c r="AT151" s="1"/>
  <c r="BB151" s="1"/>
  <c r="AN166"/>
  <c r="AS166" s="1"/>
  <c r="AQ74"/>
  <c r="AQ84"/>
  <c r="AT84" s="1"/>
  <c r="BB84" s="1"/>
  <c r="AE86"/>
  <c r="AF86" s="1"/>
  <c r="AR86" s="1"/>
  <c r="AE87"/>
  <c r="AF87" s="1"/>
  <c r="AR87" s="1"/>
  <c r="AT87" s="1"/>
  <c r="BB87" s="1"/>
  <c r="T101"/>
  <c r="L113"/>
  <c r="AN72"/>
  <c r="AS72" s="1"/>
  <c r="AT72" s="1"/>
  <c r="BB72" s="1"/>
  <c r="L79"/>
  <c r="AN85"/>
  <c r="AS85" s="1"/>
  <c r="U101"/>
  <c r="AS98"/>
  <c r="AE102"/>
  <c r="Y136"/>
  <c r="Y93" s="1"/>
  <c r="AC93"/>
  <c r="AF121"/>
  <c r="AR121" s="1"/>
  <c r="AT121" s="1"/>
  <c r="BB121" s="1"/>
  <c r="AQ85"/>
  <c r="AE88"/>
  <c r="AF88" s="1"/>
  <c r="AR88" s="1"/>
  <c r="AE94"/>
  <c r="AQ98"/>
  <c r="AS99"/>
  <c r="AE114"/>
  <c r="AB136"/>
  <c r="AB93" s="1"/>
  <c r="AE117"/>
  <c r="AF117" s="1"/>
  <c r="AR117" s="1"/>
  <c r="AE118"/>
  <c r="AF118" s="1"/>
  <c r="AR118" s="1"/>
  <c r="AE120"/>
  <c r="AF120" s="1"/>
  <c r="AR120" s="1"/>
  <c r="AT120" s="1"/>
  <c r="BB120" s="1"/>
  <c r="AQ129"/>
  <c r="M161"/>
  <c r="AQ65"/>
  <c r="AT65" s="1"/>
  <c r="BB65" s="1"/>
  <c r="AQ77"/>
  <c r="AM136"/>
  <c r="AM93" s="1"/>
  <c r="AN114"/>
  <c r="AN227"/>
  <c r="AS227" s="1"/>
  <c r="AN63"/>
  <c r="AS63" s="1"/>
  <c r="AN75"/>
  <c r="U91"/>
  <c r="U80" s="1"/>
  <c r="AE95"/>
  <c r="AF95" s="1"/>
  <c r="AR95" s="1"/>
  <c r="AQ99"/>
  <c r="AQ100"/>
  <c r="AT100" s="1"/>
  <c r="BB100" s="1"/>
  <c r="AE106"/>
  <c r="AF106" s="1"/>
  <c r="AR106" s="1"/>
  <c r="AN117"/>
  <c r="AS117" s="1"/>
  <c r="AS118"/>
  <c r="AQ123"/>
  <c r="AQ86"/>
  <c r="AQ102"/>
  <c r="AS138"/>
  <c r="AN139"/>
  <c r="AB142"/>
  <c r="AE140"/>
  <c r="AS141"/>
  <c r="AF144"/>
  <c r="AN104"/>
  <c r="AS104" s="1"/>
  <c r="AM168"/>
  <c r="AS144"/>
  <c r="AN144"/>
  <c r="AE81"/>
  <c r="AQ94"/>
  <c r="L101"/>
  <c r="L93" s="1"/>
  <c r="R113"/>
  <c r="R93" s="1"/>
  <c r="AQ104"/>
  <c r="L136"/>
  <c r="AF139"/>
  <c r="AR137"/>
  <c r="AR139" s="1"/>
  <c r="AT163"/>
  <c r="BB163" s="1"/>
  <c r="AQ90"/>
  <c r="AQ97"/>
  <c r="AT97" s="1"/>
  <c r="BB97" s="1"/>
  <c r="AQ109"/>
  <c r="AT109" s="1"/>
  <c r="BB109" s="1"/>
  <c r="AQ125"/>
  <c r="AT125" s="1"/>
  <c r="BB125" s="1"/>
  <c r="AS129"/>
  <c r="AS155"/>
  <c r="R178"/>
  <c r="AQ177"/>
  <c r="M201"/>
  <c r="M179" s="1"/>
  <c r="L222"/>
  <c r="L202" s="1"/>
  <c r="U224"/>
  <c r="U223" s="1"/>
  <c r="AE226"/>
  <c r="AF226" s="1"/>
  <c r="AR226" s="1"/>
  <c r="M236"/>
  <c r="AN88"/>
  <c r="AN91" s="1"/>
  <c r="AN80" s="1"/>
  <c r="AN95"/>
  <c r="AN101" s="1"/>
  <c r="AN107"/>
  <c r="AS107" s="1"/>
  <c r="AQ114"/>
  <c r="M116"/>
  <c r="AQ116" s="1"/>
  <c r="AS120"/>
  <c r="AN123"/>
  <c r="AS123" s="1"/>
  <c r="AS127"/>
  <c r="AQ144"/>
  <c r="AS146"/>
  <c r="AS168" s="1"/>
  <c r="AS143" s="1"/>
  <c r="AQ158"/>
  <c r="AN164"/>
  <c r="AS164" s="1"/>
  <c r="AQ165"/>
  <c r="AT165" s="1"/>
  <c r="BB165" s="1"/>
  <c r="S178"/>
  <c r="AE174"/>
  <c r="AF174" s="1"/>
  <c r="AR174" s="1"/>
  <c r="AQ217"/>
  <c r="AQ231"/>
  <c r="AQ137"/>
  <c r="R168"/>
  <c r="T178"/>
  <c r="T143" s="1"/>
  <c r="AN174"/>
  <c r="AS174" s="1"/>
  <c r="S201"/>
  <c r="S179" s="1"/>
  <c r="AQ203"/>
  <c r="AB232"/>
  <c r="AB224" s="1"/>
  <c r="AB223" s="1"/>
  <c r="AE237"/>
  <c r="Y242"/>
  <c r="Y224" s="1"/>
  <c r="Y223" s="1"/>
  <c r="S168"/>
  <c r="AQ156"/>
  <c r="AT156" s="1"/>
  <c r="BB156" s="1"/>
  <c r="U178"/>
  <c r="AE170"/>
  <c r="AF170" s="1"/>
  <c r="AR170" s="1"/>
  <c r="AT170" s="1"/>
  <c r="BB170" s="1"/>
  <c r="AE173"/>
  <c r="AF173" s="1"/>
  <c r="AR173" s="1"/>
  <c r="AQ175"/>
  <c r="M175"/>
  <c r="Y201"/>
  <c r="Y179" s="1"/>
  <c r="AE183"/>
  <c r="AF183" s="1"/>
  <c r="AR183" s="1"/>
  <c r="AT183" s="1"/>
  <c r="BB183" s="1"/>
  <c r="M222"/>
  <c r="M202" s="1"/>
  <c r="AN220"/>
  <c r="AS220" s="1"/>
  <c r="AT220" s="1"/>
  <c r="BB220" s="1"/>
  <c r="AF225"/>
  <c r="AN126"/>
  <c r="AS126" s="1"/>
  <c r="AT126" s="1"/>
  <c r="M130"/>
  <c r="AQ130" s="1"/>
  <c r="AT130" s="1"/>
  <c r="BB130" s="1"/>
  <c r="M149"/>
  <c r="AQ149" s="1"/>
  <c r="AT149" s="1"/>
  <c r="BB149" s="1"/>
  <c r="AN154"/>
  <c r="AS154" s="1"/>
  <c r="AT154" s="1"/>
  <c r="BB154" s="1"/>
  <c r="AN159"/>
  <c r="AS159" s="1"/>
  <c r="Y178"/>
  <c r="AN173"/>
  <c r="AS173" s="1"/>
  <c r="U201"/>
  <c r="U179" s="1"/>
  <c r="AT185"/>
  <c r="BB185" s="1"/>
  <c r="R222"/>
  <c r="R202" s="1"/>
  <c r="AN206"/>
  <c r="AS206" s="1"/>
  <c r="AT206" s="1"/>
  <c r="BB206" s="1"/>
  <c r="AT216"/>
  <c r="BB216" s="1"/>
  <c r="AE219"/>
  <c r="AF219" s="1"/>
  <c r="AR219" s="1"/>
  <c r="AQ229"/>
  <c r="AM242"/>
  <c r="AF141"/>
  <c r="AR141" s="1"/>
  <c r="AR142" s="1"/>
  <c r="BI26" i="18" s="1"/>
  <c r="U168" i="15"/>
  <c r="AQ159"/>
  <c r="AE169"/>
  <c r="AB178"/>
  <c r="AE181"/>
  <c r="AF181" s="1"/>
  <c r="AR181" s="1"/>
  <c r="AT181" s="1"/>
  <c r="BB181" s="1"/>
  <c r="AS182"/>
  <c r="S222"/>
  <c r="S202" s="1"/>
  <c r="AE205"/>
  <c r="AF205" s="1"/>
  <c r="AR205" s="1"/>
  <c r="AS234"/>
  <c r="AN234"/>
  <c r="AQ238"/>
  <c r="AQ138"/>
  <c r="AT138" s="1"/>
  <c r="BB138" s="1"/>
  <c r="Y168"/>
  <c r="Y143" s="1"/>
  <c r="AQ145"/>
  <c r="AT145" s="1"/>
  <c r="AQ152"/>
  <c r="AT152" s="1"/>
  <c r="BB152" s="1"/>
  <c r="AQ172"/>
  <c r="AQ184"/>
  <c r="AT184" s="1"/>
  <c r="BB184" s="1"/>
  <c r="AE236"/>
  <c r="AF233"/>
  <c r="AQ124"/>
  <c r="AT124" s="1"/>
  <c r="BB124" s="1"/>
  <c r="AQ133"/>
  <c r="AB168"/>
  <c r="AN150"/>
  <c r="AS150" s="1"/>
  <c r="AT150" s="1"/>
  <c r="BB150" s="1"/>
  <c r="AS169"/>
  <c r="AS180"/>
  <c r="AN180"/>
  <c r="AM201"/>
  <c r="AM179" s="1"/>
  <c r="AN241"/>
  <c r="AS241" s="1"/>
  <c r="AQ157"/>
  <c r="AT157" s="1"/>
  <c r="BB157" s="1"/>
  <c r="M232"/>
  <c r="AQ106"/>
  <c r="AQ122"/>
  <c r="AT122" s="1"/>
  <c r="BB122" s="1"/>
  <c r="AQ131"/>
  <c r="AQ141"/>
  <c r="AQ148"/>
  <c r="AT148" s="1"/>
  <c r="AN161"/>
  <c r="AS161" s="1"/>
  <c r="AF176"/>
  <c r="AR176" s="1"/>
  <c r="AR178" s="1"/>
  <c r="BI29" i="18" s="1"/>
  <c r="R224" i="15"/>
  <c r="R223" s="1"/>
  <c r="M242"/>
  <c r="AE166"/>
  <c r="AF166" s="1"/>
  <c r="AR166" s="1"/>
  <c r="AE167"/>
  <c r="AF167" s="1"/>
  <c r="AR167" s="1"/>
  <c r="AT167" s="1"/>
  <c r="BB167" s="1"/>
  <c r="L178"/>
  <c r="AQ192"/>
  <c r="S232"/>
  <c r="S224" s="1"/>
  <c r="S223" s="1"/>
  <c r="AQ162"/>
  <c r="AT162" s="1"/>
  <c r="BB162" s="1"/>
  <c r="AQ169"/>
  <c r="AS171"/>
  <c r="AT171" s="1"/>
  <c r="BB171" s="1"/>
  <c r="AS185"/>
  <c r="AQ190"/>
  <c r="AT190" s="1"/>
  <c r="BB190" s="1"/>
  <c r="AS194"/>
  <c r="AT194" s="1"/>
  <c r="BB194" s="1"/>
  <c r="AQ199"/>
  <c r="AT199" s="1"/>
  <c r="BB199" s="1"/>
  <c r="L201"/>
  <c r="L179" s="1"/>
  <c r="AS203"/>
  <c r="AQ213"/>
  <c r="AT213" s="1"/>
  <c r="BB213" s="1"/>
  <c r="AS215"/>
  <c r="AT215" s="1"/>
  <c r="AS217"/>
  <c r="AS231"/>
  <c r="L236"/>
  <c r="AS238"/>
  <c r="AN160"/>
  <c r="AS160" s="1"/>
  <c r="AT160" s="1"/>
  <c r="BB160" s="1"/>
  <c r="AN188"/>
  <c r="AS188" s="1"/>
  <c r="AS192"/>
  <c r="AN197"/>
  <c r="AS197" s="1"/>
  <c r="AT197" s="1"/>
  <c r="BB197" s="1"/>
  <c r="AS208"/>
  <c r="AT208" s="1"/>
  <c r="BB208" s="1"/>
  <c r="AN211"/>
  <c r="AS211" s="1"/>
  <c r="AS229"/>
  <c r="AQ211"/>
  <c r="AM222"/>
  <c r="AM202" s="1"/>
  <c r="AQ186"/>
  <c r="AT186" s="1"/>
  <c r="BB186" s="1"/>
  <c r="AQ195"/>
  <c r="AT195" s="1"/>
  <c r="AQ204"/>
  <c r="AT204" s="1"/>
  <c r="BB204" s="1"/>
  <c r="AQ218"/>
  <c r="AT218" s="1"/>
  <c r="BB218" s="1"/>
  <c r="AQ225"/>
  <c r="L232"/>
  <c r="AM236"/>
  <c r="AQ239"/>
  <c r="AT239" s="1"/>
  <c r="BB239" s="1"/>
  <c r="AN177"/>
  <c r="AS177" s="1"/>
  <c r="AE180"/>
  <c r="AN191"/>
  <c r="AS191" s="1"/>
  <c r="AN193"/>
  <c r="AS193" s="1"/>
  <c r="AT193" s="1"/>
  <c r="BB193" s="1"/>
  <c r="AQ209"/>
  <c r="AT209" s="1"/>
  <c r="BB209" s="1"/>
  <c r="AQ230"/>
  <c r="AT230" s="1"/>
  <c r="AN237"/>
  <c r="AQ207"/>
  <c r="AT207" s="1"/>
  <c r="BB207" s="1"/>
  <c r="AQ221"/>
  <c r="AT221" s="1"/>
  <c r="BB221" s="1"/>
  <c r="AB222"/>
  <c r="AB202" s="1"/>
  <c r="AQ228"/>
  <c r="AT228" s="1"/>
  <c r="BB228" s="1"/>
  <c r="AM232"/>
  <c r="AQ182"/>
  <c r="AN187"/>
  <c r="AS187" s="1"/>
  <c r="AQ189"/>
  <c r="AT189" s="1"/>
  <c r="BB189" s="1"/>
  <c r="AN196"/>
  <c r="AS196" s="1"/>
  <c r="AS201" s="1"/>
  <c r="AS179" s="1"/>
  <c r="AQ198"/>
  <c r="AT198" s="1"/>
  <c r="BB198" s="1"/>
  <c r="AF203"/>
  <c r="AN205"/>
  <c r="AQ212"/>
  <c r="AT212" s="1"/>
  <c r="BB212" s="1"/>
  <c r="AN219"/>
  <c r="AS219" s="1"/>
  <c r="AN226"/>
  <c r="AS226" s="1"/>
  <c r="AN233"/>
  <c r="AN236" s="1"/>
  <c r="M235"/>
  <c r="AQ235" s="1"/>
  <c r="AT235" s="1"/>
  <c r="BB235" s="1"/>
  <c r="AN240"/>
  <c r="AS240" s="1"/>
  <c r="AQ173"/>
  <c r="AQ180"/>
  <c r="AQ187"/>
  <c r="AQ196"/>
  <c r="AQ205"/>
  <c r="AQ219"/>
  <c r="AQ226"/>
  <c r="AQ233"/>
  <c r="AQ240"/>
  <c r="AQ210"/>
  <c r="AT210" s="1"/>
  <c r="BB210" s="1"/>
  <c r="AF16" i="14"/>
  <c r="AE17"/>
  <c r="AB40"/>
  <c r="AF33"/>
  <c r="S6"/>
  <c r="S5" s="1"/>
  <c r="AE25"/>
  <c r="AF18"/>
  <c r="AT10"/>
  <c r="BB10" s="1"/>
  <c r="AN11"/>
  <c r="AS11" s="1"/>
  <c r="M13"/>
  <c r="AQ13" s="1"/>
  <c r="AT13" s="1"/>
  <c r="BB13" s="1"/>
  <c r="AN23"/>
  <c r="AS23" s="1"/>
  <c r="AE26"/>
  <c r="AN28"/>
  <c r="AS28" s="1"/>
  <c r="AQ38"/>
  <c r="AT38" s="1"/>
  <c r="BB38" s="1"/>
  <c r="AS41"/>
  <c r="AS45"/>
  <c r="AT45" s="1"/>
  <c r="BB45" s="1"/>
  <c r="AS49"/>
  <c r="AQ55"/>
  <c r="AT55" s="1"/>
  <c r="BB55" s="1"/>
  <c r="AE57"/>
  <c r="AF57" s="1"/>
  <c r="AR57" s="1"/>
  <c r="AE71"/>
  <c r="AF71" s="1"/>
  <c r="AR71" s="1"/>
  <c r="U91"/>
  <c r="U80" s="1"/>
  <c r="AN88"/>
  <c r="U101"/>
  <c r="U93" s="1"/>
  <c r="AT116"/>
  <c r="AE7"/>
  <c r="AQ23"/>
  <c r="AE36"/>
  <c r="AF36" s="1"/>
  <c r="AR36" s="1"/>
  <c r="AM79"/>
  <c r="AM40" s="1"/>
  <c r="AE69"/>
  <c r="AF69" s="1"/>
  <c r="AR69" s="1"/>
  <c r="M126"/>
  <c r="AQ126" s="1"/>
  <c r="AQ130"/>
  <c r="M130"/>
  <c r="Y79"/>
  <c r="AE60"/>
  <c r="AN9"/>
  <c r="AN15" s="1"/>
  <c r="M11"/>
  <c r="AQ11" s="1"/>
  <c r="AQ16"/>
  <c r="AB17"/>
  <c r="AS18"/>
  <c r="AN21"/>
  <c r="AS21" s="1"/>
  <c r="AT21" s="1"/>
  <c r="BB21" s="1"/>
  <c r="AM30"/>
  <c r="AM6" s="1"/>
  <c r="AM5" s="1"/>
  <c r="AN29"/>
  <c r="AS29" s="1"/>
  <c r="M34"/>
  <c r="M39" s="1"/>
  <c r="M32" s="1"/>
  <c r="R59"/>
  <c r="R40" s="1"/>
  <c r="AN42"/>
  <c r="AS42" s="1"/>
  <c r="AN56"/>
  <c r="AS56" s="1"/>
  <c r="AS57"/>
  <c r="AE61"/>
  <c r="AF61" s="1"/>
  <c r="AR61" s="1"/>
  <c r="AE64"/>
  <c r="AF64" s="1"/>
  <c r="AR64" s="1"/>
  <c r="AN100"/>
  <c r="AS100" s="1"/>
  <c r="AT109"/>
  <c r="BB109" s="1"/>
  <c r="AN26"/>
  <c r="AN35"/>
  <c r="AN39" s="1"/>
  <c r="AN32" s="1"/>
  <c r="AM39"/>
  <c r="AM32" s="1"/>
  <c r="S59"/>
  <c r="AE48"/>
  <c r="AF48" s="1"/>
  <c r="AR48" s="1"/>
  <c r="AT48" s="1"/>
  <c r="BB48" s="1"/>
  <c r="AS51"/>
  <c r="AQ56"/>
  <c r="AS63"/>
  <c r="AN64"/>
  <c r="AS64" s="1"/>
  <c r="AQ65"/>
  <c r="AN70"/>
  <c r="AS70" s="1"/>
  <c r="AQ73"/>
  <c r="AN95"/>
  <c r="AS95" s="1"/>
  <c r="AT95" s="1"/>
  <c r="BB95" s="1"/>
  <c r="AB15"/>
  <c r="U39"/>
  <c r="U32" s="1"/>
  <c r="AQ35"/>
  <c r="AS47"/>
  <c r="AE53"/>
  <c r="AF53" s="1"/>
  <c r="AR53" s="1"/>
  <c r="AT53" s="1"/>
  <c r="BB53" s="1"/>
  <c r="AN61"/>
  <c r="AS61" s="1"/>
  <c r="AQ70"/>
  <c r="AS81"/>
  <c r="AB101"/>
  <c r="R113"/>
  <c r="R93" s="1"/>
  <c r="M129"/>
  <c r="AQ129" s="1"/>
  <c r="AT129" s="1"/>
  <c r="BB129" s="1"/>
  <c r="AQ7"/>
  <c r="AQ19"/>
  <c r="AT19" s="1"/>
  <c r="BB19" s="1"/>
  <c r="R39"/>
  <c r="R32" s="1"/>
  <c r="U59"/>
  <c r="AQ51"/>
  <c r="AT51" s="1"/>
  <c r="BB51" s="1"/>
  <c r="L79"/>
  <c r="L40" s="1"/>
  <c r="AQ63"/>
  <c r="AT63" s="1"/>
  <c r="BB63" s="1"/>
  <c r="AT66"/>
  <c r="BB66" s="1"/>
  <c r="M91"/>
  <c r="M80" s="1"/>
  <c r="AE103"/>
  <c r="AF103" s="1"/>
  <c r="AR103" s="1"/>
  <c r="AT106"/>
  <c r="BB106" s="1"/>
  <c r="AS75"/>
  <c r="AB25"/>
  <c r="R30"/>
  <c r="R6" s="1"/>
  <c r="R5" s="1"/>
  <c r="AB39"/>
  <c r="AB32" s="1"/>
  <c r="AE34"/>
  <c r="AF34" s="1"/>
  <c r="AR34" s="1"/>
  <c r="AE41"/>
  <c r="M43"/>
  <c r="M59" s="1"/>
  <c r="AQ47"/>
  <c r="AT47" s="1"/>
  <c r="BB47" s="1"/>
  <c r="AS52"/>
  <c r="M60"/>
  <c r="M79" s="1"/>
  <c r="AQ61"/>
  <c r="AQ67"/>
  <c r="AT67" s="1"/>
  <c r="BB67" s="1"/>
  <c r="AS68"/>
  <c r="AT68" s="1"/>
  <c r="BB68" s="1"/>
  <c r="AQ78"/>
  <c r="AT78" s="1"/>
  <c r="BB78" s="1"/>
  <c r="T113"/>
  <c r="AE110"/>
  <c r="AF110" s="1"/>
  <c r="AR110" s="1"/>
  <c r="AN132"/>
  <c r="AS132"/>
  <c r="L30"/>
  <c r="L6" s="1"/>
  <c r="L5" s="1"/>
  <c r="AE46"/>
  <c r="AF46" s="1"/>
  <c r="AR46" s="1"/>
  <c r="AT46" s="1"/>
  <c r="BB46" s="1"/>
  <c r="Y59"/>
  <c r="S79"/>
  <c r="AQ77"/>
  <c r="AT77" s="1"/>
  <c r="BB77" s="1"/>
  <c r="M104"/>
  <c r="M113" s="1"/>
  <c r="AQ27"/>
  <c r="AT27" s="1"/>
  <c r="BB27" s="1"/>
  <c r="AQ37"/>
  <c r="AT37" s="1"/>
  <c r="BB37" s="1"/>
  <c r="AQ44"/>
  <c r="AT44" s="1"/>
  <c r="BB44" s="1"/>
  <c r="T79"/>
  <c r="T40" s="1"/>
  <c r="T31" s="1"/>
  <c r="AE76"/>
  <c r="AF76" s="1"/>
  <c r="AR76" s="1"/>
  <c r="AF102"/>
  <c r="AE29"/>
  <c r="AF29" s="1"/>
  <c r="AR29" s="1"/>
  <c r="AS33"/>
  <c r="AQ41"/>
  <c r="AN54"/>
  <c r="AS54" s="1"/>
  <c r="AT54" s="1"/>
  <c r="BB54" s="1"/>
  <c r="U79"/>
  <c r="AE65"/>
  <c r="AF65" s="1"/>
  <c r="AR65" s="1"/>
  <c r="AE75"/>
  <c r="AF75" s="1"/>
  <c r="AR75" s="1"/>
  <c r="AS76"/>
  <c r="AN76"/>
  <c r="S91"/>
  <c r="S80" s="1"/>
  <c r="AS83"/>
  <c r="M99"/>
  <c r="M101" s="1"/>
  <c r="AS102"/>
  <c r="AQ28"/>
  <c r="AQ71"/>
  <c r="AT71" s="1"/>
  <c r="BB71" s="1"/>
  <c r="AS73"/>
  <c r="AQ83"/>
  <c r="AS85"/>
  <c r="AS104"/>
  <c r="AM113"/>
  <c r="AS120"/>
  <c r="R168"/>
  <c r="AF148"/>
  <c r="AR148" s="1"/>
  <c r="AN175"/>
  <c r="AS175" s="1"/>
  <c r="M181"/>
  <c r="AQ181" s="1"/>
  <c r="AT181" s="1"/>
  <c r="BB181" s="1"/>
  <c r="AQ100"/>
  <c r="AS105"/>
  <c r="M114"/>
  <c r="L136"/>
  <c r="AS115"/>
  <c r="AE144"/>
  <c r="S168"/>
  <c r="S143" s="1"/>
  <c r="T168"/>
  <c r="AS149"/>
  <c r="AF153"/>
  <c r="AR153" s="1"/>
  <c r="AN171"/>
  <c r="AS171" s="1"/>
  <c r="AE111"/>
  <c r="AF111" s="1"/>
  <c r="AR111" s="1"/>
  <c r="AQ121"/>
  <c r="AT121" s="1"/>
  <c r="BB121" s="1"/>
  <c r="M188"/>
  <c r="AQ188" s="1"/>
  <c r="AT188" s="1"/>
  <c r="BB188" s="1"/>
  <c r="AQ62"/>
  <c r="AT62" s="1"/>
  <c r="BB62" s="1"/>
  <c r="AQ74"/>
  <c r="AT74" s="1"/>
  <c r="BB74" s="1"/>
  <c r="AQ86"/>
  <c r="AT86" s="1"/>
  <c r="BB86" s="1"/>
  <c r="L101"/>
  <c r="AT105"/>
  <c r="BB105" s="1"/>
  <c r="AN110"/>
  <c r="AS110" s="1"/>
  <c r="AE117"/>
  <c r="AF117" s="1"/>
  <c r="AR117" s="1"/>
  <c r="AQ132"/>
  <c r="Y168"/>
  <c r="Y143" s="1"/>
  <c r="AS147"/>
  <c r="AS154"/>
  <c r="M220"/>
  <c r="AQ220" s="1"/>
  <c r="AN60"/>
  <c r="L91"/>
  <c r="L80" s="1"/>
  <c r="AE94"/>
  <c r="AQ96"/>
  <c r="AM101"/>
  <c r="AQ110"/>
  <c r="T136"/>
  <c r="T93" s="1"/>
  <c r="M149"/>
  <c r="AQ149" s="1"/>
  <c r="AT149" s="1"/>
  <c r="BB149" s="1"/>
  <c r="AF169"/>
  <c r="AS170"/>
  <c r="AN170"/>
  <c r="AM178"/>
  <c r="AM143" s="1"/>
  <c r="AQ102"/>
  <c r="AQ111"/>
  <c r="Y113"/>
  <c r="Y93" s="1"/>
  <c r="S136"/>
  <c r="S93" s="1"/>
  <c r="AM139"/>
  <c r="AN137"/>
  <c r="AN139" s="1"/>
  <c r="M186"/>
  <c r="AQ186" s="1"/>
  <c r="M227"/>
  <c r="AQ227" s="1"/>
  <c r="AQ89"/>
  <c r="AT89" s="1"/>
  <c r="BB89" s="1"/>
  <c r="AQ97"/>
  <c r="AT97" s="1"/>
  <c r="BB97" s="1"/>
  <c r="AB113"/>
  <c r="AE119"/>
  <c r="AF119" s="1"/>
  <c r="AR119" s="1"/>
  <c r="AN123"/>
  <c r="AS123" s="1"/>
  <c r="AE127"/>
  <c r="AF127" s="1"/>
  <c r="AR127" s="1"/>
  <c r="AN177"/>
  <c r="AS177" s="1"/>
  <c r="AQ82"/>
  <c r="AT82" s="1"/>
  <c r="BB82" s="1"/>
  <c r="AN87"/>
  <c r="AS87" s="1"/>
  <c r="AM91"/>
  <c r="AM80" s="1"/>
  <c r="AN94"/>
  <c r="AN98"/>
  <c r="AS98" s="1"/>
  <c r="AT98" s="1"/>
  <c r="BB98" s="1"/>
  <c r="AE120"/>
  <c r="AF120" s="1"/>
  <c r="AR120" s="1"/>
  <c r="AT120" s="1"/>
  <c r="BB120" s="1"/>
  <c r="AS124"/>
  <c r="AN125"/>
  <c r="AS125" s="1"/>
  <c r="AT125" s="1"/>
  <c r="BB125" s="1"/>
  <c r="AN126"/>
  <c r="AS126" s="1"/>
  <c r="AS135"/>
  <c r="AQ159"/>
  <c r="AT159" s="1"/>
  <c r="BB159" s="1"/>
  <c r="M159"/>
  <c r="AQ75"/>
  <c r="AQ87"/>
  <c r="AQ94"/>
  <c r="AN107"/>
  <c r="AS107" s="1"/>
  <c r="AN112"/>
  <c r="AS112" s="1"/>
  <c r="AN118"/>
  <c r="AN127"/>
  <c r="AS127" s="1"/>
  <c r="AN128"/>
  <c r="AS128" s="1"/>
  <c r="AT128" s="1"/>
  <c r="BB128" s="1"/>
  <c r="AQ112"/>
  <c r="AF114"/>
  <c r="AQ118"/>
  <c r="AS130"/>
  <c r="AS140"/>
  <c r="AN172"/>
  <c r="AS172" s="1"/>
  <c r="AT172" s="1"/>
  <c r="BB172" s="1"/>
  <c r="AE81"/>
  <c r="AM136"/>
  <c r="AF132"/>
  <c r="AR132" s="1"/>
  <c r="L139"/>
  <c r="M137"/>
  <c r="M139" s="1"/>
  <c r="AQ167"/>
  <c r="AT167" s="1"/>
  <c r="BB167" s="1"/>
  <c r="AS174"/>
  <c r="S201"/>
  <c r="S179" s="1"/>
  <c r="AQ182"/>
  <c r="AQ183"/>
  <c r="AT183" s="1"/>
  <c r="BB183" s="1"/>
  <c r="AQ185"/>
  <c r="AQ189"/>
  <c r="AQ190"/>
  <c r="AT190" s="1"/>
  <c r="BB190" s="1"/>
  <c r="AE196"/>
  <c r="AF196" s="1"/>
  <c r="AR196" s="1"/>
  <c r="AR225"/>
  <c r="AE229"/>
  <c r="AF229" s="1"/>
  <c r="AR229" s="1"/>
  <c r="AE238"/>
  <c r="AF238" s="1"/>
  <c r="AR238" s="1"/>
  <c r="AN239"/>
  <c r="AS239" s="1"/>
  <c r="AQ135"/>
  <c r="U168"/>
  <c r="AE156"/>
  <c r="AF156" s="1"/>
  <c r="AR156" s="1"/>
  <c r="AE157"/>
  <c r="AF157" s="1"/>
  <c r="AR157" s="1"/>
  <c r="AN218"/>
  <c r="AS218" s="1"/>
  <c r="AM232"/>
  <c r="AN225"/>
  <c r="AS225" s="1"/>
  <c r="AQ103"/>
  <c r="AQ119"/>
  <c r="AB139"/>
  <c r="AQ145"/>
  <c r="AT145" s="1"/>
  <c r="AQ152"/>
  <c r="U201"/>
  <c r="U179" s="1"/>
  <c r="Y222"/>
  <c r="Y202" s="1"/>
  <c r="AF208"/>
  <c r="AR208" s="1"/>
  <c r="AE221"/>
  <c r="AF221" s="1"/>
  <c r="AR221" s="1"/>
  <c r="AE228"/>
  <c r="AF228" s="1"/>
  <c r="AR228" s="1"/>
  <c r="AQ229"/>
  <c r="M115"/>
  <c r="AQ115" s="1"/>
  <c r="AB168"/>
  <c r="AB143" s="1"/>
  <c r="R178"/>
  <c r="L178"/>
  <c r="M170"/>
  <c r="AQ170" s="1"/>
  <c r="AQ171"/>
  <c r="Y201"/>
  <c r="Y179" s="1"/>
  <c r="AB222"/>
  <c r="AB202" s="1"/>
  <c r="AN204"/>
  <c r="AS204" s="1"/>
  <c r="AQ231"/>
  <c r="AE235"/>
  <c r="AF235" s="1"/>
  <c r="AR235" s="1"/>
  <c r="AE237"/>
  <c r="AQ150"/>
  <c r="AE158"/>
  <c r="AF158" s="1"/>
  <c r="AR158" s="1"/>
  <c r="AT158" s="1"/>
  <c r="BB158" s="1"/>
  <c r="AE166"/>
  <c r="AF166" s="1"/>
  <c r="AR166" s="1"/>
  <c r="U178"/>
  <c r="AB201"/>
  <c r="AB179" s="1"/>
  <c r="AE180"/>
  <c r="T222"/>
  <c r="T202" s="1"/>
  <c r="AQ208"/>
  <c r="AT230"/>
  <c r="AM242"/>
  <c r="AQ148"/>
  <c r="AT148" s="1"/>
  <c r="AQ161"/>
  <c r="AT161" s="1"/>
  <c r="BB161" s="1"/>
  <c r="AS162"/>
  <c r="AN163"/>
  <c r="AS163" s="1"/>
  <c r="AT163" s="1"/>
  <c r="BB163" s="1"/>
  <c r="AS164"/>
  <c r="T178"/>
  <c r="AF194"/>
  <c r="AR194" s="1"/>
  <c r="AN195"/>
  <c r="AS195" s="1"/>
  <c r="M232"/>
  <c r="AN241"/>
  <c r="AS241" s="1"/>
  <c r="AT241" s="1"/>
  <c r="BB241" s="1"/>
  <c r="M141"/>
  <c r="M142" s="1"/>
  <c r="AN146"/>
  <c r="AS146" s="1"/>
  <c r="AS168" s="1"/>
  <c r="AS143" s="1"/>
  <c r="AN153"/>
  <c r="AS153" s="1"/>
  <c r="AQ157"/>
  <c r="AN194"/>
  <c r="AS194" s="1"/>
  <c r="AN220"/>
  <c r="AS220" s="1"/>
  <c r="L222"/>
  <c r="L202" s="1"/>
  <c r="AN227"/>
  <c r="AS227" s="1"/>
  <c r="AS134"/>
  <c r="AQ162"/>
  <c r="AQ164"/>
  <c r="AQ166"/>
  <c r="AE185"/>
  <c r="AF185" s="1"/>
  <c r="AR185" s="1"/>
  <c r="AF200"/>
  <c r="AR200" s="1"/>
  <c r="AM236"/>
  <c r="AN234"/>
  <c r="AS234" s="1"/>
  <c r="AT234" s="1"/>
  <c r="BB234" s="1"/>
  <c r="AE240"/>
  <c r="AF240" s="1"/>
  <c r="AR240" s="1"/>
  <c r="L168"/>
  <c r="AN185"/>
  <c r="AS185" s="1"/>
  <c r="AN193"/>
  <c r="AS193" s="1"/>
  <c r="AN206"/>
  <c r="AE219"/>
  <c r="AF219" s="1"/>
  <c r="AR219" s="1"/>
  <c r="T224"/>
  <c r="T223" s="1"/>
  <c r="AE226"/>
  <c r="M144"/>
  <c r="AQ151"/>
  <c r="AT151" s="1"/>
  <c r="BB151" s="1"/>
  <c r="AE173"/>
  <c r="AF173" s="1"/>
  <c r="AR173" s="1"/>
  <c r="AT173" s="1"/>
  <c r="BB173" s="1"/>
  <c r="AE174"/>
  <c r="AF174" s="1"/>
  <c r="AR174" s="1"/>
  <c r="AN182"/>
  <c r="AS182" s="1"/>
  <c r="AM201"/>
  <c r="AM179" s="1"/>
  <c r="AN184"/>
  <c r="AS184" s="1"/>
  <c r="AS186"/>
  <c r="AN189"/>
  <c r="AS189" s="1"/>
  <c r="AN191"/>
  <c r="AS191" s="1"/>
  <c r="AT192"/>
  <c r="AE198"/>
  <c r="AF198" s="1"/>
  <c r="AR198" s="1"/>
  <c r="M222"/>
  <c r="M202" s="1"/>
  <c r="AQ206"/>
  <c r="AE212"/>
  <c r="AF212" s="1"/>
  <c r="AR212" s="1"/>
  <c r="U232"/>
  <c r="U224" s="1"/>
  <c r="U223" s="1"/>
  <c r="AE170"/>
  <c r="AF170" s="1"/>
  <c r="AR170" s="1"/>
  <c r="AE171"/>
  <c r="AF171" s="1"/>
  <c r="AR171" s="1"/>
  <c r="M180"/>
  <c r="L201"/>
  <c r="L179" s="1"/>
  <c r="AQ184"/>
  <c r="AQ191"/>
  <c r="AQ194"/>
  <c r="AE205"/>
  <c r="AF205" s="1"/>
  <c r="AR205" s="1"/>
  <c r="AE210"/>
  <c r="AF210" s="1"/>
  <c r="AR210" s="1"/>
  <c r="Y224"/>
  <c r="Y223" s="1"/>
  <c r="AE231"/>
  <c r="AF231" s="1"/>
  <c r="AR231" s="1"/>
  <c r="AS233"/>
  <c r="S242"/>
  <c r="S224" s="1"/>
  <c r="S223" s="1"/>
  <c r="AS203"/>
  <c r="AS215"/>
  <c r="AS217"/>
  <c r="AT217" s="1"/>
  <c r="BB217" s="1"/>
  <c r="AS231"/>
  <c r="L236"/>
  <c r="AS238"/>
  <c r="AM222"/>
  <c r="AM202" s="1"/>
  <c r="AQ195"/>
  <c r="AQ204"/>
  <c r="AQ218"/>
  <c r="AQ225"/>
  <c r="L232"/>
  <c r="L224" s="1"/>
  <c r="L223" s="1"/>
  <c r="AQ239"/>
  <c r="AN214"/>
  <c r="AS214" s="1"/>
  <c r="AN216"/>
  <c r="AS216" s="1"/>
  <c r="AE233"/>
  <c r="AN237"/>
  <c r="AS237" s="1"/>
  <c r="AQ193"/>
  <c r="AQ214"/>
  <c r="AQ216"/>
  <c r="AQ156"/>
  <c r="AN198"/>
  <c r="AS198" s="1"/>
  <c r="M200"/>
  <c r="AQ200" s="1"/>
  <c r="AE203"/>
  <c r="AQ207"/>
  <c r="AT207" s="1"/>
  <c r="BB207" s="1"/>
  <c r="AN212"/>
  <c r="AS212" s="1"/>
  <c r="AQ221"/>
  <c r="AQ228"/>
  <c r="AN235"/>
  <c r="AN236" s="1"/>
  <c r="M237"/>
  <c r="M242" s="1"/>
  <c r="M235"/>
  <c r="M236" s="1"/>
  <c r="AQ196"/>
  <c r="AQ205"/>
  <c r="AQ219"/>
  <c r="AQ226"/>
  <c r="AQ233"/>
  <c r="AQ240"/>
  <c r="AQ210"/>
  <c r="AN8" i="13"/>
  <c r="AE9"/>
  <c r="AF9" s="1"/>
  <c r="AR9" s="1"/>
  <c r="AE21"/>
  <c r="AF21" s="1"/>
  <c r="AR21" s="1"/>
  <c r="AX31"/>
  <c r="AF41"/>
  <c r="AT47"/>
  <c r="BB47" s="1"/>
  <c r="T30"/>
  <c r="T6" s="1"/>
  <c r="T5" s="1"/>
  <c r="AM59"/>
  <c r="M112"/>
  <c r="AQ112" s="1"/>
  <c r="Y15"/>
  <c r="Y6" s="1"/>
  <c r="Y5" s="1"/>
  <c r="AS9"/>
  <c r="AE10"/>
  <c r="AF10" s="1"/>
  <c r="AR10" s="1"/>
  <c r="AE13"/>
  <c r="AF13" s="1"/>
  <c r="AR13" s="1"/>
  <c r="M25"/>
  <c r="M79"/>
  <c r="AQ74"/>
  <c r="L79"/>
  <c r="L40" s="1"/>
  <c r="AT67"/>
  <c r="BB67" s="1"/>
  <c r="AN77"/>
  <c r="AS77" s="1"/>
  <c r="AN46"/>
  <c r="AS46" s="1"/>
  <c r="AQ9"/>
  <c r="AN10"/>
  <c r="AS10" s="1"/>
  <c r="M16"/>
  <c r="M17" s="1"/>
  <c r="L17"/>
  <c r="S25"/>
  <c r="S6" s="1"/>
  <c r="S5" s="1"/>
  <c r="M39"/>
  <c r="M32" s="1"/>
  <c r="AE71"/>
  <c r="AF71" s="1"/>
  <c r="AR71" s="1"/>
  <c r="AS72"/>
  <c r="M113"/>
  <c r="AN22"/>
  <c r="AS22" s="1"/>
  <c r="AQ10"/>
  <c r="AM25"/>
  <c r="AS14"/>
  <c r="U25"/>
  <c r="U6" s="1"/>
  <c r="U5" s="1"/>
  <c r="AT24"/>
  <c r="BB24" s="1"/>
  <c r="M59"/>
  <c r="Y79"/>
  <c r="Y40" s="1"/>
  <c r="Y31" s="1"/>
  <c r="AT62"/>
  <c r="BB62" s="1"/>
  <c r="AN65"/>
  <c r="AS65" s="1"/>
  <c r="AS16"/>
  <c r="AM17"/>
  <c r="L15"/>
  <c r="AQ7"/>
  <c r="U39"/>
  <c r="U32" s="1"/>
  <c r="S59"/>
  <c r="S40" s="1"/>
  <c r="AN58"/>
  <c r="AS58" s="1"/>
  <c r="AF60"/>
  <c r="AT66"/>
  <c r="BB66" s="1"/>
  <c r="AE114"/>
  <c r="M15"/>
  <c r="AE16"/>
  <c r="AE18"/>
  <c r="AN34"/>
  <c r="AN39" s="1"/>
  <c r="AN32" s="1"/>
  <c r="AE57"/>
  <c r="AF57" s="1"/>
  <c r="AR57" s="1"/>
  <c r="AM79"/>
  <c r="AE81"/>
  <c r="R15"/>
  <c r="R6" s="1"/>
  <c r="R5" s="1"/>
  <c r="AS18"/>
  <c r="AE28"/>
  <c r="AF28" s="1"/>
  <c r="AR28" s="1"/>
  <c r="AB39"/>
  <c r="AB32" s="1"/>
  <c r="AE38"/>
  <c r="AF38" s="1"/>
  <c r="AR38" s="1"/>
  <c r="AE52"/>
  <c r="AF52" s="1"/>
  <c r="AR52" s="1"/>
  <c r="AS53"/>
  <c r="AS19"/>
  <c r="AQ41"/>
  <c r="AS43"/>
  <c r="S91"/>
  <c r="S80" s="1"/>
  <c r="AT89"/>
  <c r="BB89" s="1"/>
  <c r="AS97"/>
  <c r="AQ107"/>
  <c r="AS110"/>
  <c r="S93"/>
  <c r="AQ132"/>
  <c r="AN135"/>
  <c r="AS135" s="1"/>
  <c r="L139"/>
  <c r="M137"/>
  <c r="M139" s="1"/>
  <c r="M158"/>
  <c r="AQ158" s="1"/>
  <c r="M175"/>
  <c r="AQ175" s="1"/>
  <c r="AT175" s="1"/>
  <c r="BB175" s="1"/>
  <c r="AQ22"/>
  <c r="AQ34"/>
  <c r="AQ46"/>
  <c r="AQ58"/>
  <c r="AQ65"/>
  <c r="AQ77"/>
  <c r="Y101"/>
  <c r="AE94"/>
  <c r="AN20"/>
  <c r="AQ27"/>
  <c r="L39"/>
  <c r="L32" s="1"/>
  <c r="AS41"/>
  <c r="AN44"/>
  <c r="AN56"/>
  <c r="AS56" s="1"/>
  <c r="AB59"/>
  <c r="AS60"/>
  <c r="AN63"/>
  <c r="AN75"/>
  <c r="AS75" s="1"/>
  <c r="U91"/>
  <c r="U80" s="1"/>
  <c r="AN83"/>
  <c r="AS83" s="1"/>
  <c r="AS84"/>
  <c r="AE86"/>
  <c r="AF86" s="1"/>
  <c r="AR86" s="1"/>
  <c r="AQ87"/>
  <c r="AE102"/>
  <c r="AS105"/>
  <c r="AQ123"/>
  <c r="AS126"/>
  <c r="AS130"/>
  <c r="AQ20"/>
  <c r="AQ44"/>
  <c r="AQ56"/>
  <c r="AQ63"/>
  <c r="M82"/>
  <c r="AQ82" s="1"/>
  <c r="AN85"/>
  <c r="AS85" s="1"/>
  <c r="AS86"/>
  <c r="AS87"/>
  <c r="T91"/>
  <c r="T80" s="1"/>
  <c r="T31" s="1"/>
  <c r="Y136"/>
  <c r="AE125"/>
  <c r="AF125" s="1"/>
  <c r="AR125" s="1"/>
  <c r="AE129"/>
  <c r="AF129" s="1"/>
  <c r="AR129" s="1"/>
  <c r="Y142"/>
  <c r="AF141"/>
  <c r="AR141" s="1"/>
  <c r="AS173"/>
  <c r="L25"/>
  <c r="AE33"/>
  <c r="AB91"/>
  <c r="AB80" s="1"/>
  <c r="AQ88"/>
  <c r="T93"/>
  <c r="T92" s="1"/>
  <c r="AB136"/>
  <c r="AS121"/>
  <c r="AS20"/>
  <c r="AE26"/>
  <c r="L30"/>
  <c r="AM39"/>
  <c r="AM32" s="1"/>
  <c r="AQ42"/>
  <c r="AQ54"/>
  <c r="AQ61"/>
  <c r="AQ73"/>
  <c r="AM136"/>
  <c r="AT145"/>
  <c r="AN28"/>
  <c r="AS28" s="1"/>
  <c r="AN52"/>
  <c r="AS52" s="1"/>
  <c r="AN71"/>
  <c r="AS71" s="1"/>
  <c r="AB79"/>
  <c r="AQ95"/>
  <c r="M130"/>
  <c r="AQ130" s="1"/>
  <c r="M156"/>
  <c r="AQ156" s="1"/>
  <c r="AQ28"/>
  <c r="AQ52"/>
  <c r="AQ71"/>
  <c r="AM91"/>
  <c r="AM80" s="1"/>
  <c r="AS128"/>
  <c r="AF140"/>
  <c r="AQ21"/>
  <c r="AN26"/>
  <c r="AQ33"/>
  <c r="AQ45"/>
  <c r="AQ57"/>
  <c r="AQ64"/>
  <c r="AQ76"/>
  <c r="AN81"/>
  <c r="M94"/>
  <c r="M101" s="1"/>
  <c r="L101"/>
  <c r="AE111"/>
  <c r="AF111" s="1"/>
  <c r="AR111" s="1"/>
  <c r="AT115"/>
  <c r="BB115" s="1"/>
  <c r="M149"/>
  <c r="AQ149" s="1"/>
  <c r="AQ14"/>
  <c r="L91"/>
  <c r="L80" s="1"/>
  <c r="AQ81"/>
  <c r="AE82"/>
  <c r="AF82" s="1"/>
  <c r="AR82" s="1"/>
  <c r="AE90"/>
  <c r="AF90" s="1"/>
  <c r="AR90" s="1"/>
  <c r="AE98"/>
  <c r="AF98" s="1"/>
  <c r="AR98" s="1"/>
  <c r="AB101"/>
  <c r="AS102"/>
  <c r="AN142"/>
  <c r="AS140"/>
  <c r="AE144"/>
  <c r="AE97"/>
  <c r="AF97" s="1"/>
  <c r="AR97" s="1"/>
  <c r="AS98"/>
  <c r="AS164"/>
  <c r="AS88"/>
  <c r="AS95"/>
  <c r="AS107"/>
  <c r="AS123"/>
  <c r="AS132"/>
  <c r="AQ140"/>
  <c r="AQ173"/>
  <c r="AE210"/>
  <c r="AF210" s="1"/>
  <c r="AR210" s="1"/>
  <c r="AQ98"/>
  <c r="AQ110"/>
  <c r="AQ126"/>
  <c r="AQ128"/>
  <c r="AQ135"/>
  <c r="AM142"/>
  <c r="AS171"/>
  <c r="AE180"/>
  <c r="M232"/>
  <c r="AQ138"/>
  <c r="Y168"/>
  <c r="AQ163"/>
  <c r="AQ164"/>
  <c r="AF182"/>
  <c r="AR182" s="1"/>
  <c r="AE189"/>
  <c r="AF189" s="1"/>
  <c r="AR189" s="1"/>
  <c r="AE221"/>
  <c r="AF221" s="1"/>
  <c r="AR221" s="1"/>
  <c r="AQ96"/>
  <c r="AT96" s="1"/>
  <c r="BB96" s="1"/>
  <c r="AQ108"/>
  <c r="AQ124"/>
  <c r="AT124" s="1"/>
  <c r="BB124" s="1"/>
  <c r="AQ133"/>
  <c r="AT133" s="1"/>
  <c r="BB133" s="1"/>
  <c r="AB168"/>
  <c r="AB143" s="1"/>
  <c r="L113"/>
  <c r="AQ150"/>
  <c r="AT150" s="1"/>
  <c r="BB150" s="1"/>
  <c r="AF156"/>
  <c r="AR156" s="1"/>
  <c r="L178"/>
  <c r="AQ170"/>
  <c r="AQ171"/>
  <c r="AQ203"/>
  <c r="AS206"/>
  <c r="L222"/>
  <c r="L202" s="1"/>
  <c r="AQ106"/>
  <c r="AT106" s="1"/>
  <c r="BB106" s="1"/>
  <c r="AQ122"/>
  <c r="AT122" s="1"/>
  <c r="BB122" s="1"/>
  <c r="AQ131"/>
  <c r="AT131" s="1"/>
  <c r="AQ141"/>
  <c r="AB142"/>
  <c r="AQ148"/>
  <c r="AQ153"/>
  <c r="AT153" s="1"/>
  <c r="BB153" s="1"/>
  <c r="M153"/>
  <c r="AE237"/>
  <c r="Y242"/>
  <c r="Y224" s="1"/>
  <c r="Y223" s="1"/>
  <c r="AN113"/>
  <c r="AS120"/>
  <c r="AS127"/>
  <c r="L136"/>
  <c r="AS146"/>
  <c r="AS154"/>
  <c r="AE158"/>
  <c r="AF158" s="1"/>
  <c r="AR158" s="1"/>
  <c r="AS176"/>
  <c r="AF198"/>
  <c r="AR198" s="1"/>
  <c r="AS199"/>
  <c r="AQ104"/>
  <c r="AM113"/>
  <c r="AQ120"/>
  <c r="AQ127"/>
  <c r="AM168"/>
  <c r="AQ146"/>
  <c r="AS237"/>
  <c r="AQ90"/>
  <c r="AQ97"/>
  <c r="AQ109"/>
  <c r="AT109" s="1"/>
  <c r="BB109" s="1"/>
  <c r="AQ125"/>
  <c r="AQ134"/>
  <c r="L168"/>
  <c r="AQ154"/>
  <c r="AS155"/>
  <c r="AE161"/>
  <c r="AF161" s="1"/>
  <c r="AR161" s="1"/>
  <c r="AE163"/>
  <c r="AF163" s="1"/>
  <c r="AR163" s="1"/>
  <c r="AE174"/>
  <c r="AF174" s="1"/>
  <c r="AR174" s="1"/>
  <c r="AT195"/>
  <c r="AF225"/>
  <c r="AS241"/>
  <c r="AQ114"/>
  <c r="M116"/>
  <c r="M136" s="1"/>
  <c r="AN139"/>
  <c r="M144"/>
  <c r="AQ151"/>
  <c r="AT151" s="1"/>
  <c r="BB151" s="1"/>
  <c r="AS166"/>
  <c r="AS174"/>
  <c r="AT177"/>
  <c r="BB177" s="1"/>
  <c r="Y178"/>
  <c r="AQ208"/>
  <c r="AF212"/>
  <c r="AR212" s="1"/>
  <c r="AS225"/>
  <c r="AE228"/>
  <c r="AF228" s="1"/>
  <c r="AR228" s="1"/>
  <c r="AQ229"/>
  <c r="AT229" s="1"/>
  <c r="BB229" s="1"/>
  <c r="AQ157"/>
  <c r="AS161"/>
  <c r="AQ166"/>
  <c r="AE170"/>
  <c r="AF170" s="1"/>
  <c r="AR170" s="1"/>
  <c r="AQ194"/>
  <c r="AF203"/>
  <c r="AS213"/>
  <c r="AQ215"/>
  <c r="AT230"/>
  <c r="AS234"/>
  <c r="AE240"/>
  <c r="AF240" s="1"/>
  <c r="AR240" s="1"/>
  <c r="AQ169"/>
  <c r="AS185"/>
  <c r="AS194"/>
  <c r="AQ199"/>
  <c r="L201"/>
  <c r="L179" s="1"/>
  <c r="AS203"/>
  <c r="AS215"/>
  <c r="AS217"/>
  <c r="AS231"/>
  <c r="L236"/>
  <c r="AS157"/>
  <c r="AQ174"/>
  <c r="AM178"/>
  <c r="AS192"/>
  <c r="AQ206"/>
  <c r="AS208"/>
  <c r="AQ220"/>
  <c r="AQ227"/>
  <c r="AQ234"/>
  <c r="AQ241"/>
  <c r="AQ160"/>
  <c r="AT160" s="1"/>
  <c r="BB160" s="1"/>
  <c r="AQ167"/>
  <c r="AT167" s="1"/>
  <c r="BB167" s="1"/>
  <c r="M181"/>
  <c r="AQ181" s="1"/>
  <c r="AT181" s="1"/>
  <c r="BB181" s="1"/>
  <c r="M188"/>
  <c r="AQ188" s="1"/>
  <c r="AT188" s="1"/>
  <c r="BB188" s="1"/>
  <c r="AQ197"/>
  <c r="AT197" s="1"/>
  <c r="BB197" s="1"/>
  <c r="AQ211"/>
  <c r="AT211" s="1"/>
  <c r="BB211" s="1"/>
  <c r="AM222"/>
  <c r="AM202" s="1"/>
  <c r="AM201"/>
  <c r="AM179" s="1"/>
  <c r="AQ225"/>
  <c r="AM236"/>
  <c r="AQ239"/>
  <c r="AT239" s="1"/>
  <c r="BB239" s="1"/>
  <c r="AQ209"/>
  <c r="AT209" s="1"/>
  <c r="BB209" s="1"/>
  <c r="AS200"/>
  <c r="AS207"/>
  <c r="AS221"/>
  <c r="Y222"/>
  <c r="Y202" s="1"/>
  <c r="Y201"/>
  <c r="Y179" s="1"/>
  <c r="AQ207"/>
  <c r="AQ221"/>
  <c r="AB222"/>
  <c r="AB202" s="1"/>
  <c r="AQ228"/>
  <c r="AM232"/>
  <c r="AS180"/>
  <c r="AS187"/>
  <c r="AS196"/>
  <c r="AS205"/>
  <c r="AS219"/>
  <c r="AS233"/>
  <c r="M235"/>
  <c r="M236" s="1"/>
  <c r="AB236"/>
  <c r="AS240"/>
  <c r="AQ180"/>
  <c r="AQ187"/>
  <c r="AQ196"/>
  <c r="AQ205"/>
  <c r="AQ219"/>
  <c r="AQ233"/>
  <c r="AQ240"/>
  <c r="AQ159"/>
  <c r="AQ210"/>
  <c r="AF33" i="12"/>
  <c r="AF26"/>
  <c r="AE30"/>
  <c r="Y6"/>
  <c r="Y5" s="1"/>
  <c r="AT10"/>
  <c r="BB10" s="1"/>
  <c r="AE17"/>
  <c r="AF16"/>
  <c r="M39"/>
  <c r="M32" s="1"/>
  <c r="AS12"/>
  <c r="AE18"/>
  <c r="AS24"/>
  <c r="AN27"/>
  <c r="AS27" s="1"/>
  <c r="M29"/>
  <c r="M30" s="1"/>
  <c r="AQ35"/>
  <c r="AE47"/>
  <c r="AF47" s="1"/>
  <c r="AR47" s="1"/>
  <c r="AN51"/>
  <c r="AS51" s="1"/>
  <c r="AS52"/>
  <c r="AS54"/>
  <c r="AN56"/>
  <c r="AS56" s="1"/>
  <c r="AE60"/>
  <c r="Y79"/>
  <c r="Y40" s="1"/>
  <c r="Y31" s="1"/>
  <c r="AE63"/>
  <c r="AF63" s="1"/>
  <c r="AR63" s="1"/>
  <c r="AS65"/>
  <c r="AQ87"/>
  <c r="M124"/>
  <c r="AQ124" s="1"/>
  <c r="AN57"/>
  <c r="AS57" s="1"/>
  <c r="AT68"/>
  <c r="BB68" s="1"/>
  <c r="L15"/>
  <c r="AQ27"/>
  <c r="AE46"/>
  <c r="AF46" s="1"/>
  <c r="AR46" s="1"/>
  <c r="AN47"/>
  <c r="AS47" s="1"/>
  <c r="AT49"/>
  <c r="BB49" s="1"/>
  <c r="M101"/>
  <c r="M130"/>
  <c r="AQ130" s="1"/>
  <c r="AS206"/>
  <c r="AB39"/>
  <c r="AB32" s="1"/>
  <c r="AS46"/>
  <c r="AQ47"/>
  <c r="AM79"/>
  <c r="AM40" s="1"/>
  <c r="AM31" s="1"/>
  <c r="AE64"/>
  <c r="AF64" s="1"/>
  <c r="AR64" s="1"/>
  <c r="AQ65"/>
  <c r="AN90"/>
  <c r="AS90" s="1"/>
  <c r="AS137"/>
  <c r="AQ13"/>
  <c r="R15"/>
  <c r="R6" s="1"/>
  <c r="R5" s="1"/>
  <c r="AN17"/>
  <c r="L25"/>
  <c r="M59"/>
  <c r="AN45"/>
  <c r="AS45" s="1"/>
  <c r="AN64"/>
  <c r="S91"/>
  <c r="S80" s="1"/>
  <c r="AE89"/>
  <c r="AF89" s="1"/>
  <c r="AR89" s="1"/>
  <c r="AF102"/>
  <c r="AS66"/>
  <c r="AN66"/>
  <c r="AN11"/>
  <c r="AS11" s="1"/>
  <c r="AN23"/>
  <c r="AS23" s="1"/>
  <c r="L30"/>
  <c r="R59"/>
  <c r="R40" s="1"/>
  <c r="R31" s="1"/>
  <c r="AQ42"/>
  <c r="AN44"/>
  <c r="AQ45"/>
  <c r="AQ46"/>
  <c r="AS61"/>
  <c r="AN63"/>
  <c r="AS63" s="1"/>
  <c r="AE78"/>
  <c r="AF78" s="1"/>
  <c r="AR78" s="1"/>
  <c r="T91"/>
  <c r="T80" s="1"/>
  <c r="AS89"/>
  <c r="AQ11"/>
  <c r="AE19"/>
  <c r="AF19" s="1"/>
  <c r="AR19" s="1"/>
  <c r="AT19" s="1"/>
  <c r="BB19" s="1"/>
  <c r="AQ23"/>
  <c r="AN78"/>
  <c r="AS78" s="1"/>
  <c r="AB168"/>
  <c r="AE144"/>
  <c r="AN9"/>
  <c r="AS9" s="1"/>
  <c r="AE12"/>
  <c r="AF12" s="1"/>
  <c r="AR12" s="1"/>
  <c r="AQ16"/>
  <c r="AN21"/>
  <c r="AN25" s="1"/>
  <c r="S25"/>
  <c r="S6" s="1"/>
  <c r="S5" s="1"/>
  <c r="AM25"/>
  <c r="AM6" s="1"/>
  <c r="AM5" s="1"/>
  <c r="AQ28"/>
  <c r="AN33"/>
  <c r="AN39" s="1"/>
  <c r="AN32" s="1"/>
  <c r="T59"/>
  <c r="L79"/>
  <c r="L40" s="1"/>
  <c r="AQ78"/>
  <c r="AN26"/>
  <c r="L39"/>
  <c r="L32" s="1"/>
  <c r="AQ33"/>
  <c r="U59"/>
  <c r="U40" s="1"/>
  <c r="U31" s="1"/>
  <c r="AE58"/>
  <c r="AF58" s="1"/>
  <c r="AR58" s="1"/>
  <c r="M60"/>
  <c r="M79" s="1"/>
  <c r="AQ61"/>
  <c r="AQ63"/>
  <c r="AE71"/>
  <c r="AF71" s="1"/>
  <c r="AR71" s="1"/>
  <c r="AB91"/>
  <c r="AB80" s="1"/>
  <c r="AE81"/>
  <c r="AE83"/>
  <c r="AF83" s="1"/>
  <c r="AR83" s="1"/>
  <c r="AE86"/>
  <c r="AF86" s="1"/>
  <c r="AR86" s="1"/>
  <c r="AT86" s="1"/>
  <c r="BB86" s="1"/>
  <c r="U136"/>
  <c r="AQ14"/>
  <c r="AQ26"/>
  <c r="AE35"/>
  <c r="AF35" s="1"/>
  <c r="AR35" s="1"/>
  <c r="AE53"/>
  <c r="AF53" s="1"/>
  <c r="AR53" s="1"/>
  <c r="AT53" s="1"/>
  <c r="BB53" s="1"/>
  <c r="AE67"/>
  <c r="AF67" s="1"/>
  <c r="AR67" s="1"/>
  <c r="AT67" s="1"/>
  <c r="BB67" s="1"/>
  <c r="AE70"/>
  <c r="AF70" s="1"/>
  <c r="AR70" s="1"/>
  <c r="AQ77"/>
  <c r="AE82"/>
  <c r="AF82" s="1"/>
  <c r="AR82" s="1"/>
  <c r="AT82" s="1"/>
  <c r="BB82" s="1"/>
  <c r="AQ34"/>
  <c r="AB59"/>
  <c r="AE50"/>
  <c r="AF50" s="1"/>
  <c r="AR50" s="1"/>
  <c r="AE52"/>
  <c r="AF52" s="1"/>
  <c r="AR52" s="1"/>
  <c r="AT52" s="1"/>
  <c r="BB52" s="1"/>
  <c r="S79"/>
  <c r="S40" s="1"/>
  <c r="S31" s="1"/>
  <c r="AN76"/>
  <c r="AS76" s="1"/>
  <c r="AN98"/>
  <c r="AS98" s="1"/>
  <c r="AN105"/>
  <c r="AS105" s="1"/>
  <c r="AE41"/>
  <c r="AE48"/>
  <c r="AF48" s="1"/>
  <c r="AR48" s="1"/>
  <c r="AE51"/>
  <c r="AF51" s="1"/>
  <c r="AR51" s="1"/>
  <c r="T79"/>
  <c r="AS71"/>
  <c r="AT72"/>
  <c r="BB72" s="1"/>
  <c r="AS73"/>
  <c r="AN75"/>
  <c r="AS75" s="1"/>
  <c r="AB79"/>
  <c r="AT84"/>
  <c r="BB84" s="1"/>
  <c r="AS85"/>
  <c r="AQ89"/>
  <c r="AE99"/>
  <c r="AF99" s="1"/>
  <c r="AR99" s="1"/>
  <c r="AN102"/>
  <c r="AS102" s="1"/>
  <c r="AM113"/>
  <c r="AN104"/>
  <c r="AS104" s="1"/>
  <c r="AT111"/>
  <c r="BB111" s="1"/>
  <c r="AN122"/>
  <c r="AS122" s="1"/>
  <c r="AN141"/>
  <c r="AN142" s="1"/>
  <c r="AF150"/>
  <c r="AR150" s="1"/>
  <c r="AS41"/>
  <c r="AS60"/>
  <c r="AN87"/>
  <c r="AS87" s="1"/>
  <c r="AN94"/>
  <c r="AE97"/>
  <c r="AF97" s="1"/>
  <c r="AR97" s="1"/>
  <c r="AE98"/>
  <c r="AF98" s="1"/>
  <c r="AR98" s="1"/>
  <c r="AQ104"/>
  <c r="M107"/>
  <c r="AQ107" s="1"/>
  <c r="AF121"/>
  <c r="AR121" s="1"/>
  <c r="AQ123"/>
  <c r="AE128"/>
  <c r="AF128" s="1"/>
  <c r="AR128" s="1"/>
  <c r="AE135"/>
  <c r="AF135" s="1"/>
  <c r="AR135" s="1"/>
  <c r="M138"/>
  <c r="AQ138" s="1"/>
  <c r="AE140"/>
  <c r="AS150"/>
  <c r="AQ152"/>
  <c r="L101"/>
  <c r="AQ94"/>
  <c r="AE95"/>
  <c r="AF95" s="1"/>
  <c r="AR95" s="1"/>
  <c r="AS121"/>
  <c r="AE134"/>
  <c r="AF134" s="1"/>
  <c r="AR134" s="1"/>
  <c r="AS140"/>
  <c r="AE149"/>
  <c r="AF149" s="1"/>
  <c r="AR149" s="1"/>
  <c r="R101"/>
  <c r="AS94"/>
  <c r="AQ96"/>
  <c r="R136"/>
  <c r="L139"/>
  <c r="M137"/>
  <c r="AQ137" s="1"/>
  <c r="AF148"/>
  <c r="AR148" s="1"/>
  <c r="M157"/>
  <c r="AQ157" s="1"/>
  <c r="AQ90"/>
  <c r="AT100"/>
  <c r="BB100" s="1"/>
  <c r="R113"/>
  <c r="AE126"/>
  <c r="AF126" s="1"/>
  <c r="AR126" s="1"/>
  <c r="AE132"/>
  <c r="AF132" s="1"/>
  <c r="AR132" s="1"/>
  <c r="AS155"/>
  <c r="AS227"/>
  <c r="AN88"/>
  <c r="AS88" s="1"/>
  <c r="T101"/>
  <c r="AQ99"/>
  <c r="S113"/>
  <c r="S93" s="1"/>
  <c r="T136"/>
  <c r="AQ133"/>
  <c r="AS148"/>
  <c r="AE154"/>
  <c r="AF154" s="1"/>
  <c r="AR154" s="1"/>
  <c r="AQ57"/>
  <c r="AQ64"/>
  <c r="AQ76"/>
  <c r="AQ88"/>
  <c r="U101"/>
  <c r="T113"/>
  <c r="AE107"/>
  <c r="AF107" s="1"/>
  <c r="AR107" s="1"/>
  <c r="AE109"/>
  <c r="AF109" s="1"/>
  <c r="AR109" s="1"/>
  <c r="M149"/>
  <c r="AE153"/>
  <c r="AF153" s="1"/>
  <c r="AR153" s="1"/>
  <c r="Y178"/>
  <c r="AT214"/>
  <c r="AX214" s="1"/>
  <c r="AQ50"/>
  <c r="AQ69"/>
  <c r="U113"/>
  <c r="AE106"/>
  <c r="AF106" s="1"/>
  <c r="AR106" s="1"/>
  <c r="AT106" s="1"/>
  <c r="BB106" s="1"/>
  <c r="AF110"/>
  <c r="AR110" s="1"/>
  <c r="AE114"/>
  <c r="Y136"/>
  <c r="AR131"/>
  <c r="T168"/>
  <c r="T143" s="1"/>
  <c r="M81"/>
  <c r="M91" s="1"/>
  <c r="M80" s="1"/>
  <c r="Y113"/>
  <c r="Y93" s="1"/>
  <c r="AQ112"/>
  <c r="AB136"/>
  <c r="AS117"/>
  <c r="AQ119"/>
  <c r="AF151"/>
  <c r="AR151" s="1"/>
  <c r="AS154"/>
  <c r="AT208"/>
  <c r="BB208" s="1"/>
  <c r="AE94"/>
  <c r="AE105"/>
  <c r="AF105" s="1"/>
  <c r="AR105" s="1"/>
  <c r="AQ108"/>
  <c r="AM136"/>
  <c r="AQ132"/>
  <c r="AT164"/>
  <c r="BB164" s="1"/>
  <c r="AS95"/>
  <c r="AQ105"/>
  <c r="AQ121"/>
  <c r="AQ140"/>
  <c r="AQ147"/>
  <c r="AM168"/>
  <c r="S178"/>
  <c r="S143" s="1"/>
  <c r="AN173"/>
  <c r="AS173" s="1"/>
  <c r="AN181"/>
  <c r="AS181" s="1"/>
  <c r="AS197"/>
  <c r="T222"/>
  <c r="T202" s="1"/>
  <c r="AE219"/>
  <c r="AF219" s="1"/>
  <c r="AR219" s="1"/>
  <c r="L222"/>
  <c r="L202" s="1"/>
  <c r="M232"/>
  <c r="AE235"/>
  <c r="AF235" s="1"/>
  <c r="AR235" s="1"/>
  <c r="AQ98"/>
  <c r="AN103"/>
  <c r="AS103" s="1"/>
  <c r="AN119"/>
  <c r="AS119" s="1"/>
  <c r="AN138"/>
  <c r="AS138" s="1"/>
  <c r="AM142"/>
  <c r="AS145"/>
  <c r="AS152"/>
  <c r="AQ158"/>
  <c r="AT158" s="1"/>
  <c r="BB158" s="1"/>
  <c r="AS166"/>
  <c r="AN188"/>
  <c r="AS188" s="1"/>
  <c r="U222"/>
  <c r="U202" s="1"/>
  <c r="AE226"/>
  <c r="AF226" s="1"/>
  <c r="AR226" s="1"/>
  <c r="AB242"/>
  <c r="AE237"/>
  <c r="Y168"/>
  <c r="AE161"/>
  <c r="AF161" s="1"/>
  <c r="AR161" s="1"/>
  <c r="AT161" s="1"/>
  <c r="BB161" s="1"/>
  <c r="AF163"/>
  <c r="AR163" s="1"/>
  <c r="AS167"/>
  <c r="U178"/>
  <c r="Y222"/>
  <c r="Y202" s="1"/>
  <c r="AB222"/>
  <c r="AB202" s="1"/>
  <c r="AQ213"/>
  <c r="AS220"/>
  <c r="S232"/>
  <c r="L113"/>
  <c r="AC168"/>
  <c r="AC143" s="1"/>
  <c r="AC92" s="1"/>
  <c r="AQ150"/>
  <c r="AQ159"/>
  <c r="AT159" s="1"/>
  <c r="BB159" s="1"/>
  <c r="AS162"/>
  <c r="AB178"/>
  <c r="AE193"/>
  <c r="AF193" s="1"/>
  <c r="AR193" s="1"/>
  <c r="U224"/>
  <c r="U223" s="1"/>
  <c r="AS234"/>
  <c r="AE240"/>
  <c r="AF240" s="1"/>
  <c r="AR240" s="1"/>
  <c r="AQ122"/>
  <c r="AQ131"/>
  <c r="AB142"/>
  <c r="AQ148"/>
  <c r="AM178"/>
  <c r="AS211"/>
  <c r="Y232"/>
  <c r="Y224" s="1"/>
  <c r="Y223" s="1"/>
  <c r="AB236"/>
  <c r="AN120"/>
  <c r="AS120" s="1"/>
  <c r="AN127"/>
  <c r="AS127" s="1"/>
  <c r="L136"/>
  <c r="M141"/>
  <c r="M142" s="1"/>
  <c r="AS146"/>
  <c r="AS156"/>
  <c r="AF157"/>
  <c r="AR157" s="1"/>
  <c r="AN160"/>
  <c r="AS160" s="1"/>
  <c r="AQ162"/>
  <c r="AN169"/>
  <c r="AQ171"/>
  <c r="AF175"/>
  <c r="AR175" s="1"/>
  <c r="R201"/>
  <c r="R179" s="1"/>
  <c r="AF191"/>
  <c r="AR191" s="1"/>
  <c r="AE198"/>
  <c r="AF198" s="1"/>
  <c r="AR198" s="1"/>
  <c r="AS203"/>
  <c r="AE207"/>
  <c r="AF207" s="1"/>
  <c r="AR207" s="1"/>
  <c r="AT212"/>
  <c r="BB212" s="1"/>
  <c r="AB232"/>
  <c r="AB224" s="1"/>
  <c r="AB223" s="1"/>
  <c r="AN241"/>
  <c r="AS241" s="1"/>
  <c r="AQ120"/>
  <c r="AQ127"/>
  <c r="AQ146"/>
  <c r="AQ176"/>
  <c r="AT176" s="1"/>
  <c r="BB176" s="1"/>
  <c r="Y201"/>
  <c r="Y179" s="1"/>
  <c r="M242"/>
  <c r="AQ97"/>
  <c r="AQ109"/>
  <c r="AN114"/>
  <c r="AQ125"/>
  <c r="AQ134"/>
  <c r="L168"/>
  <c r="M153"/>
  <c r="AQ153" s="1"/>
  <c r="AQ170"/>
  <c r="T201"/>
  <c r="T179" s="1"/>
  <c r="AQ185"/>
  <c r="AS190"/>
  <c r="AE196"/>
  <c r="AF196" s="1"/>
  <c r="AR196" s="1"/>
  <c r="AQ203"/>
  <c r="AE216"/>
  <c r="AF216" s="1"/>
  <c r="AR216" s="1"/>
  <c r="AF225"/>
  <c r="R242"/>
  <c r="R224" s="1"/>
  <c r="R223" s="1"/>
  <c r="M116"/>
  <c r="AQ144"/>
  <c r="AF174"/>
  <c r="AR174" s="1"/>
  <c r="U201"/>
  <c r="U179" s="1"/>
  <c r="AQ183"/>
  <c r="AQ199"/>
  <c r="L201"/>
  <c r="L179" s="1"/>
  <c r="S242"/>
  <c r="R168"/>
  <c r="R143" s="1"/>
  <c r="L178"/>
  <c r="M169"/>
  <c r="AQ169" s="1"/>
  <c r="AS174"/>
  <c r="AE203"/>
  <c r="R222"/>
  <c r="R202" s="1"/>
  <c r="AQ174"/>
  <c r="AQ206"/>
  <c r="AQ220"/>
  <c r="AQ227"/>
  <c r="AQ234"/>
  <c r="AQ241"/>
  <c r="AU241" s="1"/>
  <c r="AN165"/>
  <c r="AS165" s="1"/>
  <c r="AN172"/>
  <c r="AS172" s="1"/>
  <c r="M181"/>
  <c r="AQ181" s="1"/>
  <c r="AN186"/>
  <c r="AS186" s="1"/>
  <c r="M188"/>
  <c r="AQ188" s="1"/>
  <c r="AS195"/>
  <c r="AS218"/>
  <c r="AM222"/>
  <c r="AM202" s="1"/>
  <c r="AN225"/>
  <c r="AS225" s="1"/>
  <c r="AN239"/>
  <c r="AS239" s="1"/>
  <c r="AQ165"/>
  <c r="AQ172"/>
  <c r="AF182"/>
  <c r="AR182" s="1"/>
  <c r="AM201"/>
  <c r="AM179" s="1"/>
  <c r="AQ225"/>
  <c r="AM236"/>
  <c r="AQ239"/>
  <c r="AN163"/>
  <c r="AS163" s="1"/>
  <c r="AN170"/>
  <c r="AS170" s="1"/>
  <c r="AS177"/>
  <c r="AQ209"/>
  <c r="AT209" s="1"/>
  <c r="BB209" s="1"/>
  <c r="AQ230"/>
  <c r="AE233"/>
  <c r="AN237"/>
  <c r="AS200"/>
  <c r="AS207"/>
  <c r="AS221"/>
  <c r="AS228"/>
  <c r="AQ207"/>
  <c r="AQ221"/>
  <c r="AQ228"/>
  <c r="AM232"/>
  <c r="L242"/>
  <c r="M175"/>
  <c r="AQ175" s="1"/>
  <c r="AN180"/>
  <c r="AS180" s="1"/>
  <c r="AN187"/>
  <c r="AS187" s="1"/>
  <c r="AS196"/>
  <c r="AS205"/>
  <c r="AS219"/>
  <c r="AS226"/>
  <c r="AN233"/>
  <c r="AN236" s="1"/>
  <c r="M235"/>
  <c r="M236" s="1"/>
  <c r="AS237"/>
  <c r="AN240"/>
  <c r="AS240" s="1"/>
  <c r="AQ166"/>
  <c r="AT166" s="1"/>
  <c r="BB166" s="1"/>
  <c r="AQ173"/>
  <c r="AQ180"/>
  <c r="AQ187"/>
  <c r="AQ196"/>
  <c r="AQ205"/>
  <c r="AQ219"/>
  <c r="AQ226"/>
  <c r="AQ233"/>
  <c r="AQ240"/>
  <c r="AE158" i="1"/>
  <c r="AE214"/>
  <c r="AF214" s="1"/>
  <c r="AR214" s="1"/>
  <c r="AS214"/>
  <c r="AS227"/>
  <c r="AT227" s="1"/>
  <c r="BB227" s="1"/>
  <c r="AE209"/>
  <c r="AF209" s="1"/>
  <c r="AR209" s="1"/>
  <c r="AQ214"/>
  <c r="AE205"/>
  <c r="AF205" s="1"/>
  <c r="AR205" s="1"/>
  <c r="AS209"/>
  <c r="AQ209"/>
  <c r="AE195"/>
  <c r="AF195" s="1"/>
  <c r="AR195" s="1"/>
  <c r="AS205"/>
  <c r="AQ205"/>
  <c r="AE198"/>
  <c r="AF198" s="1"/>
  <c r="AR198" s="1"/>
  <c r="AQ195"/>
  <c r="M198"/>
  <c r="AQ198" s="1"/>
  <c r="AE176"/>
  <c r="AF176" s="1"/>
  <c r="AR176" s="1"/>
  <c r="AE166"/>
  <c r="AF166" s="1"/>
  <c r="AR166" s="1"/>
  <c r="AS176"/>
  <c r="AQ176"/>
  <c r="AE152"/>
  <c r="AF152" s="1"/>
  <c r="AR152" s="1"/>
  <c r="AQ166"/>
  <c r="AQ152"/>
  <c r="AE155"/>
  <c r="AF155" s="1"/>
  <c r="AR155" s="1"/>
  <c r="AS155"/>
  <c r="AQ155"/>
  <c r="AF148"/>
  <c r="AR148" s="1"/>
  <c r="AS152"/>
  <c r="AE146"/>
  <c r="AF146" s="1"/>
  <c r="AR146" s="1"/>
  <c r="AE145"/>
  <c r="AF145" s="1"/>
  <c r="AR145" s="1"/>
  <c r="AS148"/>
  <c r="AQ148"/>
  <c r="AQ145"/>
  <c r="AS145"/>
  <c r="AS146"/>
  <c r="AQ146"/>
  <c r="AE131"/>
  <c r="AF131" s="1"/>
  <c r="AR131" s="1"/>
  <c r="AQ131"/>
  <c r="M15" i="12" l="1"/>
  <c r="L224"/>
  <c r="L223" s="1"/>
  <c r="M25"/>
  <c r="AQ7"/>
  <c r="BF214" i="23"/>
  <c r="BJ214" s="1"/>
  <c r="M139" i="12"/>
  <c r="M113"/>
  <c r="AR224" i="16"/>
  <c r="AR223" s="1"/>
  <c r="BV36" i="18"/>
  <c r="BV35" s="1"/>
  <c r="BV34" s="1"/>
  <c r="AR136" i="16"/>
  <c r="BV24" i="18" s="1"/>
  <c r="AR113" i="16"/>
  <c r="BV23" i="18" s="1"/>
  <c r="BI36"/>
  <c r="BI35" s="1"/>
  <c r="BI34" s="1"/>
  <c r="AR224" i="15"/>
  <c r="AR223" s="1"/>
  <c r="AR201"/>
  <c r="S143"/>
  <c r="AR136"/>
  <c r="BI24" i="18" s="1"/>
  <c r="AR113" i="15"/>
  <c r="BI23" i="18" s="1"/>
  <c r="AR201" i="14"/>
  <c r="AV31" i="18" s="1"/>
  <c r="AV30" s="1"/>
  <c r="AR178" i="14"/>
  <c r="AV29" i="18" s="1"/>
  <c r="AR113" i="14"/>
  <c r="AV23" i="18" s="1"/>
  <c r="AU215" i="12"/>
  <c r="AT215"/>
  <c r="AE7"/>
  <c r="AF7" s="1"/>
  <c r="AT218"/>
  <c r="BB218" s="1"/>
  <c r="AT186"/>
  <c r="BB186" s="1"/>
  <c r="AT160"/>
  <c r="BB160" s="1"/>
  <c r="AT213"/>
  <c r="AU213"/>
  <c r="AT147"/>
  <c r="BB147" s="1"/>
  <c r="AT69"/>
  <c r="BB69" s="1"/>
  <c r="AT155"/>
  <c r="BB155" s="1"/>
  <c r="AT28"/>
  <c r="BB28" s="1"/>
  <c r="AT43"/>
  <c r="BB43" s="1"/>
  <c r="AT55"/>
  <c r="BB55" s="1"/>
  <c r="AF139"/>
  <c r="AT177"/>
  <c r="BB177" s="1"/>
  <c r="AT183"/>
  <c r="BB183" s="1"/>
  <c r="AU203"/>
  <c r="AT97"/>
  <c r="BB97" s="1"/>
  <c r="AT138"/>
  <c r="BB138" s="1"/>
  <c r="AT77"/>
  <c r="BB77" s="1"/>
  <c r="AT66"/>
  <c r="BB66" s="1"/>
  <c r="AU210"/>
  <c r="AT229"/>
  <c r="BB229" s="1"/>
  <c r="AN79"/>
  <c r="AU207"/>
  <c r="AT199"/>
  <c r="BB199" s="1"/>
  <c r="AT185"/>
  <c r="BB185" s="1"/>
  <c r="AT109"/>
  <c r="BB109" s="1"/>
  <c r="AT156"/>
  <c r="BB156" s="1"/>
  <c r="AT211"/>
  <c r="AT197"/>
  <c r="BB197" s="1"/>
  <c r="AT112"/>
  <c r="BB112" s="1"/>
  <c r="AT96"/>
  <c r="BB96" s="1"/>
  <c r="AT189"/>
  <c r="BB189" s="1"/>
  <c r="AT20"/>
  <c r="BB20" s="1"/>
  <c r="L143"/>
  <c r="AS141"/>
  <c r="AU240"/>
  <c r="AT230"/>
  <c r="AU230"/>
  <c r="AT181"/>
  <c r="BB181" s="1"/>
  <c r="AT234"/>
  <c r="BB234" s="1"/>
  <c r="AT190"/>
  <c r="BB190" s="1"/>
  <c r="AT171"/>
  <c r="BB171" s="1"/>
  <c r="AT34"/>
  <c r="BB34" s="1"/>
  <c r="AT14"/>
  <c r="BB14" s="1"/>
  <c r="AT61"/>
  <c r="BB61" s="1"/>
  <c r="AT42"/>
  <c r="BB42" s="1"/>
  <c r="AT13"/>
  <c r="BB13" s="1"/>
  <c r="AT62"/>
  <c r="BB62" s="1"/>
  <c r="AT95"/>
  <c r="BB95" s="1"/>
  <c r="AC8"/>
  <c r="AE8" s="1"/>
  <c r="AF8" s="1"/>
  <c r="AR8" s="1"/>
  <c r="AX231"/>
  <c r="AE232"/>
  <c r="AX211"/>
  <c r="AT217"/>
  <c r="AX213"/>
  <c r="AX215"/>
  <c r="AT194"/>
  <c r="BB194" s="1"/>
  <c r="AT191"/>
  <c r="AT184"/>
  <c r="BB184" s="1"/>
  <c r="AT182"/>
  <c r="BB182" s="1"/>
  <c r="AT138" i="21"/>
  <c r="BB138" s="1"/>
  <c r="AS139"/>
  <c r="AX143" i="12"/>
  <c r="AB28" i="18"/>
  <c r="AB27" s="1"/>
  <c r="AT111" i="16"/>
  <c r="AS113"/>
  <c r="BW23" i="18" s="1"/>
  <c r="AS113" i="14"/>
  <c r="AW23" i="18" s="1"/>
  <c r="AS136" i="14"/>
  <c r="AT134"/>
  <c r="BB134" s="1"/>
  <c r="AT124"/>
  <c r="BB124" s="1"/>
  <c r="AM6" i="13"/>
  <c r="AM5" s="1"/>
  <c r="AS232" i="16"/>
  <c r="AN113" i="17"/>
  <c r="AS142" i="15"/>
  <c r="BJ26" i="18" s="1"/>
  <c r="AT135" i="16"/>
  <c r="BB135" s="1"/>
  <c r="AS101" i="15"/>
  <c r="AS139" i="16"/>
  <c r="BW25" i="18" s="1"/>
  <c r="AS136" i="16"/>
  <c r="AS140" i="17"/>
  <c r="AS142" s="1"/>
  <c r="AT231"/>
  <c r="BB231" s="1"/>
  <c r="AS136" i="15"/>
  <c r="BJ24" i="18" s="1"/>
  <c r="AS101" i="14"/>
  <c r="AW22" i="18" s="1"/>
  <c r="AT123" i="14"/>
  <c r="BB123" s="1"/>
  <c r="AS139" i="15"/>
  <c r="BJ25" i="18" s="1"/>
  <c r="AS113" i="15"/>
  <c r="BJ23" i="18" s="1"/>
  <c r="AT99" i="16"/>
  <c r="AS101"/>
  <c r="BW22" i="18" s="1"/>
  <c r="AT231" i="23"/>
  <c r="BB231" s="1"/>
  <c r="AM93"/>
  <c r="AS140" i="21"/>
  <c r="AS142" s="1"/>
  <c r="AT130" i="12"/>
  <c r="BB130" s="1"/>
  <c r="AT123"/>
  <c r="BB123" s="1"/>
  <c r="AT121"/>
  <c r="BB121" s="1"/>
  <c r="AT133"/>
  <c r="BB133" s="1"/>
  <c r="AT128"/>
  <c r="BB128" s="1"/>
  <c r="AQ237" i="13"/>
  <c r="AT108"/>
  <c r="BB108" s="1"/>
  <c r="AT11"/>
  <c r="BB11" s="1"/>
  <c r="AC92"/>
  <c r="M168"/>
  <c r="M222"/>
  <c r="M202" s="1"/>
  <c r="AT51"/>
  <c r="BB51" s="1"/>
  <c r="AT121"/>
  <c r="BB121" s="1"/>
  <c r="AT129"/>
  <c r="BB129" s="1"/>
  <c r="M178"/>
  <c r="AT172"/>
  <c r="BB172" s="1"/>
  <c r="AE7"/>
  <c r="AT118"/>
  <c r="BB118" s="1"/>
  <c r="AS201"/>
  <c r="AT192"/>
  <c r="AT185"/>
  <c r="BB185" s="1"/>
  <c r="AS178"/>
  <c r="AJ29" i="18" s="1"/>
  <c r="AT14" i="13"/>
  <c r="BB14" s="1"/>
  <c r="AT45"/>
  <c r="BB45" s="1"/>
  <c r="AT61"/>
  <c r="BB61" s="1"/>
  <c r="AT53"/>
  <c r="BB53" s="1"/>
  <c r="AT35"/>
  <c r="BB35" s="1"/>
  <c r="AQ144"/>
  <c r="AT138"/>
  <c r="BB138" s="1"/>
  <c r="AL20" i="18"/>
  <c r="AO20"/>
  <c r="AC8" i="13"/>
  <c r="AE8" s="1"/>
  <c r="AF8" s="1"/>
  <c r="AR8" s="1"/>
  <c r="AS142"/>
  <c r="AJ26" i="18" s="1"/>
  <c r="AT57" i="13"/>
  <c r="BB57" s="1"/>
  <c r="AT21"/>
  <c r="BB21" s="1"/>
  <c r="AT73"/>
  <c r="BB73" s="1"/>
  <c r="AS17"/>
  <c r="AJ9" i="18" s="1"/>
  <c r="AT23" i="13"/>
  <c r="BB23" s="1"/>
  <c r="AT50"/>
  <c r="BB50" s="1"/>
  <c r="AT68"/>
  <c r="BB68" s="1"/>
  <c r="AT70"/>
  <c r="BB70" s="1"/>
  <c r="AQ21" i="18"/>
  <c r="AQ20" s="1"/>
  <c r="AS101" i="13"/>
  <c r="AJ22" i="18" s="1"/>
  <c r="AV92" i="13"/>
  <c r="AT213"/>
  <c r="BB213" s="1"/>
  <c r="AT42"/>
  <c r="BB42" s="1"/>
  <c r="AT231"/>
  <c r="BB231" s="1"/>
  <c r="AN59"/>
  <c r="AS236"/>
  <c r="AJ37" i="18" s="1"/>
  <c r="AT200" i="13"/>
  <c r="AS232"/>
  <c r="AJ36" i="18" s="1"/>
  <c r="AT76" i="13"/>
  <c r="BB76" s="1"/>
  <c r="AT54"/>
  <c r="BB54" s="1"/>
  <c r="AT75"/>
  <c r="BB75" s="1"/>
  <c r="AT27"/>
  <c r="BB27" s="1"/>
  <c r="AT74"/>
  <c r="BB74" s="1"/>
  <c r="AT78"/>
  <c r="BB78" s="1"/>
  <c r="AT69"/>
  <c r="BB69" s="1"/>
  <c r="AP20" i="18"/>
  <c r="AT212" i="13"/>
  <c r="BB212" s="1"/>
  <c r="AT182"/>
  <c r="BB182" s="1"/>
  <c r="AT193"/>
  <c r="BB193" s="1"/>
  <c r="AT111"/>
  <c r="BB111" s="1"/>
  <c r="AT58" i="12"/>
  <c r="BB58" s="1"/>
  <c r="AS25" i="23"/>
  <c r="AT174"/>
  <c r="BB174" s="1"/>
  <c r="AN242"/>
  <c r="AS140"/>
  <c r="AS142" s="1"/>
  <c r="AT99"/>
  <c r="BB99" s="1"/>
  <c r="AT191"/>
  <c r="BB191" s="1"/>
  <c r="AT29"/>
  <c r="BB29" s="1"/>
  <c r="AS16"/>
  <c r="AS17" s="1"/>
  <c r="AT124"/>
  <c r="BB124" s="1"/>
  <c r="AT141" i="22"/>
  <c r="BB141" s="1"/>
  <c r="AT124"/>
  <c r="BB124" s="1"/>
  <c r="AN39"/>
  <c r="AN32" s="1"/>
  <c r="AN222"/>
  <c r="AN202" s="1"/>
  <c r="AS137"/>
  <c r="AS139" s="1"/>
  <c r="AN25"/>
  <c r="AT75"/>
  <c r="BB75" s="1"/>
  <c r="AS26"/>
  <c r="AS30" s="1"/>
  <c r="AT76" i="21"/>
  <c r="BB76" s="1"/>
  <c r="AN139"/>
  <c r="AT100"/>
  <c r="BB100" s="1"/>
  <c r="AT99"/>
  <c r="BB99" s="1"/>
  <c r="AT108"/>
  <c r="BB108" s="1"/>
  <c r="AT176"/>
  <c r="BB176" s="1"/>
  <c r="AM6"/>
  <c r="AM5" s="1"/>
  <c r="AT141"/>
  <c r="BB141" s="1"/>
  <c r="AT124"/>
  <c r="BB124" s="1"/>
  <c r="AT68" i="23"/>
  <c r="BB68" s="1"/>
  <c r="AF232" i="22"/>
  <c r="AT129" i="23"/>
  <c r="BB129" s="1"/>
  <c r="AT135" i="22"/>
  <c r="BB135" s="1"/>
  <c r="AT48"/>
  <c r="BB48" s="1"/>
  <c r="AB31" i="21"/>
  <c r="AE25" i="22"/>
  <c r="AT199" i="21"/>
  <c r="BB199" s="1"/>
  <c r="AT119"/>
  <c r="BB119" s="1"/>
  <c r="AT24"/>
  <c r="BB24" s="1"/>
  <c r="AT35"/>
  <c r="BB35" s="1"/>
  <c r="AT171"/>
  <c r="BB171" s="1"/>
  <c r="AT187"/>
  <c r="BB187" s="1"/>
  <c r="AT160"/>
  <c r="BB160" s="1"/>
  <c r="AE25"/>
  <c r="AT147" i="23"/>
  <c r="BB147" s="1"/>
  <c r="AT198"/>
  <c r="BB198" s="1"/>
  <c r="AT63"/>
  <c r="BB63" s="1"/>
  <c r="AE79"/>
  <c r="AT158"/>
  <c r="BB158" s="1"/>
  <c r="AT44"/>
  <c r="BB44" s="1"/>
  <c r="AR178"/>
  <c r="AT42"/>
  <c r="BB42" s="1"/>
  <c r="AF178"/>
  <c r="AT160"/>
  <c r="BB160" s="1"/>
  <c r="T92"/>
  <c r="AT35"/>
  <c r="BB35" s="1"/>
  <c r="AT146"/>
  <c r="BB146" s="1"/>
  <c r="AT132"/>
  <c r="BB132" s="1"/>
  <c r="AT66"/>
  <c r="BB66" s="1"/>
  <c r="T6"/>
  <c r="T5" s="1"/>
  <c r="U6"/>
  <c r="U5" s="1"/>
  <c r="AE178"/>
  <c r="AT171"/>
  <c r="BB171" s="1"/>
  <c r="AT36"/>
  <c r="BB36" s="1"/>
  <c r="AT13"/>
  <c r="BB13" s="1"/>
  <c r="S6"/>
  <c r="S5" s="1"/>
  <c r="AT45"/>
  <c r="BB45" s="1"/>
  <c r="AE59" i="22"/>
  <c r="AT199"/>
  <c r="BB199" s="1"/>
  <c r="AT77"/>
  <c r="BB77" s="1"/>
  <c r="AT235"/>
  <c r="BB235" s="1"/>
  <c r="U92"/>
  <c r="AT121" i="21"/>
  <c r="BB121" s="1"/>
  <c r="AT103"/>
  <c r="BB103" s="1"/>
  <c r="AT62"/>
  <c r="BB62" s="1"/>
  <c r="AT210"/>
  <c r="BB210" s="1"/>
  <c r="U31"/>
  <c r="AT49"/>
  <c r="BB49" s="1"/>
  <c r="AT164" i="23"/>
  <c r="BB164" s="1"/>
  <c r="AT76"/>
  <c r="BB76" s="1"/>
  <c r="AQ235"/>
  <c r="AT67"/>
  <c r="BB67" s="1"/>
  <c r="M25"/>
  <c r="M232"/>
  <c r="AT104"/>
  <c r="BB104" s="1"/>
  <c r="M113"/>
  <c r="AT64"/>
  <c r="BB64" s="1"/>
  <c r="AT241"/>
  <c r="BB241" s="1"/>
  <c r="AT86"/>
  <c r="BB86" s="1"/>
  <c r="AQ41"/>
  <c r="AT48"/>
  <c r="BB48" s="1"/>
  <c r="AT184"/>
  <c r="BB184" s="1"/>
  <c r="AQ26"/>
  <c r="AQ30" s="1"/>
  <c r="AT70"/>
  <c r="BB70" s="1"/>
  <c r="L40"/>
  <c r="AQ16"/>
  <c r="AQ17" s="1"/>
  <c r="AT177"/>
  <c r="BB177" s="1"/>
  <c r="L6"/>
  <c r="L5" s="1"/>
  <c r="L143" i="22"/>
  <c r="L6"/>
  <c r="L5" s="1"/>
  <c r="AT156"/>
  <c r="BB156" s="1"/>
  <c r="AT99"/>
  <c r="BB99" s="1"/>
  <c r="AQ9"/>
  <c r="AT9" s="1"/>
  <c r="BB9" s="1"/>
  <c r="L224"/>
  <c r="L223" s="1"/>
  <c r="AT216"/>
  <c r="BB216" s="1"/>
  <c r="AT105"/>
  <c r="BB105" s="1"/>
  <c r="M6"/>
  <c r="M5" s="1"/>
  <c r="AQ102"/>
  <c r="AT111"/>
  <c r="BB111" s="1"/>
  <c r="AT217"/>
  <c r="BB217" s="1"/>
  <c r="AT214"/>
  <c r="BB214" s="1"/>
  <c r="AT183"/>
  <c r="BB183" s="1"/>
  <c r="L40"/>
  <c r="L31" s="1"/>
  <c r="AQ181"/>
  <c r="AT116"/>
  <c r="AT72"/>
  <c r="BB72" s="1"/>
  <c r="AQ79"/>
  <c r="AT51"/>
  <c r="BB51" s="1"/>
  <c r="AT213" i="21"/>
  <c r="BB213" s="1"/>
  <c r="AT216"/>
  <c r="BB216" s="1"/>
  <c r="AT165"/>
  <c r="BB165" s="1"/>
  <c r="AT135"/>
  <c r="BB135" s="1"/>
  <c r="AT90"/>
  <c r="BB90" s="1"/>
  <c r="AT218"/>
  <c r="BB218" s="1"/>
  <c r="AT189"/>
  <c r="BB189" s="1"/>
  <c r="AT9"/>
  <c r="BB9" s="1"/>
  <c r="AT177"/>
  <c r="BB177" s="1"/>
  <c r="AT110"/>
  <c r="BB110" s="1"/>
  <c r="AT157"/>
  <c r="BB157" s="1"/>
  <c r="AT211"/>
  <c r="BB211" s="1"/>
  <c r="AT191"/>
  <c r="BB191" s="1"/>
  <c r="M101"/>
  <c r="AT123"/>
  <c r="BB123" s="1"/>
  <c r="AT84"/>
  <c r="BB84" s="1"/>
  <c r="AT37"/>
  <c r="BB37" s="1"/>
  <c r="AT128"/>
  <c r="BB128" s="1"/>
  <c r="AT173"/>
  <c r="BB173" s="1"/>
  <c r="AT120"/>
  <c r="BB120" s="1"/>
  <c r="AQ112"/>
  <c r="AT73"/>
  <c r="BB73" s="1"/>
  <c r="AT51"/>
  <c r="BB51" s="1"/>
  <c r="M222"/>
  <c r="M202" s="1"/>
  <c r="AT126"/>
  <c r="BB126" s="1"/>
  <c r="AT87"/>
  <c r="BB87" s="1"/>
  <c r="AQ232"/>
  <c r="AT98"/>
  <c r="BB98" s="1"/>
  <c r="AT97"/>
  <c r="BB97" s="1"/>
  <c r="AQ235" i="17"/>
  <c r="AT235" s="1"/>
  <c r="BB235" s="1"/>
  <c r="AT217"/>
  <c r="BB217" s="1"/>
  <c r="AT215"/>
  <c r="BB215" s="1"/>
  <c r="AT210"/>
  <c r="BB210" s="1"/>
  <c r="AT194"/>
  <c r="BB194" s="1"/>
  <c r="AT189"/>
  <c r="BB189" s="1"/>
  <c r="AT188"/>
  <c r="BB188" s="1"/>
  <c r="AT177"/>
  <c r="BB177" s="1"/>
  <c r="AT154"/>
  <c r="BB154" s="1"/>
  <c r="AT164"/>
  <c r="BB164" s="1"/>
  <c r="AT158"/>
  <c r="BB158" s="1"/>
  <c r="AT148"/>
  <c r="AT152"/>
  <c r="BB152" s="1"/>
  <c r="AT155"/>
  <c r="BB155" s="1"/>
  <c r="AT146"/>
  <c r="BB146" s="1"/>
  <c r="AR136" i="14"/>
  <c r="AT88" i="16"/>
  <c r="BB88" s="1"/>
  <c r="AT83"/>
  <c r="BB83" s="1"/>
  <c r="AT90"/>
  <c r="BB90" s="1"/>
  <c r="AT87"/>
  <c r="BB87" s="1"/>
  <c r="AV31"/>
  <c r="AT63"/>
  <c r="BB63" s="1"/>
  <c r="AT61"/>
  <c r="BB61" s="1"/>
  <c r="AT71"/>
  <c r="BB71" s="1"/>
  <c r="S31"/>
  <c r="M79"/>
  <c r="AQ79"/>
  <c r="BU17" i="18" s="1"/>
  <c r="M40" i="16"/>
  <c r="AT72"/>
  <c r="BB72" s="1"/>
  <c r="AT76"/>
  <c r="BB76" s="1"/>
  <c r="AT78"/>
  <c r="BB78" s="1"/>
  <c r="AT67"/>
  <c r="BB67" s="1"/>
  <c r="AS26"/>
  <c r="AQ29"/>
  <c r="AT29" s="1"/>
  <c r="BB29" s="1"/>
  <c r="M6"/>
  <c r="M5" s="1"/>
  <c r="AQ18"/>
  <c r="AQ16"/>
  <c r="AQ17" s="1"/>
  <c r="BU9" i="18" s="1"/>
  <c r="AT10" i="16"/>
  <c r="BB10" s="1"/>
  <c r="AT12"/>
  <c r="BB12" s="1"/>
  <c r="AQ11"/>
  <c r="AT11" s="1"/>
  <c r="BB11" s="1"/>
  <c r="BR12" i="18"/>
  <c r="BA31" i="15"/>
  <c r="U31"/>
  <c r="AT86"/>
  <c r="BB86" s="1"/>
  <c r="T31"/>
  <c r="AT77"/>
  <c r="BB77" s="1"/>
  <c r="AT67"/>
  <c r="BB67" s="1"/>
  <c r="AT58"/>
  <c r="BB58" s="1"/>
  <c r="AT48"/>
  <c r="BB48" s="1"/>
  <c r="L6"/>
  <c r="L5" s="1"/>
  <c r="AQ29"/>
  <c r="AT29" s="1"/>
  <c r="BB29" s="1"/>
  <c r="AT24"/>
  <c r="BB24" s="1"/>
  <c r="AT9"/>
  <c r="BB9" s="1"/>
  <c r="AQ16"/>
  <c r="AQ17" s="1"/>
  <c r="BH9" i="18" s="1"/>
  <c r="AE15" i="15"/>
  <c r="AT84" i="14"/>
  <c r="BB84" s="1"/>
  <c r="L31"/>
  <c r="AT85"/>
  <c r="BB85" s="1"/>
  <c r="AQ91"/>
  <c r="AZ31"/>
  <c r="AT72"/>
  <c r="BB72" s="1"/>
  <c r="AT75"/>
  <c r="BB75" s="1"/>
  <c r="U40"/>
  <c r="S40"/>
  <c r="S31" s="1"/>
  <c r="M40"/>
  <c r="AT69"/>
  <c r="BB69" s="1"/>
  <c r="AT76"/>
  <c r="BB76" s="1"/>
  <c r="AT57"/>
  <c r="BB57" s="1"/>
  <c r="AT49"/>
  <c r="BB49" s="1"/>
  <c r="AT52"/>
  <c r="BB52" s="1"/>
  <c r="AT42"/>
  <c r="BB42" s="1"/>
  <c r="AQ43"/>
  <c r="AT43" s="1"/>
  <c r="BB43" s="1"/>
  <c r="AT36"/>
  <c r="BB36" s="1"/>
  <c r="AT20"/>
  <c r="BB20" s="1"/>
  <c r="AT22"/>
  <c r="BB22" s="1"/>
  <c r="M30"/>
  <c r="AQ18"/>
  <c r="AT8"/>
  <c r="BB8" s="1"/>
  <c r="AT84" i="13"/>
  <c r="BB84" s="1"/>
  <c r="S31"/>
  <c r="AT82"/>
  <c r="BB82" s="1"/>
  <c r="AT85"/>
  <c r="BB85" s="1"/>
  <c r="AT83"/>
  <c r="BB83" s="1"/>
  <c r="AT64"/>
  <c r="BB64" s="1"/>
  <c r="AE79"/>
  <c r="U40"/>
  <c r="U31"/>
  <c r="AT72"/>
  <c r="BB72" s="1"/>
  <c r="AT55"/>
  <c r="BB55" s="1"/>
  <c r="AT43"/>
  <c r="BB43" s="1"/>
  <c r="AT38"/>
  <c r="BB38" s="1"/>
  <c r="AT37"/>
  <c r="BB37" s="1"/>
  <c r="AQ29"/>
  <c r="AQ25"/>
  <c r="AH10" i="18" s="1"/>
  <c r="AT19" i="13"/>
  <c r="BB19" s="1"/>
  <c r="AT13"/>
  <c r="BB13" s="1"/>
  <c r="AT89" i="12"/>
  <c r="BB89" s="1"/>
  <c r="AQ81"/>
  <c r="AT85"/>
  <c r="BB85" s="1"/>
  <c r="AT83"/>
  <c r="BB83" s="1"/>
  <c r="AZ31"/>
  <c r="AA12" i="18"/>
  <c r="AW31" i="12"/>
  <c r="AT71"/>
  <c r="BB71" s="1"/>
  <c r="AT70"/>
  <c r="BB70" s="1"/>
  <c r="AT75"/>
  <c r="BB75" s="1"/>
  <c r="AT73"/>
  <c r="BB73" s="1"/>
  <c r="M40"/>
  <c r="AQ59"/>
  <c r="U16" i="18" s="1"/>
  <c r="AT56" i="12"/>
  <c r="BB56" s="1"/>
  <c r="AT54"/>
  <c r="BB54" s="1"/>
  <c r="AT51"/>
  <c r="BB51" s="1"/>
  <c r="AT48"/>
  <c r="BB48" s="1"/>
  <c r="AT37"/>
  <c r="BB37" s="1"/>
  <c r="AT35"/>
  <c r="BB35" s="1"/>
  <c r="AQ29"/>
  <c r="AT22"/>
  <c r="BB22" s="1"/>
  <c r="AQ25"/>
  <c r="U10" i="18" s="1"/>
  <c r="AT24" i="12"/>
  <c r="BB24" s="1"/>
  <c r="AT8"/>
  <c r="BB8" s="1"/>
  <c r="AQ15"/>
  <c r="U8" i="18" s="1"/>
  <c r="AT195" i="12"/>
  <c r="BB195" s="1"/>
  <c r="BB131" i="14"/>
  <c r="L143"/>
  <c r="AR222" i="15"/>
  <c r="AN232" i="16"/>
  <c r="M232" i="21"/>
  <c r="AT166"/>
  <c r="AT153" i="23"/>
  <c r="BB153" s="1"/>
  <c r="U143"/>
  <c r="AR136"/>
  <c r="AT147" i="15"/>
  <c r="BB147" s="1"/>
  <c r="BB195" i="13"/>
  <c r="AT214" i="16"/>
  <c r="BB214" s="1"/>
  <c r="U93" i="21"/>
  <c r="AT214" i="23"/>
  <c r="BB214" s="1"/>
  <c r="BB214" i="12"/>
  <c r="AM143" i="15"/>
  <c r="AM92" s="1"/>
  <c r="AB143" i="21"/>
  <c r="AB93" i="22"/>
  <c r="AB92" s="1"/>
  <c r="AT148" i="12"/>
  <c r="BB148" s="1"/>
  <c r="AT154" i="21"/>
  <c r="BB154" s="1"/>
  <c r="AT148" i="13"/>
  <c r="S92" i="14"/>
  <c r="T143" i="17"/>
  <c r="AT176" i="16"/>
  <c r="AR178"/>
  <c r="BV29" i="18" s="1"/>
  <c r="M168" i="14"/>
  <c r="Y92" i="15"/>
  <c r="AS232" i="17"/>
  <c r="L92"/>
  <c r="AT198" i="1"/>
  <c r="BB198" s="1"/>
  <c r="AM143" i="12"/>
  <c r="M168"/>
  <c r="M143" i="13"/>
  <c r="AT154"/>
  <c r="BB154" s="1"/>
  <c r="S92"/>
  <c r="BB145" i="15"/>
  <c r="U93" i="16"/>
  <c r="T92" i="17"/>
  <c r="AM143" i="22"/>
  <c r="AT176"/>
  <c r="BB176" s="1"/>
  <c r="AT148" i="23"/>
  <c r="AT197" i="14"/>
  <c r="BB197" s="1"/>
  <c r="AR168" i="16"/>
  <c r="BB131" i="13"/>
  <c r="BB145"/>
  <c r="AT205" i="21"/>
  <c r="BB205" s="1"/>
  <c r="AT176" i="14"/>
  <c r="AR168" i="15"/>
  <c r="AR222" i="16"/>
  <c r="L143" i="13"/>
  <c r="AS201" i="14"/>
  <c r="AS179" s="1"/>
  <c r="U93" i="15"/>
  <c r="U92" i="17"/>
  <c r="AE136" i="23"/>
  <c r="BB145" i="14"/>
  <c r="BB205" i="16"/>
  <c r="L92"/>
  <c r="T92" i="22"/>
  <c r="S143" i="23"/>
  <c r="AR201" i="16"/>
  <c r="AN222" i="12"/>
  <c r="AN202" s="1"/>
  <c r="AT153"/>
  <c r="BB153" s="1"/>
  <c r="U143"/>
  <c r="BB195" i="15"/>
  <c r="AT227"/>
  <c r="AS232"/>
  <c r="AT148" i="16"/>
  <c r="AT131" i="23"/>
  <c r="BB131" s="1"/>
  <c r="AT141" i="16"/>
  <c r="BB141" s="1"/>
  <c r="AN222"/>
  <c r="AN202" s="1"/>
  <c r="AT174"/>
  <c r="BB174" s="1"/>
  <c r="AT123"/>
  <c r="BB123" s="1"/>
  <c r="AT131"/>
  <c r="AT231"/>
  <c r="BB231" s="1"/>
  <c r="AM143"/>
  <c r="AN178"/>
  <c r="AT112"/>
  <c r="BB112" s="1"/>
  <c r="AT145"/>
  <c r="AT103"/>
  <c r="BB103" s="1"/>
  <c r="AT208"/>
  <c r="BB208" s="1"/>
  <c r="AT164"/>
  <c r="BB164" s="1"/>
  <c r="AT221"/>
  <c r="BB221" s="1"/>
  <c r="AT194"/>
  <c r="BB194" s="1"/>
  <c r="AT154"/>
  <c r="BB154" s="1"/>
  <c r="AT181"/>
  <c r="BB181" s="1"/>
  <c r="AT161"/>
  <c r="BB161" s="1"/>
  <c r="AT184"/>
  <c r="BB184" s="1"/>
  <c r="AT226"/>
  <c r="BB226" s="1"/>
  <c r="AT170"/>
  <c r="BB170" s="1"/>
  <c r="AT188"/>
  <c r="BB188" s="1"/>
  <c r="AT211"/>
  <c r="BB211" s="1"/>
  <c r="AT152"/>
  <c r="BB152" s="1"/>
  <c r="AT182"/>
  <c r="BB182" s="1"/>
  <c r="T224"/>
  <c r="T223" s="1"/>
  <c r="AT149"/>
  <c r="BB149" s="1"/>
  <c r="S93"/>
  <c r="AT197"/>
  <c r="BB197" s="1"/>
  <c r="AT171"/>
  <c r="BB171" s="1"/>
  <c r="M222"/>
  <c r="M202" s="1"/>
  <c r="AQ142"/>
  <c r="AT129"/>
  <c r="BB129" s="1"/>
  <c r="AT104"/>
  <c r="BB104" s="1"/>
  <c r="AT151"/>
  <c r="BB151" s="1"/>
  <c r="AT193"/>
  <c r="BB193" s="1"/>
  <c r="AT217"/>
  <c r="BB217" s="1"/>
  <c r="AT118"/>
  <c r="BB118" s="1"/>
  <c r="AY92" i="15"/>
  <c r="AM224"/>
  <c r="AM223" s="1"/>
  <c r="AN142"/>
  <c r="AT172"/>
  <c r="BB172" s="1"/>
  <c r="AT99"/>
  <c r="AN178"/>
  <c r="AT231"/>
  <c r="BB231" s="1"/>
  <c r="BB200"/>
  <c r="AT131"/>
  <c r="AT175"/>
  <c r="BB175" s="1"/>
  <c r="AT133"/>
  <c r="BB133" s="1"/>
  <c r="AT188"/>
  <c r="BB188" s="1"/>
  <c r="AT128"/>
  <c r="BB128" s="1"/>
  <c r="AE232"/>
  <c r="AT134"/>
  <c r="BB134" s="1"/>
  <c r="AT118"/>
  <c r="BB118" s="1"/>
  <c r="AE168"/>
  <c r="AT214"/>
  <c r="BB214" s="1"/>
  <c r="S92"/>
  <c r="AT166"/>
  <c r="BB166" s="1"/>
  <c r="AT107"/>
  <c r="BB107" s="1"/>
  <c r="AT191"/>
  <c r="BB191" s="1"/>
  <c r="BB215"/>
  <c r="AT164"/>
  <c r="BB164" s="1"/>
  <c r="AQ242"/>
  <c r="AQ107"/>
  <c r="M142"/>
  <c r="AT127"/>
  <c r="BB127" s="1"/>
  <c r="AT234"/>
  <c r="BB234" s="1"/>
  <c r="AQ174"/>
  <c r="AT174" s="1"/>
  <c r="BB174" s="1"/>
  <c r="M168"/>
  <c r="M143" s="1"/>
  <c r="AT176"/>
  <c r="AT155"/>
  <c r="BB155" s="1"/>
  <c r="AT241"/>
  <c r="AN178" i="14"/>
  <c r="AT112"/>
  <c r="BB112" s="1"/>
  <c r="AT154"/>
  <c r="BB154" s="1"/>
  <c r="AT174"/>
  <c r="BB174" s="1"/>
  <c r="AT115"/>
  <c r="BB115" s="1"/>
  <c r="AS142"/>
  <c r="AW26" i="18" s="1"/>
  <c r="AN142" i="14"/>
  <c r="AT96"/>
  <c r="BB96" s="1"/>
  <c r="AT177"/>
  <c r="BB177" s="1"/>
  <c r="AT152"/>
  <c r="BB152" s="1"/>
  <c r="AT213"/>
  <c r="BB213" s="1"/>
  <c r="AT219"/>
  <c r="BB219" s="1"/>
  <c r="AT199"/>
  <c r="BB199" s="1"/>
  <c r="AT156"/>
  <c r="BB156" s="1"/>
  <c r="AT157"/>
  <c r="BB157" s="1"/>
  <c r="AT175"/>
  <c r="BB175" s="1"/>
  <c r="AT211"/>
  <c r="BB211" s="1"/>
  <c r="AT200"/>
  <c r="Y92"/>
  <c r="AT238"/>
  <c r="BB238" s="1"/>
  <c r="AT132"/>
  <c r="BB132" s="1"/>
  <c r="AT117"/>
  <c r="BB117" s="1"/>
  <c r="AE142"/>
  <c r="AT198"/>
  <c r="BB198" s="1"/>
  <c r="AT150"/>
  <c r="BB150" s="1"/>
  <c r="AT155"/>
  <c r="BB155" s="1"/>
  <c r="AF139"/>
  <c r="AR137"/>
  <c r="AR139" s="1"/>
  <c r="AT153"/>
  <c r="BB153" s="1"/>
  <c r="AQ137"/>
  <c r="L93"/>
  <c r="AQ99"/>
  <c r="AT99" s="1"/>
  <c r="AT108"/>
  <c r="BB108" s="1"/>
  <c r="AT215"/>
  <c r="BB215" s="1"/>
  <c r="AT107"/>
  <c r="BB107" s="1"/>
  <c r="AQ235"/>
  <c r="AQ178"/>
  <c r="AT147"/>
  <c r="BB147" s="1"/>
  <c r="AQ222"/>
  <c r="AQ202" s="1"/>
  <c r="AT217" i="13"/>
  <c r="BB217" s="1"/>
  <c r="AN101"/>
  <c r="AT123"/>
  <c r="BB123" s="1"/>
  <c r="AT176"/>
  <c r="AT112"/>
  <c r="BB112" s="1"/>
  <c r="AT134"/>
  <c r="BB134" s="1"/>
  <c r="AB224"/>
  <c r="AB223" s="1"/>
  <c r="AT135"/>
  <c r="BB135" s="1"/>
  <c r="AT141"/>
  <c r="BB141" s="1"/>
  <c r="AT105"/>
  <c r="BB105" s="1"/>
  <c r="AT214"/>
  <c r="BB214" s="1"/>
  <c r="AT216"/>
  <c r="BB216" s="1"/>
  <c r="AT161"/>
  <c r="BB161" s="1"/>
  <c r="AE236"/>
  <c r="AT99"/>
  <c r="BB99" s="1"/>
  <c r="Y93"/>
  <c r="Y143"/>
  <c r="AT162"/>
  <c r="BB162" s="1"/>
  <c r="AT158"/>
  <c r="BB158" s="1"/>
  <c r="AT163"/>
  <c r="BB163" s="1"/>
  <c r="AT228"/>
  <c r="BB228" s="1"/>
  <c r="AE222"/>
  <c r="AE202" s="1"/>
  <c r="AT149"/>
  <c r="BB149" s="1"/>
  <c r="AT184"/>
  <c r="BB184" s="1"/>
  <c r="AT125"/>
  <c r="BB125" s="1"/>
  <c r="AT147"/>
  <c r="BB147" s="1"/>
  <c r="AT189"/>
  <c r="BB189" s="1"/>
  <c r="AT210"/>
  <c r="BB210" s="1"/>
  <c r="AT152"/>
  <c r="BB152" s="1"/>
  <c r="AT97"/>
  <c r="BB97" s="1"/>
  <c r="AT170"/>
  <c r="BB170" s="1"/>
  <c r="AF139"/>
  <c r="AR137"/>
  <c r="AT190"/>
  <c r="BB190" s="1"/>
  <c r="AT191"/>
  <c r="BB191" s="1"/>
  <c r="L224"/>
  <c r="L223" s="1"/>
  <c r="AT198"/>
  <c r="BB198" s="1"/>
  <c r="AQ116"/>
  <c r="AT155"/>
  <c r="BB155" s="1"/>
  <c r="M93"/>
  <c r="AU242" i="12"/>
  <c r="Y38" i="18" s="1"/>
  <c r="AT238" i="12"/>
  <c r="BB238" s="1"/>
  <c r="S224"/>
  <c r="S223" s="1"/>
  <c r="AQ242"/>
  <c r="U38" i="18" s="1"/>
  <c r="AQ235" i="12"/>
  <c r="AT216"/>
  <c r="BB216" s="1"/>
  <c r="M222"/>
  <c r="M202" s="1"/>
  <c r="BB215"/>
  <c r="AT200"/>
  <c r="AT193"/>
  <c r="BB193" s="1"/>
  <c r="AT198"/>
  <c r="BB198" s="1"/>
  <c r="BB191"/>
  <c r="AB143"/>
  <c r="AT175"/>
  <c r="BB175" s="1"/>
  <c r="AT163"/>
  <c r="BB163" s="1"/>
  <c r="AT167"/>
  <c r="BB167" s="1"/>
  <c r="AT151"/>
  <c r="BB151" s="1"/>
  <c r="AT154"/>
  <c r="BB154" s="1"/>
  <c r="AB93"/>
  <c r="AB92" s="1"/>
  <c r="AQ141"/>
  <c r="AT124"/>
  <c r="BB124" s="1"/>
  <c r="AT122"/>
  <c r="BB122" s="1"/>
  <c r="AT118"/>
  <c r="BB118" s="1"/>
  <c r="AT129"/>
  <c r="BB129" s="1"/>
  <c r="AT125"/>
  <c r="BB125" s="1"/>
  <c r="AT132"/>
  <c r="BB132" s="1"/>
  <c r="AT135"/>
  <c r="BB135" s="1"/>
  <c r="AT117"/>
  <c r="BB117" s="1"/>
  <c r="M136"/>
  <c r="AT126"/>
  <c r="BB126" s="1"/>
  <c r="AT107"/>
  <c r="BB107" s="1"/>
  <c r="AT103"/>
  <c r="BB103" s="1"/>
  <c r="AT110"/>
  <c r="BB110" s="1"/>
  <c r="AT99"/>
  <c r="BB99" s="1"/>
  <c r="AT65"/>
  <c r="BB65" s="1"/>
  <c r="AT12"/>
  <c r="BB12" s="1"/>
  <c r="AN178"/>
  <c r="AM93"/>
  <c r="AM92" s="1"/>
  <c r="AT162"/>
  <c r="BB162" s="1"/>
  <c r="AT90"/>
  <c r="BB90" s="1"/>
  <c r="AT228"/>
  <c r="BB228" s="1"/>
  <c r="AT220"/>
  <c r="BB220" s="1"/>
  <c r="AT108"/>
  <c r="BB108" s="1"/>
  <c r="AN59"/>
  <c r="AN40" s="1"/>
  <c r="AT188"/>
  <c r="BB188" s="1"/>
  <c r="AT57"/>
  <c r="BB57" s="1"/>
  <c r="AT63"/>
  <c r="BB63" s="1"/>
  <c r="AS64"/>
  <c r="AT170"/>
  <c r="BB170" s="1"/>
  <c r="AM93" i="13"/>
  <c r="AT95"/>
  <c r="BB95" s="1"/>
  <c r="AN15"/>
  <c r="AT173"/>
  <c r="BB173" s="1"/>
  <c r="AT86"/>
  <c r="BB86" s="1"/>
  <c r="AT107"/>
  <c r="BB107" s="1"/>
  <c r="AT90"/>
  <c r="BB90" s="1"/>
  <c r="AN25"/>
  <c r="AM224"/>
  <c r="AM223" s="1"/>
  <c r="AS44"/>
  <c r="AN222"/>
  <c r="AN202" s="1"/>
  <c r="AN242"/>
  <c r="AN79"/>
  <c r="AN40" s="1"/>
  <c r="AT159"/>
  <c r="BB159" s="1"/>
  <c r="AT130"/>
  <c r="BB130" s="1"/>
  <c r="AN178"/>
  <c r="AT212" i="14"/>
  <c r="BB212" s="1"/>
  <c r="AT195"/>
  <c r="AT29"/>
  <c r="BB29" s="1"/>
  <c r="AT214"/>
  <c r="BB214" s="1"/>
  <c r="AT130"/>
  <c r="BB130" s="1"/>
  <c r="AT194"/>
  <c r="BB194" s="1"/>
  <c r="AN91"/>
  <c r="AN80" s="1"/>
  <c r="AT186"/>
  <c r="BB186" s="1"/>
  <c r="AN168"/>
  <c r="AN143" s="1"/>
  <c r="AT110"/>
  <c r="BB110" s="1"/>
  <c r="AN59"/>
  <c r="AT239"/>
  <c r="BB239" s="1"/>
  <c r="AT164"/>
  <c r="BB164" s="1"/>
  <c r="AN136"/>
  <c r="AN222"/>
  <c r="AN202" s="1"/>
  <c r="AT127"/>
  <c r="BB127" s="1"/>
  <c r="AT11"/>
  <c r="BB11" s="1"/>
  <c r="AS233" i="15"/>
  <c r="AT192"/>
  <c r="BB192" s="1"/>
  <c r="AN136"/>
  <c r="AT98"/>
  <c r="BB98" s="1"/>
  <c r="AT53"/>
  <c r="BB53" s="1"/>
  <c r="AT47"/>
  <c r="BB47" s="1"/>
  <c r="AT21"/>
  <c r="BB21" s="1"/>
  <c r="AT63"/>
  <c r="BB63" s="1"/>
  <c r="AT20"/>
  <c r="BB20" s="1"/>
  <c r="AT219"/>
  <c r="BB219" s="1"/>
  <c r="AS88"/>
  <c r="AT88" s="1"/>
  <c r="BB88" s="1"/>
  <c r="AM6"/>
  <c r="AM5" s="1"/>
  <c r="AN59"/>
  <c r="AN222"/>
  <c r="AN202" s="1"/>
  <c r="AT90"/>
  <c r="BB90" s="1"/>
  <c r="AT75"/>
  <c r="BB75" s="1"/>
  <c r="AT54"/>
  <c r="BB54" s="1"/>
  <c r="AS43"/>
  <c r="AM40" i="16"/>
  <c r="AM31" s="1"/>
  <c r="AT50"/>
  <c r="BB50" s="1"/>
  <c r="AN113"/>
  <c r="AT185"/>
  <c r="BB185" s="1"/>
  <c r="AS105"/>
  <c r="AT44"/>
  <c r="BB44" s="1"/>
  <c r="AS30"/>
  <c r="BW11" i="18" s="1"/>
  <c r="AN101" i="16"/>
  <c r="AT130"/>
  <c r="BB130" s="1"/>
  <c r="AT20"/>
  <c r="BB20" s="1"/>
  <c r="AT122"/>
  <c r="BB122" s="1"/>
  <c r="AT95"/>
  <c r="BB95" s="1"/>
  <c r="AS9"/>
  <c r="AN201"/>
  <c r="AN179" s="1"/>
  <c r="AN6"/>
  <c r="AN5" s="1"/>
  <c r="AN91"/>
  <c r="AN80" s="1"/>
  <c r="AT64"/>
  <c r="BB64" s="1"/>
  <c r="AT96"/>
  <c r="BB96" s="1"/>
  <c r="AM93"/>
  <c r="AM92" s="1"/>
  <c r="AT108" i="17"/>
  <c r="BB108" s="1"/>
  <c r="AT98"/>
  <c r="BB98" s="1"/>
  <c r="AT149"/>
  <c r="BB149" s="1"/>
  <c r="AT55"/>
  <c r="BB55" s="1"/>
  <c r="AS63"/>
  <c r="AT63" s="1"/>
  <c r="BB63" s="1"/>
  <c r="AT23"/>
  <c r="BB23" s="1"/>
  <c r="AT46"/>
  <c r="BB46" s="1"/>
  <c r="AM6"/>
  <c r="AM5" s="1"/>
  <c r="AT227"/>
  <c r="BB227" s="1"/>
  <c r="AS233"/>
  <c r="AN25"/>
  <c r="AN91"/>
  <c r="AN80" s="1"/>
  <c r="AT206"/>
  <c r="BB206" s="1"/>
  <c r="AN232"/>
  <c r="AN15"/>
  <c r="AN6" s="1"/>
  <c r="AN5" s="1"/>
  <c r="AT109"/>
  <c r="BB109" s="1"/>
  <c r="AN59"/>
  <c r="AS147"/>
  <c r="AT147" s="1"/>
  <c r="BB147" s="1"/>
  <c r="AT159" i="21"/>
  <c r="BB159" s="1"/>
  <c r="AT27"/>
  <c r="BB27" s="1"/>
  <c r="AT50"/>
  <c r="BB50" s="1"/>
  <c r="AS21"/>
  <c r="AT156"/>
  <c r="BB156" s="1"/>
  <c r="AT132"/>
  <c r="BB132" s="1"/>
  <c r="AN30"/>
  <c r="AT64"/>
  <c r="BB64" s="1"/>
  <c r="AN201"/>
  <c r="AN179" s="1"/>
  <c r="AT220"/>
  <c r="BB220" s="1"/>
  <c r="AT227"/>
  <c r="BB227" s="1"/>
  <c r="AT204"/>
  <c r="BB204" s="1"/>
  <c r="AT66"/>
  <c r="BB66" s="1"/>
  <c r="AT43"/>
  <c r="BB43" s="1"/>
  <c r="AT56"/>
  <c r="BB56" s="1"/>
  <c r="AT218" i="22"/>
  <c r="BB218" s="1"/>
  <c r="AT185"/>
  <c r="BB185" s="1"/>
  <c r="AS36"/>
  <c r="AS39" s="1"/>
  <c r="AS32" s="1"/>
  <c r="AN79"/>
  <c r="AT209"/>
  <c r="BB209" s="1"/>
  <c r="AN113"/>
  <c r="AN242"/>
  <c r="AT129"/>
  <c r="BB129" s="1"/>
  <c r="AN136"/>
  <c r="AT14"/>
  <c r="BB14" s="1"/>
  <c r="AN91"/>
  <c r="AN80" s="1"/>
  <c r="AT204"/>
  <c r="BB204" s="1"/>
  <c r="AT68"/>
  <c r="BB68" s="1"/>
  <c r="AS233"/>
  <c r="AT67"/>
  <c r="BB67" s="1"/>
  <c r="AT171"/>
  <c r="BB171" s="1"/>
  <c r="AT117"/>
  <c r="BB117" s="1"/>
  <c r="AT115"/>
  <c r="BB115" s="1"/>
  <c r="AT96"/>
  <c r="BB96" s="1"/>
  <c r="AM93"/>
  <c r="AS19"/>
  <c r="AS25" s="1"/>
  <c r="AT90" i="23"/>
  <c r="BB90" s="1"/>
  <c r="AN136"/>
  <c r="AT87"/>
  <c r="BB87" s="1"/>
  <c r="AN91"/>
  <c r="AN80" s="1"/>
  <c r="AN178"/>
  <c r="AT149"/>
  <c r="BB149" s="1"/>
  <c r="AN79"/>
  <c r="AT151"/>
  <c r="BB151" s="1"/>
  <c r="AN232"/>
  <c r="AT105"/>
  <c r="BB105" s="1"/>
  <c r="AS227"/>
  <c r="AT227" s="1"/>
  <c r="BB227" s="1"/>
  <c r="AT125"/>
  <c r="BB125" s="1"/>
  <c r="AN39"/>
  <c r="AN32" s="1"/>
  <c r="AT135"/>
  <c r="BB135" s="1"/>
  <c r="AS136"/>
  <c r="AT114"/>
  <c r="AQ136"/>
  <c r="M224"/>
  <c r="M223" s="1"/>
  <c r="AS178"/>
  <c r="AT175"/>
  <c r="BB175" s="1"/>
  <c r="AQ178"/>
  <c r="AS113"/>
  <c r="AT110"/>
  <c r="BB110" s="1"/>
  <c r="BB126"/>
  <c r="AS91"/>
  <c r="AS80" s="1"/>
  <c r="AS222"/>
  <c r="AS202" s="1"/>
  <c r="AT229"/>
  <c r="BB229" s="1"/>
  <c r="AQ222"/>
  <c r="AQ202" s="1"/>
  <c r="AS98"/>
  <c r="AT98" s="1"/>
  <c r="BB98" s="1"/>
  <c r="AT52"/>
  <c r="BB52" s="1"/>
  <c r="M178"/>
  <c r="AT53"/>
  <c r="BB53" s="1"/>
  <c r="AT69"/>
  <c r="BB69" s="1"/>
  <c r="U92"/>
  <c r="AT27"/>
  <c r="BB27" s="1"/>
  <c r="AN236"/>
  <c r="AT170"/>
  <c r="BB170" s="1"/>
  <c r="AE201"/>
  <c r="AE179" s="1"/>
  <c r="AF180"/>
  <c r="AT159"/>
  <c r="BB159" s="1"/>
  <c r="Y143"/>
  <c r="AQ242"/>
  <c r="AF7"/>
  <c r="AE15"/>
  <c r="AQ18"/>
  <c r="AT54"/>
  <c r="BB54" s="1"/>
  <c r="AT240"/>
  <c r="BB240" s="1"/>
  <c r="AT208"/>
  <c r="BB208" s="1"/>
  <c r="AT152"/>
  <c r="BB152" s="1"/>
  <c r="AT169"/>
  <c r="Y93"/>
  <c r="AE91"/>
  <c r="AE80" s="1"/>
  <c r="AF81"/>
  <c r="M6"/>
  <c r="M5" s="1"/>
  <c r="AQ236"/>
  <c r="AE168"/>
  <c r="AE143" s="1"/>
  <c r="BB148"/>
  <c r="AT85"/>
  <c r="BB85" s="1"/>
  <c r="AQ168"/>
  <c r="AQ143" s="1"/>
  <c r="AT61"/>
  <c r="BB61" s="1"/>
  <c r="AM6"/>
  <c r="AM5" s="1"/>
  <c r="AT226"/>
  <c r="BB226" s="1"/>
  <c r="AE236"/>
  <c r="AF233"/>
  <c r="AF168"/>
  <c r="AF143" s="1"/>
  <c r="AR144"/>
  <c r="AQ113"/>
  <c r="AB92"/>
  <c r="AN59"/>
  <c r="AN40" s="1"/>
  <c r="AN31" s="1"/>
  <c r="AT219"/>
  <c r="BB219" s="1"/>
  <c r="AF222"/>
  <c r="AF202" s="1"/>
  <c r="AR203"/>
  <c r="AR222" s="1"/>
  <c r="AR202" s="1"/>
  <c r="AT166"/>
  <c r="AT157"/>
  <c r="BB157" s="1"/>
  <c r="AT155"/>
  <c r="BB155" s="1"/>
  <c r="R143"/>
  <c r="R92" s="1"/>
  <c r="BB127"/>
  <c r="AS233"/>
  <c r="AS236" s="1"/>
  <c r="AS60"/>
  <c r="AS79" s="1"/>
  <c r="AM40"/>
  <c r="AQ94"/>
  <c r="AE30"/>
  <c r="AF26"/>
  <c r="AE113"/>
  <c r="AS59"/>
  <c r="AR16"/>
  <c r="AF17"/>
  <c r="AT205"/>
  <c r="BB205" s="1"/>
  <c r="AN201"/>
  <c r="AN179" s="1"/>
  <c r="M143"/>
  <c r="AN222"/>
  <c r="AN202" s="1"/>
  <c r="AN113"/>
  <c r="L93"/>
  <c r="L92" s="1"/>
  <c r="AF113"/>
  <c r="AR102"/>
  <c r="AR113" s="1"/>
  <c r="AB40"/>
  <c r="AB31" s="1"/>
  <c r="AQ59"/>
  <c r="AQ232"/>
  <c r="AS201"/>
  <c r="AS179" s="1"/>
  <c r="AT137"/>
  <c r="AQ139"/>
  <c r="S92"/>
  <c r="AQ142"/>
  <c r="AF79"/>
  <c r="AR60"/>
  <c r="AR79" s="1"/>
  <c r="AM31"/>
  <c r="AE59"/>
  <c r="AE40" s="1"/>
  <c r="AF41"/>
  <c r="AT196"/>
  <c r="BB196" s="1"/>
  <c r="AM224"/>
  <c r="AM223" s="1"/>
  <c r="AT235"/>
  <c r="BB235" s="1"/>
  <c r="AN168"/>
  <c r="AN143" s="1"/>
  <c r="AS144"/>
  <c r="AS168" s="1"/>
  <c r="AM143"/>
  <c r="AM92" s="1"/>
  <c r="AE242"/>
  <c r="AF237"/>
  <c r="M91"/>
  <c r="M80" s="1"/>
  <c r="AQ81"/>
  <c r="AT82"/>
  <c r="BB82" s="1"/>
  <c r="U40"/>
  <c r="U31" s="1"/>
  <c r="AN30"/>
  <c r="AN6" s="1"/>
  <c r="AN5" s="1"/>
  <c r="Y31"/>
  <c r="AT187"/>
  <c r="BB187" s="1"/>
  <c r="AE222"/>
  <c r="AE202" s="1"/>
  <c r="AT215"/>
  <c r="BB215" s="1"/>
  <c r="AT217"/>
  <c r="BB217" s="1"/>
  <c r="AR140"/>
  <c r="AF142"/>
  <c r="AQ39"/>
  <c r="AQ32" s="1"/>
  <c r="AF33"/>
  <c r="AE39"/>
  <c r="AE32" s="1"/>
  <c r="AE25"/>
  <c r="AF18"/>
  <c r="M31"/>
  <c r="BB192"/>
  <c r="AR225"/>
  <c r="AR232" s="1"/>
  <c r="AF232"/>
  <c r="AT112"/>
  <c r="BB112" s="1"/>
  <c r="M136"/>
  <c r="M93" s="1"/>
  <c r="AT73"/>
  <c r="BB73" s="1"/>
  <c r="AF136"/>
  <c r="AR94"/>
  <c r="AR101" s="1"/>
  <c r="AF101"/>
  <c r="L31"/>
  <c r="AT72"/>
  <c r="BB72" s="1"/>
  <c r="AS30"/>
  <c r="AS6" s="1"/>
  <c r="AS5" s="1"/>
  <c r="AQ15"/>
  <c r="R31"/>
  <c r="AT19"/>
  <c r="BB19" s="1"/>
  <c r="AS237"/>
  <c r="AS242" s="1"/>
  <c r="AT173"/>
  <c r="BB173" s="1"/>
  <c r="AE232"/>
  <c r="AT71"/>
  <c r="BB71" s="1"/>
  <c r="AQ180"/>
  <c r="AE101"/>
  <c r="AE93" s="1"/>
  <c r="AE92" s="1"/>
  <c r="AQ79"/>
  <c r="AS33"/>
  <c r="AS39" s="1"/>
  <c r="AS32" s="1"/>
  <c r="AS59" i="22"/>
  <c r="AS168"/>
  <c r="AT150"/>
  <c r="BB150" s="1"/>
  <c r="Y92"/>
  <c r="BB192"/>
  <c r="AS91"/>
  <c r="AS80" s="1"/>
  <c r="AT240"/>
  <c r="BB240" s="1"/>
  <c r="AE236"/>
  <c r="AE224" s="1"/>
  <c r="AE223" s="1"/>
  <c r="AF233"/>
  <c r="AR237"/>
  <c r="AF242"/>
  <c r="AF140"/>
  <c r="AE142"/>
  <c r="AT74"/>
  <c r="BB74" s="1"/>
  <c r="AF59"/>
  <c r="AR41"/>
  <c r="AT20"/>
  <c r="BB20" s="1"/>
  <c r="AF25"/>
  <c r="AR18"/>
  <c r="AS236"/>
  <c r="AT234"/>
  <c r="BB234" s="1"/>
  <c r="AE242"/>
  <c r="AT62"/>
  <c r="BB62" s="1"/>
  <c r="R93"/>
  <c r="R92" s="1"/>
  <c r="AE168"/>
  <c r="AF144"/>
  <c r="L93"/>
  <c r="L92" s="1"/>
  <c r="AT8"/>
  <c r="BB8" s="1"/>
  <c r="AT226"/>
  <c r="BB226" s="1"/>
  <c r="AQ232"/>
  <c r="AT186"/>
  <c r="BB186" s="1"/>
  <c r="AQ168"/>
  <c r="AT164"/>
  <c r="BB164" s="1"/>
  <c r="AM40"/>
  <c r="AE30"/>
  <c r="AF26"/>
  <c r="AQ26"/>
  <c r="AN59"/>
  <c r="AN40" s="1"/>
  <c r="AN31" s="1"/>
  <c r="AT219"/>
  <c r="BB219" s="1"/>
  <c r="AT227"/>
  <c r="BB227" s="1"/>
  <c r="M168"/>
  <c r="M143" s="1"/>
  <c r="AT55"/>
  <c r="BB55" s="1"/>
  <c r="AQ81"/>
  <c r="AT35"/>
  <c r="BB35" s="1"/>
  <c r="AR94"/>
  <c r="AR101" s="1"/>
  <c r="AF101"/>
  <c r="AS79"/>
  <c r="AT10"/>
  <c r="BB10" s="1"/>
  <c r="AT188"/>
  <c r="BB188" s="1"/>
  <c r="AT220"/>
  <c r="BB220" s="1"/>
  <c r="AT231"/>
  <c r="BB231" s="1"/>
  <c r="AN168"/>
  <c r="AT43"/>
  <c r="BB43" s="1"/>
  <c r="AS94"/>
  <c r="AS101" s="1"/>
  <c r="AE201"/>
  <c r="AE179" s="1"/>
  <c r="AF180"/>
  <c r="S224"/>
  <c r="S223" s="1"/>
  <c r="AE222"/>
  <c r="AE202" s="1"/>
  <c r="AF203"/>
  <c r="AT165"/>
  <c r="BB165" s="1"/>
  <c r="AF114"/>
  <c r="AE136"/>
  <c r="AM92"/>
  <c r="AS107"/>
  <c r="AT107" s="1"/>
  <c r="BB107" s="1"/>
  <c r="AE101"/>
  <c r="S31"/>
  <c r="R31"/>
  <c r="AF39"/>
  <c r="AF32" s="1"/>
  <c r="AR33"/>
  <c r="AR39" s="1"/>
  <c r="AR32" s="1"/>
  <c r="AQ113"/>
  <c r="AT196"/>
  <c r="AT177"/>
  <c r="BB177" s="1"/>
  <c r="AS201"/>
  <c r="AS179" s="1"/>
  <c r="AT215"/>
  <c r="AN232"/>
  <c r="AN224" s="1"/>
  <c r="AN223" s="1"/>
  <c r="M136"/>
  <c r="M93" s="1"/>
  <c r="M92" s="1"/>
  <c r="AQ114"/>
  <c r="AT85"/>
  <c r="BB85" s="1"/>
  <c r="AT49"/>
  <c r="BB49" s="1"/>
  <c r="AT42"/>
  <c r="BB42" s="1"/>
  <c r="AQ59"/>
  <c r="AQ40" s="1"/>
  <c r="AE39"/>
  <c r="AE32" s="1"/>
  <c r="AT187"/>
  <c r="BB187" s="1"/>
  <c r="AT170"/>
  <c r="BB170" s="1"/>
  <c r="AB224"/>
  <c r="AB223" s="1"/>
  <c r="AQ175"/>
  <c r="AT175" s="1"/>
  <c r="BB175" s="1"/>
  <c r="AF169"/>
  <c r="AE178"/>
  <c r="AT194"/>
  <c r="BB194" s="1"/>
  <c r="AS225"/>
  <c r="AS232" s="1"/>
  <c r="BB127"/>
  <c r="AS136"/>
  <c r="AE91"/>
  <c r="AE80" s="1"/>
  <c r="AF81"/>
  <c r="AT37"/>
  <c r="BB37" s="1"/>
  <c r="AS15"/>
  <c r="AQ16"/>
  <c r="AE15"/>
  <c r="AE6" s="1"/>
  <c r="AE5" s="1"/>
  <c r="AF7"/>
  <c r="AT241"/>
  <c r="BB241" s="1"/>
  <c r="AQ201"/>
  <c r="AQ179" s="1"/>
  <c r="AN201"/>
  <c r="AN179" s="1"/>
  <c r="AT163"/>
  <c r="BB163" s="1"/>
  <c r="AR232"/>
  <c r="AN178"/>
  <c r="AQ142"/>
  <c r="AS140"/>
  <c r="AS142" s="1"/>
  <c r="AN142"/>
  <c r="AS205"/>
  <c r="AT205" s="1"/>
  <c r="BB205" s="1"/>
  <c r="AM224"/>
  <c r="AM223" s="1"/>
  <c r="AT137"/>
  <c r="AT95"/>
  <c r="BB95" s="1"/>
  <c r="AT73"/>
  <c r="BB73" s="1"/>
  <c r="M39"/>
  <c r="M32" s="1"/>
  <c r="AQ33"/>
  <c r="AN15"/>
  <c r="AN6" s="1"/>
  <c r="AN5" s="1"/>
  <c r="AF79"/>
  <c r="AR60"/>
  <c r="AQ25"/>
  <c r="AT230"/>
  <c r="AT112"/>
  <c r="BB112" s="1"/>
  <c r="S93"/>
  <c r="S92" s="1"/>
  <c r="AT94"/>
  <c r="AQ101"/>
  <c r="AT61"/>
  <c r="BB61" s="1"/>
  <c r="AE79"/>
  <c r="AE40" s="1"/>
  <c r="BB166"/>
  <c r="AT161"/>
  <c r="BB161" s="1"/>
  <c r="AT122"/>
  <c r="BB122" s="1"/>
  <c r="AQ242"/>
  <c r="AT238"/>
  <c r="BB238" s="1"/>
  <c r="AT132"/>
  <c r="BB132" s="1"/>
  <c r="AT181"/>
  <c r="BB181" s="1"/>
  <c r="AT86"/>
  <c r="BB86" s="1"/>
  <c r="M236"/>
  <c r="M224" s="1"/>
  <c r="M223" s="1"/>
  <c r="AM31"/>
  <c r="M40"/>
  <c r="AQ236"/>
  <c r="AT210"/>
  <c r="BB210" s="1"/>
  <c r="AT239"/>
  <c r="BB239" s="1"/>
  <c r="AQ222"/>
  <c r="AQ202" s="1"/>
  <c r="AT106"/>
  <c r="BB106" s="1"/>
  <c r="AT157"/>
  <c r="BB157" s="1"/>
  <c r="AS242"/>
  <c r="AT123"/>
  <c r="BB123" s="1"/>
  <c r="AS169"/>
  <c r="AS178" s="1"/>
  <c r="AF102"/>
  <c r="AE113"/>
  <c r="AQ15"/>
  <c r="AF17"/>
  <c r="AR16"/>
  <c r="AR17" s="1"/>
  <c r="AS222" i="21"/>
  <c r="AS202" s="1"/>
  <c r="AS15"/>
  <c r="BB200"/>
  <c r="AT153"/>
  <c r="BB153" s="1"/>
  <c r="AS201"/>
  <c r="AS179" s="1"/>
  <c r="AT219"/>
  <c r="BB219" s="1"/>
  <c r="AT221"/>
  <c r="BB221" s="1"/>
  <c r="AT197"/>
  <c r="BB197" s="1"/>
  <c r="AT217"/>
  <c r="BB217" s="1"/>
  <c r="AN242"/>
  <c r="AT111"/>
  <c r="BB111" s="1"/>
  <c r="AT172"/>
  <c r="BB172" s="1"/>
  <c r="AN136"/>
  <c r="AT47"/>
  <c r="BB47" s="1"/>
  <c r="AT53"/>
  <c r="BB53" s="1"/>
  <c r="AT28"/>
  <c r="BB28" s="1"/>
  <c r="AN91"/>
  <c r="AN80" s="1"/>
  <c r="AT196"/>
  <c r="AT207"/>
  <c r="BB207" s="1"/>
  <c r="AQ222"/>
  <c r="AQ202" s="1"/>
  <c r="AS237"/>
  <c r="AS242" s="1"/>
  <c r="AT146"/>
  <c r="BB146" s="1"/>
  <c r="AE236"/>
  <c r="AF233"/>
  <c r="AT148"/>
  <c r="AT78"/>
  <c r="BB78" s="1"/>
  <c r="T40"/>
  <c r="T31" s="1"/>
  <c r="Y40"/>
  <c r="Y31" s="1"/>
  <c r="AF30"/>
  <c r="AR26"/>
  <c r="AQ30"/>
  <c r="AE30"/>
  <c r="AQ242"/>
  <c r="AN222"/>
  <c r="AN202" s="1"/>
  <c r="AT194"/>
  <c r="BB194" s="1"/>
  <c r="M168"/>
  <c r="M143" s="1"/>
  <c r="L93"/>
  <c r="L92" s="1"/>
  <c r="AT63"/>
  <c r="BB63" s="1"/>
  <c r="L40"/>
  <c r="AF25"/>
  <c r="AR18"/>
  <c r="AR25" s="1"/>
  <c r="AT8"/>
  <c r="BB8" s="1"/>
  <c r="AQ201"/>
  <c r="AQ179" s="1"/>
  <c r="AQ139"/>
  <c r="AS178"/>
  <c r="AN232"/>
  <c r="AQ59"/>
  <c r="AF114"/>
  <c r="AE136"/>
  <c r="U92"/>
  <c r="AQ17"/>
  <c r="AE79"/>
  <c r="AS184"/>
  <c r="AT184" s="1"/>
  <c r="BB184" s="1"/>
  <c r="M224"/>
  <c r="M223" s="1"/>
  <c r="BB127"/>
  <c r="AS225"/>
  <c r="AS232" s="1"/>
  <c r="AT134"/>
  <c r="BB134" s="1"/>
  <c r="Y143"/>
  <c r="Y92" s="1"/>
  <c r="AT150"/>
  <c r="BB150" s="1"/>
  <c r="AE232"/>
  <c r="AS91"/>
  <c r="AS80" s="1"/>
  <c r="AE113"/>
  <c r="AT44"/>
  <c r="BB44" s="1"/>
  <c r="AQ39"/>
  <c r="AQ32" s="1"/>
  <c r="AQ79"/>
  <c r="AN79"/>
  <c r="AN15"/>
  <c r="AT183"/>
  <c r="BB183" s="1"/>
  <c r="AT241"/>
  <c r="BB241" s="1"/>
  <c r="AE222"/>
  <c r="AE202" s="1"/>
  <c r="AF203"/>
  <c r="AE178"/>
  <c r="AF169"/>
  <c r="AM224"/>
  <c r="AM223" s="1"/>
  <c r="AT133"/>
  <c r="BB133" s="1"/>
  <c r="AS109"/>
  <c r="AT109" s="1"/>
  <c r="BB109" s="1"/>
  <c r="AS136"/>
  <c r="AR225"/>
  <c r="AF232"/>
  <c r="AF113"/>
  <c r="AR102"/>
  <c r="S31"/>
  <c r="AM40"/>
  <c r="AM31" s="1"/>
  <c r="L31"/>
  <c r="AS60"/>
  <c r="M59"/>
  <c r="M40" s="1"/>
  <c r="M6"/>
  <c r="M5" s="1"/>
  <c r="AE201"/>
  <c r="AE179" s="1"/>
  <c r="AF180"/>
  <c r="AE142"/>
  <c r="AF140"/>
  <c r="M136"/>
  <c r="M93" s="1"/>
  <c r="AQ114"/>
  <c r="AE39"/>
  <c r="AE32" s="1"/>
  <c r="AF33"/>
  <c r="AE15"/>
  <c r="AF7"/>
  <c r="AF79"/>
  <c r="AT215"/>
  <c r="AT238"/>
  <c r="BB238" s="1"/>
  <c r="AS101"/>
  <c r="AN101"/>
  <c r="AN93" s="1"/>
  <c r="T143"/>
  <c r="T92" s="1"/>
  <c r="AQ18"/>
  <c r="L224"/>
  <c r="L223" s="1"/>
  <c r="BB192"/>
  <c r="AE242"/>
  <c r="AF237"/>
  <c r="AR137"/>
  <c r="AR139" s="1"/>
  <c r="AF139"/>
  <c r="AE101"/>
  <c r="AF94"/>
  <c r="AS39"/>
  <c r="AS32" s="1"/>
  <c r="AT38"/>
  <c r="BB38" s="1"/>
  <c r="AQ101"/>
  <c r="AT240"/>
  <c r="BB240" s="1"/>
  <c r="R224"/>
  <c r="R223" s="1"/>
  <c r="AQ235"/>
  <c r="AT235" s="1"/>
  <c r="BB235" s="1"/>
  <c r="AT185"/>
  <c r="BB185" s="1"/>
  <c r="AQ113"/>
  <c r="AM93"/>
  <c r="AM92" s="1"/>
  <c r="AB93"/>
  <c r="AB92" s="1"/>
  <c r="AQ168"/>
  <c r="AN59"/>
  <c r="AF59"/>
  <c r="AR41"/>
  <c r="AR59" s="1"/>
  <c r="AR40" s="1"/>
  <c r="AS26"/>
  <c r="AS30" s="1"/>
  <c r="AQ175"/>
  <c r="AT175" s="1"/>
  <c r="BB175" s="1"/>
  <c r="AN168"/>
  <c r="AN143" s="1"/>
  <c r="AS144"/>
  <c r="AS168" s="1"/>
  <c r="AS143" s="1"/>
  <c r="AS233"/>
  <c r="AS236" s="1"/>
  <c r="AT129"/>
  <c r="BB129" s="1"/>
  <c r="AF81"/>
  <c r="AE91"/>
  <c r="AE80" s="1"/>
  <c r="AR144"/>
  <c r="AF168"/>
  <c r="AT125"/>
  <c r="BB125" s="1"/>
  <c r="AQ15"/>
  <c r="R143"/>
  <c r="R92" s="1"/>
  <c r="AS41"/>
  <c r="AS59" s="1"/>
  <c r="AE59"/>
  <c r="AE40" s="1"/>
  <c r="AT226"/>
  <c r="BB226" s="1"/>
  <c r="AT228"/>
  <c r="BB228" s="1"/>
  <c r="AT170"/>
  <c r="BB170" s="1"/>
  <c r="AT190"/>
  <c r="BB190" s="1"/>
  <c r="AN178"/>
  <c r="AT107"/>
  <c r="BB107" s="1"/>
  <c r="AT186"/>
  <c r="BB186" s="1"/>
  <c r="S92"/>
  <c r="AE168"/>
  <c r="AE143" s="1"/>
  <c r="AT130"/>
  <c r="BB130" s="1"/>
  <c r="M91"/>
  <c r="M80" s="1"/>
  <c r="AQ81"/>
  <c r="AT112"/>
  <c r="BB112" s="1"/>
  <c r="AT55"/>
  <c r="BB55" s="1"/>
  <c r="AN39"/>
  <c r="AN32" s="1"/>
  <c r="AF17"/>
  <c r="AR16"/>
  <c r="AR17" s="1"/>
  <c r="AN40" i="17"/>
  <c r="AN31" s="1"/>
  <c r="AY168"/>
  <c r="AY143" s="1"/>
  <c r="AY92" s="1"/>
  <c r="AU127"/>
  <c r="BB127" s="1"/>
  <c r="AS201"/>
  <c r="AS179" s="1"/>
  <c r="AE59"/>
  <c r="AR33"/>
  <c r="AR39" s="1"/>
  <c r="AR32" s="1"/>
  <c r="AF39"/>
  <c r="AF32" s="1"/>
  <c r="AS7"/>
  <c r="AS15" s="1"/>
  <c r="AF30"/>
  <c r="AR26"/>
  <c r="AN242"/>
  <c r="AN224" s="1"/>
  <c r="AN223" s="1"/>
  <c r="AS237"/>
  <c r="AS242" s="1"/>
  <c r="AT176"/>
  <c r="BB176" s="1"/>
  <c r="AN178"/>
  <c r="AN143" s="1"/>
  <c r="AQ168"/>
  <c r="L224"/>
  <c r="L223" s="1"/>
  <c r="AT134"/>
  <c r="BB134" s="1"/>
  <c r="Y143"/>
  <c r="Y92" s="1"/>
  <c r="M93"/>
  <c r="AX232"/>
  <c r="AX224" s="1"/>
  <c r="AX223" s="1"/>
  <c r="AS169"/>
  <c r="AS178" s="1"/>
  <c r="M168"/>
  <c r="M143" s="1"/>
  <c r="AE222"/>
  <c r="AE202" s="1"/>
  <c r="AE201"/>
  <c r="AE179" s="1"/>
  <c r="AF180"/>
  <c r="AF140"/>
  <c r="AE142"/>
  <c r="AS137"/>
  <c r="AS139" s="1"/>
  <c r="T31"/>
  <c r="AX116"/>
  <c r="AT186"/>
  <c r="BB186" s="1"/>
  <c r="AU126"/>
  <c r="AU136" s="1"/>
  <c r="AU93" s="1"/>
  <c r="AQ139"/>
  <c r="AN101"/>
  <c r="AF59"/>
  <c r="AF40" s="1"/>
  <c r="AR41"/>
  <c r="AR59" s="1"/>
  <c r="AE91"/>
  <c r="AE80" s="1"/>
  <c r="AF81"/>
  <c r="AQ130"/>
  <c r="AT130" s="1"/>
  <c r="BB130" s="1"/>
  <c r="AS94"/>
  <c r="AS101" s="1"/>
  <c r="AF25"/>
  <c r="AR18"/>
  <c r="AS236"/>
  <c r="AR233"/>
  <c r="AR236" s="1"/>
  <c r="AF236"/>
  <c r="AT174"/>
  <c r="BB174" s="1"/>
  <c r="AR137"/>
  <c r="AR139" s="1"/>
  <c r="AF139"/>
  <c r="AS79"/>
  <c r="AM93"/>
  <c r="AM92" s="1"/>
  <c r="AQ91"/>
  <c r="AQ80" s="1"/>
  <c r="AT21"/>
  <c r="BB21" s="1"/>
  <c r="AS222"/>
  <c r="AS202" s="1"/>
  <c r="AE242"/>
  <c r="AF237"/>
  <c r="AE236"/>
  <c r="AN136"/>
  <c r="AT117"/>
  <c r="BB117" s="1"/>
  <c r="AQ94"/>
  <c r="AT89"/>
  <c r="BB89" s="1"/>
  <c r="L31"/>
  <c r="AS25"/>
  <c r="AT240"/>
  <c r="BB240" s="1"/>
  <c r="AF222"/>
  <c r="AF202" s="1"/>
  <c r="AR203"/>
  <c r="AT239"/>
  <c r="BB239" s="1"/>
  <c r="AE168"/>
  <c r="AF144"/>
  <c r="AB143"/>
  <c r="AT181"/>
  <c r="BB181" s="1"/>
  <c r="M232"/>
  <c r="M224" s="1"/>
  <c r="M223" s="1"/>
  <c r="AT193"/>
  <c r="BB193" s="1"/>
  <c r="AT162"/>
  <c r="BB162" s="1"/>
  <c r="AS136"/>
  <c r="AE136"/>
  <c r="AF114"/>
  <c r="AT77"/>
  <c r="BB77" s="1"/>
  <c r="AT102"/>
  <c r="AQ113"/>
  <c r="AE79"/>
  <c r="AS87"/>
  <c r="M31"/>
  <c r="M40"/>
  <c r="AQ236"/>
  <c r="AT241"/>
  <c r="BB241" s="1"/>
  <c r="AR225"/>
  <c r="AR232" s="1"/>
  <c r="AF232"/>
  <c r="AT191"/>
  <c r="AT100"/>
  <c r="BB100" s="1"/>
  <c r="AE113"/>
  <c r="AT42"/>
  <c r="BB42" s="1"/>
  <c r="AT65"/>
  <c r="BB65" s="1"/>
  <c r="AS111"/>
  <c r="AT111" s="1"/>
  <c r="BB111" s="1"/>
  <c r="AT19"/>
  <c r="BB19" s="1"/>
  <c r="AT9"/>
  <c r="BB9" s="1"/>
  <c r="AF15"/>
  <c r="AF6" s="1"/>
  <c r="AF5" s="1"/>
  <c r="AR7"/>
  <c r="AR15" s="1"/>
  <c r="AS34"/>
  <c r="AS39" s="1"/>
  <c r="AS32" s="1"/>
  <c r="AQ30"/>
  <c r="AT226"/>
  <c r="BB226" s="1"/>
  <c r="AQ232"/>
  <c r="AT225"/>
  <c r="AT234"/>
  <c r="BB234" s="1"/>
  <c r="AE232"/>
  <c r="AE224" s="1"/>
  <c r="AE223" s="1"/>
  <c r="M201"/>
  <c r="M179" s="1"/>
  <c r="AQ180"/>
  <c r="AX201"/>
  <c r="AX179" s="1"/>
  <c r="AN222"/>
  <c r="AN202" s="1"/>
  <c r="AE101"/>
  <c r="AF94"/>
  <c r="S93"/>
  <c r="S92" s="1"/>
  <c r="AT112"/>
  <c r="BB112" s="1"/>
  <c r="AB93"/>
  <c r="AB92" s="1"/>
  <c r="AT58"/>
  <c r="BB58" s="1"/>
  <c r="AT52"/>
  <c r="BB52" s="1"/>
  <c r="AT7"/>
  <c r="AQ15"/>
  <c r="AQ6" s="1"/>
  <c r="AQ5" s="1"/>
  <c r="AQ79"/>
  <c r="R92"/>
  <c r="AT219"/>
  <c r="BB219" s="1"/>
  <c r="AT204"/>
  <c r="BB204" s="1"/>
  <c r="BB192"/>
  <c r="AQ178"/>
  <c r="AQ142"/>
  <c r="AQ222"/>
  <c r="AQ202" s="1"/>
  <c r="AN201"/>
  <c r="AN179" s="1"/>
  <c r="AF79"/>
  <c r="AR60"/>
  <c r="AQ242"/>
  <c r="AS59"/>
  <c r="AR113"/>
  <c r="AQ33"/>
  <c r="AT205"/>
  <c r="BB205" s="1"/>
  <c r="AT195"/>
  <c r="BB195" s="1"/>
  <c r="AT220"/>
  <c r="BB220" s="1"/>
  <c r="AT187"/>
  <c r="BB187" s="1"/>
  <c r="AT198"/>
  <c r="BB198" s="1"/>
  <c r="AT196"/>
  <c r="AF169"/>
  <c r="AE178"/>
  <c r="AT41"/>
  <c r="AQ59"/>
  <c r="AQ40" s="1"/>
  <c r="AM40"/>
  <c r="AM31" s="1"/>
  <c r="AF113"/>
  <c r="AT11"/>
  <c r="BB11" s="1"/>
  <c r="AT16"/>
  <c r="AS25" i="16"/>
  <c r="BW10" i="18" s="1"/>
  <c r="AT138" i="16"/>
  <c r="BB138" s="1"/>
  <c r="AQ139"/>
  <c r="AT219"/>
  <c r="BB219" s="1"/>
  <c r="AT239"/>
  <c r="BB239" s="1"/>
  <c r="AT186"/>
  <c r="BB186" s="1"/>
  <c r="AT146"/>
  <c r="BB146" s="1"/>
  <c r="AT121"/>
  <c r="BB121" s="1"/>
  <c r="L40"/>
  <c r="L31" s="1"/>
  <c r="AE15"/>
  <c r="AF7"/>
  <c r="L224"/>
  <c r="L223" s="1"/>
  <c r="AR225"/>
  <c r="AF232"/>
  <c r="AS204"/>
  <c r="AT132"/>
  <c r="BB132" s="1"/>
  <c r="AQ168"/>
  <c r="M139"/>
  <c r="AQ136"/>
  <c r="AT147"/>
  <c r="BB147" s="1"/>
  <c r="AT23"/>
  <c r="BB23" s="1"/>
  <c r="AQ236"/>
  <c r="AS94"/>
  <c r="AT24"/>
  <c r="BB24" s="1"/>
  <c r="AN242"/>
  <c r="AN224" s="1"/>
  <c r="AN223" s="1"/>
  <c r="AQ232"/>
  <c r="AT241"/>
  <c r="AQ178"/>
  <c r="AE232"/>
  <c r="AF222"/>
  <c r="AF202" s="1"/>
  <c r="AR203"/>
  <c r="AN168"/>
  <c r="AN143" s="1"/>
  <c r="BB127"/>
  <c r="M136"/>
  <c r="BB166"/>
  <c r="M168"/>
  <c r="M143" s="1"/>
  <c r="AT47"/>
  <c r="BB47" s="1"/>
  <c r="AT62"/>
  <c r="BB62" s="1"/>
  <c r="AT9"/>
  <c r="BB9" s="1"/>
  <c r="AQ15"/>
  <c r="BU8" i="18" s="1"/>
  <c r="AE79" i="16"/>
  <c r="AT196"/>
  <c r="AT218"/>
  <c r="BB218" s="1"/>
  <c r="AT234"/>
  <c r="BB234" s="1"/>
  <c r="BB126"/>
  <c r="AE222"/>
  <c r="AE202" s="1"/>
  <c r="AN79"/>
  <c r="AS60"/>
  <c r="AS79" s="1"/>
  <c r="AQ30"/>
  <c r="BU11" i="18" s="1"/>
  <c r="AN59" i="16"/>
  <c r="AN39"/>
  <c r="AN32" s="1"/>
  <c r="AS33"/>
  <c r="AS39" s="1"/>
  <c r="AS32" s="1"/>
  <c r="AE236"/>
  <c r="AF233"/>
  <c r="AT227"/>
  <c r="AE242"/>
  <c r="AF237"/>
  <c r="AE201"/>
  <c r="AE179" s="1"/>
  <c r="AF180"/>
  <c r="S92"/>
  <c r="AQ113"/>
  <c r="AB143"/>
  <c r="AF140"/>
  <c r="AE142"/>
  <c r="AQ59"/>
  <c r="AT124"/>
  <c r="BB124" s="1"/>
  <c r="AQ39"/>
  <c r="AQ32" s="1"/>
  <c r="AQ81"/>
  <c r="AT195"/>
  <c r="AT220"/>
  <c r="BB220" s="1"/>
  <c r="AN136"/>
  <c r="AN93" s="1"/>
  <c r="AQ222"/>
  <c r="AQ202" s="1"/>
  <c r="T92"/>
  <c r="AS114"/>
  <c r="AE59"/>
  <c r="AF41"/>
  <c r="AE101"/>
  <c r="AF94"/>
  <c r="AE30"/>
  <c r="AF26"/>
  <c r="AE168"/>
  <c r="AF144"/>
  <c r="AQ237"/>
  <c r="AT206"/>
  <c r="BB206" s="1"/>
  <c r="AT215"/>
  <c r="BB215" s="1"/>
  <c r="AT172"/>
  <c r="BB172" s="1"/>
  <c r="M224"/>
  <c r="M223" s="1"/>
  <c r="AT106"/>
  <c r="BB106" s="1"/>
  <c r="AF114"/>
  <c r="AE136"/>
  <c r="M31"/>
  <c r="U92"/>
  <c r="AR60"/>
  <c r="AF79"/>
  <c r="AQ25"/>
  <c r="BU10" i="18" s="1"/>
  <c r="AS15" i="16"/>
  <c r="AE178"/>
  <c r="AF169"/>
  <c r="AT238"/>
  <c r="BB238" s="1"/>
  <c r="BB192"/>
  <c r="AQ101"/>
  <c r="AS16"/>
  <c r="AS17" s="1"/>
  <c r="AT177"/>
  <c r="BB177" s="1"/>
  <c r="AS191"/>
  <c r="AS84"/>
  <c r="AT84" s="1"/>
  <c r="BB84" s="1"/>
  <c r="M201"/>
  <c r="M179" s="1"/>
  <c r="AQ180"/>
  <c r="AT155"/>
  <c r="BB155" s="1"/>
  <c r="AF81"/>
  <c r="AE91"/>
  <c r="AE80" s="1"/>
  <c r="AT68"/>
  <c r="BB68" s="1"/>
  <c r="AE113"/>
  <c r="AF102"/>
  <c r="AF18"/>
  <c r="AE25"/>
  <c r="R40"/>
  <c r="R31" s="1"/>
  <c r="AS59"/>
  <c r="AS40" s="1"/>
  <c r="AT22"/>
  <c r="BB22" s="1"/>
  <c r="AF17"/>
  <c r="AR16"/>
  <c r="AR137"/>
  <c r="AF139"/>
  <c r="AT49"/>
  <c r="BB49" s="1"/>
  <c r="AS140"/>
  <c r="Y93"/>
  <c r="Y92" s="1"/>
  <c r="R143"/>
  <c r="R92" s="1"/>
  <c r="AB93"/>
  <c r="AF33"/>
  <c r="AE39"/>
  <c r="AE32" s="1"/>
  <c r="AT57"/>
  <c r="BB57" s="1"/>
  <c r="BB126" i="15"/>
  <c r="AT95"/>
  <c r="BB95" s="1"/>
  <c r="AT44"/>
  <c r="BB44" s="1"/>
  <c r="AT104"/>
  <c r="BB104" s="1"/>
  <c r="AF114"/>
  <c r="AE136"/>
  <c r="AT117"/>
  <c r="BB117" s="1"/>
  <c r="AQ201"/>
  <c r="AQ179" s="1"/>
  <c r="AT211"/>
  <c r="BB211" s="1"/>
  <c r="AE222"/>
  <c r="AE202" s="1"/>
  <c r="AN201"/>
  <c r="AN179" s="1"/>
  <c r="AS205"/>
  <c r="AS222" s="1"/>
  <c r="AS202" s="1"/>
  <c r="U143"/>
  <c r="R143"/>
  <c r="R92" s="1"/>
  <c r="AT158"/>
  <c r="BB158" s="1"/>
  <c r="AN113"/>
  <c r="AF102"/>
  <c r="AE113"/>
  <c r="AQ91"/>
  <c r="AT50"/>
  <c r="BB50" s="1"/>
  <c r="AR7"/>
  <c r="AR15" s="1"/>
  <c r="BI8" i="18" s="1"/>
  <c r="AF15" i="15"/>
  <c r="AT173"/>
  <c r="BB173" s="1"/>
  <c r="AE201"/>
  <c r="AE179" s="1"/>
  <c r="AF180"/>
  <c r="AT137"/>
  <c r="AQ139"/>
  <c r="AS95"/>
  <c r="AQ113"/>
  <c r="AS91"/>
  <c r="AT57"/>
  <c r="BB57" s="1"/>
  <c r="M136"/>
  <c r="M93" s="1"/>
  <c r="M92" s="1"/>
  <c r="AE17"/>
  <c r="AF16"/>
  <c r="AT187"/>
  <c r="BB187" s="1"/>
  <c r="AT182"/>
  <c r="BB182" s="1"/>
  <c r="AQ101"/>
  <c r="AT74"/>
  <c r="BB74" s="1"/>
  <c r="AT76"/>
  <c r="BB76" s="1"/>
  <c r="AB31"/>
  <c r="AT56"/>
  <c r="BB56" s="1"/>
  <c r="AN79"/>
  <c r="AN40" s="1"/>
  <c r="AN31" s="1"/>
  <c r="AS13"/>
  <c r="AS15" s="1"/>
  <c r="AT159"/>
  <c r="BB159" s="1"/>
  <c r="AT229"/>
  <c r="BB229" s="1"/>
  <c r="AE242"/>
  <c r="AE224" s="1"/>
  <c r="AE223" s="1"/>
  <c r="AF237"/>
  <c r="AE91"/>
  <c r="AE80" s="1"/>
  <c r="AF81"/>
  <c r="U92"/>
  <c r="AS60"/>
  <c r="AS79" s="1"/>
  <c r="AE25"/>
  <c r="AF18"/>
  <c r="AT240"/>
  <c r="BB240" s="1"/>
  <c r="BB148"/>
  <c r="AQ161"/>
  <c r="AT161" s="1"/>
  <c r="BB161" s="1"/>
  <c r="AF94"/>
  <c r="AE101"/>
  <c r="AQ30"/>
  <c r="BH11" i="18" s="1"/>
  <c r="AS59" i="15"/>
  <c r="AS40" s="1"/>
  <c r="AS25"/>
  <c r="BJ10" i="18" s="1"/>
  <c r="BJ7" s="1"/>
  <c r="BJ6" s="1"/>
  <c r="AE30" i="15"/>
  <c r="AF26"/>
  <c r="AQ236"/>
  <c r="AN232"/>
  <c r="L224"/>
  <c r="L223" s="1"/>
  <c r="AT141"/>
  <c r="BB141" s="1"/>
  <c r="AQ222"/>
  <c r="AQ202" s="1"/>
  <c r="AT203"/>
  <c r="AT217"/>
  <c r="BB217" s="1"/>
  <c r="AT83"/>
  <c r="BB83" s="1"/>
  <c r="L40"/>
  <c r="L31" s="1"/>
  <c r="M25"/>
  <c r="M6" s="1"/>
  <c r="M5" s="1"/>
  <c r="AF79"/>
  <c r="AR60"/>
  <c r="AT226"/>
  <c r="BB226" s="1"/>
  <c r="AQ232"/>
  <c r="AB143"/>
  <c r="AB92" s="1"/>
  <c r="AT177"/>
  <c r="BB177" s="1"/>
  <c r="AN168"/>
  <c r="AN143" s="1"/>
  <c r="AF168"/>
  <c r="AR144"/>
  <c r="AT123"/>
  <c r="BB123" s="1"/>
  <c r="AT129"/>
  <c r="BB129" s="1"/>
  <c r="AT85"/>
  <c r="BB85" s="1"/>
  <c r="AM40"/>
  <c r="AE79"/>
  <c r="AQ136"/>
  <c r="AT146"/>
  <c r="BB146" s="1"/>
  <c r="L143"/>
  <c r="L92" s="1"/>
  <c r="AQ39"/>
  <c r="AQ32" s="1"/>
  <c r="AE59"/>
  <c r="AF41"/>
  <c r="AQ59"/>
  <c r="AQ25"/>
  <c r="BH10" i="18" s="1"/>
  <c r="AT205" i="15"/>
  <c r="AN242"/>
  <c r="AS237"/>
  <c r="AT106"/>
  <c r="BB106" s="1"/>
  <c r="AT111"/>
  <c r="AF33"/>
  <c r="AE39"/>
  <c r="AE32" s="1"/>
  <c r="AT55"/>
  <c r="BB55" s="1"/>
  <c r="AT43"/>
  <c r="BB43" s="1"/>
  <c r="AQ79"/>
  <c r="BH17" i="18" s="1"/>
  <c r="AT13" i="15"/>
  <c r="BB13" s="1"/>
  <c r="AF222"/>
  <c r="AF202" s="1"/>
  <c r="AR203"/>
  <c r="AQ178"/>
  <c r="AT238"/>
  <c r="BB238" s="1"/>
  <c r="AF140"/>
  <c r="AE142"/>
  <c r="AM31"/>
  <c r="AT116"/>
  <c r="M40"/>
  <c r="M31" s="1"/>
  <c r="AT196"/>
  <c r="BB196" s="1"/>
  <c r="M224"/>
  <c r="M223" s="1"/>
  <c r="AR233"/>
  <c r="AF236"/>
  <c r="AF169"/>
  <c r="AE178"/>
  <c r="AE143" s="1"/>
  <c r="AR225"/>
  <c r="AF232"/>
  <c r="AS114"/>
  <c r="AC92"/>
  <c r="T93"/>
  <c r="T92" s="1"/>
  <c r="AT66"/>
  <c r="BB66" s="1"/>
  <c r="AQ15"/>
  <c r="BH8" i="18" s="1"/>
  <c r="BH7" s="1"/>
  <c r="BH6" s="1"/>
  <c r="AT61" i="15"/>
  <c r="BB61" s="1"/>
  <c r="AN25"/>
  <c r="AN6" s="1"/>
  <c r="AN5" s="1"/>
  <c r="AT64" i="14"/>
  <c r="BB64" s="1"/>
  <c r="AT193"/>
  <c r="BB193" s="1"/>
  <c r="AT210"/>
  <c r="BB210" s="1"/>
  <c r="AT228"/>
  <c r="BB228" s="1"/>
  <c r="AN242"/>
  <c r="AS206"/>
  <c r="AT206" s="1"/>
  <c r="BB206" s="1"/>
  <c r="AS235"/>
  <c r="AS236" s="1"/>
  <c r="AT170"/>
  <c r="BB170" s="1"/>
  <c r="AN101"/>
  <c r="AT111"/>
  <c r="T143"/>
  <c r="M178"/>
  <c r="M143" s="1"/>
  <c r="AT28"/>
  <c r="BB28" s="1"/>
  <c r="AE113"/>
  <c r="AQ104"/>
  <c r="AT104" s="1"/>
  <c r="BB104" s="1"/>
  <c r="AS94"/>
  <c r="AT65"/>
  <c r="BB65" s="1"/>
  <c r="AS35"/>
  <c r="AS39" s="1"/>
  <c r="AS32" s="1"/>
  <c r="AS88"/>
  <c r="AT88" s="1"/>
  <c r="BB88" s="1"/>
  <c r="AE30"/>
  <c r="AF26"/>
  <c r="AT240"/>
  <c r="BB240" s="1"/>
  <c r="AT221"/>
  <c r="BB221" s="1"/>
  <c r="AE236"/>
  <c r="AF233"/>
  <c r="AT191"/>
  <c r="BB191" s="1"/>
  <c r="BB192"/>
  <c r="AN201"/>
  <c r="AN179" s="1"/>
  <c r="AE242"/>
  <c r="AF237"/>
  <c r="AT189"/>
  <c r="BB189" s="1"/>
  <c r="AQ113"/>
  <c r="M31"/>
  <c r="AF25"/>
  <c r="AR18"/>
  <c r="AT171"/>
  <c r="BB171" s="1"/>
  <c r="AQ236"/>
  <c r="AT184"/>
  <c r="BB184" s="1"/>
  <c r="AT166"/>
  <c r="AT119"/>
  <c r="BB119" s="1"/>
  <c r="U143"/>
  <c r="AT185"/>
  <c r="BB185" s="1"/>
  <c r="AQ139"/>
  <c r="AE136"/>
  <c r="AT227"/>
  <c r="BB227" s="1"/>
  <c r="AM93"/>
  <c r="AM92" s="1"/>
  <c r="AE168"/>
  <c r="AF144"/>
  <c r="R143"/>
  <c r="R92" s="1"/>
  <c r="AT126"/>
  <c r="AT23"/>
  <c r="BB23" s="1"/>
  <c r="AN25"/>
  <c r="M15"/>
  <c r="M6" s="1"/>
  <c r="M5" s="1"/>
  <c r="AF113"/>
  <c r="AR102"/>
  <c r="AT208"/>
  <c r="BB208" s="1"/>
  <c r="AT231"/>
  <c r="BB231" s="1"/>
  <c r="AT103"/>
  <c r="BB103" s="1"/>
  <c r="AT135"/>
  <c r="BB135" s="1"/>
  <c r="AR114"/>
  <c r="AF136"/>
  <c r="AN113"/>
  <c r="AE59"/>
  <c r="AF41"/>
  <c r="U31"/>
  <c r="AS9"/>
  <c r="AE222"/>
  <c r="AE202" s="1"/>
  <c r="AF203"/>
  <c r="AQ180"/>
  <c r="M201"/>
  <c r="M179" s="1"/>
  <c r="AQ144"/>
  <c r="AN232"/>
  <c r="AT182"/>
  <c r="BB182" s="1"/>
  <c r="AE101"/>
  <c r="AF94"/>
  <c r="Y40"/>
  <c r="Y31" s="1"/>
  <c r="AB93"/>
  <c r="AB92" s="1"/>
  <c r="AB6"/>
  <c r="AB5" s="1"/>
  <c r="AT56"/>
  <c r="BB56" s="1"/>
  <c r="AE15"/>
  <c r="AE6" s="1"/>
  <c r="AE5" s="1"/>
  <c r="AF7"/>
  <c r="AT205"/>
  <c r="BB205" s="1"/>
  <c r="AT162"/>
  <c r="BB162" s="1"/>
  <c r="AT229"/>
  <c r="BB229" s="1"/>
  <c r="AS232"/>
  <c r="AE91"/>
  <c r="AE80" s="1"/>
  <c r="AF81"/>
  <c r="AQ101"/>
  <c r="M136"/>
  <c r="M93" s="1"/>
  <c r="M92" s="1"/>
  <c r="AQ114"/>
  <c r="AQ59"/>
  <c r="AU16" i="18" s="1"/>
  <c r="AB31" i="14"/>
  <c r="AS25"/>
  <c r="AW10" i="18" s="1"/>
  <c r="AS118" i="14"/>
  <c r="AQ232"/>
  <c r="AT225"/>
  <c r="AM224"/>
  <c r="AM223" s="1"/>
  <c r="AT146"/>
  <c r="BB146" s="1"/>
  <c r="AT87"/>
  <c r="BB87" s="1"/>
  <c r="AS137"/>
  <c r="AE178"/>
  <c r="AN79"/>
  <c r="AN40" s="1"/>
  <c r="AN31" s="1"/>
  <c r="AS60"/>
  <c r="AS79" s="1"/>
  <c r="AQ60"/>
  <c r="AT196"/>
  <c r="AT218"/>
  <c r="BB218" s="1"/>
  <c r="AT235"/>
  <c r="BB235" s="1"/>
  <c r="AF226"/>
  <c r="AE232"/>
  <c r="AE224" s="1"/>
  <c r="AE223" s="1"/>
  <c r="AE201"/>
  <c r="AE179" s="1"/>
  <c r="AF180"/>
  <c r="AF178"/>
  <c r="AR169"/>
  <c r="AT220"/>
  <c r="BB220" s="1"/>
  <c r="L92"/>
  <c r="AT100"/>
  <c r="BB100" s="1"/>
  <c r="T92"/>
  <c r="AT16"/>
  <c r="AQ17"/>
  <c r="AU9" i="18" s="1"/>
  <c r="AQ30" i="14"/>
  <c r="AU11" i="18" s="1"/>
  <c r="AF17" i="14"/>
  <c r="AR16"/>
  <c r="AR17" s="1"/>
  <c r="AV9" i="18" s="1"/>
  <c r="AS242" i="14"/>
  <c r="AQ237"/>
  <c r="AT204"/>
  <c r="BB204" s="1"/>
  <c r="R31"/>
  <c r="AT70"/>
  <c r="BB70" s="1"/>
  <c r="AM31"/>
  <c r="AS59"/>
  <c r="AS40" s="1"/>
  <c r="AT216"/>
  <c r="BB216" s="1"/>
  <c r="AF142"/>
  <c r="AR140"/>
  <c r="AT83"/>
  <c r="BB83" s="1"/>
  <c r="U92"/>
  <c r="AR33"/>
  <c r="AF39"/>
  <c r="AF32" s="1"/>
  <c r="AQ25"/>
  <c r="AU10" i="18" s="1"/>
  <c r="M224" i="14"/>
  <c r="M223" s="1"/>
  <c r="AQ141"/>
  <c r="AT61"/>
  <c r="BB61" s="1"/>
  <c r="AQ15"/>
  <c r="AU8" i="18" s="1"/>
  <c r="AT73" i="14"/>
  <c r="BB73" s="1"/>
  <c r="AN30"/>
  <c r="AS26"/>
  <c r="AS30" s="1"/>
  <c r="AW11" i="18" s="1"/>
  <c r="AE79" i="14"/>
  <c r="AF60"/>
  <c r="AQ34"/>
  <c r="AE39"/>
  <c r="AE32" s="1"/>
  <c r="AQ91" i="13"/>
  <c r="AT221"/>
  <c r="BB221" s="1"/>
  <c r="AF222"/>
  <c r="AF202" s="1"/>
  <c r="AR203"/>
  <c r="AN232"/>
  <c r="AS220"/>
  <c r="BB192"/>
  <c r="AN91"/>
  <c r="AN80" s="1"/>
  <c r="AS81"/>
  <c r="AF26"/>
  <c r="AE30"/>
  <c r="AE101"/>
  <c r="AF94"/>
  <c r="AQ15"/>
  <c r="AH8" i="18" s="1"/>
  <c r="AS8" i="13"/>
  <c r="AQ232"/>
  <c r="AH36" i="18" s="1"/>
  <c r="AF33" i="13"/>
  <c r="AE39"/>
  <c r="AE32" s="1"/>
  <c r="AT207"/>
  <c r="BB207" s="1"/>
  <c r="AT206"/>
  <c r="BB206" s="1"/>
  <c r="AT199"/>
  <c r="BB199" s="1"/>
  <c r="AQ168"/>
  <c r="AH28" i="18" s="1"/>
  <c r="AE242" i="13"/>
  <c r="AF237"/>
  <c r="AT128"/>
  <c r="BB128" s="1"/>
  <c r="AT71"/>
  <c r="BB71" s="1"/>
  <c r="M201"/>
  <c r="M179" s="1"/>
  <c r="M92" s="1"/>
  <c r="Y92"/>
  <c r="AQ113"/>
  <c r="AH23" i="18" s="1"/>
  <c r="L6" i="13"/>
  <c r="L5" s="1"/>
  <c r="AQ94"/>
  <c r="AT220"/>
  <c r="BB220" s="1"/>
  <c r="AN168"/>
  <c r="AN143" s="1"/>
  <c r="AS144"/>
  <c r="AE168"/>
  <c r="AF144"/>
  <c r="AN236"/>
  <c r="AT194"/>
  <c r="BB194" s="1"/>
  <c r="M224"/>
  <c r="M223" s="1"/>
  <c r="AT126"/>
  <c r="AT52"/>
  <c r="BB52" s="1"/>
  <c r="AQ235"/>
  <c r="AT77"/>
  <c r="BB77" s="1"/>
  <c r="AT240"/>
  <c r="BB240" s="1"/>
  <c r="AQ242"/>
  <c r="AH38" i="18" s="1"/>
  <c r="AT208" i="13"/>
  <c r="BB208" s="1"/>
  <c r="AN136"/>
  <c r="AN93" s="1"/>
  <c r="AS114"/>
  <c r="AT146"/>
  <c r="BB146" s="1"/>
  <c r="AT110"/>
  <c r="BB110" s="1"/>
  <c r="AT28"/>
  <c r="BB28" s="1"/>
  <c r="AB40"/>
  <c r="AB31" s="1"/>
  <c r="AT65"/>
  <c r="BB65" s="1"/>
  <c r="AQ137"/>
  <c r="M40"/>
  <c r="AT10"/>
  <c r="BB10" s="1"/>
  <c r="AQ236"/>
  <c r="AH37" i="18" s="1"/>
  <c r="AT174" i="13"/>
  <c r="BB174" s="1"/>
  <c r="AQ178"/>
  <c r="AH29" i="18" s="1"/>
  <c r="AM143" i="13"/>
  <c r="AT98"/>
  <c r="BB98" s="1"/>
  <c r="AF169"/>
  <c r="AE178"/>
  <c r="AF102"/>
  <c r="AE113"/>
  <c r="AT58"/>
  <c r="BB58" s="1"/>
  <c r="AS34"/>
  <c r="AF79"/>
  <c r="AR60"/>
  <c r="AT9"/>
  <c r="BB9" s="1"/>
  <c r="AE59"/>
  <c r="AE40" s="1"/>
  <c r="AQ16"/>
  <c r="AT166"/>
  <c r="AQ136"/>
  <c r="AH24" i="18" s="1"/>
  <c r="AT127" i="13"/>
  <c r="AE201"/>
  <c r="AE179" s="1"/>
  <c r="AF180"/>
  <c r="AQ142"/>
  <c r="AH26" i="18" s="1"/>
  <c r="AQ39" i="13"/>
  <c r="AT156"/>
  <c r="BB156" s="1"/>
  <c r="AT46"/>
  <c r="BB46" s="1"/>
  <c r="AS25"/>
  <c r="AJ10" i="18" s="1"/>
  <c r="AE15" i="13"/>
  <c r="AF7"/>
  <c r="AS63"/>
  <c r="AF59"/>
  <c r="AR41"/>
  <c r="AR59" s="1"/>
  <c r="AI16" i="18" s="1"/>
  <c r="AT219" i="13"/>
  <c r="BB219" s="1"/>
  <c r="AS238"/>
  <c r="AT120"/>
  <c r="BB120" s="1"/>
  <c r="AR233"/>
  <c r="AF236"/>
  <c r="AS137"/>
  <c r="AB93"/>
  <c r="AB92" s="1"/>
  <c r="AN30"/>
  <c r="AN6" s="1"/>
  <c r="AN5" s="1"/>
  <c r="AS26"/>
  <c r="AS104"/>
  <c r="AT87"/>
  <c r="BB87" s="1"/>
  <c r="AS59"/>
  <c r="AJ16" i="18" s="1"/>
  <c r="AT34" i="13"/>
  <c r="BB34" s="1"/>
  <c r="AT132"/>
  <c r="BB132" s="1"/>
  <c r="AQ59"/>
  <c r="AH16" i="18" s="1"/>
  <c r="AE91" i="13"/>
  <c r="AE80" s="1"/>
  <c r="AF81"/>
  <c r="AT205"/>
  <c r="AT157"/>
  <c r="BB157" s="1"/>
  <c r="AQ222"/>
  <c r="AT203"/>
  <c r="AT56"/>
  <c r="BB56" s="1"/>
  <c r="L31"/>
  <c r="AT22"/>
  <c r="BB22" s="1"/>
  <c r="AQ30"/>
  <c r="AH11" i="18" s="1"/>
  <c r="AQ79" i="13"/>
  <c r="AH17" i="18" s="1"/>
  <c r="AF114" i="13"/>
  <c r="AE136"/>
  <c r="AT196"/>
  <c r="AN201"/>
  <c r="AN179" s="1"/>
  <c r="AT241"/>
  <c r="BB241" s="1"/>
  <c r="AT171"/>
  <c r="BB171" s="1"/>
  <c r="AT164"/>
  <c r="BB164" s="1"/>
  <c r="R93"/>
  <c r="R92" s="1"/>
  <c r="AE142"/>
  <c r="AT88"/>
  <c r="BB88" s="1"/>
  <c r="AT44"/>
  <c r="BB44" s="1"/>
  <c r="AE25"/>
  <c r="AF18"/>
  <c r="AM40"/>
  <c r="AM31" s="1"/>
  <c r="AT187"/>
  <c r="BB187" s="1"/>
  <c r="AT234"/>
  <c r="BB234" s="1"/>
  <c r="AR225"/>
  <c r="AF232"/>
  <c r="AF142"/>
  <c r="AR140"/>
  <c r="AT116"/>
  <c r="AT20"/>
  <c r="BB20" s="1"/>
  <c r="AE17"/>
  <c r="AF16"/>
  <c r="AQ201"/>
  <c r="BB227"/>
  <c r="AT215"/>
  <c r="AE232"/>
  <c r="BB148"/>
  <c r="U92"/>
  <c r="M91"/>
  <c r="M80" s="1"/>
  <c r="L93"/>
  <c r="L92" s="1"/>
  <c r="M6"/>
  <c r="M5" s="1"/>
  <c r="AS168" i="12"/>
  <c r="W28" i="18" s="1"/>
  <c r="AT145" i="12"/>
  <c r="BB145" s="1"/>
  <c r="AT9"/>
  <c r="BB9" s="1"/>
  <c r="AS15"/>
  <c r="W8" i="18" s="1"/>
  <c r="AX201" i="12"/>
  <c r="AQ178"/>
  <c r="U29" i="18" s="1"/>
  <c r="AM224" i="12"/>
  <c r="AM223" s="1"/>
  <c r="AE201"/>
  <c r="AE179" s="1"/>
  <c r="AF180"/>
  <c r="AN232"/>
  <c r="AT227"/>
  <c r="AR225"/>
  <c r="AR232" s="1"/>
  <c r="V36" i="18" s="1"/>
  <c r="AF232" i="12"/>
  <c r="AS233"/>
  <c r="AT131"/>
  <c r="BB131" s="1"/>
  <c r="AQ142"/>
  <c r="U26" i="18" s="1"/>
  <c r="AQ149" i="12"/>
  <c r="AN168"/>
  <c r="AN143" s="1"/>
  <c r="T40"/>
  <c r="T31" s="1"/>
  <c r="AN139"/>
  <c r="AT104"/>
  <c r="BB104" s="1"/>
  <c r="AS242"/>
  <c r="W38" i="18" s="1"/>
  <c r="AS232" i="12"/>
  <c r="W36" i="18" s="1"/>
  <c r="W35" s="1"/>
  <c r="W34" s="1"/>
  <c r="AT119" i="12"/>
  <c r="BB119" s="1"/>
  <c r="AS101"/>
  <c r="W22" i="18" s="1"/>
  <c r="AQ116" i="12"/>
  <c r="AF140"/>
  <c r="AE142"/>
  <c r="AS91"/>
  <c r="AQ30"/>
  <c r="U11" i="18" s="1"/>
  <c r="AS139" i="12"/>
  <c r="W25" i="18" s="1"/>
  <c r="AT240" i="12"/>
  <c r="BB240" s="1"/>
  <c r="AT221"/>
  <c r="AT206"/>
  <c r="AT134"/>
  <c r="BB134" s="1"/>
  <c r="AT105"/>
  <c r="BB105" s="1"/>
  <c r="AE101"/>
  <c r="AF94"/>
  <c r="R93"/>
  <c r="R92" s="1"/>
  <c r="AB40"/>
  <c r="AB31" s="1"/>
  <c r="M93"/>
  <c r="AQ236"/>
  <c r="U37" i="18" s="1"/>
  <c r="AT207" i="12"/>
  <c r="BB207" s="1"/>
  <c r="AT174"/>
  <c r="BB174" s="1"/>
  <c r="AS204"/>
  <c r="AQ91"/>
  <c r="AT157"/>
  <c r="BB157" s="1"/>
  <c r="AS113"/>
  <c r="W23" i="18" s="1"/>
  <c r="AN101" i="12"/>
  <c r="AS33"/>
  <c r="AT46"/>
  <c r="BB46" s="1"/>
  <c r="AE113"/>
  <c r="AT27"/>
  <c r="BB27" s="1"/>
  <c r="AE79"/>
  <c r="AF60"/>
  <c r="AE25"/>
  <c r="AF18"/>
  <c r="AF17"/>
  <c r="AR16"/>
  <c r="AR17" s="1"/>
  <c r="V9" i="18" s="1"/>
  <c r="AE15" i="12"/>
  <c r="AQ60"/>
  <c r="AT226"/>
  <c r="AT239"/>
  <c r="BB239" s="1"/>
  <c r="AN136"/>
  <c r="AS114"/>
  <c r="AT150"/>
  <c r="BB150" s="1"/>
  <c r="AT98"/>
  <c r="BB98" s="1"/>
  <c r="AT23"/>
  <c r="BB23" s="1"/>
  <c r="AT45"/>
  <c r="BB45" s="1"/>
  <c r="AF113"/>
  <c r="AR102"/>
  <c r="L6"/>
  <c r="L5" s="1"/>
  <c r="AR7"/>
  <c r="AF15"/>
  <c r="AT219"/>
  <c r="BB219" s="1"/>
  <c r="AQ222"/>
  <c r="M201"/>
  <c r="M179" s="1"/>
  <c r="AS201"/>
  <c r="AT50"/>
  <c r="BB50" s="1"/>
  <c r="AQ101"/>
  <c r="U22" i="18" s="1"/>
  <c r="AS79" i="12"/>
  <c r="W17" i="18" s="1"/>
  <c r="S92" i="12"/>
  <c r="AT205"/>
  <c r="AX205" s="1"/>
  <c r="AQ232"/>
  <c r="U36" i="18" s="1"/>
  <c r="U35" s="1"/>
  <c r="U34" s="1"/>
  <c r="AE222" i="12"/>
  <c r="AE202" s="1"/>
  <c r="AF203"/>
  <c r="AT146"/>
  <c r="BB146" s="1"/>
  <c r="Y143"/>
  <c r="Y92" s="1"/>
  <c r="U93"/>
  <c r="U92" s="1"/>
  <c r="L93"/>
  <c r="L92" s="1"/>
  <c r="AQ113"/>
  <c r="U23" i="18" s="1"/>
  <c r="AQ39" i="12"/>
  <c r="AQ17"/>
  <c r="U9" i="18" s="1"/>
  <c r="AT11" i="12"/>
  <c r="BB11" s="1"/>
  <c r="AS44"/>
  <c r="AF41"/>
  <c r="AE59"/>
  <c r="AU201"/>
  <c r="AT196"/>
  <c r="AT127"/>
  <c r="AS169"/>
  <c r="AE242"/>
  <c r="AF237"/>
  <c r="AT88"/>
  <c r="BB88" s="1"/>
  <c r="AT137"/>
  <c r="AQ139"/>
  <c r="U25" i="18" s="1"/>
  <c r="AN91" i="12"/>
  <c r="AN80" s="1"/>
  <c r="AN31" s="1"/>
  <c r="L31"/>
  <c r="AT47"/>
  <c r="BB47" s="1"/>
  <c r="AR26"/>
  <c r="AR30" s="1"/>
  <c r="V11" i="18" s="1"/>
  <c r="AF30" i="12"/>
  <c r="AT187"/>
  <c r="BB187" s="1"/>
  <c r="AN242"/>
  <c r="AT120"/>
  <c r="BB120" s="1"/>
  <c r="M224"/>
  <c r="M223" s="1"/>
  <c r="AF169"/>
  <c r="AE178"/>
  <c r="AT76"/>
  <c r="BB76" s="1"/>
  <c r="AN113"/>
  <c r="AS26"/>
  <c r="AN30"/>
  <c r="AN15"/>
  <c r="AE39"/>
  <c r="AE32" s="1"/>
  <c r="AF114"/>
  <c r="AE136"/>
  <c r="AQ201"/>
  <c r="AN201"/>
  <c r="AN179" s="1"/>
  <c r="AE236"/>
  <c r="AF233"/>
  <c r="AT172"/>
  <c r="BB172" s="1"/>
  <c r="M178"/>
  <c r="M143" s="1"/>
  <c r="AT64"/>
  <c r="BB64" s="1"/>
  <c r="M31"/>
  <c r="AS21"/>
  <c r="AR33"/>
  <c r="AR39" s="1"/>
  <c r="AF39"/>
  <c r="AF32" s="1"/>
  <c r="AT173"/>
  <c r="BB173" s="1"/>
  <c r="AT165"/>
  <c r="BB165" s="1"/>
  <c r="AT241"/>
  <c r="BB241" s="1"/>
  <c r="T93"/>
  <c r="T92" s="1"/>
  <c r="AS142"/>
  <c r="W26" i="18" s="1"/>
  <c r="AT152" i="12"/>
  <c r="BB152" s="1"/>
  <c r="AE91"/>
  <c r="AE80" s="1"/>
  <c r="AF81"/>
  <c r="AT78"/>
  <c r="BB78" s="1"/>
  <c r="AE168"/>
  <c r="AF144"/>
  <c r="AT87"/>
  <c r="BB87" s="1"/>
  <c r="M6"/>
  <c r="M5" s="1"/>
  <c r="AT214" i="1"/>
  <c r="BB214" s="1"/>
  <c r="AT195"/>
  <c r="BB195" s="1"/>
  <c r="AT209"/>
  <c r="BB209" s="1"/>
  <c r="AT205"/>
  <c r="BB205" s="1"/>
  <c r="AT166"/>
  <c r="BB166" s="1"/>
  <c r="AT176"/>
  <c r="BB176" s="1"/>
  <c r="AT152"/>
  <c r="BB152" s="1"/>
  <c r="AT131"/>
  <c r="BB131" s="1"/>
  <c r="AT155"/>
  <c r="BB155" s="1"/>
  <c r="AT145"/>
  <c r="BB145" s="1"/>
  <c r="AT148"/>
  <c r="AT146"/>
  <c r="BF211" i="23" l="1"/>
  <c r="BJ211" s="1"/>
  <c r="BF205"/>
  <c r="BJ205" s="1"/>
  <c r="BF213"/>
  <c r="BJ213" s="1"/>
  <c r="BF231"/>
  <c r="BJ231" s="1"/>
  <c r="BB241" i="16"/>
  <c r="BB242" s="1"/>
  <c r="AT242"/>
  <c r="BX38" i="18" s="1"/>
  <c r="CF38" s="1"/>
  <c r="AR202" i="16"/>
  <c r="BV33" i="18"/>
  <c r="BV32" s="1"/>
  <c r="AR179" i="16"/>
  <c r="BV31" i="18"/>
  <c r="BV30" s="1"/>
  <c r="AR143" i="16"/>
  <c r="BV28" i="18"/>
  <c r="BV27" s="1"/>
  <c r="BV21"/>
  <c r="AR93" i="16"/>
  <c r="BB241" i="15"/>
  <c r="BB242" s="1"/>
  <c r="AT242"/>
  <c r="BK38" i="18" s="1"/>
  <c r="BS38" s="1"/>
  <c r="AR202" i="15"/>
  <c r="BI33" i="18"/>
  <c r="BI32" s="1"/>
  <c r="AR179" i="15"/>
  <c r="BI31" i="18"/>
  <c r="BI30" s="1"/>
  <c r="AR143" i="15"/>
  <c r="BI28" i="18"/>
  <c r="BI27" s="1"/>
  <c r="BI21"/>
  <c r="AR93" i="15"/>
  <c r="AR179" i="14"/>
  <c r="AS224" i="13"/>
  <c r="AS223" s="1"/>
  <c r="AS222"/>
  <c r="AT44" i="12"/>
  <c r="BB44" s="1"/>
  <c r="AS30"/>
  <c r="W11" i="18" s="1"/>
  <c r="AQ202" i="12"/>
  <c r="U33" i="18"/>
  <c r="U32" s="1"/>
  <c r="BB211" i="12"/>
  <c r="AX230"/>
  <c r="BF230" i="23" s="1"/>
  <c r="AC15" i="12"/>
  <c r="AC6" s="1"/>
  <c r="AC5" s="1"/>
  <c r="AS178"/>
  <c r="W29" i="18" s="1"/>
  <c r="W27" s="1"/>
  <c r="AS136" i="12"/>
  <c r="W24" i="18" s="1"/>
  <c r="W21" s="1"/>
  <c r="AT204" i="12"/>
  <c r="BB204" s="1"/>
  <c r="AU221"/>
  <c r="BB221" s="1"/>
  <c r="AT149"/>
  <c r="BB149" s="1"/>
  <c r="AT141"/>
  <c r="BB141" s="1"/>
  <c r="BB210"/>
  <c r="AQ179"/>
  <c r="U31" i="18"/>
  <c r="U30" s="1"/>
  <c r="AS179" i="12"/>
  <c r="W31" i="18"/>
  <c r="W30" s="1"/>
  <c r="AS39" i="12"/>
  <c r="AS236"/>
  <c r="W37" i="18" s="1"/>
  <c r="AT235" i="12"/>
  <c r="BB235" s="1"/>
  <c r="AT29"/>
  <c r="BB29" s="1"/>
  <c r="BB231"/>
  <c r="AX226"/>
  <c r="AX206"/>
  <c r="AX217"/>
  <c r="BB213"/>
  <c r="BJ215" i="23"/>
  <c r="AU179" i="12"/>
  <c r="Y31" i="18"/>
  <c r="Y30" s="1"/>
  <c r="AX179" i="12"/>
  <c r="AB31" i="18"/>
  <c r="AB30" s="1"/>
  <c r="AE143" i="12"/>
  <c r="AW7" i="18"/>
  <c r="AW6" s="1"/>
  <c r="AY143" i="12"/>
  <c r="AY92" s="1"/>
  <c r="AC28" i="18"/>
  <c r="AC27" s="1"/>
  <c r="AC20" s="1"/>
  <c r="AS139" i="14"/>
  <c r="AW25" i="18" s="1"/>
  <c r="AS142" i="16"/>
  <c r="BW26" i="18" s="1"/>
  <c r="BB99" i="16"/>
  <c r="BB101" s="1"/>
  <c r="AT101"/>
  <c r="BX22" i="18" s="1"/>
  <c r="BB111" i="16"/>
  <c r="BB113" s="1"/>
  <c r="AT113"/>
  <c r="BX23" i="18" s="1"/>
  <c r="CF23" s="1"/>
  <c r="AS224" i="14"/>
  <c r="AS223" s="1"/>
  <c r="AW36" i="18"/>
  <c r="AW35" s="1"/>
  <c r="AW34" s="1"/>
  <c r="BJ22"/>
  <c r="BJ21" s="1"/>
  <c r="BJ20" s="1"/>
  <c r="AS93" i="15"/>
  <c r="AS92" s="1"/>
  <c r="AS224" i="16"/>
  <c r="AS223" s="1"/>
  <c r="BW36" i="18"/>
  <c r="BW35" s="1"/>
  <c r="BW34" s="1"/>
  <c r="AS93" i="14"/>
  <c r="AW24" i="18"/>
  <c r="AW21" s="1"/>
  <c r="AW20" s="1"/>
  <c r="AS6" i="15"/>
  <c r="AS5" s="1"/>
  <c r="AS113" i="17"/>
  <c r="AS6"/>
  <c r="AS5" s="1"/>
  <c r="BW7" i="18"/>
  <c r="BW6" s="1"/>
  <c r="BB111" i="14"/>
  <c r="BB113" s="1"/>
  <c r="AT113"/>
  <c r="AX23" i="18" s="1"/>
  <c r="BF23" s="1"/>
  <c r="BB111" i="15"/>
  <c r="BB113" s="1"/>
  <c r="AT113"/>
  <c r="BK23" i="18" s="1"/>
  <c r="BS23" s="1"/>
  <c r="BB99" i="15"/>
  <c r="BB101" s="1"/>
  <c r="AT101"/>
  <c r="BK22" i="18" s="1"/>
  <c r="BB99" i="14"/>
  <c r="BB101" s="1"/>
  <c r="AT101"/>
  <c r="AX22" i="18" s="1"/>
  <c r="BF22" s="1"/>
  <c r="AS224" i="15"/>
  <c r="AS223" s="1"/>
  <c r="BJ36" i="18"/>
  <c r="BJ35" s="1"/>
  <c r="BJ34" s="1"/>
  <c r="AS93" i="16"/>
  <c r="AS92" s="1"/>
  <c r="BW24" i="18"/>
  <c r="BW21" s="1"/>
  <c r="BW20" s="1"/>
  <c r="AH15"/>
  <c r="AS139" i="13"/>
  <c r="AJ25" i="18" s="1"/>
  <c r="AT238" i="13"/>
  <c r="BB238" s="1"/>
  <c r="AT63"/>
  <c r="BB63" s="1"/>
  <c r="AS91"/>
  <c r="AQ179"/>
  <c r="AH31" i="18"/>
  <c r="AT235" i="13"/>
  <c r="BB235" s="1"/>
  <c r="AS179"/>
  <c r="AJ31" i="18"/>
  <c r="AH27"/>
  <c r="AQ202" i="13"/>
  <c r="AH33" i="18"/>
  <c r="AS39" i="13"/>
  <c r="AT29"/>
  <c r="BB29" s="1"/>
  <c r="AS113"/>
  <c r="AJ23" i="18" s="1"/>
  <c r="AS242" i="13"/>
  <c r="AJ38" i="18" s="1"/>
  <c r="AC15" i="13"/>
  <c r="AC6" s="1"/>
  <c r="AC5" s="1"/>
  <c r="AS30"/>
  <c r="AJ11" i="18" s="1"/>
  <c r="AS136" i="13"/>
  <c r="AS202"/>
  <c r="AJ33" i="18"/>
  <c r="AS168" i="13"/>
  <c r="AR236"/>
  <c r="AI37" i="18" s="1"/>
  <c r="AR139" i="13"/>
  <c r="AI25" i="18" s="1"/>
  <c r="AR232" i="13"/>
  <c r="AI36" i="18" s="1"/>
  <c r="AR142" i="13"/>
  <c r="AI26" i="18" s="1"/>
  <c r="AR222" i="13"/>
  <c r="AH35" i="18"/>
  <c r="AH34" s="1"/>
  <c r="AJ35"/>
  <c r="AJ34" s="1"/>
  <c r="AT60" i="23"/>
  <c r="AN93"/>
  <c r="AN224"/>
  <c r="AN223" s="1"/>
  <c r="AT36" i="22"/>
  <c r="BB36" s="1"/>
  <c r="BJ166" i="23"/>
  <c r="AS40" i="22"/>
  <c r="AS31" s="1"/>
  <c r="AS224" i="21"/>
  <c r="AS223" s="1"/>
  <c r="AE6"/>
  <c r="AE5" s="1"/>
  <c r="BB200" i="22"/>
  <c r="AE224" i="21"/>
  <c r="AE223" s="1"/>
  <c r="AF40"/>
  <c r="AT203" i="23"/>
  <c r="AF40" i="22"/>
  <c r="BB166" i="21"/>
  <c r="BB215"/>
  <c r="BB230"/>
  <c r="M31"/>
  <c r="AQ40"/>
  <c r="M92"/>
  <c r="AQ136" i="17"/>
  <c r="AX136"/>
  <c r="AX93" s="1"/>
  <c r="AV24" i="18"/>
  <c r="AT136" i="14"/>
  <c r="BB136"/>
  <c r="AE40" i="16"/>
  <c r="AQ40"/>
  <c r="BU16" i="18"/>
  <c r="BU15" s="1"/>
  <c r="BU7"/>
  <c r="BU6" s="1"/>
  <c r="AS80" i="15"/>
  <c r="BJ19" i="18"/>
  <c r="BJ18" s="1"/>
  <c r="BJ12" s="1"/>
  <c r="AQ80" i="15"/>
  <c r="BH19" i="18"/>
  <c r="BH18" s="1"/>
  <c r="AE40" i="15"/>
  <c r="AQ40"/>
  <c r="BH16" i="18"/>
  <c r="BH15" s="1"/>
  <c r="BH12" s="1"/>
  <c r="AE6" i="15"/>
  <c r="AE5" s="1"/>
  <c r="AQ80" i="14"/>
  <c r="AU19" i="18"/>
  <c r="AU18" s="1"/>
  <c r="AN6" i="14"/>
  <c r="AN5" s="1"/>
  <c r="AU7" i="18"/>
  <c r="AU6" s="1"/>
  <c r="AS80" i="13"/>
  <c r="AJ19" i="18"/>
  <c r="AJ18" s="1"/>
  <c r="M31" i="13"/>
  <c r="AQ80"/>
  <c r="AH19" i="18"/>
  <c r="AH18" s="1"/>
  <c r="AF40" i="13"/>
  <c r="AQ32"/>
  <c r="AH14" i="18"/>
  <c r="AH13" s="1"/>
  <c r="AS80" i="12"/>
  <c r="W19" i="18"/>
  <c r="W18" s="1"/>
  <c r="AQ80" i="12"/>
  <c r="U19" i="18"/>
  <c r="AE40" i="12"/>
  <c r="AR32"/>
  <c r="V14" i="18"/>
  <c r="V13" s="1"/>
  <c r="AQ32" i="12"/>
  <c r="U14" i="18"/>
  <c r="U13" s="1"/>
  <c r="AE6" i="12"/>
  <c r="AE5" s="1"/>
  <c r="AQ6"/>
  <c r="AQ5" s="1"/>
  <c r="U7" i="18"/>
  <c r="U6" s="1"/>
  <c r="AN92" i="16"/>
  <c r="M92" i="23"/>
  <c r="Y92"/>
  <c r="BB176" i="13"/>
  <c r="BB227" i="15"/>
  <c r="AT232"/>
  <c r="AT168"/>
  <c r="BB195" i="16"/>
  <c r="AT201"/>
  <c r="AT201" i="15"/>
  <c r="BB168"/>
  <c r="BB131" i="16"/>
  <c r="BB136" s="1"/>
  <c r="AT136"/>
  <c r="BB201" i="15"/>
  <c r="BB179" s="1"/>
  <c r="BB205" i="12"/>
  <c r="BB227" i="16"/>
  <c r="AT232"/>
  <c r="BB195" i="14"/>
  <c r="AT201"/>
  <c r="BB176" i="16"/>
  <c r="BB178" s="1"/>
  <c r="AT178"/>
  <c r="BX29" i="18" s="1"/>
  <c r="CF29" s="1"/>
  <c r="AU227" i="12"/>
  <c r="BB227" s="1"/>
  <c r="M93" i="16"/>
  <c r="AQ93"/>
  <c r="AS168" i="17"/>
  <c r="AS143" s="1"/>
  <c r="AE93" i="21"/>
  <c r="AN93" i="22"/>
  <c r="AF93" i="23"/>
  <c r="AF92" s="1"/>
  <c r="BB131" i="15"/>
  <c r="BB136" s="1"/>
  <c r="AT136"/>
  <c r="AN92" i="13"/>
  <c r="BB176" i="15"/>
  <c r="BB178" s="1"/>
  <c r="AT178"/>
  <c r="BK29" i="18" s="1"/>
  <c r="BS29" s="1"/>
  <c r="BB205" i="13"/>
  <c r="AT222"/>
  <c r="BB205" i="15"/>
  <c r="BB222" s="1"/>
  <c r="BB202" s="1"/>
  <c r="AT222"/>
  <c r="AE143" i="17"/>
  <c r="BB145" i="16"/>
  <c r="BB168" s="1"/>
  <c r="AT168"/>
  <c r="M92" i="17"/>
  <c r="AS222" i="22"/>
  <c r="AS202" s="1"/>
  <c r="BB176" i="14"/>
  <c r="BB178" s="1"/>
  <c r="AT178"/>
  <c r="AX29" i="18" s="1"/>
  <c r="BF29" s="1"/>
  <c r="AT204" i="16"/>
  <c r="BB204" s="1"/>
  <c r="BB222" s="1"/>
  <c r="BB202" s="1"/>
  <c r="AE143"/>
  <c r="AQ143"/>
  <c r="BB200"/>
  <c r="BB201" s="1"/>
  <c r="BB179" s="1"/>
  <c r="AT225" i="15"/>
  <c r="AE93"/>
  <c r="AE92" s="1"/>
  <c r="AT144"/>
  <c r="AQ93"/>
  <c r="AS222" i="14"/>
  <c r="AS202" s="1"/>
  <c r="AE93"/>
  <c r="AT102"/>
  <c r="AT104" i="13"/>
  <c r="BB104" s="1"/>
  <c r="AE224"/>
  <c r="AE223" s="1"/>
  <c r="AE143"/>
  <c r="AT233"/>
  <c r="BB200"/>
  <c r="AQ143"/>
  <c r="BB215"/>
  <c r="BB196"/>
  <c r="AQ224" i="12"/>
  <c r="AQ223" s="1"/>
  <c r="AE224"/>
  <c r="AE223" s="1"/>
  <c r="AT225"/>
  <c r="BB225" s="1"/>
  <c r="BB230"/>
  <c r="AE93"/>
  <c r="AE92" s="1"/>
  <c r="AS222"/>
  <c r="BB200"/>
  <c r="AM92" i="13"/>
  <c r="AN31"/>
  <c r="AT35" i="14"/>
  <c r="BB35" s="1"/>
  <c r="BB116"/>
  <c r="AN93" i="15"/>
  <c r="AN92" s="1"/>
  <c r="AS31"/>
  <c r="AT191" i="16"/>
  <c r="BB191" s="1"/>
  <c r="AT105"/>
  <c r="BB105" s="1"/>
  <c r="BB230"/>
  <c r="AS40" i="17"/>
  <c r="AN93"/>
  <c r="AN92" s="1"/>
  <c r="AS224"/>
  <c r="AS223" s="1"/>
  <c r="BB126"/>
  <c r="BB230"/>
  <c r="AS93"/>
  <c r="AS92" s="1"/>
  <c r="AN224" i="21"/>
  <c r="AN223" s="1"/>
  <c r="AN6"/>
  <c r="AN5" s="1"/>
  <c r="AS113"/>
  <c r="AS93" s="1"/>
  <c r="AS92" s="1"/>
  <c r="AT21"/>
  <c r="BB21" s="1"/>
  <c r="AS25"/>
  <c r="AS6" s="1"/>
  <c r="AS5" s="1"/>
  <c r="AN40"/>
  <c r="AS6" i="22"/>
  <c r="AS5" s="1"/>
  <c r="AT19"/>
  <c r="BB19" s="1"/>
  <c r="AS143"/>
  <c r="BB230" i="23"/>
  <c r="AS101"/>
  <c r="AS93" s="1"/>
  <c r="AS143"/>
  <c r="AS232"/>
  <c r="AS224" s="1"/>
  <c r="AS223" s="1"/>
  <c r="BB200"/>
  <c r="AF39"/>
  <c r="AF32" s="1"/>
  <c r="AR33"/>
  <c r="AE6"/>
  <c r="AE5" s="1"/>
  <c r="AF15"/>
  <c r="AR7"/>
  <c r="AT139"/>
  <c r="BB137"/>
  <c r="BB139" s="1"/>
  <c r="BB116"/>
  <c r="AF91"/>
  <c r="AF80" s="1"/>
  <c r="AR81"/>
  <c r="AR91" s="1"/>
  <c r="AR80" s="1"/>
  <c r="AF59"/>
  <c r="AF40" s="1"/>
  <c r="AR41"/>
  <c r="AT225"/>
  <c r="AT222"/>
  <c r="AT202" s="1"/>
  <c r="BB203"/>
  <c r="BB222" s="1"/>
  <c r="BB202" s="1"/>
  <c r="AQ91"/>
  <c r="AQ80" s="1"/>
  <c r="AQ224"/>
  <c r="AQ223" s="1"/>
  <c r="AT102"/>
  <c r="AR180"/>
  <c r="AR201" s="1"/>
  <c r="AR179" s="1"/>
  <c r="AF201"/>
  <c r="AF179" s="1"/>
  <c r="AR142"/>
  <c r="AR93" s="1"/>
  <c r="AT140"/>
  <c r="AR17"/>
  <c r="AT16"/>
  <c r="AR168"/>
  <c r="AR143" s="1"/>
  <c r="AT144"/>
  <c r="BB169"/>
  <c r="BB178" s="1"/>
  <c r="AT178"/>
  <c r="BB60"/>
  <c r="BB79" s="1"/>
  <c r="AT79"/>
  <c r="AR237"/>
  <c r="AF242"/>
  <c r="AQ40"/>
  <c r="AQ31" s="1"/>
  <c r="AS40"/>
  <c r="AS31" s="1"/>
  <c r="AR233"/>
  <c r="AF236"/>
  <c r="AF224" s="1"/>
  <c r="AF223" s="1"/>
  <c r="AT136"/>
  <c r="BB114"/>
  <c r="AQ201"/>
  <c r="AQ179" s="1"/>
  <c r="AR18"/>
  <c r="AR25" s="1"/>
  <c r="AF25"/>
  <c r="AF30"/>
  <c r="AR26"/>
  <c r="AN92"/>
  <c r="AE224"/>
  <c r="AE223" s="1"/>
  <c r="AE31"/>
  <c r="AT94"/>
  <c r="AQ101"/>
  <c r="AQ93" s="1"/>
  <c r="AQ25"/>
  <c r="AQ6" s="1"/>
  <c r="AQ5" s="1"/>
  <c r="AF91" i="22"/>
  <c r="AF80" s="1"/>
  <c r="AR81"/>
  <c r="AR91" s="1"/>
  <c r="AR80" s="1"/>
  <c r="BB215"/>
  <c r="AE93"/>
  <c r="AF168"/>
  <c r="AR144"/>
  <c r="AT101"/>
  <c r="BB94"/>
  <c r="BB101" s="1"/>
  <c r="AE143"/>
  <c r="AR59"/>
  <c r="AT41"/>
  <c r="AT139"/>
  <c r="BB137"/>
  <c r="BB139" s="1"/>
  <c r="BB126"/>
  <c r="AS113"/>
  <c r="AS93" s="1"/>
  <c r="AS92" s="1"/>
  <c r="AT81"/>
  <c r="AQ91"/>
  <c r="AQ80" s="1"/>
  <c r="AE31"/>
  <c r="BB196"/>
  <c r="AF136"/>
  <c r="AR114"/>
  <c r="AR136" s="1"/>
  <c r="AS224"/>
  <c r="AS223" s="1"/>
  <c r="AN143"/>
  <c r="AR140"/>
  <c r="AF142"/>
  <c r="AF222"/>
  <c r="AF202" s="1"/>
  <c r="AR203"/>
  <c r="AT225"/>
  <c r="AR79"/>
  <c r="AT60"/>
  <c r="AF15"/>
  <c r="AR7"/>
  <c r="AQ224"/>
  <c r="AQ223" s="1"/>
  <c r="AR242"/>
  <c r="AT237"/>
  <c r="AF113"/>
  <c r="AR102"/>
  <c r="AF178"/>
  <c r="AR169"/>
  <c r="AQ178"/>
  <c r="AQ143" s="1"/>
  <c r="AR233"/>
  <c r="AF236"/>
  <c r="AF224" s="1"/>
  <c r="AF223" s="1"/>
  <c r="AQ17"/>
  <c r="AT16"/>
  <c r="AT114"/>
  <c r="AQ136"/>
  <c r="AQ93" s="1"/>
  <c r="AF31"/>
  <c r="AR180"/>
  <c r="AF201"/>
  <c r="AF179" s="1"/>
  <c r="AQ30"/>
  <c r="BB116"/>
  <c r="AT33"/>
  <c r="AQ39"/>
  <c r="AQ32" s="1"/>
  <c r="AF30"/>
  <c r="AR26"/>
  <c r="AR30" s="1"/>
  <c r="AR25"/>
  <c r="AT18"/>
  <c r="M31"/>
  <c r="BB148"/>
  <c r="AQ178" i="21"/>
  <c r="AQ143" s="1"/>
  <c r="AR232"/>
  <c r="AT225"/>
  <c r="AT41"/>
  <c r="BB196"/>
  <c r="AR168"/>
  <c r="AT144"/>
  <c r="AR180"/>
  <c r="AF201"/>
  <c r="AF179" s="1"/>
  <c r="AN31"/>
  <c r="AF91"/>
  <c r="AF80" s="1"/>
  <c r="AR81"/>
  <c r="AR91" s="1"/>
  <c r="AR80" s="1"/>
  <c r="AF15"/>
  <c r="AF6" s="1"/>
  <c r="AF5" s="1"/>
  <c r="AR7"/>
  <c r="AQ25"/>
  <c r="AQ6" s="1"/>
  <c r="AQ5" s="1"/>
  <c r="AT18"/>
  <c r="AF39"/>
  <c r="AF32" s="1"/>
  <c r="AR33"/>
  <c r="AS79"/>
  <c r="AT60"/>
  <c r="AT137"/>
  <c r="BB116"/>
  <c r="AQ91"/>
  <c r="AQ80" s="1"/>
  <c r="AQ31" s="1"/>
  <c r="AT81"/>
  <c r="AF101"/>
  <c r="AR94"/>
  <c r="AN92"/>
  <c r="AE31"/>
  <c r="AF178"/>
  <c r="AF143" s="1"/>
  <c r="AR169"/>
  <c r="AR233"/>
  <c r="AF236"/>
  <c r="AS40"/>
  <c r="AS31" s="1"/>
  <c r="AE92"/>
  <c r="AQ136"/>
  <c r="AQ93" s="1"/>
  <c r="AF222"/>
  <c r="AF202" s="1"/>
  <c r="AR203"/>
  <c r="AT16"/>
  <c r="AR140"/>
  <c r="AF142"/>
  <c r="AR113"/>
  <c r="AT102"/>
  <c r="AR30"/>
  <c r="AT26"/>
  <c r="AQ236"/>
  <c r="AQ224" s="1"/>
  <c r="AQ223" s="1"/>
  <c r="AR237"/>
  <c r="AF242"/>
  <c r="AR114"/>
  <c r="AR136" s="1"/>
  <c r="AF136"/>
  <c r="AF178" i="17"/>
  <c r="AR169"/>
  <c r="AR79"/>
  <c r="AT60"/>
  <c r="BB102"/>
  <c r="BB113" s="1"/>
  <c r="AT113"/>
  <c r="AR237"/>
  <c r="AF242"/>
  <c r="AF224" s="1"/>
  <c r="AF223" s="1"/>
  <c r="AR180"/>
  <c r="AR201" s="1"/>
  <c r="AR179" s="1"/>
  <c r="AF201"/>
  <c r="AF179" s="1"/>
  <c r="BB196"/>
  <c r="BB200"/>
  <c r="AE40"/>
  <c r="AE31" s="1"/>
  <c r="AF136"/>
  <c r="AR114"/>
  <c r="AR222"/>
  <c r="AR202" s="1"/>
  <c r="AT203"/>
  <c r="AR25"/>
  <c r="AT18"/>
  <c r="AT137"/>
  <c r="AQ143"/>
  <c r="BB7"/>
  <c r="BB15" s="1"/>
  <c r="AT15"/>
  <c r="AT233"/>
  <c r="AQ201"/>
  <c r="AQ179" s="1"/>
  <c r="AT180"/>
  <c r="AT34"/>
  <c r="BB34" s="1"/>
  <c r="BB16"/>
  <c r="AT17"/>
  <c r="BB17" s="1"/>
  <c r="AX92"/>
  <c r="BB116"/>
  <c r="AQ39"/>
  <c r="AQ32" s="1"/>
  <c r="AQ31" s="1"/>
  <c r="AT33"/>
  <c r="BB225"/>
  <c r="AT232"/>
  <c r="AQ101"/>
  <c r="AQ93" s="1"/>
  <c r="AQ92" s="1"/>
  <c r="AF91"/>
  <c r="AF80" s="1"/>
  <c r="AR81"/>
  <c r="AR30"/>
  <c r="AR6" s="1"/>
  <c r="AR5" s="1"/>
  <c r="AT26"/>
  <c r="AQ224"/>
  <c r="AQ223" s="1"/>
  <c r="AS91"/>
  <c r="AS80" s="1"/>
  <c r="AT87"/>
  <c r="BB87" s="1"/>
  <c r="BB148"/>
  <c r="AT59"/>
  <c r="BB41"/>
  <c r="BB59" s="1"/>
  <c r="AF101"/>
  <c r="AR94"/>
  <c r="AR101" s="1"/>
  <c r="BB191"/>
  <c r="AR40"/>
  <c r="AE93"/>
  <c r="AU201"/>
  <c r="AU179" s="1"/>
  <c r="AU92" s="1"/>
  <c r="AR144"/>
  <c r="AF168"/>
  <c r="AF143" s="1"/>
  <c r="AR140"/>
  <c r="AF142"/>
  <c r="AF31"/>
  <c r="AF91" i="16"/>
  <c r="AF80" s="1"/>
  <c r="AR81"/>
  <c r="AR91" s="1"/>
  <c r="AF168"/>
  <c r="AR144"/>
  <c r="BB196"/>
  <c r="AE31"/>
  <c r="AR17"/>
  <c r="AT16"/>
  <c r="AF39"/>
  <c r="AF32" s="1"/>
  <c r="AR33"/>
  <c r="AQ201"/>
  <c r="AQ179" s="1"/>
  <c r="AT180"/>
  <c r="AR114"/>
  <c r="AF136"/>
  <c r="AR26"/>
  <c r="AF30"/>
  <c r="AN40"/>
  <c r="AN31" s="1"/>
  <c r="AB92"/>
  <c r="AR180"/>
  <c r="AF201"/>
  <c r="AF179" s="1"/>
  <c r="AF178"/>
  <c r="AR169"/>
  <c r="M92"/>
  <c r="AR94"/>
  <c r="AF101"/>
  <c r="AQ91"/>
  <c r="AT203"/>
  <c r="AE93"/>
  <c r="AR237"/>
  <c r="AF242"/>
  <c r="AF224" s="1"/>
  <c r="AF223" s="1"/>
  <c r="AQ6"/>
  <c r="AQ5" s="1"/>
  <c r="AS6"/>
  <c r="AS5" s="1"/>
  <c r="AF59"/>
  <c r="AF40" s="1"/>
  <c r="AR41"/>
  <c r="AE224"/>
  <c r="AE223" s="1"/>
  <c r="AF25"/>
  <c r="AR18"/>
  <c r="AS91"/>
  <c r="BB148"/>
  <c r="BB116"/>
  <c r="AQ242"/>
  <c r="AQ224" s="1"/>
  <c r="AQ223" s="1"/>
  <c r="AF113"/>
  <c r="AR102"/>
  <c r="AF15"/>
  <c r="AR7"/>
  <c r="AT137"/>
  <c r="AT139" s="1"/>
  <c r="BX25" i="18" s="1"/>
  <c r="CF25" s="1"/>
  <c r="AQ92" i="16"/>
  <c r="AR233"/>
  <c r="AF236"/>
  <c r="AE6"/>
  <c r="AE5" s="1"/>
  <c r="AR79"/>
  <c r="BV17" i="18" s="1"/>
  <c r="AT60" i="16"/>
  <c r="AR140"/>
  <c r="AF142"/>
  <c r="AT225"/>
  <c r="AF178" i="15"/>
  <c r="AF143" s="1"/>
  <c r="AR169"/>
  <c r="AE31"/>
  <c r="AQ224"/>
  <c r="AQ223" s="1"/>
  <c r="AN224"/>
  <c r="AN223" s="1"/>
  <c r="AR33"/>
  <c r="AF39"/>
  <c r="AF32" s="1"/>
  <c r="AR41"/>
  <c r="AF59"/>
  <c r="AF40" s="1"/>
  <c r="AT233"/>
  <c r="AR79"/>
  <c r="BI17" i="18" s="1"/>
  <c r="AT60" i="15"/>
  <c r="AQ168"/>
  <c r="AQ143" s="1"/>
  <c r="AQ92" s="1"/>
  <c r="AT7"/>
  <c r="AQ31"/>
  <c r="AF30"/>
  <c r="AR26"/>
  <c r="AT139"/>
  <c r="BK25" i="18" s="1"/>
  <c r="BS25" s="1"/>
  <c r="BB137" i="15"/>
  <c r="BB139" s="1"/>
  <c r="AQ6"/>
  <c r="AQ5" s="1"/>
  <c r="BB230"/>
  <c r="AR18"/>
  <c r="AF25"/>
  <c r="AF113"/>
  <c r="AR102"/>
  <c r="AF17"/>
  <c r="AR16"/>
  <c r="AF136"/>
  <c r="AR114"/>
  <c r="AR180"/>
  <c r="AF201"/>
  <c r="AF179" s="1"/>
  <c r="AR140"/>
  <c r="AF142"/>
  <c r="BB225"/>
  <c r="BB203"/>
  <c r="AF91"/>
  <c r="AF80" s="1"/>
  <c r="AR81"/>
  <c r="AR94"/>
  <c r="AF101"/>
  <c r="AR237"/>
  <c r="AF242"/>
  <c r="AF224" s="1"/>
  <c r="AF223" s="1"/>
  <c r="BB144"/>
  <c r="AR142" i="14"/>
  <c r="AV26" i="18" s="1"/>
  <c r="AT140" i="14"/>
  <c r="AQ79"/>
  <c r="AU17" i="18" s="1"/>
  <c r="AU15" s="1"/>
  <c r="AF91" i="14"/>
  <c r="AF80" s="1"/>
  <c r="AR81"/>
  <c r="AT9"/>
  <c r="BB9" s="1"/>
  <c r="AS15"/>
  <c r="AS6" s="1"/>
  <c r="AS5" s="1"/>
  <c r="AR25"/>
  <c r="AV10" i="18" s="1"/>
  <c r="AT18" i="14"/>
  <c r="AQ6"/>
  <c r="AQ5" s="1"/>
  <c r="AT169"/>
  <c r="BB225"/>
  <c r="AT118"/>
  <c r="BB118" s="1"/>
  <c r="AS91"/>
  <c r="AF101"/>
  <c r="AF93" s="1"/>
  <c r="AR94"/>
  <c r="AF59"/>
  <c r="AR41"/>
  <c r="AR180"/>
  <c r="AF201"/>
  <c r="AF179" s="1"/>
  <c r="AE40"/>
  <c r="AT137"/>
  <c r="AR233"/>
  <c r="AF236"/>
  <c r="AT141"/>
  <c r="BB141" s="1"/>
  <c r="AQ142"/>
  <c r="BB148"/>
  <c r="BB200"/>
  <c r="AN224"/>
  <c r="AN223" s="1"/>
  <c r="AE31"/>
  <c r="AR226"/>
  <c r="AF232"/>
  <c r="AQ168"/>
  <c r="AQ143" s="1"/>
  <c r="AR237"/>
  <c r="AR242" s="1"/>
  <c r="AV38" i="18" s="1"/>
  <c r="AF242" i="14"/>
  <c r="AT34"/>
  <c r="BB34" s="1"/>
  <c r="AQ39"/>
  <c r="BB16"/>
  <c r="AT17"/>
  <c r="AF15"/>
  <c r="AR7"/>
  <c r="BB166"/>
  <c r="AF30"/>
  <c r="AR26"/>
  <c r="AN93"/>
  <c r="AN92" s="1"/>
  <c r="AF79"/>
  <c r="AR60"/>
  <c r="AR79" s="1"/>
  <c r="AV17" i="18" s="1"/>
  <c r="AT114" i="14"/>
  <c r="AQ136"/>
  <c r="AQ201"/>
  <c r="AQ179" s="1"/>
  <c r="AF168"/>
  <c r="AF143" s="1"/>
  <c r="AR144"/>
  <c r="AR168" s="1"/>
  <c r="AQ242"/>
  <c r="AQ224" s="1"/>
  <c r="AQ223" s="1"/>
  <c r="AR39"/>
  <c r="AT33"/>
  <c r="AE143"/>
  <c r="BB230"/>
  <c r="BB196"/>
  <c r="AF222"/>
  <c r="AF202" s="1"/>
  <c r="AR203"/>
  <c r="AT41" i="13"/>
  <c r="AF178"/>
  <c r="AR169"/>
  <c r="AS79"/>
  <c r="AQ17"/>
  <c r="AH9" i="18" s="1"/>
  <c r="AH7" s="1"/>
  <c r="AH6" s="1"/>
  <c r="AR94" i="13"/>
  <c r="AF101"/>
  <c r="AQ101"/>
  <c r="AH22" i="18" s="1"/>
  <c r="AE93" i="13"/>
  <c r="BB126"/>
  <c r="BB230"/>
  <c r="BB203"/>
  <c r="AT140"/>
  <c r="AT142" s="1"/>
  <c r="AK26" i="18" s="1"/>
  <c r="AR79" i="13"/>
  <c r="AT60"/>
  <c r="AR26"/>
  <c r="AF30"/>
  <c r="AE31"/>
  <c r="AR16"/>
  <c r="AR17" s="1"/>
  <c r="AI9" i="18" s="1"/>
  <c r="AF17" i="13"/>
  <c r="AR18"/>
  <c r="AF25"/>
  <c r="AR180"/>
  <c r="AF201"/>
  <c r="AF179" s="1"/>
  <c r="AR33"/>
  <c r="AF39"/>
  <c r="AF32" s="1"/>
  <c r="BB127"/>
  <c r="AR144"/>
  <c r="AF168"/>
  <c r="AT225"/>
  <c r="AT232" s="1"/>
  <c r="AF91"/>
  <c r="AF80" s="1"/>
  <c r="AR81"/>
  <c r="AR7"/>
  <c r="AF15"/>
  <c r="AR102"/>
  <c r="AF113"/>
  <c r="AQ224"/>
  <c r="AQ223" s="1"/>
  <c r="AR114"/>
  <c r="AF136"/>
  <c r="AE6"/>
  <c r="AE5" s="1"/>
  <c r="AR237"/>
  <c r="AF242"/>
  <c r="AF224" s="1"/>
  <c r="AF223" s="1"/>
  <c r="AS15"/>
  <c r="AT8"/>
  <c r="BB8" s="1"/>
  <c r="AN224"/>
  <c r="AN223" s="1"/>
  <c r="AQ40"/>
  <c r="AQ31" s="1"/>
  <c r="AT137"/>
  <c r="AT139" s="1"/>
  <c r="AK25" i="18" s="1"/>
  <c r="AS25" s="1"/>
  <c r="AQ139" i="13"/>
  <c r="AH25" i="18" s="1"/>
  <c r="AR144" i="12"/>
  <c r="AF168"/>
  <c r="AR233"/>
  <c r="AF236"/>
  <c r="AF59"/>
  <c r="AR41"/>
  <c r="AT116"/>
  <c r="AQ136"/>
  <c r="AF222"/>
  <c r="AF202" s="1"/>
  <c r="AR203"/>
  <c r="AR18"/>
  <c r="AF25"/>
  <c r="AS93"/>
  <c r="AF178"/>
  <c r="AR169"/>
  <c r="AF142"/>
  <c r="AR140"/>
  <c r="AF91"/>
  <c r="AF80" s="1"/>
  <c r="AR81"/>
  <c r="AS25"/>
  <c r="W10" i="18" s="1"/>
  <c r="AT21" i="12"/>
  <c r="BB21" s="1"/>
  <c r="BB137"/>
  <c r="BB139" s="1"/>
  <c r="AT139"/>
  <c r="X25" i="18" s="1"/>
  <c r="AF25" s="1"/>
  <c r="AF79" i="12"/>
  <c r="AR60"/>
  <c r="AR79" s="1"/>
  <c r="V17" i="18" s="1"/>
  <c r="AT16" i="12"/>
  <c r="AF6"/>
  <c r="AF5" s="1"/>
  <c r="AS224"/>
  <c r="AS223" s="1"/>
  <c r="AR237"/>
  <c r="AF242"/>
  <c r="AR15"/>
  <c r="V8" i="18" s="1"/>
  <c r="AT7" i="12"/>
  <c r="AS6"/>
  <c r="AS5" s="1"/>
  <c r="AR114"/>
  <c r="AF136"/>
  <c r="AQ168"/>
  <c r="AT33"/>
  <c r="AN224"/>
  <c r="AN223" s="1"/>
  <c r="AE31"/>
  <c r="AR113"/>
  <c r="V23" i="18" s="1"/>
  <c r="AT102" i="12"/>
  <c r="M92"/>
  <c r="AT26"/>
  <c r="AR180"/>
  <c r="AF201"/>
  <c r="AF179" s="1"/>
  <c r="AN6"/>
  <c r="AN5" s="1"/>
  <c r="BB127"/>
  <c r="AS59"/>
  <c r="AS143"/>
  <c r="BB196"/>
  <c r="AQ79"/>
  <c r="AN93"/>
  <c r="AN92" s="1"/>
  <c r="AF101"/>
  <c r="AR94"/>
  <c r="BB148" i="1"/>
  <c r="BB146"/>
  <c r="BF206" i="23" l="1"/>
  <c r="BJ206" s="1"/>
  <c r="BF217"/>
  <c r="BJ217" s="1"/>
  <c r="BB226" i="12"/>
  <c r="BF226" i="23"/>
  <c r="BJ226" s="1"/>
  <c r="BB232" i="16"/>
  <c r="BB224" s="1"/>
  <c r="BB223" s="1"/>
  <c r="AT222"/>
  <c r="AT179"/>
  <c r="BX31" i="18"/>
  <c r="BB143" i="16"/>
  <c r="AR92"/>
  <c r="AT143"/>
  <c r="BX28" i="18"/>
  <c r="BV20"/>
  <c r="BB232" i="15"/>
  <c r="BB224" s="1"/>
  <c r="BB223" s="1"/>
  <c r="AT202"/>
  <c r="BK33" i="18"/>
  <c r="AT179" i="15"/>
  <c r="BK31" i="18"/>
  <c r="BB143" i="15"/>
  <c r="BI20" i="18"/>
  <c r="AT143" i="15"/>
  <c r="BK28" i="18"/>
  <c r="AR92" i="15"/>
  <c r="AT179" i="14"/>
  <c r="AX31" i="18"/>
  <c r="AR143" i="14"/>
  <c r="AV28" i="18"/>
  <c r="AV27" s="1"/>
  <c r="AR93" i="14"/>
  <c r="AV21" i="18"/>
  <c r="AS92" i="14"/>
  <c r="AS32" i="12"/>
  <c r="W14" i="18"/>
  <c r="W13" s="1"/>
  <c r="AU232" i="12"/>
  <c r="AS202"/>
  <c r="W33" i="18"/>
  <c r="W32" s="1"/>
  <c r="W20"/>
  <c r="AU222" i="12"/>
  <c r="W7" i="18"/>
  <c r="W6" s="1"/>
  <c r="AX232" i="12"/>
  <c r="BB206"/>
  <c r="BB217"/>
  <c r="AX222"/>
  <c r="AQ143"/>
  <c r="U28" i="18"/>
  <c r="U27" s="1"/>
  <c r="BX24"/>
  <c r="CF24" s="1"/>
  <c r="AT224" i="15"/>
  <c r="AT223" s="1"/>
  <c r="BK36" i="18"/>
  <c r="AT224" i="16"/>
  <c r="AT223" s="1"/>
  <c r="BX36" i="18"/>
  <c r="BS22"/>
  <c r="CF22"/>
  <c r="BK24"/>
  <c r="BS24" s="1"/>
  <c r="AH12"/>
  <c r="AS6" i="13"/>
  <c r="AS5" s="1"/>
  <c r="AJ8" i="18"/>
  <c r="AH21"/>
  <c r="AS40" i="13"/>
  <c r="AJ17" i="18"/>
  <c r="AJ15" s="1"/>
  <c r="AS93" i="13"/>
  <c r="AJ24" i="18"/>
  <c r="AH32"/>
  <c r="AS143" i="13"/>
  <c r="AJ28" i="18"/>
  <c r="AJ27" s="1"/>
  <c r="AS32" i="13"/>
  <c r="AJ14" i="18"/>
  <c r="AJ13" s="1"/>
  <c r="AJ12" s="1"/>
  <c r="AJ7"/>
  <c r="AJ6" s="1"/>
  <c r="AJ32"/>
  <c r="AJ30"/>
  <c r="AH30"/>
  <c r="AR242" i="13"/>
  <c r="AI38" i="18" s="1"/>
  <c r="AI35" s="1"/>
  <c r="AI34" s="1"/>
  <c r="AR113" i="13"/>
  <c r="AI23" i="18" s="1"/>
  <c r="AR201" i="13"/>
  <c r="AR178"/>
  <c r="AI29" i="18" s="1"/>
  <c r="AR101" i="13"/>
  <c r="AR168"/>
  <c r="BB233"/>
  <c r="BB236" s="1"/>
  <c r="AT236"/>
  <c r="AK37" i="18" s="1"/>
  <c r="AS26"/>
  <c r="BB222" i="13"/>
  <c r="BB202" s="1"/>
  <c r="AR136"/>
  <c r="AI24" i="18" s="1"/>
  <c r="AT202" i="13"/>
  <c r="AK33" i="18"/>
  <c r="AR202" i="13"/>
  <c r="AI33" i="18"/>
  <c r="AK36"/>
  <c r="AT180" i="23"/>
  <c r="AT81"/>
  <c r="AF93" i="22"/>
  <c r="AF224" i="21"/>
  <c r="AF223" s="1"/>
  <c r="AT114"/>
  <c r="AQ6" i="22"/>
  <c r="AQ5" s="1"/>
  <c r="BJ148" i="23"/>
  <c r="AQ93" i="14"/>
  <c r="AU24" i="18"/>
  <c r="AU21" s="1"/>
  <c r="AU20" s="1"/>
  <c r="AX24"/>
  <c r="AQ93" i="12"/>
  <c r="U24" i="18"/>
  <c r="AS80" i="16"/>
  <c r="AS31" s="1"/>
  <c r="BW19" i="18"/>
  <c r="BW18" s="1"/>
  <c r="BW12" s="1"/>
  <c r="AT81" i="16"/>
  <c r="AR80"/>
  <c r="BV19" i="18"/>
  <c r="BV18" s="1"/>
  <c r="AQ80" i="16"/>
  <c r="AQ31" s="1"/>
  <c r="BU19" i="18"/>
  <c r="BU18" s="1"/>
  <c r="BU12"/>
  <c r="AF6" i="15"/>
  <c r="AF5" s="1"/>
  <c r="AS80" i="14"/>
  <c r="AS31" s="1"/>
  <c r="AW19" i="18"/>
  <c r="AW18" s="1"/>
  <c r="AW12" s="1"/>
  <c r="AT60" i="14"/>
  <c r="AQ40"/>
  <c r="AR32"/>
  <c r="AV14" i="18"/>
  <c r="AV13" s="1"/>
  <c r="AQ32" i="14"/>
  <c r="AU14" i="18"/>
  <c r="AU13" s="1"/>
  <c r="AU12" s="1"/>
  <c r="BB17" i="14"/>
  <c r="AX9" i="18"/>
  <c r="BF9" s="1"/>
  <c r="AR40" i="13"/>
  <c r="AI17" i="18"/>
  <c r="AI15" s="1"/>
  <c r="AF6" i="13"/>
  <c r="AF5" s="1"/>
  <c r="AQ6"/>
  <c r="AQ5" s="1"/>
  <c r="U18" i="18"/>
  <c r="AT60" i="12"/>
  <c r="AQ40"/>
  <c r="AQ31" s="1"/>
  <c r="U17" i="18"/>
  <c r="U15" s="1"/>
  <c r="AS40" i="12"/>
  <c r="AS31" s="1"/>
  <c r="W16" i="18"/>
  <c r="W15" s="1"/>
  <c r="AR92" i="23"/>
  <c r="AQ92" i="21"/>
  <c r="AE92" i="17"/>
  <c r="AN92" i="22"/>
  <c r="BB201" i="14"/>
  <c r="BB179" s="1"/>
  <c r="AE92" i="16"/>
  <c r="AE92" i="14"/>
  <c r="AF224"/>
  <c r="AF223" s="1"/>
  <c r="BB102"/>
  <c r="AT237"/>
  <c r="AT180"/>
  <c r="AQ92"/>
  <c r="AF143" i="13"/>
  <c r="AE92"/>
  <c r="BB116"/>
  <c r="AF224" i="12"/>
  <c r="AF223" s="1"/>
  <c r="AT232"/>
  <c r="X36" i="18" s="1"/>
  <c r="BB232" i="12"/>
  <c r="AU136"/>
  <c r="BB166" i="13"/>
  <c r="BB126" i="14"/>
  <c r="AS31" i="17"/>
  <c r="BB232"/>
  <c r="BB230" i="22"/>
  <c r="AS92" i="23"/>
  <c r="AT101"/>
  <c r="BB94"/>
  <c r="BB101" s="1"/>
  <c r="BB81"/>
  <c r="BB91" s="1"/>
  <c r="BB80" s="1"/>
  <c r="AT91"/>
  <c r="AT80" s="1"/>
  <c r="AT168"/>
  <c r="AT143" s="1"/>
  <c r="BB144"/>
  <c r="AR236"/>
  <c r="AT233"/>
  <c r="AT17"/>
  <c r="BB17" s="1"/>
  <c r="BB16"/>
  <c r="AR30"/>
  <c r="AT26"/>
  <c r="BB166"/>
  <c r="AT142"/>
  <c r="BB140"/>
  <c r="BB142" s="1"/>
  <c r="AR15"/>
  <c r="AR6" s="1"/>
  <c r="AR5" s="1"/>
  <c r="AT7"/>
  <c r="BB225"/>
  <c r="BB232" s="1"/>
  <c r="AT232"/>
  <c r="AF6"/>
  <c r="AF5" s="1"/>
  <c r="AR59"/>
  <c r="AR40" s="1"/>
  <c r="AT41"/>
  <c r="AT18"/>
  <c r="AT201"/>
  <c r="AT179" s="1"/>
  <c r="BB180"/>
  <c r="BB201" s="1"/>
  <c r="BB179" s="1"/>
  <c r="AR242"/>
  <c r="AT237"/>
  <c r="AR39"/>
  <c r="AR32" s="1"/>
  <c r="AT33"/>
  <c r="AQ92"/>
  <c r="BB136"/>
  <c r="BB102"/>
  <c r="BB113" s="1"/>
  <c r="AT113"/>
  <c r="AF31"/>
  <c r="AR178" i="22"/>
  <c r="AT169"/>
  <c r="AR222"/>
  <c r="AR202" s="1"/>
  <c r="AT203"/>
  <c r="AR201"/>
  <c r="AR179" s="1"/>
  <c r="AT180"/>
  <c r="AR113"/>
  <c r="AT102"/>
  <c r="AR168"/>
  <c r="AT144"/>
  <c r="AR142"/>
  <c r="AT140"/>
  <c r="AT91"/>
  <c r="AT80" s="1"/>
  <c r="BB81"/>
  <c r="BB91" s="1"/>
  <c r="BB80" s="1"/>
  <c r="AF143"/>
  <c r="AF92" s="1"/>
  <c r="AT25"/>
  <c r="BB18"/>
  <c r="BB25" s="1"/>
  <c r="BB237"/>
  <c r="BB242" s="1"/>
  <c r="AT242"/>
  <c r="BB114"/>
  <c r="BB136" s="1"/>
  <c r="AT136"/>
  <c r="BB16"/>
  <c r="AT17"/>
  <c r="BB17" s="1"/>
  <c r="AE92"/>
  <c r="AR15"/>
  <c r="AR6" s="1"/>
  <c r="AR5" s="1"/>
  <c r="AT7"/>
  <c r="AQ31"/>
  <c r="AF6"/>
  <c r="AF5" s="1"/>
  <c r="BB41"/>
  <c r="BB59" s="1"/>
  <c r="AT59"/>
  <c r="BB33"/>
  <c r="BB39" s="1"/>
  <c r="BB32" s="1"/>
  <c r="AT39"/>
  <c r="AT32" s="1"/>
  <c r="AR236"/>
  <c r="AR224" s="1"/>
  <c r="AR223" s="1"/>
  <c r="AT233"/>
  <c r="AT79"/>
  <c r="BB60"/>
  <c r="BB79" s="1"/>
  <c r="AR40"/>
  <c r="AR31" s="1"/>
  <c r="AQ92"/>
  <c r="AT26"/>
  <c r="BB225"/>
  <c r="BB232" s="1"/>
  <c r="AT232"/>
  <c r="BB16" i="21"/>
  <c r="AT17"/>
  <c r="BB17" s="1"/>
  <c r="AF31"/>
  <c r="AR222"/>
  <c r="AR202" s="1"/>
  <c r="AT203"/>
  <c r="AR101"/>
  <c r="AT94"/>
  <c r="AR242"/>
  <c r="AT237"/>
  <c r="AF93"/>
  <c r="AF92" s="1"/>
  <c r="AT25"/>
  <c r="BB18"/>
  <c r="BB25" s="1"/>
  <c r="AR201"/>
  <c r="AR179" s="1"/>
  <c r="AT180"/>
  <c r="AT136"/>
  <c r="BB114"/>
  <c r="BB136" s="1"/>
  <c r="AT91"/>
  <c r="AT80" s="1"/>
  <c r="BB81"/>
  <c r="BB91" s="1"/>
  <c r="BB80" s="1"/>
  <c r="BB144"/>
  <c r="AT168"/>
  <c r="AT30"/>
  <c r="BB26"/>
  <c r="BB30" s="1"/>
  <c r="BB148"/>
  <c r="AT113"/>
  <c r="BB102"/>
  <c r="BB113" s="1"/>
  <c r="AT139"/>
  <c r="BB137"/>
  <c r="BB139" s="1"/>
  <c r="AR15"/>
  <c r="AR6" s="1"/>
  <c r="AR5" s="1"/>
  <c r="AT7"/>
  <c r="AT59"/>
  <c r="BB41"/>
  <c r="BB59" s="1"/>
  <c r="BB225"/>
  <c r="BB232" s="1"/>
  <c r="AT232"/>
  <c r="AR236"/>
  <c r="AR224" s="1"/>
  <c r="AR223" s="1"/>
  <c r="AT233"/>
  <c r="AT79"/>
  <c r="BB60"/>
  <c r="BB79" s="1"/>
  <c r="AR142"/>
  <c r="AT140"/>
  <c r="AR178"/>
  <c r="AR143" s="1"/>
  <c r="AT169"/>
  <c r="AR39"/>
  <c r="AR32" s="1"/>
  <c r="AR31" s="1"/>
  <c r="AT33"/>
  <c r="AT30" i="17"/>
  <c r="BB26"/>
  <c r="BB30" s="1"/>
  <c r="AT222"/>
  <c r="AT202" s="1"/>
  <c r="BB203"/>
  <c r="BB222" s="1"/>
  <c r="BB202" s="1"/>
  <c r="AR91"/>
  <c r="AR80" s="1"/>
  <c r="AR31" s="1"/>
  <c r="AT81"/>
  <c r="AR242"/>
  <c r="AR224" s="1"/>
  <c r="AR223" s="1"/>
  <c r="AT237"/>
  <c r="AR136"/>
  <c r="AR93" s="1"/>
  <c r="AT114"/>
  <c r="AT201"/>
  <c r="AT179" s="1"/>
  <c r="BB180"/>
  <c r="BB201" s="1"/>
  <c r="BB179" s="1"/>
  <c r="AF93"/>
  <c r="AF92" s="1"/>
  <c r="AT94"/>
  <c r="AT236"/>
  <c r="BB233"/>
  <c r="BB236" s="1"/>
  <c r="AT79"/>
  <c r="AT40" s="1"/>
  <c r="BB60"/>
  <c r="BB79" s="1"/>
  <c r="BB40" s="1"/>
  <c r="BB33"/>
  <c r="BB39" s="1"/>
  <c r="BB32" s="1"/>
  <c r="AT39"/>
  <c r="AT32" s="1"/>
  <c r="AR178"/>
  <c r="AT169"/>
  <c r="AR142"/>
  <c r="AT140"/>
  <c r="AT139"/>
  <c r="BB137"/>
  <c r="BB139" s="1"/>
  <c r="AR168"/>
  <c r="AR143" s="1"/>
  <c r="AT144"/>
  <c r="AT25"/>
  <c r="AT6" s="1"/>
  <c r="AT5" s="1"/>
  <c r="BB18"/>
  <c r="BB25" s="1"/>
  <c r="AR15" i="16"/>
  <c r="BV8" i="18" s="1"/>
  <c r="AT7" i="16"/>
  <c r="BB203"/>
  <c r="AF31"/>
  <c r="BB225"/>
  <c r="AF6"/>
  <c r="AF5" s="1"/>
  <c r="AR59"/>
  <c r="AT41"/>
  <c r="AT102"/>
  <c r="AT91"/>
  <c r="BB81"/>
  <c r="BB91" s="1"/>
  <c r="BB80" s="1"/>
  <c r="BB16"/>
  <c r="AT17"/>
  <c r="AT140"/>
  <c r="AT142" s="1"/>
  <c r="BX26" i="18" s="1"/>
  <c r="CF26" s="1"/>
  <c r="AT79" i="16"/>
  <c r="BX17" i="18" s="1"/>
  <c r="CF17" s="1"/>
  <c r="BB60" i="16"/>
  <c r="BB79" s="1"/>
  <c r="AF93"/>
  <c r="AT237"/>
  <c r="AT94"/>
  <c r="AR30"/>
  <c r="BV11" i="18" s="1"/>
  <c r="AT26" i="16"/>
  <c r="AT169"/>
  <c r="AT144"/>
  <c r="AT233"/>
  <c r="AT114"/>
  <c r="AF143"/>
  <c r="AR25"/>
  <c r="BV10" i="18" s="1"/>
  <c r="AT18" i="16"/>
  <c r="BB180"/>
  <c r="BB137"/>
  <c r="BB139" s="1"/>
  <c r="AR39"/>
  <c r="AT33"/>
  <c r="BB116" i="15"/>
  <c r="AR59"/>
  <c r="AT41"/>
  <c r="AR91"/>
  <c r="AT81"/>
  <c r="AF31"/>
  <c r="AT114"/>
  <c r="AR39"/>
  <c r="AT33"/>
  <c r="AR30"/>
  <c r="BI11" i="18" s="1"/>
  <c r="AT26" i="15"/>
  <c r="AR17"/>
  <c r="BI9" i="18" s="1"/>
  <c r="AT16" i="15"/>
  <c r="AT237"/>
  <c r="AT15"/>
  <c r="BK8" i="18" s="1"/>
  <c r="BB7" i="15"/>
  <c r="BB15" s="1"/>
  <c r="AF93"/>
  <c r="AF92" s="1"/>
  <c r="AT102"/>
  <c r="AT94"/>
  <c r="AT140"/>
  <c r="AT142" s="1"/>
  <c r="BK26" i="18" s="1"/>
  <c r="BS26" s="1"/>
  <c r="AT79" i="15"/>
  <c r="BK17" i="18" s="1"/>
  <c r="BS17" s="1"/>
  <c r="BB60" i="15"/>
  <c r="BB79" s="1"/>
  <c r="AT169"/>
  <c r="AT180"/>
  <c r="AR25"/>
  <c r="BI10" i="18" s="1"/>
  <c r="AT18" i="15"/>
  <c r="BB233"/>
  <c r="AF40" i="14"/>
  <c r="AF31" s="1"/>
  <c r="AR15"/>
  <c r="AV8" i="18" s="1"/>
  <c r="AV7" s="1"/>
  <c r="AV6" s="1"/>
  <c r="AT7" i="14"/>
  <c r="AT94"/>
  <c r="AT25"/>
  <c r="AX10" i="18" s="1"/>
  <c r="BF10" s="1"/>
  <c r="BB18" i="14"/>
  <c r="BB25" s="1"/>
  <c r="AT144"/>
  <c r="AT168" s="1"/>
  <c r="AX28" i="18" s="1"/>
  <c r="AR222" i="14"/>
  <c r="AT203"/>
  <c r="AF6"/>
  <c r="AF5" s="1"/>
  <c r="AT226"/>
  <c r="AR232"/>
  <c r="AF92"/>
  <c r="AR59"/>
  <c r="AT41"/>
  <c r="AR236"/>
  <c r="AT233"/>
  <c r="BB114"/>
  <c r="AT139"/>
  <c r="AX25" i="18" s="1"/>
  <c r="BF25" s="1"/>
  <c r="BB137" i="14"/>
  <c r="BB139" s="1"/>
  <c r="AR91"/>
  <c r="AT81"/>
  <c r="AQ31"/>
  <c r="AT39"/>
  <c r="BB33"/>
  <c r="BB39" s="1"/>
  <c r="BB32" s="1"/>
  <c r="BB60"/>
  <c r="BB79" s="1"/>
  <c r="AT79"/>
  <c r="AX17" i="18" s="1"/>
  <c r="BF17" s="1"/>
  <c r="AR30" i="14"/>
  <c r="AV11" i="18" s="1"/>
  <c r="AT26" i="14"/>
  <c r="BB169"/>
  <c r="AT142"/>
  <c r="AX26" i="18" s="1"/>
  <c r="BF26" s="1"/>
  <c r="BB140" i="14"/>
  <c r="BB142" s="1"/>
  <c r="BB237"/>
  <c r="BB242" s="1"/>
  <c r="AT242"/>
  <c r="AX38" i="18" s="1"/>
  <c r="BF38" s="1"/>
  <c r="AT237" i="13"/>
  <c r="AT242" s="1"/>
  <c r="AK38" i="18" s="1"/>
  <c r="BB140" i="13"/>
  <c r="BB142" s="1"/>
  <c r="AF93"/>
  <c r="AT180"/>
  <c r="AT201" s="1"/>
  <c r="AT114"/>
  <c r="AT136" s="1"/>
  <c r="AK24" i="18" s="1"/>
  <c r="BB225" i="13"/>
  <c r="BB232" s="1"/>
  <c r="BB137"/>
  <c r="BB139" s="1"/>
  <c r="AT16"/>
  <c r="AT144"/>
  <c r="AT168" s="1"/>
  <c r="AK28" i="18" s="1"/>
  <c r="AR25" i="13"/>
  <c r="AI10" i="18" s="1"/>
  <c r="AT18" i="13"/>
  <c r="AT102"/>
  <c r="AT113" s="1"/>
  <c r="AK23" i="18" s="1"/>
  <c r="AF31" i="13"/>
  <c r="AR39"/>
  <c r="AT33"/>
  <c r="AT169"/>
  <c r="AT178" s="1"/>
  <c r="AK29" i="18" s="1"/>
  <c r="AR15" i="13"/>
  <c r="AT7"/>
  <c r="AR30"/>
  <c r="AI11" i="18" s="1"/>
  <c r="AT26" i="13"/>
  <c r="AT94"/>
  <c r="AT101" s="1"/>
  <c r="AK22" i="18" s="1"/>
  <c r="AR91" i="13"/>
  <c r="AT81"/>
  <c r="AT79"/>
  <c r="AK17" i="18" s="1"/>
  <c r="AS17" s="1"/>
  <c r="BB60" i="13"/>
  <c r="BB79" s="1"/>
  <c r="AQ93"/>
  <c r="AQ92" s="1"/>
  <c r="BB41"/>
  <c r="BB59" s="1"/>
  <c r="AT59"/>
  <c r="AK16" i="18" s="1"/>
  <c r="AR242" i="12"/>
  <c r="V38" i="18" s="1"/>
  <c r="AT237" i="12"/>
  <c r="AR222"/>
  <c r="AT203"/>
  <c r="AR91"/>
  <c r="AT81"/>
  <c r="AT39"/>
  <c r="BB33"/>
  <c r="BB39" s="1"/>
  <c r="BB32" s="1"/>
  <c r="BB16"/>
  <c r="AT17"/>
  <c r="AR142"/>
  <c r="V26" i="18" s="1"/>
  <c r="AT140" i="12"/>
  <c r="AX136"/>
  <c r="AR101"/>
  <c r="V22" i="18" s="1"/>
  <c r="AT94" i="12"/>
  <c r="AF93"/>
  <c r="AR136"/>
  <c r="V24" i="18" s="1"/>
  <c r="AT114" i="12"/>
  <c r="AR178"/>
  <c r="V29" i="18" s="1"/>
  <c r="AT169" i="12"/>
  <c r="AR59"/>
  <c r="AT41"/>
  <c r="AF40"/>
  <c r="AF31" s="1"/>
  <c r="AR201"/>
  <c r="AT180"/>
  <c r="AT15"/>
  <c r="X8" i="18" s="1"/>
  <c r="BB7" i="12"/>
  <c r="BB15" s="1"/>
  <c r="AT79"/>
  <c r="X17" i="18" s="1"/>
  <c r="AF17" s="1"/>
  <c r="BB60" i="12"/>
  <c r="BB79" s="1"/>
  <c r="AT30"/>
  <c r="X11" i="18" s="1"/>
  <c r="AF11" s="1"/>
  <c r="BB26" i="12"/>
  <c r="BB30" s="1"/>
  <c r="AS92"/>
  <c r="AR236"/>
  <c r="V37" i="18" s="1"/>
  <c r="AT233" i="12"/>
  <c r="AQ92"/>
  <c r="AF143"/>
  <c r="BB102"/>
  <c r="BB113" s="1"/>
  <c r="AT113"/>
  <c r="X23" i="18" s="1"/>
  <c r="AF23" s="1"/>
  <c r="AR25" i="12"/>
  <c r="V10" i="18" s="1"/>
  <c r="V7" s="1"/>
  <c r="V6" s="1"/>
  <c r="AT18" i="12"/>
  <c r="AR168"/>
  <c r="V28" i="18" s="1"/>
  <c r="AT144" i="12"/>
  <c r="AT202" i="16" l="1"/>
  <c r="BX33" i="18"/>
  <c r="CF31"/>
  <c r="CF30" s="1"/>
  <c r="BX30"/>
  <c r="CF28"/>
  <c r="CF27" s="1"/>
  <c r="BX27"/>
  <c r="BS33"/>
  <c r="BS32" s="1"/>
  <c r="BK32"/>
  <c r="BS31"/>
  <c r="BS30" s="1"/>
  <c r="BK30"/>
  <c r="BK27"/>
  <c r="BS28"/>
  <c r="BS27" s="1"/>
  <c r="AR224" i="14"/>
  <c r="AR223" s="1"/>
  <c r="AV36" i="18"/>
  <c r="AV35" s="1"/>
  <c r="AV34" s="1"/>
  <c r="AR202" i="14"/>
  <c r="AR92" s="1"/>
  <c r="AV33" i="18"/>
  <c r="AV32" s="1"/>
  <c r="AV20" s="1"/>
  <c r="AX30"/>
  <c r="BF31"/>
  <c r="BF30" s="1"/>
  <c r="AT143" i="14"/>
  <c r="BF28" i="18"/>
  <c r="BF27" s="1"/>
  <c r="AX27"/>
  <c r="Y33"/>
  <c r="Y32" s="1"/>
  <c r="AU202" i="12"/>
  <c r="Y36" i="18"/>
  <c r="Y35" s="1"/>
  <c r="Y34" s="1"/>
  <c r="AU224" i="12"/>
  <c r="AU223" s="1"/>
  <c r="AR6"/>
  <c r="AR5" s="1"/>
  <c r="V35" i="18"/>
  <c r="V34" s="1"/>
  <c r="W12"/>
  <c r="AX224" i="12"/>
  <c r="AX223" s="1"/>
  <c r="AB36" i="18"/>
  <c r="AB33"/>
  <c r="AB32" s="1"/>
  <c r="AX202" i="12"/>
  <c r="AR202"/>
  <c r="V33" i="18"/>
  <c r="V32" s="1"/>
  <c r="AR179" i="12"/>
  <c r="V31" i="18"/>
  <c r="V30" s="1"/>
  <c r="V27"/>
  <c r="BB93" i="14"/>
  <c r="AS92" i="13"/>
  <c r="BS21" i="18"/>
  <c r="AT93" i="16"/>
  <c r="AT92" s="1"/>
  <c r="CF36" i="18"/>
  <c r="CF35" s="1"/>
  <c r="CF34" s="1"/>
  <c r="BX35"/>
  <c r="BX34" s="1"/>
  <c r="BK21"/>
  <c r="U12"/>
  <c r="AT93" i="15"/>
  <c r="AT92" s="1"/>
  <c r="CF21" i="18"/>
  <c r="BS36"/>
  <c r="BS35" s="1"/>
  <c r="BS34" s="1"/>
  <c r="BK35"/>
  <c r="BK34" s="1"/>
  <c r="AT93" i="14"/>
  <c r="BX21" i="18"/>
  <c r="AJ21"/>
  <c r="AJ20"/>
  <c r="AH20"/>
  <c r="AS31" i="13"/>
  <c r="AS22" i="18"/>
  <c r="AS33"/>
  <c r="AK32"/>
  <c r="AS37"/>
  <c r="AI22"/>
  <c r="AR93" i="13"/>
  <c r="AT93"/>
  <c r="AR179"/>
  <c r="AI31" i="18"/>
  <c r="AT143" i="13"/>
  <c r="AT224"/>
  <c r="AT223" s="1"/>
  <c r="AS28" i="18"/>
  <c r="AK27"/>
  <c r="AS38"/>
  <c r="AS29"/>
  <c r="AS23"/>
  <c r="AT179" i="13"/>
  <c r="AK31" i="18"/>
  <c r="AI32"/>
  <c r="AR143" i="13"/>
  <c r="AI28" i="18"/>
  <c r="AI27" s="1"/>
  <c r="AI21"/>
  <c r="AR224" i="13"/>
  <c r="AR223" s="1"/>
  <c r="AS36" i="18"/>
  <c r="AK35"/>
  <c r="AK34" s="1"/>
  <c r="AR224" i="23"/>
  <c r="AR223" s="1"/>
  <c r="AR31"/>
  <c r="AR93" i="22"/>
  <c r="BB40"/>
  <c r="BB31" s="1"/>
  <c r="AR92" i="17"/>
  <c r="BF24" i="18"/>
  <c r="BF21" s="1"/>
  <c r="AX21"/>
  <c r="AS24"/>
  <c r="AK21"/>
  <c r="AU93" i="12"/>
  <c r="AU92" s="1"/>
  <c r="Y24" i="18"/>
  <c r="AX93" i="12"/>
  <c r="AX92" s="1"/>
  <c r="AB24" i="18"/>
  <c r="V21"/>
  <c r="U21"/>
  <c r="U20" s="1"/>
  <c r="AT80" i="16"/>
  <c r="BX19" i="18"/>
  <c r="AR40" i="16"/>
  <c r="BV16" i="18"/>
  <c r="BV15" s="1"/>
  <c r="AR32" i="16"/>
  <c r="AR31" s="1"/>
  <c r="BV14" i="18"/>
  <c r="BV13" s="1"/>
  <c r="BV7"/>
  <c r="BV6" s="1"/>
  <c r="BB17" i="16"/>
  <c r="BX9" i="18"/>
  <c r="CF9" s="1"/>
  <c r="AR80" i="15"/>
  <c r="BI19" i="18"/>
  <c r="BI18" s="1"/>
  <c r="AR40" i="15"/>
  <c r="BI16" i="18"/>
  <c r="BI15" s="1"/>
  <c r="AR32" i="15"/>
  <c r="BI14" i="18"/>
  <c r="BI13" s="1"/>
  <c r="BI12" s="1"/>
  <c r="BI7"/>
  <c r="BI6" s="1"/>
  <c r="BS8"/>
  <c r="AR80" i="14"/>
  <c r="AV19" i="18"/>
  <c r="AV18" s="1"/>
  <c r="AR40" i="14"/>
  <c r="AR31" s="1"/>
  <c r="AV16" i="18"/>
  <c r="AV15" s="1"/>
  <c r="AV12" s="1"/>
  <c r="AT32" i="14"/>
  <c r="AX14" i="18"/>
  <c r="AR80" i="13"/>
  <c r="AI19" i="18"/>
  <c r="AI18" s="1"/>
  <c r="AS16"/>
  <c r="AS15" s="1"/>
  <c r="AK15"/>
  <c r="AR32" i="13"/>
  <c r="AI14" i="18"/>
  <c r="AI13" s="1"/>
  <c r="AI12" s="1"/>
  <c r="AR6" i="13"/>
  <c r="AR5" s="1"/>
  <c r="AI8" i="18"/>
  <c r="AI7" s="1"/>
  <c r="AI6" s="1"/>
  <c r="AR80" i="12"/>
  <c r="V19" i="18"/>
  <c r="V18" s="1"/>
  <c r="AR40" i="12"/>
  <c r="V16" i="18"/>
  <c r="V15" s="1"/>
  <c r="AT32" i="12"/>
  <c r="X14" i="18"/>
  <c r="BB17" i="12"/>
  <c r="X9" i="18"/>
  <c r="AF9" s="1"/>
  <c r="AF8"/>
  <c r="BB180" i="14"/>
  <c r="AF92" i="13"/>
  <c r="AR224" i="12"/>
  <c r="AR223" s="1"/>
  <c r="AR143"/>
  <c r="AF92"/>
  <c r="BB6" i="17"/>
  <c r="BB5" s="1"/>
  <c r="AT93" i="23"/>
  <c r="AT92" s="1"/>
  <c r="AT30"/>
  <c r="BB26"/>
  <c r="BB30" s="1"/>
  <c r="BB18"/>
  <c r="BB25" s="1"/>
  <c r="AT25"/>
  <c r="BB41"/>
  <c r="BB59" s="1"/>
  <c r="BB40" s="1"/>
  <c r="AT59"/>
  <c r="AT40" s="1"/>
  <c r="AT236"/>
  <c r="BB233"/>
  <c r="BB236" s="1"/>
  <c r="BB168"/>
  <c r="BB143" s="1"/>
  <c r="BB33"/>
  <c r="BB39" s="1"/>
  <c r="BB32" s="1"/>
  <c r="AT39"/>
  <c r="AT32" s="1"/>
  <c r="AT15"/>
  <c r="BB7"/>
  <c r="BB15" s="1"/>
  <c r="BB237"/>
  <c r="BB242" s="1"/>
  <c r="BB224" s="1"/>
  <c r="BB223" s="1"/>
  <c r="AT242"/>
  <c r="AT224" s="1"/>
  <c r="AT223" s="1"/>
  <c r="BB93"/>
  <c r="AR143" i="22"/>
  <c r="AR92" s="1"/>
  <c r="BB102"/>
  <c r="BB113" s="1"/>
  <c r="AT113"/>
  <c r="AT40"/>
  <c r="AT31" s="1"/>
  <c r="AT201"/>
  <c r="AT179" s="1"/>
  <c r="BB180"/>
  <c r="BB201" s="1"/>
  <c r="BB179" s="1"/>
  <c r="AT30"/>
  <c r="BB26"/>
  <c r="BB30" s="1"/>
  <c r="BB7"/>
  <c r="BB15" s="1"/>
  <c r="AT15"/>
  <c r="AT222"/>
  <c r="AT202" s="1"/>
  <c r="BB203"/>
  <c r="BB222" s="1"/>
  <c r="BB202" s="1"/>
  <c r="AT142"/>
  <c r="BB140"/>
  <c r="BB142" s="1"/>
  <c r="AT178"/>
  <c r="BB169"/>
  <c r="BB178" s="1"/>
  <c r="AT236"/>
  <c r="AT224" s="1"/>
  <c r="AT223" s="1"/>
  <c r="BB233"/>
  <c r="BB236" s="1"/>
  <c r="BB224" s="1"/>
  <c r="BB223" s="1"/>
  <c r="BB144"/>
  <c r="BB168" s="1"/>
  <c r="AT168"/>
  <c r="AT236" i="21"/>
  <c r="BB233"/>
  <c r="BB236" s="1"/>
  <c r="BB33"/>
  <c r="BB39" s="1"/>
  <c r="BB32" s="1"/>
  <c r="AT39"/>
  <c r="AT32" s="1"/>
  <c r="BB237"/>
  <c r="BB242" s="1"/>
  <c r="AT242"/>
  <c r="BB40"/>
  <c r="AT178"/>
  <c r="AT143" s="1"/>
  <c r="BB169"/>
  <c r="BB178" s="1"/>
  <c r="AT40"/>
  <c r="BB168"/>
  <c r="BB143" s="1"/>
  <c r="AT101"/>
  <c r="BB94"/>
  <c r="BB101" s="1"/>
  <c r="BB7"/>
  <c r="BB15" s="1"/>
  <c r="BB6" s="1"/>
  <c r="BB5" s="1"/>
  <c r="AT15"/>
  <c r="AT6" s="1"/>
  <c r="AT5" s="1"/>
  <c r="AR93"/>
  <c r="AR92" s="1"/>
  <c r="AT142"/>
  <c r="BB140"/>
  <c r="BB142" s="1"/>
  <c r="AT222"/>
  <c r="AT202" s="1"/>
  <c r="BB203"/>
  <c r="BB222" s="1"/>
  <c r="BB202" s="1"/>
  <c r="AT201"/>
  <c r="AT179" s="1"/>
  <c r="BB180"/>
  <c r="BB201" s="1"/>
  <c r="BB179" s="1"/>
  <c r="AT136" i="17"/>
  <c r="BB114"/>
  <c r="BB136" s="1"/>
  <c r="AT168"/>
  <c r="BB144"/>
  <c r="BB168" s="1"/>
  <c r="BB237"/>
  <c r="BB242" s="1"/>
  <c r="BB224" s="1"/>
  <c r="BB223" s="1"/>
  <c r="AT242"/>
  <c r="AT224" s="1"/>
  <c r="AT223" s="1"/>
  <c r="BB140"/>
  <c r="BB142" s="1"/>
  <c r="AT142"/>
  <c r="AT91"/>
  <c r="AT80" s="1"/>
  <c r="AT31" s="1"/>
  <c r="BB81"/>
  <c r="BB91" s="1"/>
  <c r="BB80" s="1"/>
  <c r="BB169"/>
  <c r="BB178" s="1"/>
  <c r="AT178"/>
  <c r="AT101"/>
  <c r="BB94"/>
  <c r="BB101" s="1"/>
  <c r="BB31"/>
  <c r="BB102" i="16"/>
  <c r="BB114"/>
  <c r="BB237"/>
  <c r="BB41"/>
  <c r="BB59" s="1"/>
  <c r="BB40" s="1"/>
  <c r="AT59"/>
  <c r="AF92"/>
  <c r="BB233"/>
  <c r="BB94"/>
  <c r="BB33"/>
  <c r="BB39" s="1"/>
  <c r="BB32" s="1"/>
  <c r="AT39"/>
  <c r="BB144"/>
  <c r="BB140"/>
  <c r="BB142" s="1"/>
  <c r="BB93" s="1"/>
  <c r="BB92" s="1"/>
  <c r="BB169"/>
  <c r="AT30"/>
  <c r="BX11" i="18" s="1"/>
  <c r="CF11" s="1"/>
  <c r="BB26" i="16"/>
  <c r="BB30" s="1"/>
  <c r="BB7"/>
  <c r="BB15" s="1"/>
  <c r="AT15"/>
  <c r="BX8" i="18" s="1"/>
  <c r="AT25" i="16"/>
  <c r="BX10" i="18" s="1"/>
  <c r="CF10" s="1"/>
  <c r="BB18" i="16"/>
  <c r="BB25" s="1"/>
  <c r="AR6"/>
  <c r="AR5" s="1"/>
  <c r="BB33" i="15"/>
  <c r="BB39" s="1"/>
  <c r="BB32" s="1"/>
  <c r="AT39"/>
  <c r="BB169"/>
  <c r="AR31"/>
  <c r="BB114"/>
  <c r="BB237"/>
  <c r="BB140"/>
  <c r="BB142" s="1"/>
  <c r="BB93" s="1"/>
  <c r="BB92" s="1"/>
  <c r="AT91"/>
  <c r="BB81"/>
  <c r="BB91" s="1"/>
  <c r="BB80" s="1"/>
  <c r="BB180"/>
  <c r="BB16"/>
  <c r="AT17"/>
  <c r="BB94"/>
  <c r="AR6"/>
  <c r="AR5" s="1"/>
  <c r="AT59"/>
  <c r="BB41"/>
  <c r="BB59" s="1"/>
  <c r="BB40" s="1"/>
  <c r="AT25"/>
  <c r="BK10" i="18" s="1"/>
  <c r="BS10" s="1"/>
  <c r="BB18" i="15"/>
  <c r="BB25" s="1"/>
  <c r="BB102"/>
  <c r="BB26"/>
  <c r="BB30" s="1"/>
  <c r="AT30"/>
  <c r="BK11" i="18" s="1"/>
  <c r="BS11" s="1"/>
  <c r="AT222" i="14"/>
  <c r="BB203"/>
  <c r="BB222" s="1"/>
  <c r="BB202" s="1"/>
  <c r="BB144"/>
  <c r="BB168" s="1"/>
  <c r="BB143" s="1"/>
  <c r="AT236"/>
  <c r="BB233"/>
  <c r="BB236" s="1"/>
  <c r="BB26"/>
  <c r="BB30" s="1"/>
  <c r="AT30"/>
  <c r="AX11" i="18" s="1"/>
  <c r="BF11" s="1"/>
  <c r="BB94" i="14"/>
  <c r="AT59"/>
  <c r="BB41"/>
  <c r="BB59" s="1"/>
  <c r="BB40" s="1"/>
  <c r="BB7"/>
  <c r="BB15" s="1"/>
  <c r="AT15"/>
  <c r="AR6"/>
  <c r="AR5" s="1"/>
  <c r="BB81"/>
  <c r="BB91" s="1"/>
  <c r="BB80" s="1"/>
  <c r="AT91"/>
  <c r="BB226"/>
  <c r="BB232" s="1"/>
  <c r="BB224" s="1"/>
  <c r="BB223" s="1"/>
  <c r="AT232"/>
  <c r="AR31" i="13"/>
  <c r="AT91"/>
  <c r="BB81"/>
  <c r="BB91" s="1"/>
  <c r="BB80" s="1"/>
  <c r="BB102"/>
  <c r="BB113" s="1"/>
  <c r="BB114"/>
  <c r="BB136" s="1"/>
  <c r="BB94"/>
  <c r="BB101" s="1"/>
  <c r="BB18"/>
  <c r="BB25" s="1"/>
  <c r="AT25"/>
  <c r="AK10" i="18" s="1"/>
  <c r="AS10" s="1"/>
  <c r="AT30" i="13"/>
  <c r="AK11" i="18" s="1"/>
  <c r="AS11" s="1"/>
  <c r="BB26" i="13"/>
  <c r="BB30" s="1"/>
  <c r="BB180"/>
  <c r="BB201" s="1"/>
  <c r="BB179" s="1"/>
  <c r="BB144"/>
  <c r="BB168" s="1"/>
  <c r="AT15"/>
  <c r="AK8" i="18" s="1"/>
  <c r="BB7" i="13"/>
  <c r="BB15" s="1"/>
  <c r="AT17"/>
  <c r="BB16"/>
  <c r="AT40"/>
  <c r="BB40"/>
  <c r="BB237"/>
  <c r="BB242" s="1"/>
  <c r="BB224" s="1"/>
  <c r="BB223" s="1"/>
  <c r="BB169"/>
  <c r="BB178" s="1"/>
  <c r="AT39"/>
  <c r="BB33"/>
  <c r="BB39" s="1"/>
  <c r="BB32" s="1"/>
  <c r="AT142" i="12"/>
  <c r="X26" i="18" s="1"/>
  <c r="AF26" s="1"/>
  <c r="BB140" i="12"/>
  <c r="BB142" s="1"/>
  <c r="AT59"/>
  <c r="BB41"/>
  <c r="BB59" s="1"/>
  <c r="BB40" s="1"/>
  <c r="AT168"/>
  <c r="X28" i="18" s="1"/>
  <c r="BB144" i="12"/>
  <c r="BB168" s="1"/>
  <c r="AR31"/>
  <c r="AT178"/>
  <c r="X29" i="18" s="1"/>
  <c r="AF29" s="1"/>
  <c r="BB169" i="12"/>
  <c r="BB178" s="1"/>
  <c r="BB18"/>
  <c r="BB25" s="1"/>
  <c r="BB6" s="1"/>
  <c r="BB5" s="1"/>
  <c r="AT25"/>
  <c r="AT136"/>
  <c r="X24" i="18" s="1"/>
  <c r="BB114" i="12"/>
  <c r="AT101"/>
  <c r="X22" i="18" s="1"/>
  <c r="AF22" s="1"/>
  <c r="BB94" i="12"/>
  <c r="BB101" s="1"/>
  <c r="AT222"/>
  <c r="BB203"/>
  <c r="BB222" s="1"/>
  <c r="BB202" s="1"/>
  <c r="AR93"/>
  <c r="AT91"/>
  <c r="BB81"/>
  <c r="BB91" s="1"/>
  <c r="BB80" s="1"/>
  <c r="AT236"/>
  <c r="X37" i="18" s="1"/>
  <c r="AF37" s="1"/>
  <c r="BB233" i="12"/>
  <c r="BB236" s="1"/>
  <c r="AT201"/>
  <c r="BB180"/>
  <c r="BB201" s="1"/>
  <c r="BB179" s="1"/>
  <c r="BB116"/>
  <c r="BB237"/>
  <c r="BB242" s="1"/>
  <c r="AT242"/>
  <c r="X38" i="18" s="1"/>
  <c r="AF38" s="1"/>
  <c r="CF33" l="1"/>
  <c r="CF32" s="1"/>
  <c r="CF20" s="1"/>
  <c r="BX32"/>
  <c r="BX20" s="1"/>
  <c r="BK20"/>
  <c r="BS20"/>
  <c r="AT202" i="14"/>
  <c r="AT92" s="1"/>
  <c r="AX33" i="18"/>
  <c r="BB92" i="14"/>
  <c r="V12" i="18"/>
  <c r="X35"/>
  <c r="X34" s="1"/>
  <c r="AF36"/>
  <c r="AF35" s="1"/>
  <c r="AF34" s="1"/>
  <c r="AB35"/>
  <c r="AB34" s="1"/>
  <c r="AT202" i="12"/>
  <c r="X33" i="18"/>
  <c r="AT179" i="12"/>
  <c r="X31" i="18"/>
  <c r="V20"/>
  <c r="AR92" i="12"/>
  <c r="AF28" i="18"/>
  <c r="AF27" s="1"/>
  <c r="X27"/>
  <c r="AT224" i="14"/>
  <c r="AT223" s="1"/>
  <c r="AX36" i="18"/>
  <c r="BB93" i="13"/>
  <c r="AS21" i="18"/>
  <c r="AS35"/>
  <c r="AS34" s="1"/>
  <c r="BB143" i="13"/>
  <c r="AT92"/>
  <c r="AS32" i="18"/>
  <c r="AS27"/>
  <c r="AS31"/>
  <c r="AK30"/>
  <c r="AK20" s="1"/>
  <c r="AI30"/>
  <c r="AI20" s="1"/>
  <c r="AR92" i="13"/>
  <c r="BB143" i="22"/>
  <c r="AT31" i="21"/>
  <c r="AT31" i="23"/>
  <c r="BB93" i="21"/>
  <c r="AT224"/>
  <c r="AT223" s="1"/>
  <c r="BB93" i="17"/>
  <c r="AB21" i="18"/>
  <c r="AB20" s="1"/>
  <c r="Y21"/>
  <c r="Y20" s="1"/>
  <c r="AF24"/>
  <c r="X21"/>
  <c r="CF19"/>
  <c r="CF18" s="1"/>
  <c r="BX18"/>
  <c r="BV12"/>
  <c r="AT40" i="16"/>
  <c r="AT31" s="1"/>
  <c r="BX16" i="18"/>
  <c r="AT32" i="16"/>
  <c r="BX14" i="18"/>
  <c r="CF8"/>
  <c r="CF7" s="1"/>
  <c r="CF6" s="1"/>
  <c r="BX7"/>
  <c r="BX6" s="1"/>
  <c r="AT80" i="15"/>
  <c r="BK19" i="18"/>
  <c r="AT40" i="15"/>
  <c r="BK16" i="18"/>
  <c r="AT32" i="15"/>
  <c r="BK14" i="18"/>
  <c r="AT6" i="15"/>
  <c r="AT5" s="1"/>
  <c r="BB17"/>
  <c r="BK9" i="18"/>
  <c r="AT80" i="14"/>
  <c r="AX19" i="18"/>
  <c r="AT40" i="14"/>
  <c r="AT31" s="1"/>
  <c r="AX16" i="18"/>
  <c r="BF14"/>
  <c r="BF13" s="1"/>
  <c r="AX13"/>
  <c r="AT6" i="14"/>
  <c r="AT5" s="1"/>
  <c r="AX8" i="18"/>
  <c r="AT80" i="13"/>
  <c r="AK19" i="18"/>
  <c r="AT32" i="13"/>
  <c r="AK14" i="18"/>
  <c r="BB17" i="13"/>
  <c r="AK9" i="18"/>
  <c r="AS9" s="1"/>
  <c r="AS8"/>
  <c r="AT80" i="12"/>
  <c r="X19" i="18"/>
  <c r="BB31" i="12"/>
  <c r="AT40"/>
  <c r="X16" i="18"/>
  <c r="AF14"/>
  <c r="AF13" s="1"/>
  <c r="X13"/>
  <c r="AT6" i="12"/>
  <c r="AT5" s="1"/>
  <c r="X10" i="18"/>
  <c r="BB143" i="17"/>
  <c r="AT143" i="22"/>
  <c r="AT93" i="12"/>
  <c r="BB31" i="14"/>
  <c r="BB6" i="15"/>
  <c r="BB5" s="1"/>
  <c r="BB31" i="16"/>
  <c r="BB31" i="21"/>
  <c r="BB224"/>
  <c r="BB223" s="1"/>
  <c r="AT6" i="22"/>
  <c r="AT5" s="1"/>
  <c r="BB6" i="23"/>
  <c r="BB5" s="1"/>
  <c r="BB31"/>
  <c r="BB92"/>
  <c r="AT6"/>
  <c r="AT5" s="1"/>
  <c r="AT93" i="22"/>
  <c r="BB93"/>
  <c r="BB92" s="1"/>
  <c r="BB6"/>
  <c r="BB5" s="1"/>
  <c r="BB92" i="21"/>
  <c r="AT93"/>
  <c r="AT92" s="1"/>
  <c r="AT93" i="17"/>
  <c r="AT143"/>
  <c r="AT6" i="16"/>
  <c r="AT5" s="1"/>
  <c r="BB6"/>
  <c r="BB5" s="1"/>
  <c r="AT31" i="15"/>
  <c r="BB31"/>
  <c r="BB6" i="14"/>
  <c r="BB5" s="1"/>
  <c r="BB31" i="13"/>
  <c r="BB6"/>
  <c r="BB5" s="1"/>
  <c r="AT6"/>
  <c r="AT5" s="1"/>
  <c r="AT31"/>
  <c r="BB143" i="12"/>
  <c r="AT143"/>
  <c r="BB224"/>
  <c r="BB223" s="1"/>
  <c r="BB136"/>
  <c r="BB93" s="1"/>
  <c r="AT224"/>
  <c r="AT223" s="1"/>
  <c r="AT31" l="1"/>
  <c r="BF33" i="18"/>
  <c r="BF32" s="1"/>
  <c r="BF20" s="1"/>
  <c r="AX32"/>
  <c r="AX20" s="1"/>
  <c r="AF33"/>
  <c r="AF32" s="1"/>
  <c r="X32"/>
  <c r="X30"/>
  <c r="AF31"/>
  <c r="AF30" s="1"/>
  <c r="BB92" i="13"/>
  <c r="BF36" i="18"/>
  <c r="BF35" s="1"/>
  <c r="BF34" s="1"/>
  <c r="AX35"/>
  <c r="AX34" s="1"/>
  <c r="BB92" i="17"/>
  <c r="AK7" i="18"/>
  <c r="AK6" s="1"/>
  <c r="AS30"/>
  <c r="AS20" s="1"/>
  <c r="AT92" i="22"/>
  <c r="AF21" i="18"/>
  <c r="CF16"/>
  <c r="CF15" s="1"/>
  <c r="BX15"/>
  <c r="CF14"/>
  <c r="CF13" s="1"/>
  <c r="CF12" s="1"/>
  <c r="BX13"/>
  <c r="BX12" s="1"/>
  <c r="BS19"/>
  <c r="BS18" s="1"/>
  <c r="BK18"/>
  <c r="BS16"/>
  <c r="BS15" s="1"/>
  <c r="BK15"/>
  <c r="BS14"/>
  <c r="BS13" s="1"/>
  <c r="BS12" s="1"/>
  <c r="BK13"/>
  <c r="BK12" s="1"/>
  <c r="BS9"/>
  <c r="BS7" s="1"/>
  <c r="BS6" s="1"/>
  <c r="BK7"/>
  <c r="BK6" s="1"/>
  <c r="BF19"/>
  <c r="BF18" s="1"/>
  <c r="AX18"/>
  <c r="BF16"/>
  <c r="BF15" s="1"/>
  <c r="BF12" s="1"/>
  <c r="AX15"/>
  <c r="AX12" s="1"/>
  <c r="BF8"/>
  <c r="BF7" s="1"/>
  <c r="BF6" s="1"/>
  <c r="AX7"/>
  <c r="AX6" s="1"/>
  <c r="AS19"/>
  <c r="AS18" s="1"/>
  <c r="AK18"/>
  <c r="AS14"/>
  <c r="AS13" s="1"/>
  <c r="AK13"/>
  <c r="AS7"/>
  <c r="AS6" s="1"/>
  <c r="AF19"/>
  <c r="AF18" s="1"/>
  <c r="X18"/>
  <c r="AF16"/>
  <c r="AF15" s="1"/>
  <c r="X15"/>
  <c r="AF10"/>
  <c r="AF7" s="1"/>
  <c r="AF6" s="1"/>
  <c r="X7"/>
  <c r="X6" s="1"/>
  <c r="BB92" i="12"/>
  <c r="AT92"/>
  <c r="AT92" i="17"/>
  <c r="X20" i="18" l="1"/>
  <c r="AF20"/>
  <c r="X12"/>
  <c r="AF12"/>
  <c r="AS12"/>
  <c r="AK12"/>
  <c r="M13" i="1"/>
  <c r="M12"/>
  <c r="AF12" l="1"/>
  <c r="AR12" s="1"/>
  <c r="AF13"/>
  <c r="AR13" s="1"/>
  <c r="AS13"/>
  <c r="AQ13"/>
  <c r="AS12"/>
  <c r="AQ12"/>
  <c r="AT13" l="1"/>
  <c r="BB13" s="1"/>
  <c r="AT12"/>
  <c r="BB12" s="1"/>
  <c r="Z223"/>
  <c r="BA242"/>
  <c r="R38" i="18" s="1"/>
  <c r="ER38" s="1"/>
  <c r="AZ242" i="1"/>
  <c r="Q38" i="18" s="1"/>
  <c r="EQ38" s="1"/>
  <c r="AY242" i="1"/>
  <c r="P38" i="18" s="1"/>
  <c r="EP38" s="1"/>
  <c r="AX242" i="1"/>
  <c r="O38" i="18" s="1"/>
  <c r="EO38" s="1"/>
  <c r="AW242" i="1"/>
  <c r="N38" i="18" s="1"/>
  <c r="EN38" s="1"/>
  <c r="AV242" i="1"/>
  <c r="M38" i="18" s="1"/>
  <c r="EM38" s="1"/>
  <c r="AU242" i="1"/>
  <c r="L38" i="18" s="1"/>
  <c r="EL38" s="1"/>
  <c r="AL242" i="1"/>
  <c r="AK242"/>
  <c r="AJ242"/>
  <c r="AD242"/>
  <c r="AC242"/>
  <c r="AS241"/>
  <c r="AS240"/>
  <c r="M240"/>
  <c r="M239"/>
  <c r="M238"/>
  <c r="M237"/>
  <c r="BA236"/>
  <c r="R37" i="18" s="1"/>
  <c r="ER37" s="1"/>
  <c r="AZ236" i="1"/>
  <c r="Q37" i="18" s="1"/>
  <c r="EQ37" s="1"/>
  <c r="AY236" i="1"/>
  <c r="P37" i="18" s="1"/>
  <c r="EP37" s="1"/>
  <c r="AX236" i="1"/>
  <c r="O37" i="18" s="1"/>
  <c r="EO37" s="1"/>
  <c r="AW236" i="1"/>
  <c r="N37" i="18" s="1"/>
  <c r="EN37" s="1"/>
  <c r="AV236" i="1"/>
  <c r="M37" i="18" s="1"/>
  <c r="EM37" s="1"/>
  <c r="AU236" i="1"/>
  <c r="L37" i="18" s="1"/>
  <c r="EL37" s="1"/>
  <c r="AL236" i="1"/>
  <c r="AK236"/>
  <c r="AJ236"/>
  <c r="AD236"/>
  <c r="AC236"/>
  <c r="M235"/>
  <c r="M234"/>
  <c r="BA232"/>
  <c r="AZ232"/>
  <c r="Q36" i="18" s="1"/>
  <c r="AY232" i="1"/>
  <c r="AW232"/>
  <c r="N36" i="18" s="1"/>
  <c r="AV232" i="1"/>
  <c r="AU232"/>
  <c r="L36" i="18" s="1"/>
  <c r="AL232" i="1"/>
  <c r="AL224" s="1"/>
  <c r="AL223" s="1"/>
  <c r="AK232"/>
  <c r="AJ232"/>
  <c r="AJ224" s="1"/>
  <c r="AJ223" s="1"/>
  <c r="AD232"/>
  <c r="AC232"/>
  <c r="AC224" s="1"/>
  <c r="AC223" s="1"/>
  <c r="M231"/>
  <c r="AQ231" s="1"/>
  <c r="AS230"/>
  <c r="AS229"/>
  <c r="M229"/>
  <c r="M228"/>
  <c r="AS226"/>
  <c r="M226"/>
  <c r="Z92"/>
  <c r="BA222"/>
  <c r="AZ222"/>
  <c r="AY222"/>
  <c r="P33" i="18" s="1"/>
  <c r="AX222" i="1"/>
  <c r="AW222"/>
  <c r="AV222"/>
  <c r="AU222"/>
  <c r="L33" i="18" s="1"/>
  <c r="AL222" i="1"/>
  <c r="AK222"/>
  <c r="AK202" s="1"/>
  <c r="AJ222"/>
  <c r="AJ202" s="1"/>
  <c r="AD222"/>
  <c r="AD202" s="1"/>
  <c r="AC222"/>
  <c r="AC202" s="1"/>
  <c r="M221"/>
  <c r="M219"/>
  <c r="AS218"/>
  <c r="M216"/>
  <c r="M211"/>
  <c r="M210"/>
  <c r="AS208"/>
  <c r="M208"/>
  <c r="M207"/>
  <c r="M206"/>
  <c r="AS204"/>
  <c r="M204"/>
  <c r="AY202"/>
  <c r="AL202"/>
  <c r="AS182"/>
  <c r="M182"/>
  <c r="BA201"/>
  <c r="AZ201"/>
  <c r="AY201"/>
  <c r="AW201"/>
  <c r="AV201"/>
  <c r="AL201"/>
  <c r="AL179" s="1"/>
  <c r="AK201"/>
  <c r="AK179" s="1"/>
  <c r="AJ201"/>
  <c r="AJ179" s="1"/>
  <c r="AD201"/>
  <c r="AD179" s="1"/>
  <c r="AC201"/>
  <c r="AC179" s="1"/>
  <c r="M199"/>
  <c r="M197"/>
  <c r="AS194"/>
  <c r="M194"/>
  <c r="AS193"/>
  <c r="M193"/>
  <c r="AS192"/>
  <c r="M192"/>
  <c r="AS190"/>
  <c r="M190"/>
  <c r="M189"/>
  <c r="M187"/>
  <c r="M186"/>
  <c r="M185"/>
  <c r="M184"/>
  <c r="AS183"/>
  <c r="AS181"/>
  <c r="M180"/>
  <c r="BA178"/>
  <c r="R29" i="18" s="1"/>
  <c r="ER29" s="1"/>
  <c r="AZ178" i="1"/>
  <c r="Q29" i="18" s="1"/>
  <c r="EQ29" s="1"/>
  <c r="AY178" i="1"/>
  <c r="P29" i="18" s="1"/>
  <c r="EP29" s="1"/>
  <c r="AX178" i="1"/>
  <c r="O29" i="18" s="1"/>
  <c r="EO29" s="1"/>
  <c r="AW178" i="1"/>
  <c r="N29" i="18" s="1"/>
  <c r="EN29" s="1"/>
  <c r="AV178" i="1"/>
  <c r="M29" i="18" s="1"/>
  <c r="EM29" s="1"/>
  <c r="AU178" i="1"/>
  <c r="L29" i="18" s="1"/>
  <c r="EL29" s="1"/>
  <c r="AL178" i="1"/>
  <c r="AK178"/>
  <c r="AJ178"/>
  <c r="AD178"/>
  <c r="AC178"/>
  <c r="M177"/>
  <c r="M175"/>
  <c r="M174"/>
  <c r="M173"/>
  <c r="AS172"/>
  <c r="M171"/>
  <c r="AS170"/>
  <c r="M170"/>
  <c r="M169"/>
  <c r="AS161"/>
  <c r="AS153"/>
  <c r="BA142"/>
  <c r="R26" i="18" s="1"/>
  <c r="ER26" s="1"/>
  <c r="AZ142" i="1"/>
  <c r="Q26" i="18" s="1"/>
  <c r="EQ26" s="1"/>
  <c r="AY142" i="1"/>
  <c r="P26" i="18" s="1"/>
  <c r="EP26" s="1"/>
  <c r="AX142" i="1"/>
  <c r="O26" i="18" s="1"/>
  <c r="EO26" s="1"/>
  <c r="AW142" i="1"/>
  <c r="N26" i="18" s="1"/>
  <c r="EN26" s="1"/>
  <c r="AV142" i="1"/>
  <c r="M26" i="18" s="1"/>
  <c r="EM26" s="1"/>
  <c r="AU142" i="1"/>
  <c r="L26" i="18" s="1"/>
  <c r="EL26" s="1"/>
  <c r="AL142" i="1"/>
  <c r="AK142"/>
  <c r="AJ142"/>
  <c r="AD142"/>
  <c r="AC142"/>
  <c r="M141"/>
  <c r="M140"/>
  <c r="BA139"/>
  <c r="R25" i="18" s="1"/>
  <c r="AZ139" i="1"/>
  <c r="Q25" i="18" s="1"/>
  <c r="AY139" i="1"/>
  <c r="P25" i="18" s="1"/>
  <c r="AX139" i="1"/>
  <c r="O25" i="18" s="1"/>
  <c r="AW139" i="1"/>
  <c r="N25" i="18" s="1"/>
  <c r="AV139" i="1"/>
  <c r="M25" i="18" s="1"/>
  <c r="AU139" i="1"/>
  <c r="L25" i="18" s="1"/>
  <c r="AL139" i="1"/>
  <c r="AK139"/>
  <c r="AJ139"/>
  <c r="AD139"/>
  <c r="AC139"/>
  <c r="M137"/>
  <c r="AS124"/>
  <c r="M124"/>
  <c r="M123"/>
  <c r="M121"/>
  <c r="M120"/>
  <c r="M119"/>
  <c r="M118"/>
  <c r="AS117"/>
  <c r="M117"/>
  <c r="M116"/>
  <c r="AS115"/>
  <c r="M115"/>
  <c r="BA136"/>
  <c r="R24" i="18" s="1"/>
  <c r="ER24" s="1"/>
  <c r="AZ136" i="1"/>
  <c r="Q24" i="18" s="1"/>
  <c r="EQ24" s="1"/>
  <c r="AY136" i="1"/>
  <c r="P24" i="18" s="1"/>
  <c r="EP24" s="1"/>
  <c r="AW136" i="1"/>
  <c r="N24" i="18" s="1"/>
  <c r="EN24" s="1"/>
  <c r="AV136" i="1"/>
  <c r="M24" i="18" s="1"/>
  <c r="EM24" s="1"/>
  <c r="AL136" i="1"/>
  <c r="AK136"/>
  <c r="AJ136"/>
  <c r="AD136"/>
  <c r="AC136"/>
  <c r="M135"/>
  <c r="AS134"/>
  <c r="M134"/>
  <c r="M133"/>
  <c r="M132"/>
  <c r="M130"/>
  <c r="AS129"/>
  <c r="M129"/>
  <c r="AS128"/>
  <c r="M128"/>
  <c r="M127"/>
  <c r="AS126"/>
  <c r="M126"/>
  <c r="M125"/>
  <c r="AS110"/>
  <c r="M110"/>
  <c r="M109"/>
  <c r="M108"/>
  <c r="M107"/>
  <c r="BA113"/>
  <c r="R23" i="18" s="1"/>
  <c r="ER23" s="1"/>
  <c r="AZ113" i="1"/>
  <c r="Q23" i="18" s="1"/>
  <c r="EQ23" s="1"/>
  <c r="AY113" i="1"/>
  <c r="P23" i="18" s="1"/>
  <c r="EP23" s="1"/>
  <c r="AX113" i="1"/>
  <c r="O23" i="18" s="1"/>
  <c r="EO23" s="1"/>
  <c r="AW113" i="1"/>
  <c r="N23" i="18" s="1"/>
  <c r="EN23" s="1"/>
  <c r="AV113" i="1"/>
  <c r="M23" i="18" s="1"/>
  <c r="EM23" s="1"/>
  <c r="AU113" i="1"/>
  <c r="L23" i="18" s="1"/>
  <c r="EL23" s="1"/>
  <c r="AL113" i="1"/>
  <c r="AK113"/>
  <c r="AJ113"/>
  <c r="AD113"/>
  <c r="AC113"/>
  <c r="M112"/>
  <c r="M111"/>
  <c r="M106"/>
  <c r="M104"/>
  <c r="AS103"/>
  <c r="M103"/>
  <c r="AS70"/>
  <c r="AS71"/>
  <c r="AS72"/>
  <c r="M61"/>
  <c r="M62"/>
  <c r="M63"/>
  <c r="M64"/>
  <c r="M65"/>
  <c r="M66"/>
  <c r="M68"/>
  <c r="M69"/>
  <c r="M70"/>
  <c r="M71"/>
  <c r="M73"/>
  <c r="M74"/>
  <c r="M75"/>
  <c r="M76"/>
  <c r="M77"/>
  <c r="M78"/>
  <c r="AA6"/>
  <c r="AA5" s="1"/>
  <c r="Z6"/>
  <c r="Z5" s="1"/>
  <c r="M84"/>
  <c r="M83"/>
  <c r="AD224" l="1"/>
  <c r="AD223" s="1"/>
  <c r="AK224"/>
  <c r="AK223" s="1"/>
  <c r="AY179"/>
  <c r="P31" i="18"/>
  <c r="AW179" i="1"/>
  <c r="N31" i="18"/>
  <c r="AV179" i="1"/>
  <c r="M31" i="18"/>
  <c r="BA179" i="1"/>
  <c r="R31" i="18"/>
  <c r="BA202" i="1"/>
  <c r="R33" i="18"/>
  <c r="AZ179" i="1"/>
  <c r="Q31" i="18"/>
  <c r="BA224" i="1"/>
  <c r="BA223" s="1"/>
  <c r="R36" i="18"/>
  <c r="L35"/>
  <c r="L34" s="1"/>
  <c r="EL36"/>
  <c r="EL35" s="1"/>
  <c r="EL34" s="1"/>
  <c r="Q35"/>
  <c r="Q34" s="1"/>
  <c r="EQ36"/>
  <c r="EQ35" s="1"/>
  <c r="EQ34" s="1"/>
  <c r="AY224" i="1"/>
  <c r="AY223" s="1"/>
  <c r="P36" i="18"/>
  <c r="N35"/>
  <c r="N34" s="1"/>
  <c r="EN36"/>
  <c r="EN35" s="1"/>
  <c r="EN34" s="1"/>
  <c r="AV224" i="1"/>
  <c r="AV223" s="1"/>
  <c r="M36" i="18"/>
  <c r="L32"/>
  <c r="EL33"/>
  <c r="EL32" s="1"/>
  <c r="P32"/>
  <c r="EP33"/>
  <c r="EP32" s="1"/>
  <c r="AX202" i="1"/>
  <c r="O33" i="18"/>
  <c r="AW202" i="1"/>
  <c r="N33" i="18"/>
  <c r="AV202" i="1"/>
  <c r="M33" i="18"/>
  <c r="AZ202" i="1"/>
  <c r="Q33" i="18"/>
  <c r="AU202" i="1"/>
  <c r="L232"/>
  <c r="L236"/>
  <c r="AZ224"/>
  <c r="AZ223" s="1"/>
  <c r="AU224"/>
  <c r="AU223" s="1"/>
  <c r="AW224"/>
  <c r="AW223" s="1"/>
  <c r="L242"/>
  <c r="Y242"/>
  <c r="AF233"/>
  <c r="AF229"/>
  <c r="AR229" s="1"/>
  <c r="AF228"/>
  <c r="AR228" s="1"/>
  <c r="L202"/>
  <c r="AF234"/>
  <c r="AR234" s="1"/>
  <c r="AF239"/>
  <c r="AR239" s="1"/>
  <c r="AF226"/>
  <c r="AR226" s="1"/>
  <c r="AS228"/>
  <c r="M230"/>
  <c r="AQ230" s="1"/>
  <c r="Y236"/>
  <c r="AQ229"/>
  <c r="AB236"/>
  <c r="Y232"/>
  <c r="AF238"/>
  <c r="AR238" s="1"/>
  <c r="AF241"/>
  <c r="AR241" s="1"/>
  <c r="AF225"/>
  <c r="AF231"/>
  <c r="AR231" s="1"/>
  <c r="AT231" s="1"/>
  <c r="AF230"/>
  <c r="AR230" s="1"/>
  <c r="AB242"/>
  <c r="AF221"/>
  <c r="AR221" s="1"/>
  <c r="AF235"/>
  <c r="AR235" s="1"/>
  <c r="AF237"/>
  <c r="AF240"/>
  <c r="AR240" s="1"/>
  <c r="M225"/>
  <c r="AS235"/>
  <c r="AS239"/>
  <c r="M241"/>
  <c r="AS225"/>
  <c r="AM232"/>
  <c r="AQ235"/>
  <c r="AM236"/>
  <c r="AQ239"/>
  <c r="AS233"/>
  <c r="AS237"/>
  <c r="AQ237"/>
  <c r="AM242"/>
  <c r="AQ226"/>
  <c r="M233"/>
  <c r="AB232"/>
  <c r="AQ240"/>
  <c r="AS234"/>
  <c r="AS238"/>
  <c r="AQ234"/>
  <c r="AQ238"/>
  <c r="AQ228"/>
  <c r="AF217"/>
  <c r="AR217" s="1"/>
  <c r="AF207"/>
  <c r="AR207" s="1"/>
  <c r="AF218"/>
  <c r="AR218" s="1"/>
  <c r="AS211"/>
  <c r="AF208"/>
  <c r="AR208" s="1"/>
  <c r="AF219"/>
  <c r="AR219" s="1"/>
  <c r="AS215"/>
  <c r="M217"/>
  <c r="AQ217" s="1"/>
  <c r="Y222"/>
  <c r="Y202" s="1"/>
  <c r="AQ210"/>
  <c r="AF212"/>
  <c r="AR212" s="1"/>
  <c r="AF213"/>
  <c r="AR213" s="1"/>
  <c r="AF203"/>
  <c r="AF211"/>
  <c r="AR211" s="1"/>
  <c r="AM222"/>
  <c r="AM202" s="1"/>
  <c r="M220"/>
  <c r="AQ220" s="1"/>
  <c r="AQ204"/>
  <c r="AS207"/>
  <c r="AS212"/>
  <c r="M215"/>
  <c r="AQ215" s="1"/>
  <c r="AF204"/>
  <c r="AR204" s="1"/>
  <c r="AF206"/>
  <c r="AR206" s="1"/>
  <c r="M213"/>
  <c r="AQ213" s="1"/>
  <c r="AF216"/>
  <c r="AR216" s="1"/>
  <c r="M203"/>
  <c r="AQ203" s="1"/>
  <c r="AF210"/>
  <c r="AR210" s="1"/>
  <c r="AF215"/>
  <c r="AR215" s="1"/>
  <c r="AS221"/>
  <c r="AS216"/>
  <c r="M218"/>
  <c r="AQ218" s="1"/>
  <c r="AF220"/>
  <c r="AR220" s="1"/>
  <c r="AS210"/>
  <c r="M212"/>
  <c r="AS220"/>
  <c r="L201"/>
  <c r="L179" s="1"/>
  <c r="AB222"/>
  <c r="AB202" s="1"/>
  <c r="AQ216"/>
  <c r="AQ207"/>
  <c r="AS213"/>
  <c r="AQ221"/>
  <c r="AF182"/>
  <c r="AR182" s="1"/>
  <c r="AS206"/>
  <c r="AS219"/>
  <c r="AQ206"/>
  <c r="AQ219"/>
  <c r="AS203"/>
  <c r="AQ211"/>
  <c r="AS217"/>
  <c r="AQ208"/>
  <c r="AF188"/>
  <c r="AR188" s="1"/>
  <c r="AF196"/>
  <c r="AR196" s="1"/>
  <c r="AF184"/>
  <c r="AR184" s="1"/>
  <c r="AS187"/>
  <c r="AF197"/>
  <c r="AR197" s="1"/>
  <c r="AS189"/>
  <c r="AB201"/>
  <c r="AB179" s="1"/>
  <c r="AF190"/>
  <c r="AR190" s="1"/>
  <c r="AM201"/>
  <c r="AM179" s="1"/>
  <c r="Y201"/>
  <c r="Y179" s="1"/>
  <c r="AS191"/>
  <c r="AS180"/>
  <c r="M183"/>
  <c r="AQ183" s="1"/>
  <c r="AF185"/>
  <c r="AR185" s="1"/>
  <c r="AF194"/>
  <c r="AR194" s="1"/>
  <c r="AF175"/>
  <c r="AR175" s="1"/>
  <c r="AF189"/>
  <c r="AR189" s="1"/>
  <c r="AF200"/>
  <c r="AR200" s="1"/>
  <c r="AS197"/>
  <c r="M181"/>
  <c r="AQ181" s="1"/>
  <c r="AQ186"/>
  <c r="M191"/>
  <c r="AQ191" s="1"/>
  <c r="AU191" s="1"/>
  <c r="AF192"/>
  <c r="AR192" s="1"/>
  <c r="AM142"/>
  <c r="AF174"/>
  <c r="AR174" s="1"/>
  <c r="AF187"/>
  <c r="AR187" s="1"/>
  <c r="AF193"/>
  <c r="AR193" s="1"/>
  <c r="AS184"/>
  <c r="M196"/>
  <c r="AQ196" s="1"/>
  <c r="AU196" s="1"/>
  <c r="AQ182"/>
  <c r="AF171"/>
  <c r="AR171" s="1"/>
  <c r="AF183"/>
  <c r="AR183" s="1"/>
  <c r="AQ185"/>
  <c r="AF199"/>
  <c r="AR199" s="1"/>
  <c r="AQ189"/>
  <c r="AQ194"/>
  <c r="AF181"/>
  <c r="AR181" s="1"/>
  <c r="AF186"/>
  <c r="AR186" s="1"/>
  <c r="AF191"/>
  <c r="AR191" s="1"/>
  <c r="AQ193"/>
  <c r="M200"/>
  <c r="AQ200" s="1"/>
  <c r="AS186"/>
  <c r="M188"/>
  <c r="AS196"/>
  <c r="AS200"/>
  <c r="AS188"/>
  <c r="AQ184"/>
  <c r="AQ197"/>
  <c r="AQ187"/>
  <c r="AQ180"/>
  <c r="AS185"/>
  <c r="AQ192"/>
  <c r="AS199"/>
  <c r="AQ199"/>
  <c r="AQ190"/>
  <c r="Y178"/>
  <c r="AF170"/>
  <c r="AR170" s="1"/>
  <c r="AS175"/>
  <c r="AB178"/>
  <c r="AS171"/>
  <c r="AF169"/>
  <c r="AR169" s="1"/>
  <c r="AQ171"/>
  <c r="AQ173"/>
  <c r="AM178"/>
  <c r="AS169"/>
  <c r="AF173"/>
  <c r="AR173" s="1"/>
  <c r="AQ169"/>
  <c r="L178"/>
  <c r="AF172"/>
  <c r="AR172" s="1"/>
  <c r="AF177"/>
  <c r="AR177" s="1"/>
  <c r="M172"/>
  <c r="AQ172" s="1"/>
  <c r="AQ170"/>
  <c r="AQ175"/>
  <c r="AS173"/>
  <c r="AM139"/>
  <c r="AF161"/>
  <c r="AR161" s="1"/>
  <c r="AS177"/>
  <c r="AQ177"/>
  <c r="AS174"/>
  <c r="AQ174"/>
  <c r="AF149"/>
  <c r="AR149" s="1"/>
  <c r="AQ147"/>
  <c r="AF150"/>
  <c r="AR150" s="1"/>
  <c r="AF153"/>
  <c r="AR153" s="1"/>
  <c r="AF147"/>
  <c r="AR147" s="1"/>
  <c r="AQ161"/>
  <c r="AF151"/>
  <c r="AR151" s="1"/>
  <c r="AB139"/>
  <c r="Y139"/>
  <c r="AS147"/>
  <c r="AS151"/>
  <c r="AF141"/>
  <c r="AR141" s="1"/>
  <c r="AQ151"/>
  <c r="AS149"/>
  <c r="AQ149"/>
  <c r="Y142"/>
  <c r="AF140"/>
  <c r="L139"/>
  <c r="AQ153"/>
  <c r="AS150"/>
  <c r="AQ150"/>
  <c r="M142"/>
  <c r="AS141"/>
  <c r="AF129"/>
  <c r="AR129" s="1"/>
  <c r="AQ141"/>
  <c r="AB142"/>
  <c r="AF121"/>
  <c r="AR121" s="1"/>
  <c r="L142"/>
  <c r="AQ137"/>
  <c r="M138"/>
  <c r="AQ138" s="1"/>
  <c r="AQ140"/>
  <c r="AF123"/>
  <c r="AR123" s="1"/>
  <c r="AF138"/>
  <c r="AR138" s="1"/>
  <c r="AF122"/>
  <c r="AR122" s="1"/>
  <c r="AF134"/>
  <c r="AR134" s="1"/>
  <c r="AS138"/>
  <c r="AF115"/>
  <c r="AR115" s="1"/>
  <c r="AS118"/>
  <c r="AF133"/>
  <c r="AR133" s="1"/>
  <c r="AF116"/>
  <c r="AR116" s="1"/>
  <c r="AQ118"/>
  <c r="AF124"/>
  <c r="AR124" s="1"/>
  <c r="AF120"/>
  <c r="AR120" s="1"/>
  <c r="M122"/>
  <c r="AQ122" s="1"/>
  <c r="AS116"/>
  <c r="AB136"/>
  <c r="AQ117"/>
  <c r="AF119"/>
  <c r="AR119" s="1"/>
  <c r="AS120"/>
  <c r="L136"/>
  <c r="AQ116"/>
  <c r="AU116" s="1"/>
  <c r="AF118"/>
  <c r="AR118" s="1"/>
  <c r="AQ120"/>
  <c r="AS123"/>
  <c r="AF114"/>
  <c r="AQ123"/>
  <c r="AF128"/>
  <c r="AR128" s="1"/>
  <c r="AS121"/>
  <c r="AQ121"/>
  <c r="AQ125"/>
  <c r="AF127"/>
  <c r="AR127" s="1"/>
  <c r="AQ129"/>
  <c r="AF132"/>
  <c r="AR132" s="1"/>
  <c r="AS119"/>
  <c r="AQ132"/>
  <c r="AQ119"/>
  <c r="AF107"/>
  <c r="AR107" s="1"/>
  <c r="AF126"/>
  <c r="AR126" s="1"/>
  <c r="AS127"/>
  <c r="AQ124"/>
  <c r="AQ128"/>
  <c r="AF135"/>
  <c r="AR135" s="1"/>
  <c r="AS122"/>
  <c r="AF130"/>
  <c r="AR130" s="1"/>
  <c r="AQ115"/>
  <c r="AM113"/>
  <c r="AS114"/>
  <c r="M114"/>
  <c r="AF125"/>
  <c r="AR125" s="1"/>
  <c r="AS132"/>
  <c r="AS135"/>
  <c r="Y136"/>
  <c r="AF109"/>
  <c r="AR109" s="1"/>
  <c r="AQ135"/>
  <c r="AQ127"/>
  <c r="AS133"/>
  <c r="AS125"/>
  <c r="AQ133"/>
  <c r="AS130"/>
  <c r="AF108"/>
  <c r="AR108" s="1"/>
  <c r="AQ130"/>
  <c r="AF103"/>
  <c r="AR103" s="1"/>
  <c r="AF110"/>
  <c r="AR110" s="1"/>
  <c r="AQ134"/>
  <c r="AQ126"/>
  <c r="AM136"/>
  <c r="AF102"/>
  <c r="M102"/>
  <c r="AQ102" s="1"/>
  <c r="AF112"/>
  <c r="AR112" s="1"/>
  <c r="AS109"/>
  <c r="AF73"/>
  <c r="AR73" s="1"/>
  <c r="AF104"/>
  <c r="AR104" s="1"/>
  <c r="AQ109"/>
  <c r="AS112"/>
  <c r="AS107"/>
  <c r="AF111"/>
  <c r="AR111" s="1"/>
  <c r="AQ107"/>
  <c r="M105"/>
  <c r="AQ105" s="1"/>
  <c r="AF106"/>
  <c r="AR106" s="1"/>
  <c r="AF61"/>
  <c r="AR61" s="1"/>
  <c r="Y113"/>
  <c r="AQ112"/>
  <c r="AQ110"/>
  <c r="AF65"/>
  <c r="AR65" s="1"/>
  <c r="AS106"/>
  <c r="AS108"/>
  <c r="AQ108"/>
  <c r="AF62"/>
  <c r="AR62" s="1"/>
  <c r="AF105"/>
  <c r="AR105" s="1"/>
  <c r="AQ103"/>
  <c r="AS105"/>
  <c r="AQ76"/>
  <c r="AF72"/>
  <c r="AR72" s="1"/>
  <c r="AB113"/>
  <c r="AQ75"/>
  <c r="AQ65"/>
  <c r="AF70"/>
  <c r="AR70" s="1"/>
  <c r="AS78"/>
  <c r="AQ106"/>
  <c r="AF69"/>
  <c r="AR69" s="1"/>
  <c r="AS104"/>
  <c r="AF71"/>
  <c r="AR71" s="1"/>
  <c r="AQ73"/>
  <c r="AF68"/>
  <c r="AR68" s="1"/>
  <c r="AS77"/>
  <c r="AQ104"/>
  <c r="AF67"/>
  <c r="AR67" s="1"/>
  <c r="AQ66"/>
  <c r="AS102"/>
  <c r="L113"/>
  <c r="AF66"/>
  <c r="AR66" s="1"/>
  <c r="AS76"/>
  <c r="AS111"/>
  <c r="AQ111"/>
  <c r="AQ70"/>
  <c r="AF64"/>
  <c r="AR64" s="1"/>
  <c r="AS67"/>
  <c r="AF63"/>
  <c r="AR63" s="1"/>
  <c r="AS73"/>
  <c r="AS61"/>
  <c r="M67"/>
  <c r="AQ67" s="1"/>
  <c r="AS65"/>
  <c r="AQ78"/>
  <c r="AS74"/>
  <c r="AQ68"/>
  <c r="AQ71"/>
  <c r="AS64"/>
  <c r="AQ61"/>
  <c r="AQ74"/>
  <c r="AQ77"/>
  <c r="AQ64"/>
  <c r="M72"/>
  <c r="AQ72" s="1"/>
  <c r="AS63"/>
  <c r="AS75"/>
  <c r="AS69"/>
  <c r="AS66"/>
  <c r="AQ63"/>
  <c r="AS62"/>
  <c r="AQ69"/>
  <c r="AQ62"/>
  <c r="AS68"/>
  <c r="AS84"/>
  <c r="AF83"/>
  <c r="AR83" s="1"/>
  <c r="AF84"/>
  <c r="AR84" s="1"/>
  <c r="AS83"/>
  <c r="AQ83"/>
  <c r="AQ84"/>
  <c r="AF75"/>
  <c r="AR75" s="1"/>
  <c r="AF74"/>
  <c r="AR74" s="1"/>
  <c r="M58"/>
  <c r="M57"/>
  <c r="M56"/>
  <c r="M55"/>
  <c r="AS53"/>
  <c r="AS52"/>
  <c r="M52"/>
  <c r="AS51"/>
  <c r="M50"/>
  <c r="AS49"/>
  <c r="M49"/>
  <c r="AS48"/>
  <c r="AS47"/>
  <c r="AS46"/>
  <c r="M46"/>
  <c r="M45"/>
  <c r="M44"/>
  <c r="M43"/>
  <c r="M42"/>
  <c r="AS41"/>
  <c r="AS35"/>
  <c r="M35"/>
  <c r="M34"/>
  <c r="AS22"/>
  <c r="M22"/>
  <c r="M23"/>
  <c r="M21"/>
  <c r="BA15"/>
  <c r="R8" i="18" s="1"/>
  <c r="AZ15" i="1"/>
  <c r="Q8" i="18" s="1"/>
  <c r="AY15" i="1"/>
  <c r="P8" i="18" s="1"/>
  <c r="AX15" i="1"/>
  <c r="O8" i="18" s="1"/>
  <c r="AW15" i="1"/>
  <c r="N8" i="18" s="1"/>
  <c r="AV15" i="1"/>
  <c r="M8" i="18" s="1"/>
  <c r="AU15" i="1"/>
  <c r="L8" i="18" s="1"/>
  <c r="AL15" i="1"/>
  <c r="AK15"/>
  <c r="AJ15"/>
  <c r="AD15"/>
  <c r="AC15"/>
  <c r="M11"/>
  <c r="AS14"/>
  <c r="M14"/>
  <c r="Q30" i="18" l="1"/>
  <c r="EQ31"/>
  <c r="EQ30" s="1"/>
  <c r="R32"/>
  <c r="ER33"/>
  <c r="ER32" s="1"/>
  <c r="M30"/>
  <c r="EM31"/>
  <c r="EM30" s="1"/>
  <c r="P30"/>
  <c r="EP31"/>
  <c r="EP30" s="1"/>
  <c r="R35"/>
  <c r="R34" s="1"/>
  <c r="ER36"/>
  <c r="ER35" s="1"/>
  <c r="ER34" s="1"/>
  <c r="R30"/>
  <c r="ER31"/>
  <c r="ER30" s="1"/>
  <c r="N30"/>
  <c r="EN31"/>
  <c r="EN30" s="1"/>
  <c r="L224" i="1"/>
  <c r="L223" s="1"/>
  <c r="M35" i="18"/>
  <c r="M34" s="1"/>
  <c r="EM36"/>
  <c r="EM35" s="1"/>
  <c r="EM34" s="1"/>
  <c r="P35"/>
  <c r="P34" s="1"/>
  <c r="EP36"/>
  <c r="EP35" s="1"/>
  <c r="EP34" s="1"/>
  <c r="M32"/>
  <c r="EM33"/>
  <c r="EM32" s="1"/>
  <c r="O32"/>
  <c r="EO33"/>
  <c r="EO32" s="1"/>
  <c r="Q32"/>
  <c r="EQ33"/>
  <c r="EQ32" s="1"/>
  <c r="N32"/>
  <c r="EN33"/>
  <c r="EN32" s="1"/>
  <c r="Y224" i="1"/>
  <c r="Y223" s="1"/>
  <c r="AM224"/>
  <c r="AM223" s="1"/>
  <c r="AB224"/>
  <c r="AB223" s="1"/>
  <c r="AN232"/>
  <c r="AT226"/>
  <c r="BB226" s="1"/>
  <c r="AT229"/>
  <c r="BB229" s="1"/>
  <c r="AT211"/>
  <c r="BB211" s="1"/>
  <c r="BB231"/>
  <c r="M232"/>
  <c r="AT230"/>
  <c r="AT208"/>
  <c r="BB208" s="1"/>
  <c r="AE236"/>
  <c r="AT189"/>
  <c r="BB189" s="1"/>
  <c r="AE242"/>
  <c r="AT215"/>
  <c r="BB215" s="1"/>
  <c r="M236"/>
  <c r="M242"/>
  <c r="AT218"/>
  <c r="BB218" s="1"/>
  <c r="AE232"/>
  <c r="AT228"/>
  <c r="BB228" s="1"/>
  <c r="AT240"/>
  <c r="BB240" s="1"/>
  <c r="AT197"/>
  <c r="BB197" s="1"/>
  <c r="AT234"/>
  <c r="BB234" s="1"/>
  <c r="AT238"/>
  <c r="BB238" s="1"/>
  <c r="AF232"/>
  <c r="AR225"/>
  <c r="AQ225"/>
  <c r="AF236"/>
  <c r="AR233"/>
  <c r="AN242"/>
  <c r="AF242"/>
  <c r="AR237"/>
  <c r="AQ233"/>
  <c r="AN236"/>
  <c r="AS242"/>
  <c r="J38" i="18" s="1"/>
  <c r="EJ38" s="1"/>
  <c r="AT239" i="1"/>
  <c r="BB239" s="1"/>
  <c r="AS236"/>
  <c r="J37" i="18" s="1"/>
  <c r="EJ37" s="1"/>
  <c r="AQ241" i="1"/>
  <c r="AT241" s="1"/>
  <c r="BB241" s="1"/>
  <c r="AT235"/>
  <c r="BB235" s="1"/>
  <c r="AT221"/>
  <c r="BB221" s="1"/>
  <c r="AT204"/>
  <c r="BB204" s="1"/>
  <c r="AT182"/>
  <c r="BB182" s="1"/>
  <c r="M222"/>
  <c r="M202" s="1"/>
  <c r="AT210"/>
  <c r="BB210" s="1"/>
  <c r="AE222"/>
  <c r="AE202" s="1"/>
  <c r="AT213"/>
  <c r="BB213" s="1"/>
  <c r="AT171"/>
  <c r="BB171" s="1"/>
  <c r="AT193"/>
  <c r="BB193" s="1"/>
  <c r="AT207"/>
  <c r="BB207" s="1"/>
  <c r="AT172"/>
  <c r="BB172" s="1"/>
  <c r="AT216"/>
  <c r="BB216" s="1"/>
  <c r="AT217"/>
  <c r="BB217" s="1"/>
  <c r="AT220"/>
  <c r="BB220" s="1"/>
  <c r="AT191"/>
  <c r="BB191" s="1"/>
  <c r="AS222"/>
  <c r="AT181"/>
  <c r="BB181" s="1"/>
  <c r="AQ212"/>
  <c r="AT212" s="1"/>
  <c r="BB212" s="1"/>
  <c r="AR203"/>
  <c r="AF222"/>
  <c r="AF202" s="1"/>
  <c r="AT219"/>
  <c r="BB219" s="1"/>
  <c r="AT206"/>
  <c r="BB206" s="1"/>
  <c r="AT190"/>
  <c r="BB190" s="1"/>
  <c r="AN222"/>
  <c r="AN202" s="1"/>
  <c r="AT187"/>
  <c r="BB187" s="1"/>
  <c r="AT194"/>
  <c r="BB194" s="1"/>
  <c r="AT183"/>
  <c r="BB183" s="1"/>
  <c r="AT115"/>
  <c r="BB115" s="1"/>
  <c r="AT200"/>
  <c r="AT196"/>
  <c r="BB196" s="1"/>
  <c r="AT192"/>
  <c r="M201"/>
  <c r="M179" s="1"/>
  <c r="AT129"/>
  <c r="BB129" s="1"/>
  <c r="AT185"/>
  <c r="BB185" s="1"/>
  <c r="AT186"/>
  <c r="BB186" s="1"/>
  <c r="AT174"/>
  <c r="BB174" s="1"/>
  <c r="M136"/>
  <c r="AR178"/>
  <c r="I29" i="18" s="1"/>
  <c r="EI29" s="1"/>
  <c r="AT184" i="1"/>
  <c r="BB184" s="1"/>
  <c r="AN201"/>
  <c r="AN179" s="1"/>
  <c r="AQ188"/>
  <c r="AT188" s="1"/>
  <c r="BB188" s="1"/>
  <c r="AE201"/>
  <c r="AE179" s="1"/>
  <c r="AF180"/>
  <c r="AS201"/>
  <c r="AT199"/>
  <c r="BB199" s="1"/>
  <c r="AT169"/>
  <c r="AE178"/>
  <c r="AF178"/>
  <c r="AT173"/>
  <c r="BB173" s="1"/>
  <c r="AT116"/>
  <c r="AT147"/>
  <c r="BB147" s="1"/>
  <c r="AT175"/>
  <c r="BB175" s="1"/>
  <c r="AN178"/>
  <c r="AT153"/>
  <c r="BB153" s="1"/>
  <c r="AS178"/>
  <c r="J29" i="18" s="1"/>
  <c r="EJ29" s="1"/>
  <c r="AE142" i="1"/>
  <c r="AT161"/>
  <c r="BB161" s="1"/>
  <c r="M178"/>
  <c r="AT170"/>
  <c r="BB170" s="1"/>
  <c r="AQ178"/>
  <c r="H29" i="18" s="1"/>
  <c r="EH29" s="1"/>
  <c r="AT177" i="1"/>
  <c r="BB177" s="1"/>
  <c r="AT149"/>
  <c r="BB149" s="1"/>
  <c r="AN142"/>
  <c r="AS140"/>
  <c r="AT151"/>
  <c r="BB151" s="1"/>
  <c r="AT110"/>
  <c r="BB110" s="1"/>
  <c r="AT150"/>
  <c r="BB150" s="1"/>
  <c r="AT138"/>
  <c r="BB138" s="1"/>
  <c r="AN139"/>
  <c r="AT141"/>
  <c r="BB141" s="1"/>
  <c r="AT120"/>
  <c r="BB120" s="1"/>
  <c r="AT118"/>
  <c r="BB118" s="1"/>
  <c r="AQ142"/>
  <c r="H26" i="18" s="1"/>
  <c r="EH26" s="1"/>
  <c r="AT124" i="1"/>
  <c r="BB124" s="1"/>
  <c r="AQ139"/>
  <c r="H25" i="18" s="1"/>
  <c r="M139" i="1"/>
  <c r="AF137"/>
  <c r="AE139"/>
  <c r="AS137"/>
  <c r="AR140"/>
  <c r="AF142"/>
  <c r="AT121"/>
  <c r="BB121" s="1"/>
  <c r="AT128"/>
  <c r="BB128" s="1"/>
  <c r="AT103"/>
  <c r="BB103" s="1"/>
  <c r="AT132"/>
  <c r="BB132" s="1"/>
  <c r="AT125"/>
  <c r="BB125" s="1"/>
  <c r="AT72"/>
  <c r="BB72" s="1"/>
  <c r="AT134"/>
  <c r="BB134" s="1"/>
  <c r="AT122"/>
  <c r="BB122" s="1"/>
  <c r="AF117"/>
  <c r="AT123"/>
  <c r="BB123" s="1"/>
  <c r="AT119"/>
  <c r="BB119" s="1"/>
  <c r="AQ114"/>
  <c r="AQ136" s="1"/>
  <c r="H24" i="18" s="1"/>
  <c r="EH24" s="1"/>
  <c r="AT107" i="1"/>
  <c r="BB107" s="1"/>
  <c r="AT65"/>
  <c r="BB65" s="1"/>
  <c r="AT127"/>
  <c r="AT126"/>
  <c r="AT133"/>
  <c r="BB133" s="1"/>
  <c r="AT135"/>
  <c r="BB135" s="1"/>
  <c r="AS136"/>
  <c r="J24" i="18" s="1"/>
  <c r="EJ24" s="1"/>
  <c r="AN136" i="1"/>
  <c r="AT66"/>
  <c r="BB66" s="1"/>
  <c r="M113"/>
  <c r="AT130"/>
  <c r="BB130" s="1"/>
  <c r="AE136"/>
  <c r="AR114"/>
  <c r="AT109"/>
  <c r="BB109" s="1"/>
  <c r="AT63"/>
  <c r="BB63" s="1"/>
  <c r="AT67"/>
  <c r="BB67" s="1"/>
  <c r="AT106"/>
  <c r="BB106" s="1"/>
  <c r="AT112"/>
  <c r="BB112" s="1"/>
  <c r="AE113"/>
  <c r="AT62"/>
  <c r="BB62" s="1"/>
  <c r="AT108"/>
  <c r="BB108" s="1"/>
  <c r="AT70"/>
  <c r="BB70" s="1"/>
  <c r="AT73"/>
  <c r="BB73" s="1"/>
  <c r="AT105"/>
  <c r="BB105" s="1"/>
  <c r="AT111"/>
  <c r="BB111" s="1"/>
  <c r="AT64"/>
  <c r="BB64" s="1"/>
  <c r="AT74"/>
  <c r="BB74" s="1"/>
  <c r="AQ113"/>
  <c r="H23" i="18" s="1"/>
  <c r="EH23" s="1"/>
  <c r="AT61" i="1"/>
  <c r="BB61" s="1"/>
  <c r="AN113"/>
  <c r="AT69"/>
  <c r="BB69" s="1"/>
  <c r="AT71"/>
  <c r="BB71" s="1"/>
  <c r="AF113"/>
  <c r="AR102"/>
  <c r="AS113"/>
  <c r="J23" i="18" s="1"/>
  <c r="EJ23" s="1"/>
  <c r="AT104" i="1"/>
  <c r="BB104" s="1"/>
  <c r="AT75"/>
  <c r="BB75" s="1"/>
  <c r="L59"/>
  <c r="AT68"/>
  <c r="BB68" s="1"/>
  <c r="AT84"/>
  <c r="BB84" s="1"/>
  <c r="AT83"/>
  <c r="BB83" s="1"/>
  <c r="AF52"/>
  <c r="AR52" s="1"/>
  <c r="AF44"/>
  <c r="AR44" s="1"/>
  <c r="AF42"/>
  <c r="AR42" s="1"/>
  <c r="AF43"/>
  <c r="AR43" s="1"/>
  <c r="AF55"/>
  <c r="AR55" s="1"/>
  <c r="AF48"/>
  <c r="AR48" s="1"/>
  <c r="AF57"/>
  <c r="AR57" s="1"/>
  <c r="AS58"/>
  <c r="AF53"/>
  <c r="AR53" s="1"/>
  <c r="AF56"/>
  <c r="AR56" s="1"/>
  <c r="AF47"/>
  <c r="AR47" s="1"/>
  <c r="M54"/>
  <c r="AQ54" s="1"/>
  <c r="AF51"/>
  <c r="AR51" s="1"/>
  <c r="M41"/>
  <c r="AQ41" s="1"/>
  <c r="AF46"/>
  <c r="AR46" s="1"/>
  <c r="AF54"/>
  <c r="AR54" s="1"/>
  <c r="M48"/>
  <c r="AQ48" s="1"/>
  <c r="AF49"/>
  <c r="AR49" s="1"/>
  <c r="AF50"/>
  <c r="AR50" s="1"/>
  <c r="M53"/>
  <c r="AQ53" s="1"/>
  <c r="AF58"/>
  <c r="AR58" s="1"/>
  <c r="AQ42"/>
  <c r="AS50"/>
  <c r="AQ52"/>
  <c r="AF45"/>
  <c r="AR45" s="1"/>
  <c r="AF41"/>
  <c r="AR41" s="1"/>
  <c r="M51"/>
  <c r="AQ51" s="1"/>
  <c r="AS42"/>
  <c r="AS45"/>
  <c r="M47"/>
  <c r="AQ47" s="1"/>
  <c r="AS54"/>
  <c r="AS57"/>
  <c r="AQ45"/>
  <c r="AQ57"/>
  <c r="AS43"/>
  <c r="AQ50"/>
  <c r="AS55"/>
  <c r="AQ43"/>
  <c r="AQ55"/>
  <c r="AQ46"/>
  <c r="AQ58"/>
  <c r="AS44"/>
  <c r="AS56"/>
  <c r="AQ44"/>
  <c r="AQ56"/>
  <c r="AQ49"/>
  <c r="AF34"/>
  <c r="AR34" s="1"/>
  <c r="AF35"/>
  <c r="AR35" s="1"/>
  <c r="AS34"/>
  <c r="AQ34"/>
  <c r="AQ35"/>
  <c r="AF22"/>
  <c r="AR22" s="1"/>
  <c r="AF23"/>
  <c r="AR23" s="1"/>
  <c r="AS23"/>
  <c r="AF21"/>
  <c r="AR21" s="1"/>
  <c r="AQ22"/>
  <c r="AS21"/>
  <c r="AQ21"/>
  <c r="AF11"/>
  <c r="AR11" s="1"/>
  <c r="AQ23"/>
  <c r="AS11"/>
  <c r="AF14"/>
  <c r="AR14" s="1"/>
  <c r="AQ11"/>
  <c r="AQ14"/>
  <c r="AS179" l="1"/>
  <c r="J31" i="18"/>
  <c r="AS202" i="1"/>
  <c r="J33" i="18"/>
  <c r="AS139" i="1"/>
  <c r="J25" i="18" s="1"/>
  <c r="AS142" i="1"/>
  <c r="J26" i="18" s="1"/>
  <c r="EJ26" s="1"/>
  <c r="AR232" i="1"/>
  <c r="I36" i="18" s="1"/>
  <c r="BB230" i="1"/>
  <c r="AR142"/>
  <c r="I26" i="18" s="1"/>
  <c r="EI26" s="1"/>
  <c r="AR242" i="1"/>
  <c r="I38" i="18" s="1"/>
  <c r="EI38" s="1"/>
  <c r="AR236" i="1"/>
  <c r="I37" i="18" s="1"/>
  <c r="EI37" s="1"/>
  <c r="AU126" i="1"/>
  <c r="AU127"/>
  <c r="AU192"/>
  <c r="AX200"/>
  <c r="BF200" i="23" s="1"/>
  <c r="AX116" i="1"/>
  <c r="BF116" i="23" s="1"/>
  <c r="AF224" i="1"/>
  <c r="AF223" s="1"/>
  <c r="AN224"/>
  <c r="AN223" s="1"/>
  <c r="M224"/>
  <c r="M223" s="1"/>
  <c r="AE224"/>
  <c r="AE223" s="1"/>
  <c r="AQ242"/>
  <c r="H38" i="18" s="1"/>
  <c r="EH38" s="1"/>
  <c r="AT233" i="1"/>
  <c r="AQ236"/>
  <c r="H37" i="18" s="1"/>
  <c r="EH37" s="1"/>
  <c r="AT237" i="1"/>
  <c r="AQ232"/>
  <c r="H36" i="18" s="1"/>
  <c r="AT225" i="1"/>
  <c r="AS232"/>
  <c r="AR222"/>
  <c r="AT203"/>
  <c r="AQ222"/>
  <c r="AT178"/>
  <c r="K29" i="18" s="1"/>
  <c r="AQ201" i="1"/>
  <c r="AR180"/>
  <c r="AF201"/>
  <c r="AF179" s="1"/>
  <c r="AT140"/>
  <c r="AT142" s="1"/>
  <c r="K26" i="18" s="1"/>
  <c r="BB169" i="1"/>
  <c r="BB178" s="1"/>
  <c r="AR137"/>
  <c r="AF139"/>
  <c r="AR117"/>
  <c r="AF136"/>
  <c r="AT53"/>
  <c r="BB53" s="1"/>
  <c r="AT114"/>
  <c r="BB114" s="1"/>
  <c r="AR113"/>
  <c r="I23" i="18" s="1"/>
  <c r="EI23" s="1"/>
  <c r="AT102" i="1"/>
  <c r="AT48"/>
  <c r="BB48" s="1"/>
  <c r="AT51"/>
  <c r="BB51" s="1"/>
  <c r="AT47"/>
  <c r="BB47" s="1"/>
  <c r="AT52"/>
  <c r="BB52" s="1"/>
  <c r="AT46"/>
  <c r="BB46" s="1"/>
  <c r="AT58"/>
  <c r="BB58" s="1"/>
  <c r="AT42"/>
  <c r="BB42" s="1"/>
  <c r="AT41"/>
  <c r="BB41" s="1"/>
  <c r="AT54"/>
  <c r="BB54" s="1"/>
  <c r="AT50"/>
  <c r="BB50" s="1"/>
  <c r="AT49"/>
  <c r="BB49" s="1"/>
  <c r="AT56"/>
  <c r="BB56" s="1"/>
  <c r="AT57"/>
  <c r="BB57" s="1"/>
  <c r="AT44"/>
  <c r="BB44" s="1"/>
  <c r="AT45"/>
  <c r="BB45" s="1"/>
  <c r="AT55"/>
  <c r="BB55" s="1"/>
  <c r="AT43"/>
  <c r="BB43" s="1"/>
  <c r="AT35"/>
  <c r="BB35" s="1"/>
  <c r="AT22"/>
  <c r="BB22" s="1"/>
  <c r="AT34"/>
  <c r="BB34" s="1"/>
  <c r="AT23"/>
  <c r="BB23" s="1"/>
  <c r="AT14"/>
  <c r="BB14" s="1"/>
  <c r="AT11"/>
  <c r="BB11" s="1"/>
  <c r="AT21"/>
  <c r="BB21" s="1"/>
  <c r="AQ179" l="1"/>
  <c r="H31" i="18"/>
  <c r="J30"/>
  <c r="EJ31"/>
  <c r="EJ30" s="1"/>
  <c r="AQ202" i="1"/>
  <c r="H33" i="18"/>
  <c r="J32"/>
  <c r="EJ33"/>
  <c r="EJ32" s="1"/>
  <c r="H35"/>
  <c r="H34" s="1"/>
  <c r="EH36"/>
  <c r="EH35" s="1"/>
  <c r="EH34" s="1"/>
  <c r="AS224" i="1"/>
  <c r="AS223" s="1"/>
  <c r="J36" i="18"/>
  <c r="AR224" i="1"/>
  <c r="AR223" s="1"/>
  <c r="AR202"/>
  <c r="I33" i="18"/>
  <c r="BB127" i="1"/>
  <c r="AR136"/>
  <c r="I24" i="18" s="1"/>
  <c r="EI24" s="1"/>
  <c r="S29"/>
  <c r="ES29" s="1"/>
  <c r="EK29"/>
  <c r="AU201" i="1"/>
  <c r="BJ230" i="23"/>
  <c r="AX232" i="1"/>
  <c r="AX201"/>
  <c r="BJ200" i="23"/>
  <c r="I35" i="18"/>
  <c r="I34" s="1"/>
  <c r="EI36"/>
  <c r="EI35" s="1"/>
  <c r="EI34" s="1"/>
  <c r="S26"/>
  <c r="ES26" s="1"/>
  <c r="EK26"/>
  <c r="AX136" i="1"/>
  <c r="O24" i="18" s="1"/>
  <c r="BJ116" i="23"/>
  <c r="AU136" i="1"/>
  <c r="L24" i="18" s="1"/>
  <c r="BB200" i="1"/>
  <c r="BB192"/>
  <c r="BB126"/>
  <c r="BB116"/>
  <c r="AQ224"/>
  <c r="AQ223" s="1"/>
  <c r="AT232"/>
  <c r="K36" i="18" s="1"/>
  <c r="BB225" i="1"/>
  <c r="BB232" s="1"/>
  <c r="AT242"/>
  <c r="K38" i="18" s="1"/>
  <c r="BB237" i="1"/>
  <c r="BB242" s="1"/>
  <c r="BB233"/>
  <c r="BB236" s="1"/>
  <c r="AT236"/>
  <c r="K37" i="18" s="1"/>
  <c r="AT222" i="1"/>
  <c r="BB203"/>
  <c r="BB222" s="1"/>
  <c r="BB202" s="1"/>
  <c r="BB140"/>
  <c r="BB142" s="1"/>
  <c r="AR201"/>
  <c r="AT180"/>
  <c r="AR139"/>
  <c r="I25" i="18" s="1"/>
  <c r="AT137" i="1"/>
  <c r="AT117"/>
  <c r="AT136" s="1"/>
  <c r="K24" i="18" s="1"/>
  <c r="EK24" s="1"/>
  <c r="AT113" i="1"/>
  <c r="K23" i="18" s="1"/>
  <c r="BB102" i="1"/>
  <c r="BB113" s="1"/>
  <c r="EF8" i="18"/>
  <c r="EF10"/>
  <c r="DS10"/>
  <c r="DF10"/>
  <c r="BA25" i="1"/>
  <c r="R10" i="18" s="1"/>
  <c r="AY25" i="1"/>
  <c r="P10" i="18" s="1"/>
  <c r="AX25" i="1"/>
  <c r="O10" i="18" s="1"/>
  <c r="AW25" i="1"/>
  <c r="N10" i="18" s="1"/>
  <c r="AV25" i="1"/>
  <c r="M10" i="18" s="1"/>
  <c r="AL25" i="1"/>
  <c r="AK25"/>
  <c r="AJ25"/>
  <c r="AD25"/>
  <c r="AC25"/>
  <c r="H32" i="18" l="1"/>
  <c r="EH33"/>
  <c r="EH32" s="1"/>
  <c r="H30"/>
  <c r="EH31"/>
  <c r="EH30" s="1"/>
  <c r="J35"/>
  <c r="J34" s="1"/>
  <c r="EJ36"/>
  <c r="EJ35" s="1"/>
  <c r="EJ34" s="1"/>
  <c r="S37"/>
  <c r="ES37" s="1"/>
  <c r="EK37"/>
  <c r="K35"/>
  <c r="K34" s="1"/>
  <c r="EK36"/>
  <c r="AX179" i="1"/>
  <c r="O31" i="18"/>
  <c r="AU179" i="1"/>
  <c r="L31" i="18"/>
  <c r="AR179" i="1"/>
  <c r="I31" i="18"/>
  <c r="S23"/>
  <c r="ES23" s="1"/>
  <c r="EK23"/>
  <c r="AT202" i="1"/>
  <c r="K33" i="18"/>
  <c r="S38"/>
  <c r="ES38" s="1"/>
  <c r="EK38"/>
  <c r="S24"/>
  <c r="ES24" s="1"/>
  <c r="EL24"/>
  <c r="EO24"/>
  <c r="O36"/>
  <c r="AX224" i="1"/>
  <c r="AX223" s="1"/>
  <c r="I32" i="18"/>
  <c r="EI33"/>
  <c r="EI32" s="1"/>
  <c r="EN10"/>
  <c r="BB224" i="1"/>
  <c r="BB223" s="1"/>
  <c r="AT224"/>
  <c r="AT223" s="1"/>
  <c r="EP10" i="18"/>
  <c r="BB180" i="1"/>
  <c r="BB201" s="1"/>
  <c r="BB179" s="1"/>
  <c r="AT201"/>
  <c r="BB137"/>
  <c r="BB139" s="1"/>
  <c r="AT139"/>
  <c r="K25" i="18" s="1"/>
  <c r="S25" s="1"/>
  <c r="BB117" i="1"/>
  <c r="ER10" i="18"/>
  <c r="EO10"/>
  <c r="EP8"/>
  <c r="EM10"/>
  <c r="EO36" l="1"/>
  <c r="EO35" s="1"/>
  <c r="EO34" s="1"/>
  <c r="O35"/>
  <c r="O34" s="1"/>
  <c r="S36"/>
  <c r="S33"/>
  <c r="K32"/>
  <c r="EK33"/>
  <c r="EK32" s="1"/>
  <c r="L30"/>
  <c r="EL31"/>
  <c r="EL30" s="1"/>
  <c r="AT179" i="1"/>
  <c r="K31" i="18"/>
  <c r="S31" s="1"/>
  <c r="I30"/>
  <c r="EI31"/>
  <c r="EI30" s="1"/>
  <c r="O30"/>
  <c r="EO31"/>
  <c r="EO30" s="1"/>
  <c r="EK35"/>
  <c r="EK34" s="1"/>
  <c r="BB136" i="1"/>
  <c r="S30" i="18" l="1"/>
  <c r="ES31"/>
  <c r="ES30" s="1"/>
  <c r="K30"/>
  <c r="EK31"/>
  <c r="EK30" s="1"/>
  <c r="ES36"/>
  <c r="ES35" s="1"/>
  <c r="ES34" s="1"/>
  <c r="S35"/>
  <c r="S34" s="1"/>
  <c r="S32"/>
  <c r="ES33"/>
  <c r="ES32" s="1"/>
  <c r="BA17" i="1"/>
  <c r="R9" i="18" s="1"/>
  <c r="AZ17" i="1"/>
  <c r="Q9" i="18" s="1"/>
  <c r="AY17" i="1"/>
  <c r="P9" i="18" s="1"/>
  <c r="AX17" i="1"/>
  <c r="O9" i="18" s="1"/>
  <c r="AW17" i="1"/>
  <c r="N9" i="18" s="1"/>
  <c r="AV17" i="1"/>
  <c r="M9" i="18" s="1"/>
  <c r="AL17" i="1"/>
  <c r="AK17"/>
  <c r="AJ17"/>
  <c r="AD17"/>
  <c r="M98"/>
  <c r="AQ98" s="1"/>
  <c r="AS98"/>
  <c r="M100"/>
  <c r="EM9" i="18" l="1"/>
  <c r="EN9"/>
  <c r="EO9"/>
  <c r="EQ9"/>
  <c r="ER9"/>
  <c r="AC17" i="1"/>
  <c r="AF98"/>
  <c r="AR98" s="1"/>
  <c r="M18"/>
  <c r="AS99"/>
  <c r="AF99"/>
  <c r="AR99" s="1"/>
  <c r="AF100"/>
  <c r="AR100" s="1"/>
  <c r="M99"/>
  <c r="AQ99" s="1"/>
  <c r="AQ100"/>
  <c r="AS100"/>
  <c r="AT98" l="1"/>
  <c r="BB98" s="1"/>
  <c r="EP9" i="18"/>
  <c r="AS18" i="1"/>
  <c r="AF18"/>
  <c r="AQ18"/>
  <c r="AU25"/>
  <c r="AT99"/>
  <c r="BB99" s="1"/>
  <c r="AT100"/>
  <c r="BB100" s="1"/>
  <c r="BA168"/>
  <c r="AZ168"/>
  <c r="AY168"/>
  <c r="AX168"/>
  <c r="O28" i="18" s="1"/>
  <c r="O27" s="1"/>
  <c r="AW168" i="1"/>
  <c r="N28" i="18" s="1"/>
  <c r="N27" s="1"/>
  <c r="AV168" i="1"/>
  <c r="M28" i="18" s="1"/>
  <c r="M27" s="1"/>
  <c r="AU168" i="1"/>
  <c r="L28" i="18" s="1"/>
  <c r="L27" s="1"/>
  <c r="AL168" i="1"/>
  <c r="AL143" s="1"/>
  <c r="AK168"/>
  <c r="AK143" s="1"/>
  <c r="AJ168"/>
  <c r="AJ143" s="1"/>
  <c r="AD168"/>
  <c r="AD143" s="1"/>
  <c r="BA101"/>
  <c r="AZ101"/>
  <c r="AY101"/>
  <c r="AX101"/>
  <c r="O22" i="18" s="1"/>
  <c r="AW101" i="1"/>
  <c r="N22" i="18" s="1"/>
  <c r="AV101" i="1"/>
  <c r="M22" i="18" s="1"/>
  <c r="AU101" i="1"/>
  <c r="L22" i="18" s="1"/>
  <c r="AL101" i="1"/>
  <c r="AK101"/>
  <c r="AJ101"/>
  <c r="AJ93" s="1"/>
  <c r="AD101"/>
  <c r="AD93" s="1"/>
  <c r="AC101"/>
  <c r="AC93" s="1"/>
  <c r="BA91"/>
  <c r="R19" i="18" s="1"/>
  <c r="AZ91" i="1"/>
  <c r="Q19" i="18" s="1"/>
  <c r="AY91" i="1"/>
  <c r="P19" i="18" s="1"/>
  <c r="AX91" i="1"/>
  <c r="O19" i="18" s="1"/>
  <c r="AW91" i="1"/>
  <c r="N19" i="18" s="1"/>
  <c r="AV91" i="1"/>
  <c r="M19" i="18" s="1"/>
  <c r="AU91" i="1"/>
  <c r="L19" i="18" s="1"/>
  <c r="AL91" i="1"/>
  <c r="AL80" s="1"/>
  <c r="AK91"/>
  <c r="AK80" s="1"/>
  <c r="AJ91"/>
  <c r="AJ80" s="1"/>
  <c r="AD91"/>
  <c r="AD80" s="1"/>
  <c r="AC91"/>
  <c r="AC80" s="1"/>
  <c r="BA59"/>
  <c r="R16" i="18" s="1"/>
  <c r="AZ59" i="1"/>
  <c r="Q16" i="18" s="1"/>
  <c r="AY59" i="1"/>
  <c r="P16" i="18" s="1"/>
  <c r="AX59" i="1"/>
  <c r="O16" i="18" s="1"/>
  <c r="AW59" i="1"/>
  <c r="N16" i="18" s="1"/>
  <c r="AV59" i="1"/>
  <c r="M16" i="18" s="1"/>
  <c r="AU59" i="1"/>
  <c r="L16" i="18" s="1"/>
  <c r="AL59" i="1"/>
  <c r="AK59"/>
  <c r="AJ59"/>
  <c r="AD59"/>
  <c r="AC59"/>
  <c r="Z59"/>
  <c r="BA79"/>
  <c r="R17" i="18" s="1"/>
  <c r="AZ79" i="1"/>
  <c r="Q17" i="18" s="1"/>
  <c r="AY79" i="1"/>
  <c r="P17" i="18" s="1"/>
  <c r="AX79" i="1"/>
  <c r="O17" i="18" s="1"/>
  <c r="AW79" i="1"/>
  <c r="N17" i="18" s="1"/>
  <c r="AV79" i="1"/>
  <c r="M17" i="18" s="1"/>
  <c r="AU79" i="1"/>
  <c r="L17" i="18" s="1"/>
  <c r="AL79" i="1"/>
  <c r="AK79"/>
  <c r="AJ79"/>
  <c r="AD79"/>
  <c r="AC79"/>
  <c r="BA39"/>
  <c r="R14" i="18" s="1"/>
  <c r="R13" s="1"/>
  <c r="AZ39" i="1"/>
  <c r="Q14" i="18" s="1"/>
  <c r="Q13" s="1"/>
  <c r="AY39" i="1"/>
  <c r="P14" i="18" s="1"/>
  <c r="P13" s="1"/>
  <c r="AX39" i="1"/>
  <c r="O14" i="18" s="1"/>
  <c r="O13" s="1"/>
  <c r="AW39" i="1"/>
  <c r="N14" i="18" s="1"/>
  <c r="N13" s="1"/>
  <c r="AV39" i="1"/>
  <c r="M14" i="18" s="1"/>
  <c r="M13" s="1"/>
  <c r="AU39" i="1"/>
  <c r="L14" i="18" s="1"/>
  <c r="L13" s="1"/>
  <c r="AL32" i="1"/>
  <c r="AK32"/>
  <c r="AJ32"/>
  <c r="AD39"/>
  <c r="AD32" s="1"/>
  <c r="AC39"/>
  <c r="AC32" s="1"/>
  <c r="BA30"/>
  <c r="R11" i="18" s="1"/>
  <c r="AZ30" i="1"/>
  <c r="AY30"/>
  <c r="P11" i="18" s="1"/>
  <c r="AX30" i="1"/>
  <c r="O11" i="18" s="1"/>
  <c r="AW30" i="1"/>
  <c r="N11" i="18" s="1"/>
  <c r="AV30" i="1"/>
  <c r="M11" i="18" s="1"/>
  <c r="AL30" i="1"/>
  <c r="AL6" s="1"/>
  <c r="AL5" s="1"/>
  <c r="AK30"/>
  <c r="AK6" s="1"/>
  <c r="AK5" s="1"/>
  <c r="AJ30"/>
  <c r="AJ6" s="1"/>
  <c r="AJ5" s="1"/>
  <c r="AD30"/>
  <c r="AD6" s="1"/>
  <c r="AD5" s="1"/>
  <c r="AC30"/>
  <c r="AC6" s="1"/>
  <c r="AC5" s="1"/>
  <c r="M167"/>
  <c r="AQ167" s="1"/>
  <c r="AQ164"/>
  <c r="AC168"/>
  <c r="AC143" s="1"/>
  <c r="AQ159"/>
  <c r="AQ157"/>
  <c r="AQ154"/>
  <c r="M97"/>
  <c r="AQ97" s="1"/>
  <c r="M96"/>
  <c r="M95"/>
  <c r="AQ95" s="1"/>
  <c r="M90"/>
  <c r="M89"/>
  <c r="AQ89" s="1"/>
  <c r="M88"/>
  <c r="AQ88" s="1"/>
  <c r="M87"/>
  <c r="M85"/>
  <c r="M82"/>
  <c r="M21" i="18" l="1"/>
  <c r="M20" s="1"/>
  <c r="EM22"/>
  <c r="AZ93" i="1"/>
  <c r="Q22" i="18"/>
  <c r="BA143" i="1"/>
  <c r="R28" i="18"/>
  <c r="R27" s="1"/>
  <c r="AJ40" i="1"/>
  <c r="EL22" i="18"/>
  <c r="L21"/>
  <c r="L20" s="1"/>
  <c r="AY93" i="1"/>
  <c r="P22" i="18"/>
  <c r="EO22"/>
  <c r="O21"/>
  <c r="O20" s="1"/>
  <c r="AL40" i="1"/>
  <c r="N21" i="18"/>
  <c r="N20" s="1"/>
  <c r="EN22"/>
  <c r="BA93" i="1"/>
  <c r="R22" i="18"/>
  <c r="AK40" i="1"/>
  <c r="EM19" i="18"/>
  <c r="EM18" s="1"/>
  <c r="M18"/>
  <c r="N18"/>
  <c r="EN19"/>
  <c r="EN18" s="1"/>
  <c r="P18"/>
  <c r="EP19"/>
  <c r="EP18" s="1"/>
  <c r="EQ19"/>
  <c r="EQ18" s="1"/>
  <c r="Q18"/>
  <c r="EO19"/>
  <c r="EO18" s="1"/>
  <c r="O18"/>
  <c r="ER19"/>
  <c r="ER18" s="1"/>
  <c r="R18"/>
  <c r="EL19"/>
  <c r="EL18" s="1"/>
  <c r="L18"/>
  <c r="Q11"/>
  <c r="EQ11" s="1"/>
  <c r="L10"/>
  <c r="EL10" s="1"/>
  <c r="AY143" i="1"/>
  <c r="AY92" s="1"/>
  <c r="P28" i="18"/>
  <c r="P27" s="1"/>
  <c r="AZ143" i="1"/>
  <c r="AZ92" s="1"/>
  <c r="Q28" i="18"/>
  <c r="BA92" i="1"/>
  <c r="AC92"/>
  <c r="AJ92"/>
  <c r="L91"/>
  <c r="L80" s="1"/>
  <c r="EL28" i="18"/>
  <c r="EL27" s="1"/>
  <c r="AU143" i="1"/>
  <c r="AV143"/>
  <c r="AW143"/>
  <c r="AX143"/>
  <c r="AK93"/>
  <c r="AK92" s="1"/>
  <c r="AL93"/>
  <c r="AU93"/>
  <c r="AV93"/>
  <c r="AW93"/>
  <c r="AW92" s="1"/>
  <c r="AX93"/>
  <c r="AY32"/>
  <c r="AZ32"/>
  <c r="BA32"/>
  <c r="EM11" i="18"/>
  <c r="AV6" i="1"/>
  <c r="AV5" s="1"/>
  <c r="EN11" i="18"/>
  <c r="AW6" i="1"/>
  <c r="AW5" s="1"/>
  <c r="EO11" i="18"/>
  <c r="AX6" i="1"/>
  <c r="AX5" s="1"/>
  <c r="AY6"/>
  <c r="AY5" s="1"/>
  <c r="AU32"/>
  <c r="ER11" i="18"/>
  <c r="BA6" i="1"/>
  <c r="BA5" s="1"/>
  <c r="EM14" i="18"/>
  <c r="EM13" s="1"/>
  <c r="AV32" i="1"/>
  <c r="AX32"/>
  <c r="EN14" i="18"/>
  <c r="EN13" s="1"/>
  <c r="AW32" i="1"/>
  <c r="EO16" i="18"/>
  <c r="AX40" i="1"/>
  <c r="AW80"/>
  <c r="EQ16" i="18"/>
  <c r="AZ40" i="1"/>
  <c r="AY80"/>
  <c r="AX80"/>
  <c r="ER16" i="18"/>
  <c r="BA40" i="1"/>
  <c r="AZ80"/>
  <c r="AC40"/>
  <c r="AC31" s="1"/>
  <c r="BA80"/>
  <c r="EP16" i="18"/>
  <c r="AY40" i="1"/>
  <c r="AD40"/>
  <c r="AD31" s="1"/>
  <c r="AJ31"/>
  <c r="EL16" i="18"/>
  <c r="AU40" i="1"/>
  <c r="EM16" i="18"/>
  <c r="AV40" i="1"/>
  <c r="AU80"/>
  <c r="EN16" i="18"/>
  <c r="AW40" i="1"/>
  <c r="AV80"/>
  <c r="R39"/>
  <c r="R32" s="1"/>
  <c r="R79"/>
  <c r="R15"/>
  <c r="S30"/>
  <c r="S59"/>
  <c r="S79"/>
  <c r="T15"/>
  <c r="S39"/>
  <c r="S32" s="1"/>
  <c r="U30"/>
  <c r="U39"/>
  <c r="U32" s="1"/>
  <c r="U59"/>
  <c r="U79"/>
  <c r="AS7"/>
  <c r="AM15"/>
  <c r="S15"/>
  <c r="U15"/>
  <c r="S91"/>
  <c r="S80" s="1"/>
  <c r="S93"/>
  <c r="R25"/>
  <c r="S25"/>
  <c r="AF164"/>
  <c r="AR164" s="1"/>
  <c r="L101"/>
  <c r="L93" s="1"/>
  <c r="T30"/>
  <c r="T39"/>
  <c r="T32" s="1"/>
  <c r="T59"/>
  <c r="T79"/>
  <c r="T91"/>
  <c r="T80" s="1"/>
  <c r="T93"/>
  <c r="U17"/>
  <c r="U91"/>
  <c r="U80" s="1"/>
  <c r="U93"/>
  <c r="AQ144"/>
  <c r="L168"/>
  <c r="L143" s="1"/>
  <c r="AS19"/>
  <c r="AM25"/>
  <c r="AF154"/>
  <c r="AR154" s="1"/>
  <c r="AF158"/>
  <c r="AR158" s="1"/>
  <c r="T25"/>
  <c r="U25"/>
  <c r="R17"/>
  <c r="M81"/>
  <c r="AQ81" s="1"/>
  <c r="S17"/>
  <c r="EL17" i="18"/>
  <c r="EM17"/>
  <c r="EN17"/>
  <c r="EO17"/>
  <c r="EP17"/>
  <c r="EQ17"/>
  <c r="ER17"/>
  <c r="AR18" i="1"/>
  <c r="EN8" i="18"/>
  <c r="EO8"/>
  <c r="ER8"/>
  <c r="T17" i="1"/>
  <c r="AF160"/>
  <c r="AR160" s="1"/>
  <c r="AF167"/>
  <c r="AR167" s="1"/>
  <c r="AF86"/>
  <c r="AR86" s="1"/>
  <c r="AF90"/>
  <c r="AR90" s="1"/>
  <c r="AF82"/>
  <c r="AR82" s="1"/>
  <c r="Y168"/>
  <c r="Y143" s="1"/>
  <c r="AF88"/>
  <c r="AR88" s="1"/>
  <c r="AM30"/>
  <c r="AM79"/>
  <c r="Y101"/>
  <c r="Y93" s="1"/>
  <c r="AF95"/>
  <c r="AR95" s="1"/>
  <c r="Y91"/>
  <c r="Y80" s="1"/>
  <c r="AF97"/>
  <c r="AR97" s="1"/>
  <c r="AF159"/>
  <c r="AR159" s="1"/>
  <c r="AF165"/>
  <c r="AR165" s="1"/>
  <c r="AF85"/>
  <c r="AR85" s="1"/>
  <c r="AF89"/>
  <c r="AR89" s="1"/>
  <c r="AF96"/>
  <c r="AR96" s="1"/>
  <c r="AF156"/>
  <c r="AR156" s="1"/>
  <c r="AS27"/>
  <c r="AF144"/>
  <c r="AF157"/>
  <c r="AR157" s="1"/>
  <c r="AF162"/>
  <c r="AR162" s="1"/>
  <c r="AF163"/>
  <c r="AR163" s="1"/>
  <c r="AF81"/>
  <c r="AF87"/>
  <c r="AR87" s="1"/>
  <c r="AF94"/>
  <c r="AS10"/>
  <c r="AN79"/>
  <c r="AS89"/>
  <c r="AM91"/>
  <c r="AM80" s="1"/>
  <c r="AS8"/>
  <c r="AS36"/>
  <c r="AS38"/>
  <c r="AQ85"/>
  <c r="AQ87"/>
  <c r="AS90"/>
  <c r="AQ96"/>
  <c r="AS154"/>
  <c r="AS156"/>
  <c r="AS159"/>
  <c r="AS162"/>
  <c r="AQ165"/>
  <c r="M86"/>
  <c r="AQ90"/>
  <c r="M94"/>
  <c r="AQ156"/>
  <c r="AQ160"/>
  <c r="AN39"/>
  <c r="AN32" s="1"/>
  <c r="AN168"/>
  <c r="AN143" s="1"/>
  <c r="AB101"/>
  <c r="AB93" s="1"/>
  <c r="AB168"/>
  <c r="AB143" s="1"/>
  <c r="AS24"/>
  <c r="AS29"/>
  <c r="AS82"/>
  <c r="AS86"/>
  <c r="AS95"/>
  <c r="AS144"/>
  <c r="AS158"/>
  <c r="AQ162"/>
  <c r="AS164"/>
  <c r="R30"/>
  <c r="R59"/>
  <c r="R91"/>
  <c r="R80" s="1"/>
  <c r="R93"/>
  <c r="AS88"/>
  <c r="AB91"/>
  <c r="AB80" s="1"/>
  <c r="AS9"/>
  <c r="AS33"/>
  <c r="AS37"/>
  <c r="AS60"/>
  <c r="AQ82"/>
  <c r="AS94"/>
  <c r="AQ158"/>
  <c r="AS160"/>
  <c r="AS163"/>
  <c r="AS167"/>
  <c r="AQ163"/>
  <c r="AM101"/>
  <c r="AM93" s="1"/>
  <c r="AM168"/>
  <c r="AM143" s="1"/>
  <c r="AS26"/>
  <c r="AS28"/>
  <c r="AS87"/>
  <c r="AS96"/>
  <c r="AS165"/>
  <c r="AS85"/>
  <c r="AN59"/>
  <c r="AM59"/>
  <c r="AM39"/>
  <c r="AM32" s="1"/>
  <c r="AN30"/>
  <c r="R21" i="18" l="1"/>
  <c r="R20" s="1"/>
  <c r="ER22"/>
  <c r="P21"/>
  <c r="P20" s="1"/>
  <c r="EP22"/>
  <c r="Q21"/>
  <c r="EQ22"/>
  <c r="EO7"/>
  <c r="EO6" s="1"/>
  <c r="EN7"/>
  <c r="EN6" s="1"/>
  <c r="ER7"/>
  <c r="ER6" s="1"/>
  <c r="Q27"/>
  <c r="EQ15"/>
  <c r="EP15"/>
  <c r="EO15"/>
  <c r="EN15"/>
  <c r="EN12" s="1"/>
  <c r="EM15"/>
  <c r="EM12" s="1"/>
  <c r="ER15"/>
  <c r="EL15"/>
  <c r="EP11"/>
  <c r="EP7" s="1"/>
  <c r="EP6" s="1"/>
  <c r="P7"/>
  <c r="P6" s="1"/>
  <c r="N7"/>
  <c r="N6" s="1"/>
  <c r="R7"/>
  <c r="R6" s="1"/>
  <c r="O7"/>
  <c r="O6" s="1"/>
  <c r="AB92" i="1"/>
  <c r="L92"/>
  <c r="AV92"/>
  <c r="EN28" i="18"/>
  <c r="EN27" s="1"/>
  <c r="EO28"/>
  <c r="EO27" s="1"/>
  <c r="AU92" i="1"/>
  <c r="AX92"/>
  <c r="AK31"/>
  <c r="EM25" i="18"/>
  <c r="EM21" s="1"/>
  <c r="EP14"/>
  <c r="EP13" s="1"/>
  <c r="U92" i="1"/>
  <c r="R92"/>
  <c r="Y92"/>
  <c r="S92"/>
  <c r="T92"/>
  <c r="AL31"/>
  <c r="EN25" i="18"/>
  <c r="EN21" s="1"/>
  <c r="EM28"/>
  <c r="EM27" s="1"/>
  <c r="ER14"/>
  <c r="ER13" s="1"/>
  <c r="EO25"/>
  <c r="EO21" s="1"/>
  <c r="EL25"/>
  <c r="EL21" s="1"/>
  <c r="EL20" s="1"/>
  <c r="EL14"/>
  <c r="EL13" s="1"/>
  <c r="EQ14"/>
  <c r="EQ13" s="1"/>
  <c r="O15"/>
  <c r="O12" s="1"/>
  <c r="EO14"/>
  <c r="EO13" s="1"/>
  <c r="U6" i="1"/>
  <c r="U5" s="1"/>
  <c r="AM40"/>
  <c r="AM31" s="1"/>
  <c r="AN40"/>
  <c r="S6"/>
  <c r="S5" s="1"/>
  <c r="AU31"/>
  <c r="M15" i="18"/>
  <c r="M12" s="1"/>
  <c r="BA31" i="1"/>
  <c r="P15" i="18"/>
  <c r="P12" s="1"/>
  <c r="AW31" i="1"/>
  <c r="R6"/>
  <c r="R5" s="1"/>
  <c r="AZ31"/>
  <c r="T6"/>
  <c r="T5" s="1"/>
  <c r="AX31"/>
  <c r="AY31"/>
  <c r="AV31"/>
  <c r="R15" i="18"/>
  <c r="R12" s="1"/>
  <c r="L15"/>
  <c r="L12" s="1"/>
  <c r="Q15"/>
  <c r="Q12" s="1"/>
  <c r="R40" i="1"/>
  <c r="R31" s="1"/>
  <c r="T40"/>
  <c r="T31" s="1"/>
  <c r="N15" i="18"/>
  <c r="N12" s="1"/>
  <c r="U40" i="1"/>
  <c r="U31" s="1"/>
  <c r="S40"/>
  <c r="S31" s="1"/>
  <c r="M91"/>
  <c r="M80" s="1"/>
  <c r="EP28" i="18"/>
  <c r="EP27" s="1"/>
  <c r="ER25"/>
  <c r="ER21" s="1"/>
  <c r="ER28"/>
  <c r="ER27" s="1"/>
  <c r="EQ25"/>
  <c r="EQ21" s="1"/>
  <c r="AT159" i="1"/>
  <c r="BB159" s="1"/>
  <c r="EQ28" i="18"/>
  <c r="EQ27" s="1"/>
  <c r="EP25"/>
  <c r="EP21" s="1"/>
  <c r="AT167" i="1"/>
  <c r="BB167" s="1"/>
  <c r="AT158"/>
  <c r="BB158" s="1"/>
  <c r="AN101"/>
  <c r="AN93" s="1"/>
  <c r="AS15"/>
  <c r="J8" i="18" s="1"/>
  <c r="AT162" i="1"/>
  <c r="BB162" s="1"/>
  <c r="AT90"/>
  <c r="BB90" s="1"/>
  <c r="AT87"/>
  <c r="BB87" s="1"/>
  <c r="AT164"/>
  <c r="BB164" s="1"/>
  <c r="AT95"/>
  <c r="BB95" s="1"/>
  <c r="AN15"/>
  <c r="AT82"/>
  <c r="BB82" s="1"/>
  <c r="AN25"/>
  <c r="AT18"/>
  <c r="AZ25" s="1"/>
  <c r="Q10" i="18" s="1"/>
  <c r="AT96" i="1"/>
  <c r="BB96" s="1"/>
  <c r="AT165"/>
  <c r="BB165" s="1"/>
  <c r="M168"/>
  <c r="M143" s="1"/>
  <c r="AM17"/>
  <c r="M101"/>
  <c r="M93" s="1"/>
  <c r="AS30"/>
  <c r="AQ168"/>
  <c r="AT85"/>
  <c r="BB85" s="1"/>
  <c r="AT163"/>
  <c r="BB163" s="1"/>
  <c r="AS157"/>
  <c r="AT157" s="1"/>
  <c r="BB157" s="1"/>
  <c r="AQ94"/>
  <c r="AQ101" s="1"/>
  <c r="AQ86"/>
  <c r="AT88"/>
  <c r="BB88" s="1"/>
  <c r="AN91"/>
  <c r="AN80" s="1"/>
  <c r="AS97"/>
  <c r="AS101" s="1"/>
  <c r="AS81"/>
  <c r="AS91" s="1"/>
  <c r="J19" i="18" s="1"/>
  <c r="AT89" i="1"/>
  <c r="BB89" s="1"/>
  <c r="AS59"/>
  <c r="J16" i="18" s="1"/>
  <c r="AS79" i="1"/>
  <c r="AT160"/>
  <c r="BB160" s="1"/>
  <c r="AT156"/>
  <c r="BB156" s="1"/>
  <c r="AS20"/>
  <c r="AS25" s="1"/>
  <c r="AS39"/>
  <c r="J14" i="18" s="1"/>
  <c r="J13" s="1"/>
  <c r="AS16" i="1"/>
  <c r="AE168"/>
  <c r="AE143" s="1"/>
  <c r="AT154"/>
  <c r="BB154" s="1"/>
  <c r="AE101"/>
  <c r="AE93" s="1"/>
  <c r="AE91"/>
  <c r="AE80" s="1"/>
  <c r="AF91"/>
  <c r="AF80" s="1"/>
  <c r="AR81"/>
  <c r="J11" i="18" l="1"/>
  <c r="EJ11" s="1"/>
  <c r="J17"/>
  <c r="EJ17" s="1"/>
  <c r="AQ93" i="1"/>
  <c r="H22" i="18"/>
  <c r="AQ143" i="1"/>
  <c r="H28" i="18"/>
  <c r="H27" s="1"/>
  <c r="EO20"/>
  <c r="Q20"/>
  <c r="EP20"/>
  <c r="AS93" i="1"/>
  <c r="J22" i="18"/>
  <c r="J10"/>
  <c r="EJ10" s="1"/>
  <c r="EJ19"/>
  <c r="EJ18" s="1"/>
  <c r="J18"/>
  <c r="EM20"/>
  <c r="EN20"/>
  <c r="EN40" s="1"/>
  <c r="EQ12"/>
  <c r="EP12"/>
  <c r="EQ20"/>
  <c r="ER20"/>
  <c r="EO12"/>
  <c r="EO40" s="1"/>
  <c r="EL12"/>
  <c r="ER12"/>
  <c r="M92" i="1"/>
  <c r="AQ92"/>
  <c r="AN31"/>
  <c r="AS32"/>
  <c r="EQ10" i="18"/>
  <c r="AZ6" i="1"/>
  <c r="AZ5" s="1"/>
  <c r="AM6"/>
  <c r="AM5" s="1"/>
  <c r="AS80"/>
  <c r="EJ16" i="18"/>
  <c r="AS40" i="1"/>
  <c r="AT97"/>
  <c r="BB97" s="1"/>
  <c r="BB18"/>
  <c r="EJ14" i="18"/>
  <c r="EJ13" s="1"/>
  <c r="AS168" i="1"/>
  <c r="AN17"/>
  <c r="AN6" s="1"/>
  <c r="AN5" s="1"/>
  <c r="AT86"/>
  <c r="BB86" s="1"/>
  <c r="AQ91"/>
  <c r="H19" i="18" s="1"/>
  <c r="AF168" i="1"/>
  <c r="AF143" s="1"/>
  <c r="AR144"/>
  <c r="AF101"/>
  <c r="AF93" s="1"/>
  <c r="AR94"/>
  <c r="AR91"/>
  <c r="I19" i="18" s="1"/>
  <c r="AT81" i="1"/>
  <c r="EJ15" i="18" l="1"/>
  <c r="EP40"/>
  <c r="H18"/>
  <c r="EH19"/>
  <c r="EH18" s="1"/>
  <c r="H21"/>
  <c r="H20" s="1"/>
  <c r="EH22"/>
  <c r="AS143" i="1"/>
  <c r="AS92" s="1"/>
  <c r="J28" i="18"/>
  <c r="J27" s="1"/>
  <c r="J21"/>
  <c r="EJ22"/>
  <c r="ER40"/>
  <c r="I18"/>
  <c r="EI19"/>
  <c r="EI18" s="1"/>
  <c r="EJ12"/>
  <c r="EJ8"/>
  <c r="AS31" i="1"/>
  <c r="J15" i="18"/>
  <c r="J12" s="1"/>
  <c r="AR80" i="1"/>
  <c r="AQ80"/>
  <c r="EJ25" i="18"/>
  <c r="EJ21" s="1"/>
  <c r="AS17" i="1"/>
  <c r="AT144"/>
  <c r="AR168"/>
  <c r="AR101"/>
  <c r="AT94"/>
  <c r="BB81"/>
  <c r="BB91" s="1"/>
  <c r="AT91"/>
  <c r="K19" i="18" s="1"/>
  <c r="AS6" i="1" l="1"/>
  <c r="AS5" s="1"/>
  <c r="J9" i="18"/>
  <c r="J20"/>
  <c r="AR143" i="1"/>
  <c r="I28" i="18"/>
  <c r="I27" s="1"/>
  <c r="AR93" i="1"/>
  <c r="I22" i="18"/>
  <c r="S19"/>
  <c r="K18"/>
  <c r="EK19"/>
  <c r="EK18" s="1"/>
  <c r="AT80" i="1"/>
  <c r="BB80"/>
  <c r="EJ28" i="18"/>
  <c r="EJ27" s="1"/>
  <c r="EJ20" s="1"/>
  <c r="J7"/>
  <c r="J6" s="1"/>
  <c r="BB144" i="1"/>
  <c r="BB168" s="1"/>
  <c r="BB143" s="1"/>
  <c r="AT168"/>
  <c r="BB94"/>
  <c r="BB101" s="1"/>
  <c r="BB93" s="1"/>
  <c r="AT101"/>
  <c r="AR92" l="1"/>
  <c r="AT93"/>
  <c r="K22" i="18"/>
  <c r="AT143" i="1"/>
  <c r="K28" i="18"/>
  <c r="I21"/>
  <c r="I20" s="1"/>
  <c r="EI22"/>
  <c r="ES19"/>
  <c r="ES18" s="1"/>
  <c r="S18"/>
  <c r="BB92" i="1"/>
  <c r="EJ9" i="18"/>
  <c r="EJ7" s="1"/>
  <c r="EJ6" s="1"/>
  <c r="EJ40" s="1"/>
  <c r="EI28"/>
  <c r="EI27" s="1"/>
  <c r="EI25"/>
  <c r="AT92" i="1" l="1"/>
  <c r="EI21" i="18"/>
  <c r="EI20" s="1"/>
  <c r="K27"/>
  <c r="S28"/>
  <c r="S27" s="1"/>
  <c r="S22"/>
  <c r="K21"/>
  <c r="EK22"/>
  <c r="EK28"/>
  <c r="EK27" s="1"/>
  <c r="EK25"/>
  <c r="EK21" l="1"/>
  <c r="EK20" s="1"/>
  <c r="K20"/>
  <c r="S21"/>
  <c r="S20" s="1"/>
  <c r="ES22"/>
  <c r="AF76" i="1" l="1"/>
  <c r="AR76" s="1"/>
  <c r="AT76" s="1"/>
  <c r="BB76" s="1"/>
  <c r="L79"/>
  <c r="L40" s="1"/>
  <c r="M20"/>
  <c r="AQ20" s="1"/>
  <c r="AF78" l="1"/>
  <c r="AR78" s="1"/>
  <c r="AT78" s="1"/>
  <c r="BB78" s="1"/>
  <c r="AF77"/>
  <c r="AR77" s="1"/>
  <c r="AT77" s="1"/>
  <c r="BB77" s="1"/>
  <c r="M19"/>
  <c r="M60"/>
  <c r="AD92"/>
  <c r="AL92"/>
  <c r="AQ19" l="1"/>
  <c r="AQ60"/>
  <c r="AQ79" s="1"/>
  <c r="H17" i="18" s="1"/>
  <c r="M79" i="1"/>
  <c r="L17" l="1"/>
  <c r="L15" l="1"/>
  <c r="AB15"/>
  <c r="Y15"/>
  <c r="M7"/>
  <c r="M10"/>
  <c r="AQ10" s="1"/>
  <c r="AF8"/>
  <c r="M16"/>
  <c r="M8"/>
  <c r="AQ8" s="1"/>
  <c r="AF10"/>
  <c r="M9"/>
  <c r="AQ9" s="1"/>
  <c r="AF9"/>
  <c r="AE15" l="1"/>
  <c r="M15"/>
  <c r="AQ16"/>
  <c r="AQ17" s="1"/>
  <c r="H9" i="18" s="1"/>
  <c r="M17" i="1"/>
  <c r="AQ7"/>
  <c r="AQ15" l="1"/>
  <c r="H8" i="18" s="1"/>
  <c r="AF16" i="1" l="1"/>
  <c r="L30" l="1"/>
  <c r="AF28"/>
  <c r="AR28" s="1"/>
  <c r="M29"/>
  <c r="AQ29" s="1"/>
  <c r="Y30"/>
  <c r="AF27"/>
  <c r="AR27" s="1"/>
  <c r="M28"/>
  <c r="AQ28" s="1"/>
  <c r="M26"/>
  <c r="AQ26" s="1"/>
  <c r="AB30"/>
  <c r="AF26"/>
  <c r="M27"/>
  <c r="AQ27" s="1"/>
  <c r="AF29"/>
  <c r="AR29" s="1"/>
  <c r="L25" l="1"/>
  <c r="L6" s="1"/>
  <c r="L5" s="1"/>
  <c r="L39"/>
  <c r="L32" s="1"/>
  <c r="L31" s="1"/>
  <c r="AT28"/>
  <c r="BB28" s="1"/>
  <c r="M59"/>
  <c r="M40" s="1"/>
  <c r="M33"/>
  <c r="AQ33" s="1"/>
  <c r="AQ30"/>
  <c r="H11" i="18" s="1"/>
  <c r="M36" i="1"/>
  <c r="AQ36" s="1"/>
  <c r="AT29"/>
  <c r="BB29" s="1"/>
  <c r="M37"/>
  <c r="AQ37" s="1"/>
  <c r="M38"/>
  <c r="AQ38" s="1"/>
  <c r="M24"/>
  <c r="M25" s="1"/>
  <c r="M30"/>
  <c r="AT27"/>
  <c r="BB27" s="1"/>
  <c r="AE30"/>
  <c r="M6" l="1"/>
  <c r="M5" s="1"/>
  <c r="AQ24"/>
  <c r="AQ59"/>
  <c r="M39"/>
  <c r="M32" s="1"/>
  <c r="M31" s="1"/>
  <c r="AQ39"/>
  <c r="H14" i="18" s="1"/>
  <c r="H13" s="1"/>
  <c r="AR26" i="1"/>
  <c r="AF30"/>
  <c r="AQ40" l="1"/>
  <c r="H16" i="18"/>
  <c r="H15" s="1"/>
  <c r="H12" s="1"/>
  <c r="AQ32" i="1"/>
  <c r="AQ25"/>
  <c r="H10" i="18" s="1"/>
  <c r="H7" s="1"/>
  <c r="H6" s="1"/>
  <c r="AT26" i="1"/>
  <c r="AT30" s="1"/>
  <c r="AR30"/>
  <c r="AQ31" l="1"/>
  <c r="I11" i="18"/>
  <c r="EI11" s="1"/>
  <c r="K11"/>
  <c r="AQ6" i="1"/>
  <c r="AQ5" s="1"/>
  <c r="BB26"/>
  <c r="BB30" s="1"/>
  <c r="EK11" i="18" l="1"/>
  <c r="EH10"/>
  <c r="AU30" i="1"/>
  <c r="EF28" i="18"/>
  <c r="EF25"/>
  <c r="EF17"/>
  <c r="EF16"/>
  <c r="EF14"/>
  <c r="EF11"/>
  <c r="EF9"/>
  <c r="DS28"/>
  <c r="DS25"/>
  <c r="DS17"/>
  <c r="DS16"/>
  <c r="DS14"/>
  <c r="DS11"/>
  <c r="DS9"/>
  <c r="DS8"/>
  <c r="DF28"/>
  <c r="DF25"/>
  <c r="DF17"/>
  <c r="DF16"/>
  <c r="DF14"/>
  <c r="DF11"/>
  <c r="DF9"/>
  <c r="DF8"/>
  <c r="L11" l="1"/>
  <c r="S11" s="1"/>
  <c r="ES11" s="1"/>
  <c r="ES28"/>
  <c r="ES27" s="1"/>
  <c r="ES25"/>
  <c r="ES21" s="1"/>
  <c r="Y79" i="1"/>
  <c r="EL11" i="18" l="1"/>
  <c r="ES20"/>
  <c r="AF36" i="1"/>
  <c r="AR36" s="1"/>
  <c r="AT36" s="1"/>
  <c r="BB36" s="1"/>
  <c r="AF38"/>
  <c r="AR38" s="1"/>
  <c r="AT38" s="1"/>
  <c r="BB38" s="1"/>
  <c r="Y59"/>
  <c r="Y40" s="1"/>
  <c r="AF37"/>
  <c r="AR37" s="1"/>
  <c r="AT37" s="1"/>
  <c r="BB37" s="1"/>
  <c r="Y39"/>
  <c r="Y32" s="1"/>
  <c r="AB59"/>
  <c r="AF60"/>
  <c r="AB79"/>
  <c r="AF33"/>
  <c r="AB39"/>
  <c r="AB32" s="1"/>
  <c r="M7" i="18"/>
  <c r="M6" s="1"/>
  <c r="Y31" i="1" l="1"/>
  <c r="AB40"/>
  <c r="AB31" s="1"/>
  <c r="AE79"/>
  <c r="EM8" i="18"/>
  <c r="EM7" s="1"/>
  <c r="EM6" s="1"/>
  <c r="EM40" s="1"/>
  <c r="AE39" i="1"/>
  <c r="AE32" s="1"/>
  <c r="AF79"/>
  <c r="AR60"/>
  <c r="AF39"/>
  <c r="AF32" s="1"/>
  <c r="AR33"/>
  <c r="AM92"/>
  <c r="EH16" i="18"/>
  <c r="EH17"/>
  <c r="EH15" l="1"/>
  <c r="AT60" i="1"/>
  <c r="AR79"/>
  <c r="AR39"/>
  <c r="I14" i="18" s="1"/>
  <c r="I13" s="1"/>
  <c r="AT33" i="1"/>
  <c r="AF92"/>
  <c r="AE92"/>
  <c r="AN92"/>
  <c r="I17" i="18" l="1"/>
  <c r="EI17" s="1"/>
  <c r="AR32" i="1"/>
  <c r="EI14" i="18"/>
  <c r="EI13" s="1"/>
  <c r="BB60" i="1"/>
  <c r="BB79" s="1"/>
  <c r="AT79"/>
  <c r="BB33"/>
  <c r="BB39" s="1"/>
  <c r="AT39"/>
  <c r="K14" i="18" s="1"/>
  <c r="EH28"/>
  <c r="EH27" s="1"/>
  <c r="K17" l="1"/>
  <c r="S17" s="1"/>
  <c r="ES17" s="1"/>
  <c r="S14"/>
  <c r="S13" s="1"/>
  <c r="K13"/>
  <c r="BB32" i="1"/>
  <c r="AT32"/>
  <c r="EK14" i="18"/>
  <c r="EK13" s="1"/>
  <c r="EH25"/>
  <c r="EH21" s="1"/>
  <c r="EH20" s="1"/>
  <c r="ES14" l="1"/>
  <c r="ES13" s="1"/>
  <c r="EK17"/>
  <c r="EH14"/>
  <c r="EH13" s="1"/>
  <c r="EH12" s="1"/>
  <c r="EH8" l="1"/>
  <c r="AE59" i="1" l="1"/>
  <c r="AE40" s="1"/>
  <c r="AE31" s="1"/>
  <c r="AB25" l="1"/>
  <c r="Y25"/>
  <c r="AB17"/>
  <c r="Y17"/>
  <c r="AF20"/>
  <c r="AF24"/>
  <c r="AB6" l="1"/>
  <c r="AB5" s="1"/>
  <c r="Y6"/>
  <c r="Y5" s="1"/>
  <c r="AF19"/>
  <c r="AF25" s="1"/>
  <c r="AE25"/>
  <c r="AF17"/>
  <c r="AE17"/>
  <c r="AE6" s="1"/>
  <c r="AE5" s="1"/>
  <c r="AF59"/>
  <c r="AF40" s="1"/>
  <c r="AF31" s="1"/>
  <c r="AR24"/>
  <c r="AT24" s="1"/>
  <c r="BB24" s="1"/>
  <c r="AR20"/>
  <c r="AT20" s="1"/>
  <c r="BB20" s="1"/>
  <c r="AR59" l="1"/>
  <c r="AR19"/>
  <c r="AR25" s="1"/>
  <c r="AR40" l="1"/>
  <c r="AR31" s="1"/>
  <c r="I16" i="18"/>
  <c r="I10"/>
  <c r="EI10" s="1"/>
  <c r="BB59" i="1"/>
  <c r="BB40" s="1"/>
  <c r="BB31" s="1"/>
  <c r="AT59"/>
  <c r="AT19"/>
  <c r="AT25" s="1"/>
  <c r="EH9" i="18"/>
  <c r="EH11"/>
  <c r="AT40" i="1" l="1"/>
  <c r="AT31" s="1"/>
  <c r="K16" i="18"/>
  <c r="S16" s="1"/>
  <c r="K10"/>
  <c r="S10" s="1"/>
  <c r="EH7"/>
  <c r="EH6" s="1"/>
  <c r="EH40" s="1"/>
  <c r="EI16"/>
  <c r="EI15" s="1"/>
  <c r="EI12" s="1"/>
  <c r="I15"/>
  <c r="I12" s="1"/>
  <c r="BB19" i="1"/>
  <c r="BB25" s="1"/>
  <c r="ES10" i="18" l="1"/>
  <c r="EK10"/>
  <c r="EK16"/>
  <c r="EK15" s="1"/>
  <c r="EK12" s="1"/>
  <c r="K15"/>
  <c r="K12" s="1"/>
  <c r="ES16"/>
  <c r="ES15" s="1"/>
  <c r="ES12" s="1"/>
  <c r="S15"/>
  <c r="S12" s="1"/>
  <c r="AR9" i="1" l="1"/>
  <c r="AT9" s="1"/>
  <c r="BB9" s="1"/>
  <c r="AR10"/>
  <c r="AT10" s="1"/>
  <c r="AF7" l="1"/>
  <c r="AF15" s="1"/>
  <c r="AF6" s="1"/>
  <c r="AF5" s="1"/>
  <c r="AR16" l="1"/>
  <c r="AR17" s="1"/>
  <c r="BB10"/>
  <c r="AR8"/>
  <c r="AT8" s="1"/>
  <c r="AR7"/>
  <c r="I9" i="18" l="1"/>
  <c r="EI9" s="1"/>
  <c r="AR15" i="1"/>
  <c r="Q7" i="18"/>
  <c r="Q6" s="1"/>
  <c r="AT16" i="1"/>
  <c r="AT17" s="1"/>
  <c r="BB8"/>
  <c r="AT7"/>
  <c r="AT15" s="1"/>
  <c r="K8" i="18" s="1"/>
  <c r="S8" s="1"/>
  <c r="K9" l="1"/>
  <c r="AR6" i="1"/>
  <c r="AR5" s="1"/>
  <c r="I8" i="18"/>
  <c r="AT6" i="1"/>
  <c r="AT5" s="1"/>
  <c r="I7" i="18"/>
  <c r="I6" s="1"/>
  <c r="EQ8"/>
  <c r="EQ7" s="1"/>
  <c r="EQ6" s="1"/>
  <c r="EQ40" s="1"/>
  <c r="EL8"/>
  <c r="BB7" i="1"/>
  <c r="AU17"/>
  <c r="L9" i="18" s="1"/>
  <c r="S9" l="1"/>
  <c r="EK9"/>
  <c r="AU6" i="1"/>
  <c r="AU5" s="1"/>
  <c r="BB15"/>
  <c r="EI8" i="18"/>
  <c r="EI7" s="1"/>
  <c r="EI6" s="1"/>
  <c r="EI40" s="1"/>
  <c r="K7"/>
  <c r="K6" s="1"/>
  <c r="BB17" i="1"/>
  <c r="BB16"/>
  <c r="ES9" i="18" l="1"/>
  <c r="EL9"/>
  <c r="EL7" s="1"/>
  <c r="EL6" s="1"/>
  <c r="EL40" s="1"/>
  <c r="L7"/>
  <c r="L6" s="1"/>
  <c r="BB6" i="1"/>
  <c r="BB5" s="1"/>
  <c r="EK8" i="18"/>
  <c r="EK7" s="1"/>
  <c r="EK6" s="1"/>
  <c r="EK40" s="1"/>
  <c r="ES8" l="1"/>
  <c r="ES7" s="1"/>
  <c r="ES6" s="1"/>
  <c r="ES40" s="1"/>
  <c r="S7"/>
  <c r="S6" s="1"/>
</calcChain>
</file>

<file path=xl/comments1.xml><?xml version="1.0" encoding="utf-8"?>
<comments xmlns="http://schemas.openxmlformats.org/spreadsheetml/2006/main">
  <authors>
    <author>user</author>
    <author>Albana</author>
  </authors>
  <commentList>
    <comment ref="AA9" authorId="0">
      <text>
        <r>
          <rPr>
            <b/>
            <sz val="8"/>
            <color indexed="81"/>
            <rFont val="Tahoma"/>
            <family val="2"/>
          </rPr>
          <t>user:</t>
        </r>
        <r>
          <rPr>
            <sz val="8"/>
            <color indexed="81"/>
            <rFont val="Tahoma"/>
            <family val="2"/>
          </rPr>
          <t xml:space="preserve">
trajnim dhe ekspertize</t>
        </r>
      </text>
    </comment>
    <comment ref="AZ153" authorId="1">
      <text>
        <r>
          <rPr>
            <b/>
            <sz val="9"/>
            <color indexed="81"/>
            <rFont val="Tahoma"/>
            <family val="2"/>
          </rPr>
          <t>Albana:</t>
        </r>
        <r>
          <rPr>
            <sz val="9"/>
            <color indexed="81"/>
            <rFont val="Tahoma"/>
            <family val="2"/>
          </rPr>
          <t xml:space="preserve">
TdH </t>
        </r>
      </text>
    </comment>
  </commentList>
</comments>
</file>

<file path=xl/comments2.xml><?xml version="1.0" encoding="utf-8"?>
<comments xmlns="http://schemas.openxmlformats.org/spreadsheetml/2006/main">
  <authors>
    <author>user</author>
    <author>Albana</author>
  </authors>
  <commentList>
    <comment ref="AA9" authorId="0">
      <text>
        <r>
          <rPr>
            <b/>
            <sz val="8"/>
            <color indexed="81"/>
            <rFont val="Tahoma"/>
            <family val="2"/>
          </rPr>
          <t>user:</t>
        </r>
        <r>
          <rPr>
            <sz val="8"/>
            <color indexed="81"/>
            <rFont val="Tahoma"/>
            <family val="2"/>
          </rPr>
          <t xml:space="preserve">
trajnim&amp;ekspertize</t>
        </r>
      </text>
    </comment>
    <comment ref="AY153" authorId="1">
      <text>
        <r>
          <rPr>
            <b/>
            <sz val="9"/>
            <color indexed="81"/>
            <rFont val="Tahoma"/>
            <family val="2"/>
          </rPr>
          <t>Albana:</t>
        </r>
        <r>
          <rPr>
            <sz val="9"/>
            <color indexed="81"/>
            <rFont val="Tahoma"/>
            <family val="2"/>
          </rPr>
          <t xml:space="preserve">
TdH </t>
        </r>
      </text>
    </comment>
  </commentList>
</comments>
</file>

<file path=xl/comments3.xml><?xml version="1.0" encoding="utf-8"?>
<comments xmlns="http://schemas.openxmlformats.org/spreadsheetml/2006/main">
  <authors>
    <author>Albana</author>
  </authors>
  <commentList>
    <comment ref="AY153" authorId="0">
      <text>
        <r>
          <rPr>
            <b/>
            <sz val="9"/>
            <color indexed="81"/>
            <rFont val="Tahoma"/>
            <family val="2"/>
          </rPr>
          <t>Albana:</t>
        </r>
        <r>
          <rPr>
            <sz val="9"/>
            <color indexed="81"/>
            <rFont val="Tahoma"/>
            <family val="2"/>
          </rPr>
          <t xml:space="preserve">
TdH </t>
        </r>
      </text>
    </comment>
  </commentList>
</comments>
</file>

<file path=xl/sharedStrings.xml><?xml version="1.0" encoding="utf-8"?>
<sst xmlns="http://schemas.openxmlformats.org/spreadsheetml/2006/main" count="6070" uniqueCount="714">
  <si>
    <t>Salary Category</t>
  </si>
  <si>
    <t>C1</t>
  </si>
  <si>
    <t>C2</t>
  </si>
  <si>
    <t>C3</t>
  </si>
  <si>
    <t>C4</t>
  </si>
  <si>
    <t>C5</t>
  </si>
  <si>
    <t>Participants per event</t>
  </si>
  <si>
    <t>Days per event</t>
  </si>
  <si>
    <t>Overnights per participant</t>
  </si>
  <si>
    <t>National expert days</t>
  </si>
  <si>
    <t>International expert days</t>
  </si>
  <si>
    <t>Salaries and Allowances</t>
  </si>
  <si>
    <t>Capital Items</t>
  </si>
  <si>
    <t>Contingencies / Other</t>
  </si>
  <si>
    <t>Notes</t>
  </si>
  <si>
    <t>Months</t>
  </si>
  <si>
    <t>Positions</t>
  </si>
  <si>
    <t>Events</t>
  </si>
  <si>
    <t>Study tours</t>
  </si>
  <si>
    <t>Other Contractual Services</t>
  </si>
  <si>
    <t>Total Incremental Costs</t>
  </si>
  <si>
    <t>Computer Units</t>
  </si>
  <si>
    <t>Office Equipment Units</t>
  </si>
  <si>
    <t>Vehicle Units</t>
  </si>
  <si>
    <t>Incremental Overheads</t>
  </si>
  <si>
    <t>Recurrent Costs</t>
  </si>
  <si>
    <t>Funding Gap</t>
  </si>
  <si>
    <t>10=6*8*SC</t>
  </si>
  <si>
    <t>11=6*7*8*SC</t>
  </si>
  <si>
    <t>12=6*8*9*SC</t>
  </si>
  <si>
    <t>13=6*7*SC</t>
  </si>
  <si>
    <t>Pajisje zyre, cmim per njesi</t>
  </si>
  <si>
    <t>Pajisje elektronike, cmim per njesi</t>
  </si>
  <si>
    <t>Automjete, cmim per njesi</t>
  </si>
  <si>
    <t>Te huaj</t>
  </si>
  <si>
    <t>Lokale</t>
  </si>
  <si>
    <t>Dieta ditore per cdo person</t>
  </si>
  <si>
    <t>Akomodim per cdo person</t>
  </si>
  <si>
    <t>Shpenzime Udhetimi per person</t>
  </si>
  <si>
    <t xml:space="preserve">Qera ditore ambientesh </t>
  </si>
  <si>
    <t>Dieta ditore qe perfshin ushqim, akomodim, etj</t>
  </si>
  <si>
    <t>Evente (takime pune, ceremoni, trajnime, etj) (llog ekonomike 602)</t>
  </si>
  <si>
    <t>Udhetime jashte vendit (llog ekonomike 602)</t>
  </si>
  <si>
    <t>Shpenzime Ekspertesh (llog ekonomike 602)</t>
  </si>
  <si>
    <t>Zëra investimesh (llog ekonomike 230, 231)</t>
  </si>
  <si>
    <t>Te tjera (llog 602)</t>
  </si>
  <si>
    <t>Aktivitete</t>
  </si>
  <si>
    <t>Programi Buxhetor (Kod emertim)</t>
  </si>
  <si>
    <t>Nentotal 1.1.1.</t>
  </si>
  <si>
    <t>Nentotal 1.1.2</t>
  </si>
  <si>
    <t>Nentotal 1.1.3</t>
  </si>
  <si>
    <t>Legjenda</t>
  </si>
  <si>
    <t>Kategori page</t>
  </si>
  <si>
    <t>Paga mesatare (formule)</t>
  </si>
  <si>
    <t>Pagat Bruto</t>
  </si>
  <si>
    <t>Numri i muajve</t>
  </si>
  <si>
    <t>Numri i Punonjesve</t>
  </si>
  <si>
    <t>Activitites</t>
  </si>
  <si>
    <t>Eng</t>
  </si>
  <si>
    <t>Alb</t>
  </si>
  <si>
    <t>Travel</t>
  </si>
  <si>
    <t>1. Total</t>
  </si>
  <si>
    <t xml:space="preserve">1.1 Nentotal </t>
  </si>
  <si>
    <t>2. Total</t>
  </si>
  <si>
    <t>Paga dhe Shtesa (llog ekonomike 600)</t>
  </si>
  <si>
    <t>Llog ekonomike 601</t>
  </si>
  <si>
    <t>Rent</t>
  </si>
  <si>
    <t>Accommodation</t>
  </si>
  <si>
    <t>Per diems</t>
  </si>
  <si>
    <t>Bileta udhetimi (cmim mesatar per person)</t>
  </si>
  <si>
    <t>Days abroad</t>
  </si>
  <si>
    <t>Nr. Diteve ekspert Nderkombetar</t>
  </si>
  <si>
    <t>Nr. Diteve Ekspert Vendas</t>
  </si>
  <si>
    <t>Technical Assistance</t>
  </si>
  <si>
    <t>Travel &amp; Perdiems abroad</t>
  </si>
  <si>
    <t>Nr. i diteve per event</t>
  </si>
  <si>
    <t>Nr. i Sherbimeve/Eventeve</t>
  </si>
  <si>
    <t>Nr. Pjesemarresve per event</t>
  </si>
  <si>
    <t>Nete Hoteli per pjesemarres</t>
  </si>
  <si>
    <t>Nr.vizitave jashte shtetit</t>
  </si>
  <si>
    <t>Nr. Diteve jashte vendit</t>
  </si>
  <si>
    <t>Nr i pjesemarresve per vizite</t>
  </si>
  <si>
    <t>Assets Maintenance</t>
  </si>
  <si>
    <t>Total Recurrent materials &amp; Services</t>
  </si>
  <si>
    <t>4=2*3 (for 1)</t>
  </si>
  <si>
    <t>Inssurance</t>
  </si>
  <si>
    <t>5=4*SC</t>
  </si>
  <si>
    <t>17=14*(16*SC+15*16*SC)</t>
  </si>
  <si>
    <t>20=(18*SC+19*SC)</t>
  </si>
  <si>
    <t>24=10+11+12+13+17+20+21+22+23</t>
  </si>
  <si>
    <t>Nr. Pajisje elektronike</t>
  </si>
  <si>
    <t>Nr. Automjetesh</t>
  </si>
  <si>
    <t>Nr. Pajisje zyre</t>
  </si>
  <si>
    <t>Other capital expenditures</t>
  </si>
  <si>
    <t>Kontigjenca kapitale</t>
  </si>
  <si>
    <t>Total Capital Expenditures</t>
  </si>
  <si>
    <t>Sigurime Shoqerore &amp; Shendetesore te punedhenesit</t>
  </si>
  <si>
    <t>23=(10+11+12+13+17+20+21+22)*(st. %)</t>
  </si>
  <si>
    <t>31=25*SC+26*SC+27*SC+28+29+30</t>
  </si>
  <si>
    <t>Shenime</t>
  </si>
  <si>
    <t>Te tjera investime (ALL)</t>
  </si>
  <si>
    <t>Kontigjenca korrente</t>
  </si>
  <si>
    <t>Te tjera (llog 230, 231)</t>
  </si>
  <si>
    <t>Constructions</t>
  </si>
  <si>
    <t>Ndertime (ALL)</t>
  </si>
  <si>
    <t>Intangibles</t>
  </si>
  <si>
    <t>Aktive te patrupezuara (ALL)</t>
  </si>
  <si>
    <t>32=30*SC</t>
  </si>
  <si>
    <t>Totali i Shpenzimeve Kapitale (ALL)</t>
  </si>
  <si>
    <t>Kontigjenca (ALL)</t>
  </si>
  <si>
    <t>Shpenzime totale korrente materiale &amp;Sherbime (ALL)</t>
  </si>
  <si>
    <t>Te tjera shpenzime te pergjithshme (ALL)</t>
  </si>
  <si>
    <t>Sherbime Mirembajtje te Aktiveve (ALL)</t>
  </si>
  <si>
    <t>Te tjera sherbime kontraktuale direkte (ALL)</t>
  </si>
  <si>
    <t>Asistence teknike (ALL)</t>
  </si>
  <si>
    <t>Shpenz. Udhetime dieta me jashte (ALL)</t>
  </si>
  <si>
    <t>Shpenz. Qera ambientesh (ALL)</t>
  </si>
  <si>
    <t>Shpenz. Akomodim (ALL)</t>
  </si>
  <si>
    <t>Shpenz. Dieta brenda vendit (ALL)</t>
  </si>
  <si>
    <t>Shpenz. Udhetimi brenda vendit (ALL)</t>
  </si>
  <si>
    <t>Sigurime Shoqerore &amp; Shendetes (ALL)</t>
  </si>
  <si>
    <t>Paga dhe Shtesa (ALL)</t>
  </si>
  <si>
    <t>1 (combo box)</t>
  </si>
  <si>
    <t>Empty fields (text)</t>
  </si>
  <si>
    <t>Levels of Policy Framework generated by IPSIS (IPSIS code + Title)</t>
  </si>
  <si>
    <t>Nivelet e Kuadrit te Politikave te gjeneruara nga sistemi IPSIS (IPSIS Kod + Emertim)</t>
  </si>
  <si>
    <t>Summary Year 1 / Permbledhje Viti 1</t>
  </si>
  <si>
    <t xml:space="preserve">Salaries &amp; Social insurance </t>
  </si>
  <si>
    <t>Funded from National Budget</t>
  </si>
  <si>
    <t>Funded by EU</t>
  </si>
  <si>
    <t>Funded by IBRD</t>
  </si>
  <si>
    <t xml:space="preserve">Funded by </t>
  </si>
  <si>
    <t>Add columns as needed</t>
  </si>
  <si>
    <t>33=4+5</t>
  </si>
  <si>
    <t>34=24</t>
  </si>
  <si>
    <t>35=31+32</t>
  </si>
  <si>
    <t>36=33+34+35</t>
  </si>
  <si>
    <t>Summary Year 3 / Permbledhje Viti 3</t>
  </si>
  <si>
    <t>Summary Year 5 / Permbledhje Viti 5</t>
  </si>
  <si>
    <t>Data Fillimit</t>
  </si>
  <si>
    <t>Data e Perfundimit</t>
  </si>
  <si>
    <t>Measure Start date IPSIS</t>
  </si>
  <si>
    <t>Measure End date IPSIS</t>
  </si>
  <si>
    <t>Masa (IPSIS)</t>
  </si>
  <si>
    <t>Funded by WB</t>
  </si>
  <si>
    <t>Funded by UN</t>
  </si>
  <si>
    <t>Paga dhe Sigurime</t>
  </si>
  <si>
    <t>Totali i kostove  per vitin</t>
  </si>
  <si>
    <t>Kosto Korrente</t>
  </si>
  <si>
    <t>Kosto Kapitale</t>
  </si>
  <si>
    <t>Financuar nga Buxheti I Pergjithshem</t>
  </si>
  <si>
    <t>Financuar nga EU</t>
  </si>
  <si>
    <t>Financuar nga WB</t>
  </si>
  <si>
    <t>Financuar nga UN</t>
  </si>
  <si>
    <t>Financuar nga Donatore te tjere</t>
  </si>
  <si>
    <t>Funded by other Donors</t>
  </si>
  <si>
    <t>Other Donors</t>
  </si>
  <si>
    <t>43=37+38+39+40+41+42-36</t>
  </si>
  <si>
    <t>11=5 +6+7+8+9+10-4</t>
  </si>
  <si>
    <t>Total Indicative Costs for Year 1</t>
  </si>
  <si>
    <t>Total Indicative Costs for Year 2</t>
  </si>
  <si>
    <t>Total Indicative Costs for Year 3</t>
  </si>
  <si>
    <t>Total Indicative Costs for Year 4</t>
  </si>
  <si>
    <t>Total Indicative Costs for Year 5</t>
  </si>
  <si>
    <t>Total Indicative Costs for Year 6</t>
  </si>
  <si>
    <t>Total Indicative Costs for Year 7</t>
  </si>
  <si>
    <t>Salary category/ Kategori Pagash</t>
  </si>
  <si>
    <t>Monthly Salary/ Paga mesatare mujore bruto me gjithe sigurimet shoqerore</t>
  </si>
  <si>
    <t>Allocations/ Shtesa Page (politika te reja) mesatarisht per muaj</t>
  </si>
  <si>
    <t>Note: In IPSIS Only Measures data will be uploaded. The calculations will automatically be done in IPSIS for Specific Objectives and Policy Goal level</t>
  </si>
  <si>
    <t>Note: 1.Codes and Titles of the Budget Programs, Policy Items (PG, SO, Mesures) and start date end date are generated by IPSIS
2. All highlighted cells will be blocked/protected. Only white cells should be left for direct input.</t>
  </si>
  <si>
    <t>Note: 1. All highlighted cells will be blocked/protected. Only white cells should be left for direct input.</t>
  </si>
  <si>
    <t>Summary Year 8 / Permbledhje Viti 8</t>
  </si>
  <si>
    <t>Summary Year 9 / Permbledhje Viti 9</t>
  </si>
  <si>
    <t>Summary Year 10 / Permbledhje Viti 10</t>
  </si>
  <si>
    <t>Total Indicative Costs for Year 8</t>
  </si>
  <si>
    <t>Total Indicative Costs for Year 9</t>
  </si>
  <si>
    <t>Total Indicative Costs for Year 10</t>
  </si>
  <si>
    <t>Total Indicative Costs for ALL YEARS</t>
  </si>
  <si>
    <t>Shto Kolona nese duhet</t>
  </si>
  <si>
    <t>Hendeku Financiar</t>
  </si>
  <si>
    <t xml:space="preserve">2.1 Nentotal </t>
  </si>
  <si>
    <t>Nentotal 2.2.2</t>
  </si>
  <si>
    <t>Nentotal 2.2.1</t>
  </si>
  <si>
    <t>2.2 Nentotal</t>
  </si>
  <si>
    <t>3. Total</t>
  </si>
  <si>
    <t>3.1  Nentotal</t>
  </si>
  <si>
    <t>Nentotal 3.1.1</t>
  </si>
  <si>
    <t>3.2  Nentotal</t>
  </si>
  <si>
    <t>Nentotal 3.2.1</t>
  </si>
  <si>
    <t>Trajnime ASPA I messem</t>
  </si>
  <si>
    <t>Nentotal 1.1.4</t>
  </si>
  <si>
    <t xml:space="preserve">2.2 Objektivi Specifik : Zbatimi me profesionalizem dhe pa paragjykime i legjislacionit për të luftuar diskriminimin dhe krimin e urrejtjes ndaj personave LGBTI+. </t>
  </si>
  <si>
    <t>C6</t>
  </si>
  <si>
    <t>Qera ditore ambientesh (institucionesh)</t>
  </si>
  <si>
    <t>Other Donors (GF)</t>
  </si>
  <si>
    <t>Funded by GF</t>
  </si>
  <si>
    <t>Summary Year 2 / Permbledhje Viti 2</t>
  </si>
  <si>
    <t>Financuar nga GF</t>
  </si>
  <si>
    <t>12=5+6+7+8+9+10+11-4</t>
  </si>
  <si>
    <t>Summary Year 7 / Permbledhje Viti 7</t>
  </si>
  <si>
    <t>Summary Year 6 / Permbledhje Viti 6</t>
  </si>
  <si>
    <t>Summary Year 4 / Permbledhje Viti 4</t>
  </si>
  <si>
    <t>1.Qellimi I Politikes ( Kodi, Emertimi)Qeverisja e mirë në funksion të respektimit, mbrojtjes dhe përmbushjes së të drejtave të fëmijëve</t>
  </si>
  <si>
    <t>1.1 Objektivi specifik: Institucione dhe mekanizma të fuqizuar në funksion të respektimit, mbrojtjes dhe përmbushjes së të drejtave të fëmijëve</t>
  </si>
  <si>
    <t xml:space="preserve">MSHMS </t>
  </si>
  <si>
    <t>I.1.1. Forcimi istrukturavenënivelqendrordhe vendor, përgjegjësepërhartimin, koordinimin dhe monitorimin e strategjive dhe masave ndërsektoriale që kanën dikim në jetën e fëmijëve</t>
  </si>
  <si>
    <t xml:space="preserve">I.1.2. Përmirësimi i mekanizmave për buxhetimin për fëmijët </t>
  </si>
  <si>
    <t xml:space="preserve">I.1.3. Përmirësimi i statistikave dhe të dhënave/njohurive në funksion të realizimit të të drejtave të fëmijëve </t>
  </si>
  <si>
    <t xml:space="preserve">I.1.4'Forcimi i mekanizmave dhe forumeve të pjesëmarrjes së fëmijëve </t>
  </si>
  <si>
    <t xml:space="preserve">2.1 Objektivi specifik: Fëmijët rriten në një mjedis mbështetës, me praktika pozitive të prindërimit, që i mbrojnë nga dhuna dhe abuzimi. </t>
  </si>
  <si>
    <t>2.Qellimi I Politikes ( Kodi, Emertimi)Eliminimi i të gjitha formave të dhunës, shfrytëzimit, abuzimit dhe praktivave të dëmshme</t>
  </si>
  <si>
    <t>II.1.1. Adresimi i normave sociale jopozitive në komunitet dhe familje në kuadër të parandalimit dhe adresimit të dhunës ndaj fëmijëve</t>
  </si>
  <si>
    <t>II.2.1. Përmirësimi i kuadrit normativ, buxhetor dhe raportues për mbrojtjen e fëmijës</t>
  </si>
  <si>
    <t>Nentotal 2.1.1</t>
  </si>
  <si>
    <t xml:space="preserve">II.2.2 Fuqizimi i kapaciteteve të profesionistëve, mekanizmave dhe shërbimeve përadresimin e dhunës së fëmijëve </t>
  </si>
  <si>
    <t>2.3 Objektivi Specifik :Mekanizma dhe shërbime të specializuara dhe të integruara për adresimin e formave të rënda të dhunës, përfshirë abuzimin seksual dhe abuzimin dhe shfrytëzimin online</t>
  </si>
  <si>
    <t>II.3.1 Parandalimi dhe mbrojtja e fëmijëve nga abuzimi seksualdhe abuzimin dhe shfrytëzimin online</t>
  </si>
  <si>
    <t>Nentotal 2.3.1</t>
  </si>
  <si>
    <t>2.3 Nentotal</t>
  </si>
  <si>
    <t>3.Qellimi I Politikes ( Kodi, Emertimi) Sisteme dhe shërbime miqësore për fëmijët dhe adoleshentët</t>
  </si>
  <si>
    <t>3.1 Objektivi Specifik: Mundësi të barabarta për zhvillimin e aftësive dhe të të mësuarit - nga fëmijëria e hershme në adoleshencë</t>
  </si>
  <si>
    <t>III.1.1. Rritja, mirëqënia dhe të nxënit gjatë fëmijërisë së hershme 0-3 vjec</t>
  </si>
  <si>
    <t>III.1.2 Rritja, zhvillimi dhe të nxënët tek fëmijët 3-6 vjec përmes një qasje gjithëpërfshirëse dhe cilësore</t>
  </si>
  <si>
    <t>III.1.2.çPërfshirja e të gjithë fëmijëve të moshës 5-6 vjeç në grupet e 3-ta në kopshte ose në klasa përgatitore, veçanërisht fëmijët e kategorive të vulnerable (Masë e përcaktuar në Strategjinë e Arsimit A1.1.3)</t>
  </si>
  <si>
    <t>III.1.2.ë Ndërgjegjësimi i prindërve dhe komunitetit për rëndësinë e arsimit parashkollor (SKA A 1.1.1)</t>
  </si>
  <si>
    <t>Nentotal 3.1.2</t>
  </si>
  <si>
    <t>Nentotal 3.1.3</t>
  </si>
  <si>
    <t>III.1.3 Arsimi bazë, i mesëm i ulët dhe i lartë gjithëpërfshirës</t>
  </si>
  <si>
    <t>III.1.3.g Mbështetje financiare për nxënësit romë, egjiptianë dhe grupet vulnerabël (SKA A2.1.6)</t>
  </si>
  <si>
    <t>Nentotal 3.1.4</t>
  </si>
  <si>
    <t>III.1.4 Menaxhimi i rrezikut dhe katastrofave në shkollë</t>
  </si>
  <si>
    <t>III.1.5 Edukimi për karrierën dhe aftësimi për tregun e punës</t>
  </si>
  <si>
    <t>3.2 Objektivi Specifik: Sistem i integruar i mbrojtjes sociale, i ndjeshëm ndaj nevojave të fëmijëve dhe familjeve</t>
  </si>
  <si>
    <t>III.2.1 Përmirësim i qasjes të fëmijëve dhe adoleshentëve në nevojë ne programet e mbrojtjes sociale</t>
  </si>
  <si>
    <t>III.2.2.b Ngritja e kujdesit alternativ i specializuar për fëmijët me aftësi të kufizuara të lehta 
Ref: Plani kombëtar i deinstitucionalizimit 2020-2022</t>
  </si>
  <si>
    <t>III.2.2.c Ndërtimi i një mekanizmi funksional të referimit dhe bashkëpunimi për evidentimin e hershëm të rasteve të braktisjes. (hartimi i një pakete ndihme mbështetëse për këtë grup të nënave, si psh përfshirë strehimin, punësimin, arsimimin, edukimin për prindërim, kujdesin e hershëm për fëmijën etj)
Ref: Plani kombëtar i deinstitucionalizimit 2020-2022</t>
  </si>
  <si>
    <t>III.2.2.ç Tranformimi i qendrave të përkujdesit rezidencial publike në shërbime me bazë komunitare 
Ref: Plani kombëtar i deinstitucionalizimit 2020-2022</t>
  </si>
  <si>
    <t>III.2.2.d Modelimi dhe pilotimi i shërbimeve alternative cilësore, duke përfshirë shërbimin e specializuar profesional të foster care
Ref: Plani kombëtar i deinstitucionalizimit 2020-2022</t>
  </si>
  <si>
    <t>III.2.2 Përmirësimi i kujdesit/shërbimit alternative për të cuar përpara procesin e deinstitucionalizimit</t>
  </si>
  <si>
    <t>Nentotal 3.2.2</t>
  </si>
  <si>
    <t xml:space="preserve">3.3 Objektivi Specifik: Përmirësimi i shëndetit të fëmijëve dhe adoleshentëve </t>
  </si>
  <si>
    <t>3.3  Nentotal</t>
  </si>
  <si>
    <t>III.3.1 Përmirësimi i shëndetit të fëmijëve dhe adoleshentëve</t>
  </si>
  <si>
    <t>Nentotal 3.3.1</t>
  </si>
  <si>
    <t>3.4  Nentotal</t>
  </si>
  <si>
    <t>3.4 Objektivi Specifik: Drejtësi miqësore për fëmijët</t>
  </si>
  <si>
    <t>III.4.1 Përmirësimi i aksesit në drejtësi</t>
  </si>
  <si>
    <t>Nentotal 3.4.1</t>
  </si>
  <si>
    <t>III.4.1.gj Ngritja e Institucionit të Edukimit dhe Rehabilitimit të të Miturve
Ref: Strategjia e Drejtësisë për të mitur</t>
  </si>
  <si>
    <t>III.4.1.j Hartimi e rishikimi i moduleve të trajnimit për ELP-në për nënpunësit e barazisë gjinore dhe për koordinatorët vendorë të dhunës në familje/punonjësi i mbrojtjes së fëmijëve/specialistët e PAK/specialistët për romë dhe egjiptianë, viktimat e veprës penale, viktimat e trafikimit, si dhe kategori të tjera në nevojë 
Ref:  Strategjia per Edukimin Ligjor (4.1.1.ç)</t>
  </si>
  <si>
    <t>III.4.1.k Përgatitja dhe shpërndarja e materialeve për ELP për barazinë gjinore, DHBGJ dhe dhunën në familje, viktimat e veprës penale, viktimat e trafikimit, për fëmijët, për gratë dhe grupet e tjera të cenueshme, me një gjuhë të kuptueshme të përshtatshme për PAK, fëmijët dhe romët e egjiptianët
Ref: Strategjia per Edukimin Ligjor (2.3.1.b)</t>
  </si>
  <si>
    <t>4. Total</t>
  </si>
  <si>
    <t>4.Qellimi I Politikes ( Kodi, Emertimi) Promovimi i të drejtave të fëmijëve në botën dixhitale</t>
  </si>
  <si>
    <t>4.1 Objektivi Specifik: Promovimi i të drejtave të fëmijëve në botën dixhitale</t>
  </si>
  <si>
    <t>4.1  Nentotal</t>
  </si>
  <si>
    <t>IV 1.1.a Krijimi i infrastrukturës së përshtatshme për shfrytëzimin e TIK-ut në shkolla dhe mirëmbajtja e saj
A5.1 - Strategjia kombetare e Arsimit (2021-2026)</t>
  </si>
  <si>
    <t>IV 1.1.c Krijimi ose përmirësimi i hapësirave publike me internet të sigurt për fëmijët dhe familjet “Friendly WIFI” nëpërmjet nismave për të ofruar aksesim falas të internetit por njëkohësisht informacion të filtruar me qëllim promivimin dhe mbrojtjen e të drejtave të fëmijëve dhe të rinjve në mjedisin digjital.
*Strategjia Kombetare per Sigurine Kibernetik (2020-2025)</t>
  </si>
  <si>
    <t>IV 1.1.ç Shtrirja e modelit BiblioTech pranë bibliotekave të qytetit për aftësimin digjital dhe mbrojtjen online ne 4 Bashki të reja</t>
  </si>
  <si>
    <t xml:space="preserve">IV.1.1. Aksesi dhe përfshirja e fëmijëve në mjedisin digjital </t>
  </si>
  <si>
    <t>Nentotal 4.1.1</t>
  </si>
  <si>
    <t xml:space="preserve">IV.1.2 Nxënia dhe kreativiteti në mjedisin digjital </t>
  </si>
  <si>
    <t>IV.1.2.a Zhvillimi i kompetencës digjitale përmes shfrytëzimit të shtuar të TIK-ut në të gjitha lëndët 
-        Përfshirja e kompetencës digjitale në standardet e mësuesit
-        Përcaktimi i standardeve për arritjen e kompetencës digjitale sipas formatit të Bashkimit Evropian
-        Përfshirja e nxënësve të arsimit të mesëm të ulët e të lartë në programin kombëtar të kodimit
-        Përfshirja e kompetencës digjitale nëpërmjet teknologjisë së informacionit dhe komunikimit që në klasën e parë të arsimit bazë
*A5.2 - Strategjia kombetare e Arsimit (2021-2026)</t>
  </si>
  <si>
    <t>IV.1.2.b Ndërgjegjësimi i nxënësve për sigurinë në Internet, privatësinë, ndarjen e informacionit dhe antiviruseve
A5.1 - Strategjia kombetare e Arsimit (2021-2026)
*Strategjia Kombetare per Sigurine Kibernetik (2020-2025)</t>
  </si>
  <si>
    <t>Nentotal 4.1.2</t>
  </si>
  <si>
    <t xml:space="preserve">IV.1.3. Respektimi i etikës dhe interesit më të lartë të fëmijës në  mjedisin digital </t>
  </si>
  <si>
    <t>IV.1.3.a Rishikimi i kodit të sjelljes të sektorit privat (ISP, platformat online, ekosistemin e inovacionit, start upave dhe biznesin) për promovimin dhe respektimin e të drejtave të fëmijëve në mjedisin digjital
*Strategjia Kombetare per Sigurine Kibernetik (2020-2025)</t>
  </si>
  <si>
    <t>IV.1.3.b Aftësimi i aktorëve të sektorit privat ne lidhje me të drejtat e fëmijeve në mjedisin digjital.
*Strategjia Kombetare per Sigurine Kibernetik (2020-2025)</t>
  </si>
  <si>
    <t>IV.1.3.c Ndërgjegjësim i akterëve publikë, prindërve në vecanti, përmes bisedave, tryezave, debateve etj mbi rëndësinë e zhvillimit digjital të fëmijëve dhe pjesëmarrjes së tyre për zhvillimin e shoqërisë
*Strategjia Kombetare per Sigurine Kibernetik (2020-2025)</t>
  </si>
  <si>
    <t>Nentotal 4.1.3</t>
  </si>
  <si>
    <t xml:space="preserve">Nr i çështjeve të ngritura në takimet e GMPI në fushën e të drejtave të fëmijëve.
Raporti (%)  i rekomandimeve të GMPI të zbatuara </t>
  </si>
  <si>
    <t xml:space="preserve">Nr i takimeve dhe çështjeve të ngritura </t>
  </si>
  <si>
    <t xml:space="preserve">Hartimi i propozimeve të strukturës;
Rishikimi i statutit dhe rregullores.  </t>
  </si>
  <si>
    <t xml:space="preserve">% e buxhetit të alokuar për institucionet e pavarura </t>
  </si>
  <si>
    <t>Numri i raporteve dhe planeve të masave të hartuara</t>
  </si>
  <si>
    <t>Grupi koordinues i ngritur;
Udhëzuesi për zbatimin e qyteteve miqësore për fëmijët / adoleshentët i hartuar;
Nr. bashkive me plane të qyteteve miqësore të hartura.</t>
  </si>
  <si>
    <t>Nr. i raporteve analitik të buxheteve të hartuara në fushën e të drejtave të fëmijëve</t>
  </si>
  <si>
    <t>Studimi i publikuar</t>
  </si>
  <si>
    <t>Raport i analizës</t>
  </si>
  <si>
    <t>Botim i përvitshëm</t>
  </si>
  <si>
    <t xml:space="preserve">Akt nënligjor i rishikuar </t>
  </si>
  <si>
    <t>Dashboard i përditësuar</t>
  </si>
  <si>
    <t>Ngritja e platformave të raportimi të tregruesve të fëmijëve në 5 bashki</t>
  </si>
  <si>
    <t xml:space="preserve">Këshilli i fëmijëve dhe të rinjve ngritur në nivel qendror në të paktën 4 Bashki të vendit </t>
  </si>
  <si>
    <t>Nr i vendimeve të marra bazuar në konsultimet me fëmijët në nivel qendror dhe vendor</t>
  </si>
  <si>
    <t>Nr i fëmijëve të përfshirë</t>
  </si>
  <si>
    <t xml:space="preserve">Nr i anketave për mbledhjen e opinioneve të adoleshentëve / rinjve të zhvilluara çdo vit </t>
  </si>
  <si>
    <t>Publikimi i studimeve për matjen e njohurive, qëndrimeve dhe praktikave të dhunës ndaj fëmijëve</t>
  </si>
  <si>
    <t>Plani i komunikimit i përfunduar;
Nr i produkteve me mesazhe komunikimi të përgatitur;
Nr i personave të ndërgjegjësuar.</t>
  </si>
  <si>
    <t>Nr i personave të arritur përmes aktiviteteve ndërgjegjësuese</t>
  </si>
  <si>
    <t>Modul edukimi për prindërimin pozitiv i përfunduar Nr i prindërve të këshilluar mbi prindërimin pozitiv, përfshirë ata me aftësi të kufizuar</t>
  </si>
  <si>
    <t>Programe të miratuara/kurse për NJQV për prindërimin pozitiv</t>
  </si>
  <si>
    <t>Nr dhe % eshkollave ku kanë zbatuar plane të aktiviteteve ndërgjegjësuese</t>
  </si>
  <si>
    <t>Kodi i familjes i rishikuar.
Spekti (përmbajtja) e ndryshimeve.</t>
  </si>
  <si>
    <t>Kodi Penal i rishikuar.
Spekti (përmbajtja) e ndryshimeve.</t>
  </si>
  <si>
    <t>Akt ligjor i miratuar</t>
  </si>
  <si>
    <t>Grupi i punës i ngritur
Baza ligjore dhe institucionale antitrafikim, praktikat dhe rekomandimet ndërkombëtare e analizuar
Ligj i draftuar nga ekspertë
Ligji i draftuar i konsultuar me publikun</t>
  </si>
  <si>
    <t>Aktet nënligjore të miratuara</t>
  </si>
  <si>
    <t>Akt ligjor i rishikuar dhe miratuar</t>
  </si>
  <si>
    <t>Akt normativ i miratuar</t>
  </si>
  <si>
    <t>Udhëzim i miratuar</t>
  </si>
  <si>
    <t>Akt nënligjor miratuar</t>
  </si>
  <si>
    <t>Akt nënligjor i rishikuar dhe miratuar</t>
  </si>
  <si>
    <t>Udhëzim ndërministror i hartuar dhe miratuar</t>
  </si>
  <si>
    <t>Metodologji emiratuar</t>
  </si>
  <si>
    <t>Analiza e kostos (e dakordesuar) për menaxhimin e rasteve të mbrojtjes së fëmijëve
Nr. i NJQV me kosto të dedikuar për menaxhimin e rasteve të mbrojtjes së fëmijëve</t>
  </si>
  <si>
    <t>% e strukturave të mbrojtjes së fëmijëve që përdorin sistemin Gjenerimi i raporteve 4 mujore dhe vjetore nga sistemi</t>
  </si>
  <si>
    <t>Konferencë kombëtare</t>
  </si>
  <si>
    <t>Strukturat e ngritura</t>
  </si>
  <si>
    <t>Ngritja e Bordit pranë QKEV
Kryerja e analizës së nevojave për ngritje kapacitetesh, përcaktimin e temave të trajnimit Akredimi i organizmave dhe kurrikulave të trajnimit</t>
  </si>
  <si>
    <t>% e punonjësve të trajnuar cdo vit;Tematikat e trajnimit 236 pmf</t>
  </si>
  <si>
    <t>% e punonjësve të trajnuar, sipas tematikës dhe sektorit cdo vit 236*10 përfaësues të sektorëve të ndryshëm</t>
  </si>
  <si>
    <t>% e profesionistëve  të trajnuar</t>
  </si>
  <si>
    <t>% e punonjësve të trajnuar</t>
  </si>
  <si>
    <t>Politikë për arsimin parauniversitar</t>
  </si>
  <si>
    <t>Konsolidimi i mjediseve të sigurta dhe miqësore për fëmijët në shkollë</t>
  </si>
  <si>
    <t>Rritja e cilësisë së shërbimit psiko-social për të gjithë nxënësit</t>
  </si>
  <si>
    <t>% e mësuesve dhe punonjësve të trajnuar</t>
  </si>
  <si>
    <t>Protokolli për identifikimin dhe raportimin e dhunës</t>
  </si>
  <si>
    <t>Indikatorët e depistimit të përfshirë në kriteret e vlerësimit të performancës së institucioneve shëndetsore</t>
  </si>
  <si>
    <t>Nr i rasteve të fëmijëve të raportuar cdo vit</t>
  </si>
  <si>
    <t>Nr i rasteve të raportuara të dhunës ndaj fëmijëve cdo vit.
Hartimi i metodologjisë për mbledhjen dhe raportimin e të dhënave nga linjat e këshillimit tek ASHMDF-në</t>
  </si>
  <si>
    <t>Nr.i fëmijëve që përfitojnë shërbime emergjente të mbrojtjes</t>
  </si>
  <si>
    <t>Nr.i fëmijëve të akomoduar % e fëmijëve të rehabilituar</t>
  </si>
  <si>
    <t>Numri i fëmijëve viktima të abuzimit seksual që përfitojnë nga shërbimet e specializuara, cdo vit</t>
  </si>
  <si>
    <t>Propozime për model shërbimesh rehabilituese</t>
  </si>
  <si>
    <t>Numri i profesionistëve të trajnuar cdo vit</t>
  </si>
  <si>
    <t>Marrëveshje e draftuar dhe miratuar</t>
  </si>
  <si>
    <t>Sistemi i kurseve i ngritur</t>
  </si>
  <si>
    <t>Numri dhe % e oficerëve/hetuesve të trajnuar</t>
  </si>
  <si>
    <t>Nr i rasteve të fëmijëve ku të dhënat e tyre janë analizuar efektivisht</t>
  </si>
  <si>
    <t>Portal i ngritur
numri i reagimeve nga portali</t>
  </si>
  <si>
    <t>Numri dhe % e punonjësve  të trajnuar</t>
  </si>
  <si>
    <t>Komitet teknik këshillues i ngritur</t>
  </si>
  <si>
    <t xml:space="preserve">Akt ligjore dhe nënligjore të hartuara </t>
  </si>
  <si>
    <t>Nr i prindërve të ndërgjegjësuar</t>
  </si>
  <si>
    <t>Grup pune ndërinstitucional i ngritur</t>
  </si>
  <si>
    <t>Udhëzim i hartuar</t>
  </si>
  <si>
    <t>Korniza e vlerësimit të cilësisë së zbatimit të standardeve e zhvilluar</t>
  </si>
  <si>
    <t>Numri i fëmijëve mbështetur me bonusin e çerdhes</t>
  </si>
  <si>
    <t>Studim i realizuar për njohjen e pengesave të hasura për përfshirjen e fëmijëve në edukimin parashkollor</t>
  </si>
  <si>
    <t>Instrument i hartuar</t>
  </si>
  <si>
    <t>Numri i fëmijëve mbështetur me bonusin e kopshtit</t>
  </si>
  <si>
    <t>Nr i fëmijëve të moshës 5-6 vjec në kopshte</t>
  </si>
  <si>
    <t xml:space="preserve">Nr i fëmijëve rom dhe egjiptian që përfitojnë nga masa </t>
  </si>
  <si>
    <t>Instrumenta të hartuar</t>
  </si>
  <si>
    <t xml:space="preserve">% e punonjësve të trajnuar të bashkive </t>
  </si>
  <si>
    <t>Nr i aktiviteteve ndërgjegjësuese</t>
  </si>
  <si>
    <t>Nr i shoqatave, këshillave të prindërve të trajnuar dhe angazhuar</t>
  </si>
  <si>
    <t>% e mësuesve të trajnuar</t>
  </si>
  <si>
    <t>Sistemi i menaxhimit të informacionit funksional</t>
  </si>
  <si>
    <t>Model mbështetës i hartuar</t>
  </si>
  <si>
    <t xml:space="preserve">Marrëveshje e hartuar </t>
  </si>
  <si>
    <t>% e buxhetit për materiale didaktike</t>
  </si>
  <si>
    <t xml:space="preserve">Nr i shkollave burimore për aftësinë e kufizuarNr i fëmijëve në shkollat speciale </t>
  </si>
  <si>
    <t>Nr i nxënësve rome dhe egjiptianë të identifikuar 
Nr i nxënësve romë dhe egjiptianë të përfshirë në arsimin e detyruar</t>
  </si>
  <si>
    <t>Nr i nxënësve romë dhe egjiptianë mbështetur me skema financiare</t>
  </si>
  <si>
    <t>Nr i nxënësve romë dhe egjiptianë që marrin pjesë në programet passhkollore</t>
  </si>
  <si>
    <t>Nr i prindërve romë dhe egjiptianë që marrin pjesë në kurse</t>
  </si>
  <si>
    <t>Nr i mësuesve dhe nxënësve përdorues të platformës</t>
  </si>
  <si>
    <t>Nr i personave që përdorin sistemin online</t>
  </si>
  <si>
    <t>Nr i nxënësve të identifikuar të paregjistruar në shkollë
Nr i nxënësve të regjistruar në shkollë për shkak të ndërhyrjes</t>
  </si>
  <si>
    <t>Nr i nxënësve të regjistruar në shkollë për shkak të ndërhyrjes</t>
  </si>
  <si>
    <t>% e nxënësve të parlamentit të trajnuar</t>
  </si>
  <si>
    <t>% e psikologëve/punonjësve social të trajnuar</t>
  </si>
  <si>
    <t>10 qendra kulturore të ngritura</t>
  </si>
  <si>
    <t>Materialet e përgatitura</t>
  </si>
  <si>
    <t>Plani i hartuar dhe miratuar</t>
  </si>
  <si>
    <t>Udhëzues i përgatitur</t>
  </si>
  <si>
    <t>% e profesionistëve të trajnuar</t>
  </si>
  <si>
    <t>Publikimi vjetor i  të dhënave mbi varfërinë e fëmijëve bazuar në metodologjinë e EUROSTAT</t>
  </si>
  <si>
    <t>Nr i familjeve që përfitojnë nga paketat tashmë të miratuara me akt normativ</t>
  </si>
  <si>
    <t>Miratimi i Ligjit në mbështetje të kësaj skeme të re</t>
  </si>
  <si>
    <t>Dokumenti i dakortësuar</t>
  </si>
  <si>
    <t>Mekanizmi i ngritur</t>
  </si>
  <si>
    <t>VKM dhe plani i masave të MIS</t>
  </si>
  <si>
    <t xml:space="preserve">Raporti vjetor me të dhënat e MIS i publikuar  </t>
  </si>
  <si>
    <t>Udhëzuesi i miratuar me Urdhër Ministri
% e NJQV me plane sociale të miratuara</t>
  </si>
  <si>
    <t>VKM e rishikuar dhe udhëzim i rishikuar</t>
  </si>
  <si>
    <t>% e NARU të trajnuara</t>
  </si>
  <si>
    <t>Procedura të miratuara</t>
  </si>
  <si>
    <t>Metodologjia e miratuar me udhëzim Ministri</t>
  </si>
  <si>
    <t>Nr. i standardeve të miratuara</t>
  </si>
  <si>
    <t>VKM dhe udhëzime tëi hartuara dhe miratuara</t>
  </si>
  <si>
    <t>Akt nënligjor i rishikuar</t>
  </si>
  <si>
    <t>Nr. i shërbimeve të reja sociale për fëmijë
Nr. i përfituesve të shërbimeve të disagreguara sipas gjinisë/modeleve të shërbimeve</t>
  </si>
  <si>
    <t>numri i fëmijëve që kanë përfituar nga Bonusi i bebeve</t>
  </si>
  <si>
    <t>Standarde të rishikuara</t>
  </si>
  <si>
    <t>Nr. familjesh që ofrojnë kujdes alternativ</t>
  </si>
  <si>
    <t>NARU të trajnuara
Mekanizmi i referimit ndërtuar</t>
  </si>
  <si>
    <t>Nr i qendrave të transformuara</t>
  </si>
  <si>
    <t>Nr. i shërbimeve të pilotuara</t>
  </si>
  <si>
    <t>Procedura të hartuara dhe të miratuara</t>
  </si>
  <si>
    <t>Nr. i profesionistëve të trajnuar, sipas sektorit dhe shtrirjes gjeografike</t>
  </si>
  <si>
    <t>Numri dhe % e pmf dhe punonjësve social të  NJVNR të trajnuar</t>
  </si>
  <si>
    <t>Rishikimet ligjore të miratuara</t>
  </si>
  <si>
    <t>Miratimi i të paktën 6 protokolleve dhe udhërrëfyesve</t>
  </si>
  <si>
    <t>Nr i stafeve shëndetsore të trajnuar</t>
  </si>
  <si>
    <t>Numri i grave shtatzënë të trajnuara</t>
  </si>
  <si>
    <t>Numri i prindërve të trajnuar</t>
  </si>
  <si>
    <t>Nr i fëmijëve të ndërgjegjësuar</t>
  </si>
  <si>
    <t>Manduali i përditësuar</t>
  </si>
  <si>
    <t>Nr i personelit shëndetësor të trajnuar</t>
  </si>
  <si>
    <t>Raporte vjetore të publikuara</t>
  </si>
  <si>
    <t>Nr i personelit të trajnuar Nr i bashkive të mbuluara me trajnime</t>
  </si>
  <si>
    <t>Plani i miratuar, reflekton nevojat për shërbimet për fëmijët</t>
  </si>
  <si>
    <t>Nr. i personelit të shtuar</t>
  </si>
  <si>
    <t>Plani i hartuar me hapa</t>
  </si>
  <si>
    <t>Nr i shkollave të mbuluara; 
Nr i personelit në shkolla të trajnuar</t>
  </si>
  <si>
    <t>Plani i hartuar dhe konsultuar me aktorët në fushën e të drejtave të fëmijëve</t>
  </si>
  <si>
    <t xml:space="preserve">Nr i personelit të trajnuar  
Nr i shkollave të mbuluara me trajnime
</t>
  </si>
  <si>
    <t>Protokollet e miratuara.</t>
  </si>
  <si>
    <t xml:space="preserve">Nr i politikave të hartuara;
Nr i shkollave ku janë implementatuar ndërhyrjet. </t>
  </si>
  <si>
    <t>Grupi i punës i ngritur
Kritere të hartuara, të dakordësuara, dhe miratuara</t>
  </si>
  <si>
    <t>12 Sisteme të mirëmbajtura 
Nr i punonjësve të policisë të trajnuar për “Teknikat shkencore të intervistimit të të miturve”
% e intervistave të regjistruara</t>
  </si>
  <si>
    <t>Nr i fëmijëve që marrin pjesë në programet e drejtësisë restauruse dhe të ndërmjetësimit</t>
  </si>
  <si>
    <t>Ligj i miratuar</t>
  </si>
  <si>
    <t>Nr i punonjësve të gjendjes civile në të gjithë Shqipërin ëi trajnuar</t>
  </si>
  <si>
    <t>Udhëzuesi i hartuar</t>
  </si>
  <si>
    <t>Zhvillimi i trajnimeve vjetore mbi hedhjen e të dhënave.Gjenerimi dhe publikimi i raporteve vjetore të sistemit</t>
  </si>
  <si>
    <t>Nr i punonjësve të trajnuar</t>
  </si>
  <si>
    <t>Nr i përfaqësuesve të trajnuar</t>
  </si>
  <si>
    <t>Institucioni i Edukimit dhe Rehabilitimit të të miturve funksional
Nr i të miturve të rehabilituar</t>
  </si>
  <si>
    <t>Akt nënligjor i miratuar</t>
  </si>
  <si>
    <t>5 juridiksione të reja
Nr. i profesinistëve të trajnuar
Nr i fëmijëve në kontakt/konflikt me ligjin të mbështetur</t>
  </si>
  <si>
    <t>Module të hartuar dhe rishikuara</t>
  </si>
  <si>
    <t>Nr i personave që janë njohur me matierialet e përgatitura</t>
  </si>
  <si>
    <t>Strategjia e re për Drejtësië për të mitur përfshirë rekomandimet e BE-së</t>
  </si>
  <si>
    <t>% e kompjuterave funksionale në shkolla</t>
  </si>
  <si>
    <t>4 laboratore digjitale 40 persona
4 Qendra Komunitare
# i pajisjeve</t>
  </si>
  <si>
    <t>Hapësira publike të filtruara me internet “Friendly WIFI”</t>
  </si>
  <si>
    <t>Kënde Bibliotech në bibliotekat e 4 Bashkive</t>
  </si>
  <si>
    <t xml:space="preserve">Nr. i stafit të trajnuar </t>
  </si>
  <si>
    <t>Kurrikula të përfunduara</t>
  </si>
  <si>
    <t>Kompetenca digjitale e përfshirë në standardet e mësuesit
Standarde të përcaktuara për arritjen e kompetencës</t>
  </si>
  <si>
    <t>Nr i nxënësve i ndërgjegjësuar</t>
  </si>
  <si>
    <t xml:space="preserve">100 vajza </t>
  </si>
  <si>
    <t>Kodi i sjelljes i rishikuar</t>
  </si>
  <si>
    <t>Workshop me akorët kryesorë të industrisë</t>
  </si>
  <si>
    <t>Tryeza të organizuara</t>
  </si>
  <si>
    <t>Marrëveshje ndërinstitucionale e hartuar</t>
  </si>
  <si>
    <t>Nr i gazetarëve të trajnuar</t>
  </si>
  <si>
    <t>•Puna e specialisteve 2 x 10 dite (2022-2026)
•Trajnimet e përfaqësuesve të shkollave - 1500 shkolla  1 evente /cdo shkolle x 15 pjesemarres pjesemarres   x 1 dite) 
•trajnere (50) te cilet do te trajnojne ne 30 shkolla (evente x 15 pjesemarres ).
Total numri i diteve te punes se trajnereve 750 dite ( per 50 trajnere) viti 2022 =15 evente secili vit duke filluar nga 2022-2026
• kosto administrative 750 persona x 200 leke</t>
  </si>
  <si>
    <r>
      <rPr>
        <sz val="10"/>
        <color rgb="FFFF0000"/>
        <rFont val="Calibri"/>
        <family val="2"/>
        <scheme val="minor"/>
      </rPr>
      <t>Save the children Arsimi Baze (2022-2024)</t>
    </r>
    <r>
      <rPr>
        <sz val="10"/>
        <color theme="1"/>
        <rFont val="Calibri"/>
        <family val="2"/>
        <scheme val="minor"/>
      </rPr>
      <t xml:space="preserve">
% e nxënësve të parlamentit të trajnuar</t>
    </r>
  </si>
  <si>
    <t>III.1.1.a Ngritja e një komiteti teknik këshilluesnga Këshilli Kombëtar për të Drejtat dhe Mbrojtjen e Fëmijës, me qëllim hartimin e nje plani pune /masash për koordinimin e roleve midis MSHMS, MASR dhe NJQV për rritjen e mirëqënies dhe të nxënit gjatë fëmijërisë së hershme 0-3 vjec 
• Ngritja e komitetit teknik te prebere te pakten nga 5 vete (puna e 5 specialitseve x2 muaj) per hartimin e planit te punes/masave (2022-2023)
•eksperte i huaj ndihmes per hartimin e planit te masave 1 experte i huaj x 7 dite pune (2022-2023)
• perkthime 100 fq x 1500 leke/faqe (2023)</t>
  </si>
  <si>
    <t>III.1.1.b Hartimi i propozimeve per ndryshimet në aktet ligjore dhe nënligjore në fuqi për organizimin dhe koordinimin e shërbimeve mbi kujdesin gjatë fëmijërisë së hershme (0-3 vjec). 
• Experte lokal per te hartuar draft propozimet 1 x 10 dite
•Puna e specialisteve ne MSHMS- 2 specialist x 2 muaj, perfshire edhe konsultimet
• takime pune 2 x 10 persona / cdo vit x 300 leke/person shpenzime administrtive</t>
  </si>
  <si>
    <t>III.1.1.c Fushatë komunikimi për prindërimin pozitiv dhe kujdesin fizik dhe emocional të fëmijëve 0-3 vjec 
• pergatitje fletwpalosje, leaflete (100 000 x 10 lek)
•Emisione ne TV nacionale dhe lokale 2 emsione x 300 000 leke/ cdo vit
•Publikimi ne rrjete sociale per 2 muaj x 50000 leke/ muaj(cdo vit)</t>
  </si>
  <si>
    <t>III.1.1.ç Ngritja e një grupi pune ndër-institucional për hartimin e udhëzuesit për edukatorët në zbatim të standardeve të zhvillimit dhe të nxënit të fëmijëve 0-3 vjec. 
• Nuk ka kosto vetem ngirtja e gruupit te punws</t>
  </si>
  <si>
    <t>III.1.1.d Hartimi i udhëzuesit dhe paketës së trajnimit për edukatorët për zbatimin e standardeve të zhvillimit dhe të nxënit të fëmijëve. 
• eksperte lokale 2 dite x 10 dite pune per hartimin e udhezuesit dhe paktese se trajnimit
• puna specialisteve te ASCAP 3 specialiste x 3 muaj /pune 
• puna specialisteve te NJQV/ASHMDF 3 specialist x 3 muaj/pune
•publikimi i udhezuesit 1000 cope x 300 leke/cope</t>
  </si>
  <si>
    <t>III.1.1.dh Zhvillimi i kornizës së vlerësimit të cilësisë së zbatimi të standardeve me instrumentat përkatës të inspektimit .
• eksperte lokale 2 dite x 10 dite pune per hartimin e korizes se vleresimit te cilesise se batimit te standarteve 
• puna specialisteve te ASCAP 3 specialiste x 3 muaj /pune 
• puna specialisteve te NJQV 3 specialist x 3 muaj/pune
•publikimi i standarteve 1000 cope x 300 leke/cope</t>
  </si>
  <si>
    <t>III.1.1.e Mbështetje financiare/bonus i çerdhes për familje me të ardhura të ulta për të mundësuar frekuentimin e çerdhes publike.
• te pakten  500 femije periftojne  bonusin e cerdheve ( nje bonus cerdheje x 10000 leke/femije)</t>
  </si>
  <si>
    <t>III.1.2.a Kryerja e studimit mbi njohjen e pengesave të hasura për përfshirjen e fëmijëve në edukimin parashkollor.
•kryerja e studimeve vjetore nga UNICEF  dhe Save the children Lum Sum 3 000 000 lek
• puna  specialisteve 6 specialiste x 2 muaj
• Publikimi I raportit 300 cope x 700 leke (UNICEF/ Save the Children)</t>
  </si>
  <si>
    <t>III.1.2.b Hartimi i instrumenit të vlerësimit të përgatitjes për shkollë të fëmijëve në klasat përgatitore (5-6 vjec)
• eksperte lokale 2 dite x 5dite pune per hartimin e instrumentit te vleresimit te pergatitjes per shkolle te femijeve ne klasat pergatitore
• puna specialisteve te   4 specialiste x 2 muaj /pune 
•publikimi i instrumentave 1000 cope x 300 leke/cope</t>
  </si>
  <si>
    <t>III.1.2.c Mbështetje financiare/bonus i kopshtit për familje me të ardhura të ulta për të mundësuar frekuentimin e kopështit 
• te pakten  500 femije ne vite perftojne bonusin e kopshtit ( nje bonus kopeshti x 10 000 leke/femije</t>
  </si>
  <si>
    <t xml:space="preserve">III.1.2.dPërjashtimi i nxënësve romë dhe egjiptianë 3-6 vjeç në arsimin parashkollor nga tarifat financiare dhe pagesat për ushqim. 
(PKV rome-egjiptian) 
</t>
  </si>
  <si>
    <t xml:space="preserve">III.1.2.dh Hartimi i instrumentave për ndërtimin e kapaciteteve në nivel lokal për planifikim dhe buxhetim në lidhje me edukimin e femijerisë së hershme për të arritur një përfshirje më të lartë të fëmijëve nga grupet vulnerable (në të paktën 8 bashki).
• eksperte lokale 2 experte x 10 dite pune per hartimin e e instrumentave modulit per planifikim ,buxhetim ne lidhje me edukimin e femijerise se hershme.(2022-2023)
• pagesa e 2 specialisteve te bashkise x 2 muaj pune (2022-2023)
• tavolina pune 2 cdo vit x 10  pjesemrres x 300 leke /person kosto administrative(2022-2023)
</t>
  </si>
  <si>
    <t xml:space="preserve">III.1.2.e Ngritja e kapaciteteve të stafeve të bashkive për zbatimin e instrumentave (në të paktën 8 bashki)
• Trajnime 8 bashki x 15 persona x 1 dite 
• Pagese trajnuesi 2 trajnere x 4 dite pune/secili
• shpenzime administrative 120 pjesemarres x200 lek/person
</t>
  </si>
  <si>
    <t xml:space="preserve">III.1.2.f Ngritja e kapaciteteve të shoqatave/këshillave të prindërve, përshirë prindërve me aftësi të kufizuar, për t’u angazhuar në mënyrë efektive në çështjet e arsimit parashkollor 
•puna e specialistev 2 x 1 muaj per cdo vit 2022-2024
• Hartimi i modulit 2 experte x 7 dite pune ( 2022)
• Trajnime 10 session x 15 persona x 1 dite (2022;2023;2024)
• Pagese trajnuesi 2 trajnere x 5 dite pune/secili +(1 dite pune raportim) (2022-2023-2024)
• shpenzime administrative 152 pjesemarres x200 lek/person
• Shpenzime dreket  10*15 person =152 persona x 3500 leke/ per person
</t>
  </si>
  <si>
    <t xml:space="preserve">III.1.2.g Shtrirja e trajnimeve të mësuesve parashkollor dhe drejtuesve të kopështeve mbi metodologjinë e të nxënit me fokus fëmijët, përshirë ata me aftësi të kufizuar (bazuar në standardet e zhvillimit e mësimit për fëmijët 3-6 vjec). (në të paktën 8 bashki) 
• eksperte lokale 2 experte x 10 dite pune per metodologjine e te nxenit (2022)
• pagesa e 3 specialisteve x 2 muaj pune (2022-2024)
•Trajnime ne 7 bashki x 15 pjesemarres x 2 session ne cdo bashki*2 dite + Tirana 4 sessione x 15 pjesemares x 2 dite/ secili sesion
•Pagese trajnuesi 2 trajnere x 19 dite pune secili trajnues  (experte lokal )persfhire 2 dite raportin)
• Shpenzime dreke (545porcione x 3500 leke/ per person
• Shpenzime administratve 545 x 500 leke/person
</t>
  </si>
  <si>
    <t>III.1.2.gj Hartimi i instrumentave të inspektimit të kornizës për vlerësimin e arsimit parashkollor 
• eksperte lokale 2  x 10 dite pune per hartimin e instrumentave te inspektimit te kornizes se vleresimit te arsimit parashkollor (2022-2023)
• puna specialisteve te ASCAP 3 specialiste x 3 muaj /pune (2022-2023).
•tavolina pune 2 x 15 pjesemarres x 300 leke kosto administrative (2022-2023)
•publikimi i instrumentave te kornizes se vleresimit 1000 cope x 300 leke/cope (2024)</t>
  </si>
  <si>
    <t>III.1.3.a Funksionalizimi i plotë i Sistemit të Menaxhimit të Informacionit Parauniversitar (SMIP). SMIP do të jetë baza e të dhënave (braktisjen, aftësinë e kufizuar, etj) që do të kombinojë të dhënat administrative me rezuktatet e të nxënit. (SKA B.2.1)</t>
  </si>
  <si>
    <t>III.1.3.b Trajnimi i mësuesve dhe aktorëve të tjerë të shkollës për të përmirësuar praktikat gjithëpërfshirëse të shkollës 
• eksperte lokale 2 experte x 10 dite pune per hartimin e modulit viti 2021
• pagesa e 2 specialisteve x 1 muaj pune viti 2021-2026
• sessione trajnimi 30 sessione x 15 pjesemarres x 1 dite (14 sessione ne vitin 2021 dhe nga 30 sesione ne vitin 2022; 2023;2024;2026
•Pagese trajnuesi 2 trajnere x 7 dite pune per vitin 2021 dhe 2 trajnere x 30 dite pune  per vitin 2022-2026+2 dite raport per cdo vit
• Shpenzime dreke (210 pjesemarres x 3500 leke/ per person per vitin 2021 dhe 450 pjesemrres x 3500 leke/person per vitin 2022-2026
• Shpenzime administratve  210 x 500 leke/persondhe 450 x 500 leke/ pjesemarres per vitin 2022 -2026
•(Mbeshtetur nga UNICEF)
•(mbeshtetur edhe nga WV $5000 per vitin 2022)
•(mbeshtetur nga Save the children 2022-2024)</t>
  </si>
  <si>
    <t>III.1.3.cNgritja e një modeli në mbështetje të fëmijëve mbi aftësitë bazë (shkrim, gjuhë, matematikë). Programe të veçanta  ndihme për fëmijët nga grupet vulnerable me rezultate të ulëta të të mësuarit 
• eksperte lokale 3 experte x 10 dite pune per hartimin e modulit viti 2021 (15 dite pune 2022 dhe 15 dite pune 2023.
•puna e specialistev 3 specialiste x 2 muaj per vitin 2022 dhe 2023 
• Publikmi i modulit 200 cope x 500 leke/cope (vit 2023)
•Ngritja programeve te vecanta per femijet vulnerabel ne 8 shkolla x ( me staf shtese pdagogjik/psikosocial dhe mjete)pune)  Lm sum 600 000 leke/shkolle (2021-2023)</t>
  </si>
  <si>
    <t>III.1.3.ç Zhvillimi i kapaciteteve të mësuesve ndihmës dhe mësuesve që punojnë me nxënës që nuk dëgjojnë dhe nuk shikojnë (SKA A2.1.2)</t>
  </si>
  <si>
    <t>III.1.3.d Hartimi i një marrëveshjeje bashkëpunimi ndërmjet MSHMS-së dhe MASR-së, lidhur me ndërveprimin ndërmjet komisioneve multidisiplinore të vlerësimit të arsimimit për fëmijët me aftësi të kufizuara dhe Komisionit multidisiplinor të vlerësimit të AK-së. (PAK Strategji)</t>
  </si>
  <si>
    <t>III.1.3.dh Planifikimi i buxheteve për sigurimin e materialeve didaktike sipas kërkesave specifike të kategorive të ndryshme të fëmijëve me aftësi të kufizuara (PAK Strategji)
• Ndihme nga WV Albania per shperndarje paketash 2022</t>
  </si>
  <si>
    <t>III.1.3.e Kthimi i shkollave speciale ne qendra burimore per aftesine e kufizuar (SKA, A2.1.3)</t>
  </si>
  <si>
    <t xml:space="preserve">III.1.3.ë  Ndërgjegjësimi/fuqizimi i prindërve që kanë fëmijë me aftesi të kufizuara me qëllim rritjen e pjesëmarrjes dhe mbështetjes së fëmijës në familje, shkollë, komunitet dhe qasja e tyre në shërbimet kryesore .
• Mbeshtetje nga Word vision 
• Mbeshtetje nga Save the children (2022-2024)3 NjQV </t>
  </si>
  <si>
    <t>III.1.3.f Identifikimi në kohë i nxënësëve romë dhe egjiptianë që janë në moshë për t’u regjistruar në arsimin parashkollor dhe atë bazë, si dhe nxitja e përfshirjes në arsimin e detyruar të nxënësëve të moshës 6-16 vjeç që nuk janë regjistruar apo kanë braktisur shkollën. (PKV rome-egjiptian)</t>
  </si>
  <si>
    <t>III.1.3.gj Organizim i programeve të vecanta mbasshkollore ku nxënësit romë dhe egjiptianë të moshës 6-16 vjeç të ndihmohen në kryerjen e detyrave mësimore ose marrin mësime plotësuese. (PKV rome-egjiptian).
•mbeshtetje nga terres des home
•Viti 2022 =8 454 000 leke pa detajuar
• Viti 2023 = 2 287 800 te pa detajuara</t>
  </si>
  <si>
    <t xml:space="preserve">III.1.3.h Ofrim i kurseve për të ndërtuar dhe zhvilluar njohuritë bazë në shkrim/lexim dhe aftësitë jetësore të prindërve romë dhe egjiptianë me mungesë arsimi, fëmijët e të cilëve frekuentojnë arsimin e detyruar (PKV rome-egjiptian)
</t>
  </si>
  <si>
    <t xml:space="preserve">III.1.3.iFuqizimi i praktikave online të akademia.al, zgjerimi i materialeve të akademia.al kryesore.
• pagesa e 4 specialisteve x 2 muaj per vitn 2021
• pagesa e 4 specialisteve x 4 muaj per vitin 2022 dhe 2023  </t>
  </si>
  <si>
    <t xml:space="preserve">III.1.3.jZhvillimi i kapaciteteve të mësuesve lidhur me aftesite e perdorimit te TIK ne mesimdhenie .
• paga e 4 specialisteve x 3 muaj (perfshire IT)  </t>
  </si>
  <si>
    <t xml:space="preserve">III.1.3.k Sistem online Akelius për grupet që janë të vështira për tu arritur (migrues / refugjatë) kryesore .
• paga e 4 specialisteve x 2 muaj (perfshire IT) </t>
  </si>
  <si>
    <t>III.1.3.l Sistemi i parandalimit dhe reagimit të hershëm ndaj mos regjistrimit në shkollë.Zgjerimi i zbatimit të sistemit të parandalimit dhe reagimi i hershëm ndaj mos regjistrimit në shkollë dhe braktisjes së nxënësve në arsimin bazë (me fokus të vecantë fëmijët e grupeve vulnerable, djemtë dhe vajzat). (baseline aktualisht sistemi i zbatuar në 4 NJQV – kurres, korce, lezhe e shkoder) (SKA A 2.3.1)</t>
  </si>
  <si>
    <t xml:space="preserve">III.1.3.ll Sistem parandalimi dhe reagimi i hershëm ndaj mos regjistrimit në shkollë dhe largimit së nxënësve në arsimin e mesëm të larte (me fokus të vecantë fëmijët e grupeve vulnerable, djemtë dhe vajzat)
•Zhvillimi i moduleve  të trajnimit nga eksperte lokal (1 x10 dite pune)  për shkollat ne vitin 2021-2022 
• Puna e specialisteve 2 specialiste x10 dite per vitin 2021-2022
•Trajnimet për trajnere (ToT) - 2 evente x 3 ditë x 25 pjesëmarrës  (+ 1 dite rapor) (viti 2021-2022)
•Pagesa e experteve per trajnim 3 dite pune per cdo event + 1 dite raporti (4 dite pune per secilin vit 2021-2022)
•kosto administrative150 persona x 300 leke/person (viti 2022-2023))
•Disenjimi i manualit dhe shtypja e 1000 kopjeve x 300 lek per kopje ne vitin 2022
</t>
  </si>
  <si>
    <t xml:space="preserve">III.1.3.m Zhvillimi i kapaciteteve të parlamentit të nxënësve dhe qeverisë së nxënësve për një pjesëmarrje më të madhe në vendimmarrjen e shkollës (detyrat dhe përgjegjësitë e qeverisë së nxënësve) (parlamenti i nxenesve 140 nxenes)
• Puna e specialisteve te ASCAP  2 specialist x  1 muaj (pr cdo vit)
•Hartimi i modulit nga 1 eksperte x 10 dite pune (viti 2022)
•Sessione trajnuese I kapacitetetve te parlamentit te nxenesve2  session  x 70 nxenes per 2022-2026 (x 2 dite)
• pagese trajnuesi  ne total 4 dite pune +1 dite raport (2022-2026) 
•kosto administrative 145 x 200 leke
</t>
  </si>
  <si>
    <t xml:space="preserve">III.1.3.nTrajnimi i psikologëve punonjësve social për barazinë gjinore (baseline ne vitin 2020 janë trajnuar 70 psikologë) .(SKA A.2.1.8)
</t>
  </si>
  <si>
    <t>III.1.3.o Ngritja e shërbimeve argëtuese dhe kulturore në NJQV
• ngritja e 2 qendrave per cdo vit prane NJQV (Lum sum 1000 000 leke rikosntruksion dhe paisje)
• Pagesa e 4 punonjesve per cdo qender</t>
  </si>
  <si>
    <t xml:space="preserve">III.1.4.a Asistencë teknike për MASR, zyrat lokale të arsimit dhe shkollat e zgjedhura për të hartuar një politikë dhe një plan për Reduktimin e Riskut nga katastrofat në shkollë. komplementare me SKA A.2.5.1-3)
•Lum sum 2021 kontribut UNICEF dhe WV per vitin 2021=$54000
</t>
  </si>
  <si>
    <t>III.1.4.b Zhvillimi i kapaciteteve të mësuesve dhe stafit të shkollës për të zbatuar paketën për zvogëlimin e rrezikut të katastrofave në shkollë komplementare me SKA A.2.5.1-3)
•Lum sum 2021 kontribut UNICEF dhe WV per vitin 2021= $2000</t>
  </si>
  <si>
    <t>III.1.5.a Përgatitja e një modeli udhëzuesi të karrierës për aftësimin e nxënësve për tregun e punës 
• Pergatitja e modulit 
• pagesa e 2 eksperteve  x 20 dite pune (1/2 per vitin 2022 dhe 1/2 per vitin 2023).
•pagesa e specialisteve 2 x 1 muaj (per vitin  ,2022, 2023) 
• botimi i moduleve 500 kopje modeli udhezuesx 500 leke/modul  2023</t>
  </si>
  <si>
    <t>III.1.5.b Trajnimi i profesionistëve të edukimit të karrierës në shkollat e arsimit të mesëm të lartë (400 shkolla 1 specialist per shkolle)
•Specialist 2x 1 muaj 2023-2025
• Numri I profesionisteve :(5 trajnime x 25 pjesemarres)* 3 dite nje session trajnimi ne vit2023.2024,2025
• eksperti trajnues 3 dite *5 =15 dite pune + 1 dite rapporti teknik (duke filluar nga 2023)</t>
  </si>
  <si>
    <t>• kontrollore 3  x 3 muaj</t>
  </si>
  <si>
    <t>C7</t>
  </si>
  <si>
    <t>• specialiste 4 x 4 muaj perfshire IT</t>
  </si>
  <si>
    <t>• paketate kompozuara per familje me nevoja vulnerabile sport nga WV  (1000 x 6000 lek per vitin 2021) ( 4000 paketa x 6000 leke/ pakete per vitin 2022)
• paketa te kompozuara suport per familjet ne nevoje nga TdH 
-Viti 2021=3 936 000 leke
-Viti 2022 = 3 444 000 leke
-Viti 2023= 1 107 000 leke</t>
  </si>
  <si>
    <t>•World vision" Programi i Leterkembimit"  (2021-2022)
- Viti 2021-2022 = $ 300 000
•Terres de Home Programi "Sustainable reintegration of returned migrants in Albania" (2021-2023)</t>
  </si>
  <si>
    <t>• Paga e specialisteve te 3 specialist x 1 muaj per 2021,2022,2023</t>
  </si>
  <si>
    <t>•Pergatitja dhe hartimi I planit te masave 1 experte x 10 dite pune (2022-2023)
• paga e specialisteve 2 specialiste x 2 muaj 2022;2023</t>
  </si>
  <si>
    <t xml:space="preserve">III.2.1.a Publikimi i përvitshëm i studimit “Matja e të Ardhurave dhe Nivelit të Jetesës në Shqipëri”, përshirë treguesit e deprivimit material të fëmijëve
• intervistuesi  paga x 4 muaj (ne total 50 anketues)
• trainimm anketuesish 1 trajnim 4 dite * 50 pjesemarres 
</t>
  </si>
  <si>
    <t xml:space="preserve">III.2.1.b Mbështetje e familjeve me paketa të kompozuara për familjet me shumë fëmijë, përfituese të skemës së ndihmës ekonomike.
</t>
  </si>
  <si>
    <t>III.2.1.c Miratimi i Ligjit të ri për fëmijët e Republikës së Shqipërisë: për trajtim financiar për fëmijët që humbasin një nga prindërit për shkak të detyrës në vijën e parë.
• Vleresimi I situates ligjore dhe propozimet 1 experte x 20 dite
• pagesa e specialisteve 2 specialiste x 2 muaj per cdo vit
•Tryeza pune 4 tryeza pune x 10 pjesemarres x 300 leke/ person</t>
  </si>
  <si>
    <t>III.2.1.ç Propozimi i opsioneve (teknike dhe financiare) për përmirësimin e sistemit të mbrojtjes (ndihmës) ekonomike me qëllim adresimin efektiv të varfërisë materiale dhe monetare, dhe mundësinë e realizimit të ‘përfitimit universal të fëmijëve’ 
• Vleresimi I situates , propozimet e hartuara  2 experte x 15 dite ( vit 2021= 5 dite dhe ne vazhdim 2022-2023)
• pagesa e specialisteve 2 specialiste x 2 muaj per cdo vit
•Tryeza pune 3 tryeza pune x 10 pjesemarres x 300 leke/ person (2022-2023)</t>
  </si>
  <si>
    <t xml:space="preserve">III.2.1.d Ngritja e modelit të sistemit për transferta në kesh  në situata të krizave natyrore, për familjet në nevojë.
• Konceptimi I modelit expert I huaj 1 x 10 dite pune  (viti 2021-2022)+experte  shqiptare 2 x 15 dite pune   (2022-2023)
</t>
  </si>
  <si>
    <t>III.2.1.dh Ngritja e kapaciteteve të punonjësve të NJQV (administratorëve social në bashkëpunim me punonjësit e NARU) për të informuar dhe mbështetur familjet në ndihmë ekonomike për të përfituar nga shërbimet dhe masat e tjera të mbrojtjes sociale
• hartimi i moduleve 2 experte x 10 dite  per vitin 2021
• Trajnime 10 NJQV x 10 pjeswmarrws x 2 dite, (duke filluar nga 2022)
• pagese ekspertesh 2 experte x 1 dite pune/secili,+ 1 dite raportimi (duke filluar nga 2022)
•Shpenzime dreke (105 x 2 x 3500 leke) per cdo vit duke filluar nga Viti 2022
•Shpenzime administrative 105 x 300 lek/ person
• Ditete hapura ne komunitet 21 dite x Lum sum 700 000 leke( per vitin 2021 -2023,mbeshtetur nga UNICEF)
•Prodhime materiale informative Lum Sum 500 000 leke (per Vitin 2021-2023 mbeshtetur nga UNICEF)
•paga e specialisteve 3 specialist x 10 dite/cdo vit</t>
  </si>
  <si>
    <t>III.2.1.e Realizimi i integrimit të tre sistemeve të MIS nëpërmjet përmirësimit të modulit të integrimit të shërbimeve sociale me pagesat cash, përfshirë dhe kategoritë e fëmijëve në nevojë si dhe përgatitja e një plani masash që përfshin të gjitha strukturat përgjegjëse për ofrimin e shërbimeve për fëmijë dhe familje (Pagesa cash, Bonus i bebes, Bonus i vaksinës, Bonus i shkollës, Vakt ushqimor në shkolla, Librat falas):
• Pergatitja e propozimeve dhe analiza per VKM - 1 experte x 10 dite pune (2021-2022)
•paga e specialisteve 2 x 1 muaj per cdo vit (2021;2022;2023)</t>
  </si>
  <si>
    <t>III.2.1.ë Përditësimi udhëzuesit për bashkitë/qarqet për hartimin e planeve sociale, ku të përfshihet edhe mbrojtja e fëmijëve nga dhuna/abuzimi.
• experte lokale 2 x 10 dite (2022-2023)
• hartimi I udhezimit 2 specialiste x 2 muaj 
•tavoline e rrumbullaket 1 x 10 pjesemarres x 300 leke</t>
  </si>
  <si>
    <t>III.2.1.f Rishikimi i VKM-së dhe udhëzimit të shpërndarjes së buxhetit te alokuar për fondin social nga buxheti qëndror.
• Pegatitja e rishikimit te VKM-se dhe dhe udhezimit te shperndarjes se buxhetit te alokuar  4 specialiste x 1 muaj /pune (viti 2021-2022)
•Tavoline e rrumbullaket 1 1x 10 pjesemrraes x 300 leke
• experte lokale 1 x 10 dite per vitin 2022 dorezimi i draft VKm dhe udhezimeve</t>
  </si>
  <si>
    <t>III.2.1.g Ngritja e kapaciteteteve të NJQV dhe strukturave përkatëse për të aplikuar dhe përfituar nga fondi social.
•hatimi i modulit 1 expert x 10 dite pune viti 2021
•Trajnime me NJQV (10 bashki x 15 pjesemarres) x1 dite/ cdo vit
•Trajnues 2 trajnues x 5 dite/pune (per 10 bashki)
•shpenzime administrtive dreke (150x 3500 leke/person +150 x 300 leke ).
•Specialist te MSHMS 1 specialits x 10 dite per orientim te trajnimeve</t>
  </si>
  <si>
    <t>III.2.1.gj  Hartimi i Procedurave Standarde të shërbimeve  parashoqërore (informim, këshillim, mbështetje psiko-sociale) të Veprimit për punonjësit socialë përgjegjës për menaxhimin e rastit në ofrimin e shërbimeve të përkujdesit shoqëror për fëmijë dhe familje (përfshirë NJMF)
• Pergatitja e standarteve 1 experte lokal x 10 dite (2021-2022)
•hartimi i standarteve paga e 2 punnjesve te SHSHS x 2 muaj (2021-2023)
• tavolia pune  2x 10 pjeswmarrws/vit x 300 leke
•publikimi i strandarteve 200 cope x 300 leke (2023)</t>
  </si>
  <si>
    <t>III.2.1.h Hartimi dhe miratimi  metodologjisë së vlerësimit të kënaqësisë së ofrimit të shërbimeve për të gjitha kategoritë, vecanërisht ato me fokus fëmijët.
•Pergatitja e metodologjise 2 experte x 15 dite (2022-2023)
•Puna e specialisteve te SHSH 2 specialist x 0.5 muaj cdo vit (2022-2023)</t>
  </si>
  <si>
    <t>III.2.1.i Kryerja e studimit mbi qasjen dhe nivelin e kënaqësisë së përftimit të shërbimeve me fokus të vecantë fëmijët.
•Kryerja e studimit lum sum per nje vit 4 000 000 leke(2022-2023)
• publikmi ne web pagesa IT 4 dite pune 
•publikimi I studimit 100kopje x 500 leke/kopje</t>
  </si>
  <si>
    <t xml:space="preserve">III.2.1.j Përmirësimi i standardeve ekzistuese dhe hartimi i standardeve të shërbimeve të reja të mbrojtjes sociale së fëmijëve përfshirë kostimin e standardeve
•Perditesimi I standarteve ekzistuese 1 experte x 10 dite puna (5 dite pune viti 2021  dhe 5 dite pune viti 2022
• puna e specialisteve te ShsSH  2 punonjes x 1 muaj </t>
  </si>
  <si>
    <t xml:space="preserve">III.2.1.k Hartimi i kuadrit rregullator për prokurimin e shërbimeve
• Propozimi dhe harti I draftit per ndryshime ne prokurimet e sherbimeve sociale 1 experte x 10 dite pune
•specialist  3 x 1 muaj /vit ( perfshire konsultimet)
</t>
  </si>
  <si>
    <t xml:space="preserve">III.2.1.l Rishikimi i VKM-së së licensimit të shërbimeve
• Propozimi dhe hartimi I draftit per ndryshime ne VKM 1 experte x 10 dite pune
• specialist te MSHMS 2 x 1 muaj 
</t>
  </si>
  <si>
    <t>III.2.1.ll Përmirësimi dhe shtimi i shërbimeve të integruara socio-shëndetsore nëpërmjet Fondit Social (shërbime të specializuara për fëmijët përfshirë: fëmijët për të gjitha format e abuzimit,, viktima të trafikimit, fëmijët me aftësi të kufizuar, shtëpitë mbështetëse social shëndetësore të adoleshentëve që kanë krijuar varësi, etj).
• nga fondi social sherbime te ofruar me target femijet me AK dhe qendrat multifunksionale ne Bashki ne 2021 
• paga e 3 specialisteve x 1 muaj</t>
  </si>
  <si>
    <t>•Mbeshtetje nga donatore World vision per qendrat Qendra e Emergjences dhe Sherbime fuqizuese per femijet dhe familjen ne Durres dhe QE ne Diber e Maliq (3 qendra) 
•Sherbimet per femijet me  AK, te ofruara ne bashkepunim me 6 org partnere ne kuader te projektit: Inclusive COVID- 19 response for children with disabilities and their families in Albania, financuar nga BE
•Qyteza e femijeve ne Korce eshte vetem WV
• Tungjatjeta …Jete  ne Prrenjas, Librazhd, Diber. (sherbim levizes }
Rrogozhina me Tungjatjeten (fillon nga 2021-2022)</t>
  </si>
  <si>
    <t xml:space="preserve">III.2.1.m Rishikimi i VKM-së bonusit të bebeve
• Propozimi dhe hartimi I draftit per ndryshime ne VKM 1 experte x 10 dite pune (2021-2022)
• specialist te MSHMS 2 x 1 muaj /2021-2024
</t>
  </si>
  <si>
    <t>Programi per Mbrojtjen e Femijeve; Tungjatjeta…Jete ; Qyteza e femijeve ne Korce qe ofron sherbime parandalimi; Inclusive COVID- 19 response for children with disabilities and their families in Albania nga WV</t>
  </si>
  <si>
    <t>•pagese trajnuesish lokale 20 dite pune (viti 2022-2026)+ 2 dite raporti</t>
  </si>
  <si>
    <t xml:space="preserve">III.2.2.a Rishikimi i standardadeve të institucioneve të përkujdesit shoqëror për fëmijë.  
• Propozimi dhe hartimi I draftit per ndryshime ne VKMstandarteve 2 experte x 10 dite pune
• specialist te MSHMS 2 x 1 muaj 
</t>
  </si>
  <si>
    <t>III.2.2.dh Modelimi i procedurave për ribashkimin e fëmijës me familjen biologjike
•Propozimi dhe hartimi I draftit per  modelim 2 experte x 20 dite pune (2021-2022)
• specialist te MSHMS 2 specialist x 1 muaj (2021-2022)</t>
  </si>
  <si>
    <t>III.2.2.e Ngritja e kapaciteteve të profesionistëve (NJMF, NJVNR, prokurori dhe gjykata) për të vënë në zbatim planin kombëtar të deinstitucionalizimit dhe legjislacionin e rishikuar për kujdesin alternativ (që përfshin dhe kuadrin e ri ligjor për birësimin) në nivel qëndror dhe lokal
• Hartim Moduli 2 experte x 10 dite pune (viti 2021-2022)
• pagesa e specialisteve ne MSHMS 10 dite pune x 1 specialist (viti 2021-2026)
• sessione trajnimi 10 x 15 pjesemarres x 2 dite ( viti 2022-2026)
•sherbime administrtaive dreke ettj =150 pjesemarres x 3500 leke +150 pesemarres x500 leke)(viti2022-2026) opsionale nga donatore</t>
  </si>
  <si>
    <t>III.2.2.ë Ngritja e kapaciteteve të punonjësve të mbrojtjes së fëmijëve të NJMF dhe punonjësve social të NJVNR në lidhje me procesin e identifikimit të hershëm të familjeve vulnerabël, referrimeve, zhvillimit të planeve të fuqizimit të familjes dhe si rrjedhojë e mekanizmit të gatekeeping;
• Hartim Moduli 2 experte x 10 dite pune (viti 2021-2022)
• pagesa e specialisteve ne MSHMS 10 dite pune x 1 specialist (viti 2021-2026)
• sessione trajnimi 10 x 15 pjesemarres x 2 dite ( viti 2022-2026)
•pagesa e trajnuesve 20 dite pune + 2 dite raport (viti 2022-2026)
•sherbime administrtaive dreke ettj =150 pjesemarres x 3500 leke +150 pesemarres x500 leke)(viti2022-2026)</t>
  </si>
  <si>
    <t>•Trajnues 2 trajnues x 20 dite pune(2022-2026)+ 2 dite raporti</t>
  </si>
  <si>
    <t>III.3.1.a. Ngritja e një grupi pune, për të përcaktuar fashën e moshës pediatrike, të moshës adoleshente dhe të re .
• Ngritja e grupit te punes 15 specialiste x 10 dite per cdo vit  (per vitin 2022-2023)
• Tavolina tw rrumbullaktwa 2 x 20 pjeswmarrws x 300 lekw pwr vitin 2022 dhe 2x 20 pjeswmarrws x 300 leke per vitin 2023.
• Rishikimi dhe Analiza Ligjore 3 experte x 10 dite pune (2022-2023) dhe pergatitja e arportit perfundimtar)</t>
  </si>
  <si>
    <t xml:space="preserve">III.3.1.b Rishikimi udhërrefyesve dhe protokolleve klinike të kujdesit shëndetësor për grate shtatzëna dhe fëmijët në kuadër të shërbimit shëndetësor parësor (përfshire kujdesin antenatal, kujdesin postnatal, ushqyerjen e grave shtatzënë dhe fëmijëve dhe zhvillimin e fëmijëve) dhe të neonatologjisë në maternitete për përmirësimin e kujdesit shëndetësor neonatal dhe zbatimin e despistimit neonatal për identifikimin e hershëm të sëmundjeve gjenetike tek fëmijët dhe çrregulimeve të tjera.
• Rishikimi udherrefyesve dhe protokollove 4 experte x 15 dite pune (2021-2023))
• Ngritja e grupit te punes 10 specialiste x 10 dite/vit (per vitin 2021-2023)
• Tavolina tw rrumbullaktwa 2 x 20 pjeswmarrws x 300 lekw pwr cdo vit (2021-2023)
</t>
  </si>
  <si>
    <t>III.3.1.c Trajnimi i stafit shëndetësor për zbatimin e protokoleve të rishikuara – kujdesi shëndetësor parësor dhe spitalor (maternitete)
• Hartim Moduli 2 experte x 10 dite pune (viti 2022)
• pagesa e specialisteve ne MSHMS 10 dite pune x 1 specialist (viti 2022-2023
• sessione trajnimi 10 x 15 pjesemarres x 2 dite ( viti 2022-2023) pagese trajnuesi 20 dit + 2 dite raport
•sherbime administrtaive dreke ettj =150 pjesemarres x 3500 leke +150 pesemarres x500 leke)(viti2022-2023)</t>
  </si>
  <si>
    <t>III.3.1.ç Organizimi fushatave ndërgjegjësuese mbi kujdesin gjatë shtatzënisë në kushtet e shtëpisë.
• paga e 2 specialisteve te promicionit 2 x 1 muaj  
•fushata ndergjegjesuese ne rrjete sociale 1 muaj x 50 000 leke cdo vit
• emisione televizive 2 emisione x 200 000 leke cdo vit
•fletepalosje 40000 cope x 30 leke te shperndara ne konsultoret e femijeve/ cdo vi</t>
  </si>
  <si>
    <t>III.3.1.d Ofrimi i trajnimeve për prindërit mbi prindërimin e sigurtë gjatë fazës së parë dhe adoleshencës.
• Paga e specialsiteve te promocionit 2 specialist x 1 muaj (2022-2026)
• Program per prinderimin pozitiv, me module specifike qe tregon per fazat e zhvillimit te femijes. Programi eshte I gjere dhe fokusohet ne ndertimin e  marredhenieve te shendetshme ne familje, ne praktika pozitive te prinderimit dhe komunikim efektiv ne familje. nga World vision ( per vitin 2022 dhe 2023)
• Sessione tranjuese 10 x 10 pjesemarres x 2 dite experte lokal 2*5 dite pune (2024-2026)
•Shpenzime administrative (dreke etj = 100 x 3500 lel/person +100*500 leke/ person(2024-2026)</t>
  </si>
  <si>
    <t>III.3.1.dh Hartimi i një fushate komunikimi dhe ndërgjegjësimi mbi përfshirjen e të fëmijëve dhe të rinjve në sjellje të shëndetshme me fokus shëndetin riprodhues, edukimin seksual dhe abuzimin me drogat legale dhe ilegale. 
• paga e 2 specialisteve te promicionit 3 x 1 muaj Viti 2022-2023  
•fushata ndergjegjesuese ne rrjete sociale 1 muaj x 50 000 leke cdo vit 2022-2023
• emisione televizive 2 emisione x 200 000 leke cdo vit 2022 2023
•fletepalosje 4000 cope x 30 leke te shperndara nne shkolla dhe QSH/ cdo vit 2022-2023</t>
  </si>
  <si>
    <t>III.3.1.e Përditësimi i manualit të përdorimit dhe trajnimit të personelit që ofrojnë shërbimin e vaksinimit, mbledhjen dhe hedhjen e të dhënave në sistemin e informacionit shëndetësor të vaksinimit. 
Do te rishikohet tek Strategjia e Shendetesise</t>
  </si>
  <si>
    <t>III.3.1.ë Trajnimi personelit mjek/infermier dhe operator që punojnë në sistemin e vaksinimit
• specialiste 2 x 10 dite pune 2023-2026
•hartim moduli 2 experte 10 dite pune (viti 2023)
• (4 sessione x 30 pjesemarres)*2 =120 punojes/vit (viti 2023-2026)
•trajnues eksperte lokale 8 dite +1 dite raport / cdo vit (viti 2023-2026)
•shpenzime administrative (120 *300 leke/person)*2 (viti 2023-2026)</t>
  </si>
  <si>
    <t>III.3.1.f Hartimi i nje programi informues dhe trajnimi me prindërit mbi çështje të lidhura me sigurinë dhe domosdoshmërinë e vaksinimit të fëmijëve.
•paga e 3 specialisteve te programit te vaksinimit , promocionit  x 1 muaj Viti 2021-2022  
•fushata ndergjegjesuese ne rrjete sociale 1 muaj x 50 000 leke cdo vit 2021-2026
• emisione televizive 2 emisione x 200 000 leke cdo vit 2021- 2026
•fletepalosje, postera etj perafersisht 4000 cope x 30 leke te shperndara ne shkolla dhe QSH/ cdo vit 2021-2026</t>
  </si>
  <si>
    <t>III 3.1.g Forcimi i sistemit të monitorimit të gjendjes nutricionale dhe rritjes së fëmijëve të moshës 0-5 vjeç në Shqipëri 
• raporte vjetore te publikuara 3 specialist x 1 muaj(viti 2021-2026)</t>
  </si>
  <si>
    <t>III.3.1.gj Trajnimi i personelit të çerdheve dhe arsimit parashkollor mbi mirërritjen dhe zhvillimin psikomotor të fëmijës 
• Hartim Moduli 2 experte x 10 dite pune (viti 2022)
• pagesa e specialisteve 10 dite pune x 1 specialist (viti 2022-2026)
• sessione trajnimi 10 x 15 pjesemarres x 2 dite ( viti 2022-2026) 
•sherbime administrtaive dreke ettj =150 pjesemarres x 3500 leke +150 pesemarres x500 leke)(viti2022-2026)
• Trajnuesit si ekperte lokale 20 dite + 2 dite raporte</t>
  </si>
  <si>
    <t xml:space="preserve">III.3.1.h Miratimi i planit operacional i MSHMS ndaj emergjencave shëndetësore civile, me fokus sigurimin e vazhdueshmërisë së shërbimeve për fëmijët dhe adoleshentët.  
• Hartim planit operacional 2 experte x 15 dite pune (viti 2021-2022)
• Grup pune 10 specialiste x 1 muaj (viti 2021-2022)
• Publikmi i planit operacional 100 kopje x 500 leke (viti 2022)
</t>
  </si>
  <si>
    <t>III.3.1.i Rritja e personelit të shërbimeve psikosociale në të gjitha nivelet e kujdesit të sistemit shëndetësor në nivel spitalor 
• 30 Psikolog /punonjes social ne sherbimet pediatrike (20 persnel 2021-2024  dhe 30 nga viti 2025- 2026)</t>
  </si>
  <si>
    <t>III.3.1.j Ngritja e grupit të punës dhe hartimi i hapave ‘roadmap’ për zhvillimin e kapaciteteve të shërbimit shëndetësor në shkolla 
• Hartim planit "roadmap" 2 experte x 15 dite pune (viti 2021-2022)
• Grup pune 5 specialiste x 1 muaj (viti 2021-2022)
• Publikimi i planit road map 100 kopje x 500 leke (2022)</t>
  </si>
  <si>
    <t xml:space="preserve">III.3.1.k Trajnimi i stafeve në shkolla mbi edukimin seksual të adoleshentëve
• Hartim Moduli 2 experte x 15 dite pune (viti 2022)
• pagesa e specialisteve ne MSHMS/ISHP10 dite pune x 1 specialist (viti 2022-2026)
• sessione trajnimi 10 x 15 pjesemarres x 2 dite ( viti 2022-2026)
•sherbime administrtaive dreke ettj =150 pjesemarres x 3500 leke +150 pesemarres x500 leke)(viti2022-2026) </t>
  </si>
  <si>
    <t>III.3.1.l Hartimi i planit të veprimit për zhvillimin e shërbimeve të shëndetit mendor, me fokus në shërbimet për të rinjtë dhe adoleshentët
• Hartim planit te veprimit per zhvillimin e SHM 3 experte x 15 dite pune (viti 2021-2022)
• Grup pune 5 specialiste x 1 muaj (viti 2021-2022)
• Publikimi i planit ZhSHM100 kopje x 500 leke  (2022)</t>
  </si>
  <si>
    <t>III.3.1.ll Aftësimin e stafit pedagogjik për adresimin e problemeve të shëndetit mendor
• Hartim Moduli 2 experte x 10 dite pune (viti 2022)
• pagesa e specialisteve ne MASR/MSHMS 10 dite pune x 1 specialist (viti 2022-2026)
• sessione trajnimi 10 x 15 pjesemarres x 2 dite ( viti 2022-2026)
•sherbime administrtaive dreke ettj =150 pjesemarres x 3500 leke +150 pesemarres x500 leke)(viti2022-2026)</t>
  </si>
  <si>
    <t>III.3.1.m Hartimi protokolleve për identifikimin e hershëm të problematikave të lidhura me shëndetin mendor dhe krijimi i rrjeteve të referimit me institucionet partnere
• Hartim planit te veprimit per zhvillimin e protokolleve 3 experte x 10 dite pune (viti 2022-2023)
• Grup pune 5 specialiste x 1 muaj (viti 2022-2023) (nga MSHMS, MASR grup mutidisiplinar)
• Takime pune 2 *15 pjesemarres*300 lek/person  /vit
• Publikimi i planit protokollovr 400 kopje x 500 leke (2023)</t>
  </si>
  <si>
    <t>III.3.1.n Hartimi politikave dhe standarteve mbi ushqyerjen e shëndetshme dhe veprimtarinë fizike në systemin para-shkollor dhe 9-vjecar dhe shitjen e pijeve dhe ushqimeve në mjediset tregtare pranë institucioneve arsimore.
• Mbledhja  dhe studim Vleresimi mbi ushqyerjen 2021 mbeshtetur nga UNICEF 
•Hartim politikave dhe standarteve mbi ushqyerjen  4 experte x 15 dite pune (viti 2022-2024)
• Grup pune 5 specialiste x 1 muaj (viti 2022-2024) (nga MSHMS, MASR grup mutidisiplinar)
• Publikimi i politikave standarteve  200 kopje x 500 leke Viti 2024
•Imlementimi neper shkolla pilot (kostoja do te kryhet pasi te kryhen politikat dhe standartet)</t>
  </si>
  <si>
    <t>•Trajnues 1 x 2 dite pune  + 1 dite raport (2022-2026)</t>
  </si>
  <si>
    <t>•trajnues 3 dite pune/cdo vit</t>
  </si>
  <si>
    <t>• trajnuesi 3 dite trajnimi+1 dite pune raporti(2022-2026)</t>
  </si>
  <si>
    <t>III.4.1.a Ngritja e grupit të punës dhe hartimi i kritereve mbi trajnimin, licensimin, kreditimin e profesionistëve të ndryshëm në kuadër të zbatimit të kodit të të miturve
• Hartim kritereve 2 experte x 10 dite pune (viti 2021-2022)
• Grup pune 3 specialiste x 1 muaj (viti 2021-2023) 
• Publikimi i kritereve100 kopje x 500 leke (viti 2022)</t>
  </si>
  <si>
    <t>III.4.1.b Funksionimi i njësive të intervistimit të të miturve, të ngritura në 12 drejtoritë vendore të policisë dhe përdorimi i tyre për intervistimin e të miturve viktima, autorë dhe dëshmitarë të veprave penale. (mbeshtetur edhe nga UNCEF 2021-2023)
•Paga e nje punonjesi ne drejtorite vendore 4 muaj/vit (2021-2026)
• hartimi i modulit per "teknikat intervista" 1 experte x 20 dite (2021-2022)
• session trajnimi 1 session trajnimi x 12 pjesemarres x2 dy dite (2022-2026)
•shpenzime administrative 13 pjesemarres x 3500 leke/person +13*500 leke/person(2022-2026)</t>
  </si>
  <si>
    <t>III.4.1.c Ofrimi i programeve të drejtësisë restauruese dhe ndërmjetësimit për fëmijët në konflikt me ligjin.
Ref: Strategjia e Drejtësisë për të mitur
• Mbeshtetje UNICEF - 1 000 000 leke per vitin 2022</t>
  </si>
  <si>
    <t>III.4.1.ç Miratim i një ligji të vecantë për pashtetësinë
•Vleresimi I situates ligjore dhe draft ligji 1 experte x 30 dite (2022-2024)
• Grupi i punes i perbere nga 3 specialiste x 10 dite  per cdo vit, e do te zhvillojne edhe proceset e konsultimit (2022-2025)
•Tryeza pune 2 tryeza pune x 10 pjesemarres x 300 leke/ person/ per cdo vit</t>
  </si>
  <si>
    <t>III.4.1.d Ngritja e kapaciteteve të punonjësve të gjendjes civile për identifikimin, regjistrimin dhe dhënien e statusit të pa shtetësisë për fëmijët
• hartimi i modulit trajnimin e punonjesve te gjendjes civile  1 experte x 20 dite (2021-2022)
• session trajnimi 3 session trajnimi x 13 pjesemarres x 1 dite (2022-2026)
•shpenzime administrative 13 pjesemarres x 3500 leke/person +13*500 leke/person(2022-2025)</t>
  </si>
  <si>
    <t>III.4.1.dh Hartimi i një udhëzuesi për procedurat e përcaktimit të statusit të pashtetësisë në Shqipëri
•Hartimi i udhezuesve 1 experte x 27 dite (2022-2024)
• Grupi i punes i perbere nga 3 specialiste x 1 muaj per cdo vit, e do te zhvillojne edhe proceset e konsultimit (2022-2025)
•Tryeza pune 2 tryeza pune x 10 pjesemarres x 300 leke/ person/ per cdo vit (2022-2025)</t>
  </si>
  <si>
    <t xml:space="preserve">III.4.1.e Funksionimi i Sistemit të Integruar të të Dhënave të Drejtësisë Penale për të Mitur
Ref: Strategjia e Drejtësisë për të mitur
Mbeshtetje nga  UNICEF $20,000 (viti 2021-2022)
•2 Konsulente per trajnimin e data collectors.  2021-2022 </t>
  </si>
  <si>
    <t>III.4.1.ë Hartimi dhe miratimi i një udhëzimi të përbashkët midis ASHDMF dhe Qendrës së Parandalimit të krimeve të të miturve dhe të rinjve për menaxhimin e rasteve të fëmijëve në konflikt me ligjin
•Hartimi i udhezuesve 1 experte x 30 dite (2022-2023)
• Paga  2 specialiste x 1 muaj per cdo vit (2022-2023)
•Tryeza pune 2 tryeza pune x 10 pjesemarres x 300 leke/ person/ per cdo vit (2022-2023)</t>
  </si>
  <si>
    <t>III.4.1.f Ngritja e kapaciteteve të punonjësve të Qendrës së Parandalimit të krimeve të të miturve dhe të rinjve për menaxhimin e fëmijëve në konflikt me ligjin.(mbeshtetje nga UNICEF deri me 2023)
• hartimi i modulit  1 experte x 10 dite (2021-2022)
• session trajnimi 1 session trajnimi x 13 pjesemarres x 3 dite (2022-2026)
• Paga e specialisteve 1 specialist x 2 dite pune per cdo vit</t>
  </si>
  <si>
    <t xml:space="preserve">III.4.1.g Ngritja e kapaciteteve të përfaqësuesve procedurial për menaxhimin e fëmijëve në konflikt me ligjin.
Mbestetje nga UNICEF
•Hartim moduli 1 experte 10 dite (Viti 2021)
• pagae nje specialisti 1 x 4 dite pune cdo vit 2021-2026
• sessione trajnimi (1 session trajnimi x 50 pjsesemarres x 1 dite)(2022-2026)
•experte trajnues 1 dite trajnimi + 1 dite raportimi (2022-2026)
•Shpenzime administrative 51 persona x 3500 leke/dreke +51 persona x300 leke/person
•Shpenzimet administrative me pages Shteti pas mbeshtetjes nga UNCEF (mendohet deri ne fund te 2026)
</t>
  </si>
  <si>
    <t>III.4.1.h Hartimi dhe miratimi i një VKM-je të re për të institucionalizuar qasjen shumë-sektoriale dhe ndër-institucionale për manaxhimin e rasteve të fëmijëve në konflikt/kontakt me ligjin në nivel lokal
•Vleresimi I situates ligjore dhe draft VKM 1 experte x 20 dite (2022-2023)
• Grupi i punes i perbere nga 2 specialiste x 10 dite per cdo vit, e do te zhvillojne edhe proceset e konsultimit (2022-2023)
•Tryeza pune 2 tryeza pune x 10 pjesemarres x 300 leke/ person/ per cdo vit(2022-2023</t>
  </si>
  <si>
    <t>III.4.1.i Zgjerimi i qasjes shumë-sektoriale dhe ndër-institucionale për manaxhimin e rasteve të fëmijëve në konflikt/kontakt me ligjin në nivel lokal me sistemin e drejtësisë:
(Trajnimi ne zona pilot Puka dhe Skodra, mbeshtetur nga UNICEF
•Hartimi modulit I kryer
• pagse Specialisti 1 x 3 dite pune cdo vit 2021-2024
•Sessione trajnimi 1 x 30 pjeswmarrws x 3 dite ( Viti 2021-2022)
•Experte lokal si trajnues 3 dite + 1 dite raportim
•Shpenzime adminstrative 30*3*3500 leke/pjeseamrres +30*3*500 leke/per pjesemarres.
•Takime ndergjegjesuese ne terre 5 takime x 20 pjesemarres /vit x500 leke/pjesemarres
•takime ndergjegjesuese per prinderit 5 takime x 20 pjeswmarrws /vit x 500 leke/pjeswmarres.
•Emisione nedregjegjesuese ne TV lokale 2 x 100 000 leke/vit</t>
  </si>
  <si>
    <t>III.4.1.l Zbatimi i rekomandimeve të Këshillit të Evropës për fëmijët me prindër të burgosur
• Hartimi I nje Raporti vjetor 2 specialist x 1 muaj(2022-2026)</t>
  </si>
  <si>
    <t>Pagesa e 4 specialisteve IT ne 4 bashki(2022-2024)</t>
  </si>
  <si>
    <t>IV 1.1.b Zgjerimi i rrjetit të laboratoreve të aftësimit digjital dhe mbrojtjes online me bazë komunitare për grupet vulnerabël dhe më të disavantazhuara në të paktën 4 bashki të reja
-        Trajnimi i stafeve të qendrave komunitare mbi modulet e aftësimit digjital dhe mbrojtjes online pranë 4 bashkive
•hartimi i modulit 1 experte x 10 dite (2021-2022) + [4 dite trajnimi +1 dite pergatitje ] 2022-2023
• session trajnimi 4 x 10 persona x1 dite (duke filluar nga 2022-2023)
• shpenzime administrative (40 persona x 3500 leke +40 persona x 500 lek/person) 
-        Instalimi i rrjeteve wireless në qendrat komunitare pranë 4 bashkive x 30000 lee/ vit per cdo bashki
-        Investim për shtimin e pajisjeve digjitale në qendrat komunitare e 4 bashkive
te pakten 10 paisje /paisje/per cdo bashki teh te tjera Paisje IT</t>
  </si>
  <si>
    <t xml:space="preserve">a.Trajnimi i 100 stafeve të bibliotekave vendore
• Pagese e specialisteve 5 specialiste x 10 dite pune cdo vit
•session trajnimi 2 x 10 persona x 3 dite (2022-2026)
• shpenzime administrative (20 persona x 3500 leke +20 persona x 500 lek/person)(2022-2026) </t>
  </si>
  <si>
    <t>b .Hartimi i kurrikulës së aftësimit digjital pranë Bibliotech’s
• hartimi I kurikules  2eksperte x 15 dite pune (2021-2022) 
•6 dite pune trajnim +1 dite raportinm (2022-2026) per trajnimet me siper
• Mbeshtetje nga UNCEF dhe te tjera blerje e paisjeve 2021-2022 UNICEF total $50 000</t>
  </si>
  <si>
    <t>IV.1.2.c Trajnimi i të paktën 100 vajzave në STEM (shkencë, teknologji, inxhinieri, matematike) 
•hartimi moduli 1specialiste x 10 dite pune (2021) + 2* 4 session trajnimi total 8 dite pune trajnim +1 dite raportinm (2021
•sessione trajnimi 4 x 25 persona *2 dite trajnimi
• shpenzime administrative (100 persona x 3500 leke/ person/dreke*2 dite +100*400 leke/person
• specialist nga MAS 1 specialist x 10 dite pune</t>
  </si>
  <si>
    <t xml:space="preserve">IV.1.3.ç Hartimi i një marrëveshje ndërinstitucionale midis ASHDMF dhe AMA për angazhimin për garantimin e zbatimit të etikës dhe të drejtave të fëmijës në mjedisin audioviziv
• Specialist I fushes ekspert per hartimin e marreveshjes 1 x 10 dite pune (2021-2022)
•grup pune 4 persona x 10 dite (2021-2023)
• takime pune 2 x 10 persona / vit = 20 x 300 leke/ person kosto administrative </t>
  </si>
  <si>
    <t>IV.1.3.d Ngritja e kapaciteteve të gazetarëve të mediave lokale dhe kombëtare për zbatimin e parimeve kryesore të respektimit të të drejtave të fëmijëve në media
•hartimi moduli 1specialiste x 10 dite pune (2021-2022) + [2 dite* 2 session trajnimi total 4  dite pune trajnim +1 dite raportinm (2022-2026]
•sessione trajnimi 2 x 25 persona *2 dite trajnimi (2022-2026)
• shpenzime administrative (50 persona x 3500 leke/ person/dreke*2 dite +50*400 leke/person (2022-2026)
• specialist  1 specialist x 4 dite pune+ 1 dite raport / cdo vit per organizimi orientim</t>
  </si>
  <si>
    <t>C8</t>
  </si>
  <si>
    <t>c4</t>
  </si>
  <si>
    <t xml:space="preserve">2.2 Objektivi Specifik : Funksionimi i një sistemi gjithëpërfshirës dhe efektiv për mbrojtjen e fëmijëve </t>
  </si>
  <si>
    <t>2.3 Objektivi Specifik : Mekanizma dhe shërbime të specializuara dhe të integruara për adresimin e formave të rënda të dhunës, përfshirë abuzimin seksual dhe abuzimin dhe shfrytëzimin online</t>
  </si>
  <si>
    <t>2.Qellimi I Politikes ( Kodi, Emertimi) Eliminimi i të gjitha formave të dhunës, shfrytëzimit, abuzimit dhe praktivave të dëmshme</t>
  </si>
  <si>
    <t>III.1.1.Rritja, mirëqënia dhe të nxënit gjatë fëmijërisë së hershme 0-3 vjec</t>
  </si>
  <si>
    <t xml:space="preserve">I.1.4Forcimi i mekanizmave dhe forumeve të pjesëmarrjes së fëmijëve </t>
  </si>
  <si>
    <t>II.1.1Adresimi i normave sociale jopozitive në komunitet dhe familje në kuadër të parandalimit dhe adresimit të dhunës ndaj fëmijëve</t>
  </si>
  <si>
    <t>II.2.1Përmirësimi i kuadrit normativ, buxhetor dhe raportues për mbrojtjen e fëmijës</t>
  </si>
  <si>
    <t xml:space="preserve">II.2.2Fuqizimi i kapaciteteve të profesionistëve, mekanizmave dhe shërbimeve përadresimin e dhunës së fëmijëve </t>
  </si>
  <si>
    <t>II.3.1Parandalimi dhe mbrojtja e fëmijëve nga abuzimi seksualdhe abuzimin dhe shfrytëzimin online</t>
  </si>
  <si>
    <t>III.1.2Rritja, zhvillimi dhe të nxënët tek fëmijët 3-6 vjec përmes një qasje gjithëpërfshirëse dhe cilësore</t>
  </si>
  <si>
    <t>III.1.3Arsimi bazë, i mesëm i ulët dhe i lartë gjithëpërfshirës</t>
  </si>
  <si>
    <t>III.1.4Menaxhimi i rrezikut dhe katastrofave në shkollë</t>
  </si>
  <si>
    <t>III.1.5Edukimi për karrierën dhe aftësimi për tregun e punës</t>
  </si>
  <si>
    <t>III.2.1 Përmirësim i qasjes të fëmijëve dhe adoleshentëve në nevojë në programet e mbrojtjes sociale</t>
  </si>
  <si>
    <t>III.4.1Përmirësimi i aksesit në drejtësi</t>
  </si>
  <si>
    <t xml:space="preserve">VI.1.1.Aksesi dhe përfshirja e fëmijëve në mjedisin digjital </t>
  </si>
  <si>
    <t xml:space="preserve">IV.1.3 Respektimi i etikës dhe interesit më të lartë të fëmijës në  mjedisin digital </t>
  </si>
  <si>
    <t xml:space="preserve">I.1.1Forcimi i strukturave në nivel qendror dhe vendor, përgjegjëse për hartimin, koordinimin dhe monitorimin e strategjive dhe masave ndërsektoriale që kanë ndikim në jetën e fëmijëve </t>
  </si>
  <si>
    <t xml:space="preserve">I.1.2Përmirësimi i mekanizmave për buxhetimin për fëmijët </t>
  </si>
  <si>
    <t xml:space="preserve">I.1.3Përmirësimi i statistikave dhe të dhënave/njohurive në funksion të realizimit të të drejtave të fëmijëve  </t>
  </si>
  <si>
    <t>I.1.1 b Ngritja dhe koordinimi i takimeve të donatorëve dhe organizatave ndërkombëtare në mbështjetje të zbatimit të Agjendës së Fëmijëve dhe çështjeve të fëmijëve, nën drejtimin e KKDMF (dy takimeve ne vit, ditë pune të stafit te MSHMS për realizimin e takimeve, 4 persona x 11 ditë pune, 12% shpenzime të tjera operative)</t>
  </si>
  <si>
    <t>I.1.1ç Fuqizimi i institucioneve të pavarura të të drejtave të njeriut në kuadër të mbrojtjes së të drejtave të fëmijëve  (trajnime vjetore për rritjen e kapaciteve të institucioneve të pavarura 10 persona x 2 ditë trajnim, ekspert për rritjen e kapaciteteve 10 dite në vit për hartimin e moduleve të trajnimit dhe trajnimin, materiale trajnimi)</t>
  </si>
  <si>
    <t xml:space="preserve">II.1.1.a Realizimi i një studimi (me dy valë krahasuese) për matjen e njohurive qëndrimeve dhe praktikave të popullsisë shqipëtare rreth dhunës ndaj fëmijëve 
• (vala e parë e studimit 2022; vala e dytë e studimit 2026) 
• kosto totale per realizimin e vrojtimit  të parë 110000 Euro, per  vrojtimin e dytë sipas kostove në vitin 2022 
</t>
  </si>
  <si>
    <t xml:space="preserve">II.1.1.b Hartimi i një plani komunikimi dhe materialeve/produkteve mbështetëse për të adresuar normat negative sociale që lidhen me të gjitha format e dhunës/abuzimit ndaj fëmijëve (përfshirë dhe tematikën e martesave të hershme) 
• eksperte per realizimin e planit te komunikimit 1 eksp/10 dite pune në vit
• kosto e stafit për hartimin e planit komunikimit 2 persona x 2 muaj
• kosto e stafit per realizimin e  materialeve 2 persona x 1 muaj
• kosto printimi 3milion cdo vit
</t>
  </si>
  <si>
    <t xml:space="preserve">II.1.1.ç Zhvillimi i një moduli edukimi mbi prindërimin pozitiv, për përdorim nga profesionistët në nivel lokal (NJVNR + NJMF + profesionistët në qendrat komunitare)
• ekspertë për hartimin e modulit (3 ekspertë*10 ditë pune)
• shpenzime për organizimin e një  ToT (1 trajnim*2 ditë*12 persona)
• koordinimi nga stafi i ASHMDF/SHSSH për realizimin e modulit dhe ToT ( 2 person*5.5 ditë në vit)
</t>
  </si>
  <si>
    <t xml:space="preserve">II.1.1.dh Ndërgjegjësimi i komuniteti shkollor dhe krijimi  injë kulture positive që nuk pranon dhunën, bullizmin dhe ekstremizmin e dhunshëm
• realizimi i një fushate ndërgjegjësuese në nivel kombëtar (rreth 2 milionë lekë në vit)
</t>
  </si>
  <si>
    <t xml:space="preserve">I.1.3.e Fuqizimi i mekanizmave dhe kapaciteteve të mbledhjes dhe raportimit të të dhënave me fokus fëmijët në nivel bashkie (për të paktën 5 bashki)                                                                                                                                                         • rritje kapacitesh trajnime 1 trajnim * 2 dite * 16 persona për secilën bashki, 
• • ekspertize bashkive 1 eksperte * 5 bashki *10 dite ne vit trajnim &amp;ekspertizë)
• materiale trajnimi 16 persona*500 lekë
</t>
  </si>
  <si>
    <t xml:space="preserve">I.1.4.b.Fuqizimi i kapaciteteve të fëmijëve dhe adoleshentëve për realizimin e një pjesëmarrjeje efektive.
• Trajnim për rritje kapacitetesh (1 trajnim *2 ditë*16 persona)
• Eksperte për hartim moduli dhe trajnim (1 ekspertë*4 ditë punë)
• Financim iniciativash rinore (4 iniciativa*50000 lekë për iniciativa)
• • Koordinim dhe lehtësim nga stafi i MASR në nivel vendor (1 person*11 ditë pune)
• Koordinim dhe lehtësim në nivel vendor ( 4 persona *5.5 ditë)
• trajnim për buxhetimin me pjesemarrje ne nivel lokal/keshillash bashkiak. (4 trajnime*2 ditë*20 perssona)
• ekspert për buxhetimin me pjesëmarrje (1 ekspert *4 bashki *7ditë pune modul ,trajnim, coaching)
</t>
  </si>
  <si>
    <t xml:space="preserve">I.1.4.ç Zgjerimi dhe përdorimi i teknologjise digjitale dhe platformave innovative si “U-report” për të realizuar të drejtat e fëmijët dhe të rinjtë në nivel lokal, kombëtar dhe ndërkombëtar për të ngritur zerin për ceshtje qe i prekin nga afër online dhe offline.
• Kosto totale vjetore 2000000 lekë
</t>
  </si>
  <si>
    <t xml:space="preserve">II.2.1.a Rishikimi i Kodit të Familjes në kuadër të harmonizimit me ndryshimet ligjore të Ligjit 18/2017 për çështjet e mbrojtjes së fëmijëve dhe ligje të tjera që përmbajnë parashikime specifike për mbrojtjen dhe trajtimin e fëmijëve.
• Grupi i Punës për rishikimin KF (7 persona*1 muaj*3 vite)
• 10% shpenzime administrative në vit
</t>
  </si>
  <si>
    <t xml:space="preserve">II.2.1.b Rishikimi i Kodit Penal për ta sjellë në linjë me legjislacionin ndërkombëtar për mbrojtjen e fëmijëve, përfshirë dispozitat që lidhen me trafikimin e fëmijëve, abuzimin seksual dhe format online të dhunës të kryera ndaj fëmijëve.
• Grupi i Punës për rishikimin KF (9 persona*13 ditë në vit*3 vite)
• 10% shpenzime administrative në vit
</t>
  </si>
  <si>
    <t xml:space="preserve">II.2.1.c Hartimi dhe miratimi i ligjit “Për kujdesin alternativ”, në kuadër të përmirësimit të kornizës ligjore në sistemin e mbrojtjes, kujdesit të fëmijëve dhe sistemit të drejtësisë”.
• Grupi i Punës për hartimin e ligjit (7 persona*1.2 muaj në vit*3 vite)
• 12% shpenzime administrative në vit (përshihen dhe kostot e konsultimit me grupet e interesit)
• Konsulente (2 eksperte x 20 ditë pune)
</t>
  </si>
  <si>
    <t xml:space="preserve">II.2.1.d Miratimi i akteve nënligjore që kanë të bëjnë me fëmijët për Ligjin për të Huajt të miratuar në 2021.
• Grupi i Punës për hartimin e akteve (12 persona*1.2 muaj në vit*3 vite)
• 12% shpenzime administrative në vit (përshihen dhe kostot e konsultimit me grupet e interesit)
• Konsulente (4 eksperte x 10 ditë pune për cdo vit)
</t>
  </si>
  <si>
    <t xml:space="preserve">II.2.1.dh RRishikimi i Ligjit 121/2016 “Për shërbimet e Kujdesit Shoqëror” dhe harmonizimi me ndryshimet ligjore të Ligjit 18/2017 për çështjet e mbrojtjes së fëmijëve si dhe detyrime të tjera që burojnë nga e drejta kombëtare dhe ndërkombëtare.
• Grupi i Punës për risikimin e ligjit (6 persona*1.2 muaj në vit*3 vite)
• 12% shpenzime administrative në vit (përshihen dhe kostot e konsultimit me grupet e interesit)
• Konsulente (2 eksperte x 20 ditë pune)
</t>
  </si>
  <si>
    <t xml:space="preserve">II.2.1.e Rishikimi i Ligjit Nr 8153 dt 3.10.1996 “Për Statusin e Jetimit”.
• Grupi i Punës për rishikimin e ligjit (5 persona*1.2 muaj në vit*2 vite)
• 12% shpenzime administrative në vit (përshihen dhe kostot e konsultimit me grupet e interesit)
• Konsulente (1 eksperte x 10 ditë pune)
</t>
  </si>
  <si>
    <t xml:space="preserve">II.2.1.ë Miratimi i ndryshimeve në Ligjin e Birësimit.
• Grupi i Punës për rishikimin e ligjit (5 persona*1.2 muaj në vit*2 vite)
• 12% shpenzime administrative në vit (përshihen dhe kostot e konsultimit me grupet e interesit)
• Konsulente (1 eksperte x 10 ditë pune)
</t>
  </si>
  <si>
    <t xml:space="preserve">II.2.1.f Hartimi dhe miratimi me akt normativ i udhëzimit metodologjik lidhur me kriteret e cilësisë së punës së strukturave të mbrojtjes së fëmijëve, grupeve teknike ndërsektoriale dhe metodologjisë për kontrollin e tyre.
• Grupi i Punës për hartimit të aktit normativ (7 persona*1.5 muaj në vit*1 vit)
• 12% shpenzime administrative në vit (përshihen dhe kostot e konsultimit me grupet e interesit)
• Konsulente (1 eksperte x 20 ditë pune)
</t>
  </si>
  <si>
    <t xml:space="preserve">II.2.1.g Rishikimi i udhëzimit nr. 253 datë 10.04.2020 “për menaxhimin e rasteve të fëmijëve në nevojë për mbrojtje, gjatë periudhës së fatkeqesisë natyrore për arsye të epidemisë së shkaktuar nga covid-19”për veprimet e strukturave të mbrojtjes së fëmijëve në të gjitha rastet e emergjencave dhe pandemive.
• Grupi i Punës për risikimin e udhëzimit (5 persona*1 muaj në vit*2 vite)
• 12% shpenzime administrative në vit (përshihen dhe kostot e konsultimit me grupet e interesit)
• Konsulente (2 eksperte x 5 ditë pune në vit)
</t>
  </si>
  <si>
    <t xml:space="preserve">II.2.1.gj Rishikimi i VKM -së nr.578 “për menaxhimin e rastit”për të reflektuar nevojat e identifikuara nga analiza e implementimit të saj praktik..
• Grupi i Punës për rishikimin e VKM0së (5 persona*1 muaj në vit*2 vite)
• 12% shpenzime administrative në vit (përshihen dhe kostot e konsultimit me grupet e interesit)
Konsulente (1 eksperte x 15 ditë pune )
</t>
  </si>
  <si>
    <t xml:space="preserve">II.2.1.h Rishikimi i VKM-së nr.111 “për procedurat dhe rregullat për kthimin dhe riatdhesimin e fëmijës”   .
• Grupi i Punës për rishikimin e VKM-së (5 persona*1 muaj në vit*3 vite)
• 12% shpenzime administrative në vit (përshihen dhe kostot e konsultimit me grupet e interesit)
• Konsulente (1 eksperte x 30 ditë pune)
</t>
  </si>
  <si>
    <t xml:space="preserve">II.2.1.i Rishikimi i VKM-së Nr 617 dt 07.09.2006 “Për përcaktimin e treguesve të vlerësimit dhe monitorimit të programeve të NE, Pagesave për PAK dhe shërbimeve shoqërore.
• Grupi i Punës për rishikimin e VKM-së (7 persona*1 muaj në vit*3 vite)
• 12% shpenzime administrative në vit (përshihen dhe kostot e konsultimit me grupet e interesit)
• Konsulente (3 eksperte x 10 ditë pune)
</t>
  </si>
  <si>
    <t xml:space="preserve">II.2.1.k Hartimi i udhëzimit të përbashkët ndërministor për menaxhimin e rasteve të fëmijëve në vijim të zbatimit të VKM 129 - Ngritja dhe fuqizimi i skuadrave të terrenit për identifikimin referimin dhe menaxhimin e rasteve e fëmijëve në nevojë për mbrojtje përfshirë fëmijët në situatë rruge, të shfrytëzuar ekonomikisht dhe fëmijëve viktima të trafikimit.
• Grupi i Punës për hartimin e udhëzimit (7 persona*1 muaj në vit*2 vite)
• 12% shpenzime administrative në vit (përshihen dhe kostot e konsultimit me grupet e interesit)
• Konsulente (1 eksperte x 20 ditë pune)
</t>
  </si>
  <si>
    <t xml:space="preserve">II.2.1.l Miratimi i metodologjisë për vlerësimin e interesit më të lartë të fëmijës dhe përcaktimin e interesit më të lartë të fëmijës për kategori të caktuara me fokus të veçantë fëmijët me aftësi të kufizuar dhe fëmijët e komunitetit roma dhe egjiptian.
• Grupi i Punës për hartimin e metodologjisë (5 persona*1 muaj në vit*2 vite)
• 12% shpenzime administrative në vit (përshihen dhe kostot e konsultimit me grupet e interesit)
• Konsulente (2 eksperte x 15 ditë pune)
</t>
  </si>
  <si>
    <t xml:space="preserve">II.2.1.ll Buxhetimi në nivel lokal (NJQV) për Njësitë e Mbrojtjes së Fëmijëve për menaxhimin e rastit të fëmijëve në nevojë për mbrojtje.
• Grupi i Punës për hartimin e buxhetit për NJMF (3 persona*11 ditë në vit*6 vite)
• 61 NJQV
</t>
  </si>
  <si>
    <t xml:space="preserve">II.2.1.m Përmirësimi i modulit/#orkflo#t të menaxhimit të rastit (NJMF)  pjesë e sistemit të regjistrit elektronik të shërbimeve sociale, përfshirë trajnimin e e strukturave të mbrojtjes së fëmijëve dhe NJVNR në NJQV.
• Përmirësimi i modulit kosto totale 1.2 milionë lekë (2021-2022)
• trajnime për strukturat e mbrojtjes së fëmijëve dhe NJVNR në NJQV (1 trajnim*15 persona*1 ditë)
• 15 trajnime në vit
• Trajner 15 ditë trajnim dhe 2 ditë raportim (17 ditë në vit)
</t>
  </si>
  <si>
    <t xml:space="preserve">II.2.2.a Organizimi i konferencës kombëtare vjetore të profesionistëve në fushën e mbrojtjes së fëmijëve.
• kosto stafi për organizimin e konferencës (3 persona x 11 ditë pune)
• shpenzime salle 80000 lekë, drekë pune&amp;pushim kafe 2500 lekë për person, dosje 100 persona*500 leke, banner 30000lekë
</t>
  </si>
  <si>
    <t xml:space="preserve">II.2.2.b Ngritja dhe funksionimi i Urdhërit të Punonjësit Social
• Urdhrit të Punonjësve Socialë nuk financohet nga buxheti
• bashkëpunimi me Urdhrin për hartimin e projektakteve ligjore dhe nënligjore, si dhe dokumenteve të rëndësishme në fushën e shërbimeve sociale dhe punës sociale (stafi i MSHMS 2 persona*1 muaj)
• përfaqësuesi i MSHMS në urdhër (1 person*1 muaj në vit)
</t>
  </si>
  <si>
    <t xml:space="preserve">II.2.2.c Bërja funksionale e sistemit të edukimit dhe akreditimit për punonjësit e shërbimeve sociale (përfshirë NJMF-të)
• Ngritja e Bordit pranë QKEV (asistencë 1 ekspert*6 ditë)
• Kryerja e analizës së nevojave për ngritje kapacitetesh, përcaktimin e temave të trajnimit (kosto totale për vlerësimin e nevojave 1.2 milionë lekë
• Akredimi i organizmave dhe kurrikulave të trajnimit (subjektet e interesuara duhet të paguajnë sipas tarifave të përcaktuara)
</t>
  </si>
  <si>
    <t xml:space="preserve">II.2.2.ç Ngritja e kapaciteteve të strukturave të mbrojtjes së fëmijëve në NJQV në bazë të moduleve të çertifikuara dhe aprovuara nga QKEV për menaxhimin e rasteve me qasje ndërsektoriale të fëmijëve në nevojë për mbrojtje
• Paga e specialisteve te QKEV për monitorimin e trajnimeve - 0.5 muaj *2 specialist cdo vit
• hartim moduli eksperte 1 x 10 dite / pune
• sessione trajnimi 3 për cdo vit ( 3 sesssione x 15 pjesemarres x 1 dite )
• Pagese trajnuesi 3 dite + 1 dite raport /vit = 4 ditë cdo vit
</t>
  </si>
  <si>
    <t xml:space="preserve">II.2.2.d Përmirësimi i kapaciteteve të punonjësve nga sektorë të ndryshëm si kujdesi social, policia, media, etj, në NJQV në bazë të moduleve të çertifikuara dhe aprovuara nga QKEV për përmirësimin e mekanizmit të identifikimit, raportimit dhe referimit të dhunës dhe mbështetjes së fëmijëve në nevojë për mbrojtje
• Paga e specialisteve te QKEV për monitorimin e trajnimeve - 0.5 muaj *2 specialist cdo vit
• hartim moduli eksperte 1 x 10 dite / pune
• sessione trajnimi 3 për cdo vit ( 3 sesssione x 15 pjesemarres x 1 dite )
• Pagese trajnuesi 3 dite + 1 dite raport /vit = 4 ditë cdo vit
</t>
  </si>
  <si>
    <t xml:space="preserve">II.2.2.f Hartimi i një politike të dedikuar për arsimin parauniverstar në fushën e parandalimit dhe adresimit të cdo lloj dhune dhe abuzimi, përfshirë bullizimin dhe ekstremizmin në shkolla
• Ngritja e grupit të punës (2 staf*5.5 ditë pune)
• Ekspertë (2 ekspertë*10 ditë punë*2 vjet)
• Kontributi i stafit të MASR (5 staf*11 ditë në vit)
</t>
  </si>
  <si>
    <t xml:space="preserve">II.2.2.i Trajnimi i mësuesve dhe punonjësive të njësisë së shërbimit psiko-social dhe komisionet e etikës në shkolla në lidhje me dhunën dhe abuzimin, bullizmin dhe ekstremizmin në shkolla
• Paga e specialisteve te ASCAP për monitorimin e trajnimeve - 0.5 muaj *2 specialist cdo vit
• hartim moduli eksperte 1 x 10 dite / pune
• sessione trajnimi 6 për cdo vit ( 3 sesssione x 15 pjesemarres x 1 dite )
• Pagese trajnuesi 6 dite + 1 dite raport /vit = 7 ditë cdo vit
</t>
  </si>
  <si>
    <t xml:space="preserve">II.2.2.j Hartimi i protokollit të identifikimit dhe raportimit të dhunës për punonjësit e shëndetësisë, përfshirë rishikimin e formularëve, regjistrave të mbledhjes së informacionit mbi dhunën ndaj fëmijës.
• Ngritja e grupit të punës (2 staf*5.5 ditë pune)
• Ekspertë (2 ekspertë*10 ditë punë*2 vjet)
• Kontributi i stafit të MSHMS (5 staf*11 ditë në vit)
</t>
  </si>
  <si>
    <t xml:space="preserve">II.2.2.ll Fuqizimi i linjave të këshillimit, këshillimit psikologjik dhe shëndetit mendor për fëmijë përmes zgjerimit të shërbimeve, kanaleve të raportimit shtrirjes së shërbimit, ngritjes së kapaciteteve dhe financimit (Linja telefonike si ALO 116 111, Nuk je Vetëm, etj), për raportimin e dhunës dhe mbështetjes psiko-sociale së fëmijëve në nevojë për mbrojtje.
• Hartimi i metodologjisë për mbledhjen dhe raportimin e të dhënave nga linjat e këshillimit tek ASHMDF-në (Ekspertë 1*15 ditë pune)
• Ngritje kapacitetesh për stafin e linjave të këshillimit (1 trajnim*2 ditë*15 persona), një herë në dy vjet
• Shpenzime shtesë për rritjen e shërbimeve të këshillimit (donacione mesatarisht 2.4 milionë në vit)
</t>
  </si>
  <si>
    <t xml:space="preserve">II.2.2.m Fuqizimi i shërbimeve të emergjencës për pritjen dhe akomodimin afatshkurtër të rasteve të fëmijëve të riatdhesuar duke përfshirë fëmijët nga zonat e konfliktit, dhe të fëmijëve të huaj të pashoqëruar dhe të ndarë përmes zgjerimit të shërbimeve, kanaleve të raportimit, shtrirjes së shërbimit, ngritjes së kapaciteteve dhe financimit.
• Stafi i SHSSH i dedikuar për këto shërbime (2 staf x 1 muaj)
• Zhvillim i Standarteve te ofrimit te sherbimit dhe buxhetimit (2 ekspert x 10 ditë pune)
• programe per rritjen e kapaciteteve per stafet e qendrave që ofrojnë shërbime(trajnim 1*2 ditë*15 persona)
• trajner 1*3 ditë punë 
• hartim dhe financim per PIM
</t>
  </si>
  <si>
    <t xml:space="preserve">II.2.2.n Ngritja e shërbimeve akomoduese dhe rehabilituese për fëmijët e riatdhesuar dhe fëmijëve të huaj të pashoqëruar dhe të ndarë.
• Kosto të nevojshme për akomodimin e fëmijve në qendrat rezidenciale (nuk ka specifikime për mënyrën e ofrimiy të shërbimeve) 10 fëmijë *12 muaj*90000lekë në muaj
</t>
  </si>
  <si>
    <t xml:space="preserve">II.3.1.b Ngritja e modeleve të shërbimeve të specializuara ndërsektoriale për të asistuar në mënyrë të menjëhershme fëmijët viktima të abuzimit seksual
• Ngritja dhe funksionimi i qendrave për trajtimin e viktimave të abuzimit seksual në 2- Bashki; (kosto totale për një qendër 10 milionë lekë ngritja )
• Kosto vjetore për funksionimin e qendrave 2.6 milionë lekë për qendër
</t>
  </si>
  <si>
    <t xml:space="preserve">II.3.1.c Hartimi i propozimeve per ngritjen e shërbimeve rehabilituese të specializuara për fëmijët e abuzuar seksualisht;
• organizimi i tryezave të rrumbullakta në 4 rajone (4 tryeza*1 ditë*40 pjesëmarrës)
• moderator (1 person x 5 ditë pune)
• Ekspertë lokal për hartimin e dokumentit të propozimeve (2 ekspertë*10 ditë)
• Kosto e stafit të MSHMS (2 persona*11 ditë pune)
</t>
  </si>
  <si>
    <t>II.3.1.ç Zhvillimi i programeve të trajnimit ndërsektorial të profesionistëve për ofrimin e shërbimeve të integruara për fëmijët viktima të abuzimit seksual dhe formave të tjera të rënda të dhunës dhe trajnimin e tyre (përfshin punonjësit e mbrojtjes së fëmijëve, punonjësit e sistemit të drejtësisë, punonjësit e shëndetsisë, së arsimit, etj)
• hartimi i moduleve (4 ekspertëx 10 ditë pune)
• realizimi i 4 trajnimeve në vit, 1 për cdo grup (4 trajnime*2 ditë*20 persona)
• trajnerë 2  trajnerë*10 ditë pune
• koordinimi i trajnimeve nga ASHMDF(1 staf x 11 ditë pune)</t>
  </si>
  <si>
    <t xml:space="preserve">II.3.1.d Draftimi dhe aprovimi i një marrëveshje ndërinstitucionale për ngritjen e një grupi të specializuar (policë, prokurorë dhe shërbim ofrues të internetit për të investiguar krimet kundër fëmijëve online
• ekspertë (2 ekspertë*15 ditë pune)
• grupi i punës (9 persona x 11 ditë pune*2 vite)
• shpenzime administrative 10% e pagave dhe sigurimeve
</t>
  </si>
  <si>
    <t xml:space="preserve">II.3.1.dh Ngritja e një sistemi kursesh pranë Shkollës së Magjistraturës dhe Akademinë e Policisë për të ngritur kapacitetet teknike dhe njohuritë për policët, prokurorët dhe gjykatësit e rinj që lidhen me masat e mbrojtjes së fëmijëve, shërbimet shoqërore, për krimin kibernetik, të dhënat digjitale dhe abuzimin seksual online dhe shfrytëzimin e fëmijëve
• Moduli i kurseve për policët (ekspertizë 2 ekspertë*15 ditë)
• Moduli i kurseve për prokurorët (ekspertizë 2 ekspertë*15 ditë)
• Moduli i kurseve për gjykatësit (ekspertizë 2 ekspertë*15 ditë)
• Stafi i MSHMS që koordinon punën për hartimin e kurseve (1 person x 11 ditë punë në vit)
</t>
  </si>
  <si>
    <t xml:space="preserve">II.3.1.e Ngritja e kapaciteteve për hetuesit dhe oficerët e policisë të përfshirë specifikisht në hetimin e rasteve të abuzimit seksual tek fëmijët dhe shfrytëzimin online
• hartimi i modulit për hetuesit dhe oficerët e policisë gjyqësore (2 ekspertëx15 ditë punë)
• organizimi i trajnimeve (1 trainim*2 ditë*15 persona)
• trajnerët (2 persona*3ditë) 
• materiale trajnimi 500 lekë për person
</t>
  </si>
  <si>
    <t xml:space="preserve">II.3.1.ë Përmirësimi i kapaciteteve dhe infrastrukurës së Laboratorit Shkencor të Policisë për të mbledhur dhe analizuar efektivisht të dhënat digjitale që lidhen me krimet online kundrejt fëmijëve
• blerje pajisjesh për Laboratorin Shkencor  të Policisë (shpenzime vjetore për pajisje-pa specifikime 2 milionë në vit)
</t>
  </si>
  <si>
    <t xml:space="preserve">II.3.1.fKrijimi i një portali qendror në Autoritetin e Telekomunikimit Elektronik (AKEP) për ofruesit e shërbimeve të Internetit për të siguruar reagime në kohë reale për zgjidhjen IP, kërkesa të të dhënave dhe teknologjisë së përdoruesve të fundit në lidhje me abuzimin dhe shfrytëzimin seksual të fëmijëve në internet
• kosto për ndërtimin e portalit 11.5 milionë (40% në vitin 2022, 60% në vitin 2023)
• kosto për mirëmbajtjen 9.2 milionë total (cdo vit 2.3 milionë)
</t>
  </si>
  <si>
    <t>01110 Planifikim Menaxhim Administrim (13), 10430 Përkujdesja Sociale, 03320 Shërbimi i Avokatisë (66), 01110 Planifikimi, Menaxhimi dhe Administrimi (92), 01110 Planifikimi, Menaxhimi dhe Administrimi (89), 01130 Aktiviteti diplomatik dhe konsullor i MEPJ, 05320 Mbrojtja e Mjedisit, 10910 Emergjencat Civile</t>
  </si>
  <si>
    <t>01120 Menaxhimi i Shpezimeve Publike</t>
  </si>
  <si>
    <t>01320 Veprimtaria   Statistikore, 10430 Përkujdesja Sociale</t>
  </si>
  <si>
    <t>09120 Arsimi Baze (perfshire parashkollorin), 09230 Arsimi i Mesëm i Lartë</t>
  </si>
  <si>
    <t>10430 Përkujdesja Sociale, 01110 Planifikim Menaxhimi (16), 09120 Arsimi Baze (perfshire parashkollorin), 09230 Arsimi i Mesëm i Lartë</t>
  </si>
  <si>
    <t>01110 Planifikim Menaxhim Administrim (13), 01110 Planifikim Menaxhim Administrim (14),   01110 Planifikim Menaxhim Administrim (16),  01110 Planifikim Menaxhim Administrim (15),   01160 Shërbimet për çështjet e birësimeve,  01110 Planifikim Menaxhim Administrim (10), 03520 Veprimtaria Informative Shtetërore (18), 10430 Përkujdesja Sociale, 03140 Policia e Shtetit, AKEP, AMA</t>
  </si>
  <si>
    <t>10430 Përkujdesja Sociale, 07450 Shërbime të Shëndetit Publik, 01110 Planifikim Menaxhim Administrim (14), 09120 Arsimi Baze (perfshire parashkollorin), 03140 Policia e Shtetit, 09820 Veprimtari  Arsimore (55), 09240 Arsimi i Mesem (Profesional), 09230 Arsimi i Mesëm i Lartë</t>
  </si>
  <si>
    <t>10430 Përkujdesja Sociale, 07450 Shërbime të Shëndetit Publik, 03140 Policia e Shtetit, 09820 Veprimtari  Arsimore (55)</t>
  </si>
  <si>
    <t>10430 Përkujdesja Sociale , 09120 Arsimi Baze (perfshire parashkollorin), NJVQV</t>
  </si>
  <si>
    <t>09120 Arsimi Baze (perfshire parashkollorin), NJVQV</t>
  </si>
  <si>
    <t>09120 Arsimi Baze (perfshire parashkollorin), 09230 Arsimi i Mesëm i Lartë, 01110 Planifikimi, Menaxhimi dhe Administrimi (11), 10430 Përkujdesja Sociale</t>
  </si>
  <si>
    <t>01110 Planifikimi, Menaxhimi dhe Administrimi (11), 09120 Arsimi Baze (perfshire parashkollorin), 09230 Arsimi i Mesëm i Lartë</t>
  </si>
  <si>
    <t>09230 Arsimi i Mesëm i Lartë</t>
  </si>
  <si>
    <t>01320 Veprimtaria   Statistikore, 10430 Përkujdesja Sociale, 01110 Planifikim Menaxhim Administrim (13), 01120 Menaxhimi i Shpezimeve Publike</t>
  </si>
  <si>
    <t>10430 Përkujdesja Sociale</t>
  </si>
  <si>
    <t>07220 Shërbime të Kujdesit Shëndetësor Parësor, 07450 Shërbime të Shëndetit Publik, 01110 Planifikim Menaxhim Administrim (13), 07430 Shërbime të Kujdesit Shëndetësor Dytësor, 10430 Përkujdesja Sociale</t>
  </si>
  <si>
    <t>09120 Arsimi Baze (perfshire parashkollorin), 09230 Arsimi i Mesëm i Lartë, NJQV-të</t>
  </si>
  <si>
    <t>09120 Arsimi Baze (perfshire parashkollorin), 09230 Arsimi i Mesëm i Lartë, 09770 Fonde për Kerkim Shkencor dhe ekselence</t>
  </si>
  <si>
    <t xml:space="preserve">
•Instrumenta të hartuar</t>
  </si>
  <si>
    <t xml:space="preserve">
•World vision Programi per Edukimin gjitheperfshires (Viti 2022= $5000) 
mbeshtetur edhe nga UNICEF
•Save the Children  "Arsimi Baze"   (viti 2022-2024) </t>
  </si>
  <si>
    <t>UNICEF Viti 2021  -2023 = 52000 USD
Model mbështetës i hartuar</t>
  </si>
  <si>
    <t>World vision Albania Programi per Edukimin gjitheperfshires ( viti 2022 = $ 105 000</t>
  </si>
  <si>
    <t>•World vision "Programi per Edukimin gjitheperfshires " Viti 2022 =$ 6000
• Save the children "Qendra komunitare per femijet me Ak"</t>
  </si>
  <si>
    <t>Terre des hommes
• Viti 2022 =8 454 000 leke pa detajuar
• Viti 2023 = 2 287 800 te pa detajuara</t>
  </si>
  <si>
    <t>•World vision Programi per Femijet dhe Adoleshentet :
-Viti  2022 = $ 10 000
-Viti 2023 = $ 10 000</t>
  </si>
  <si>
    <t>UNICEF dhe WV $  54000</t>
  </si>
  <si>
    <t xml:space="preserve">
Udhëzuesi i miratuar me Urdhër Ministri
</t>
  </si>
  <si>
    <t>VKM - E miratuar</t>
  </si>
  <si>
    <t>Eshte donatore Save the children por end nuk I kane percaktuar buxhetet sidhe UNICEF por nuk kane percaktuar buxhete</t>
  </si>
  <si>
    <t>•Wolrd vision program "Programi per Mbrojtjen e femijeve" 
- Viti 2022 =$ 109 800
-Viti 2023= $ 90 000
•Terre des hommes "Sustainable reintegration of returned migrants in Albania " ( viti 2022-2023)
- Viti 2022 = 4 120 500
-Viti 2023 = 1 377 600</t>
  </si>
  <si>
    <t>Save the Children
"Shkollat per shendetin" per 2022-2024 , por nuk I ka te specifikuara buxhetet</t>
  </si>
  <si>
    <t>UNICEF Viti2021-2022 totla =$50000</t>
  </si>
  <si>
    <t>Save the children Arsimi Baze (2022-2024)
% e nxënësve të parlamentit të trajnuar</t>
  </si>
  <si>
    <t xml:space="preserve">I.1.4.a. Ngritja e strukturave/mekanizmave të pjesëmarrjes së fëmijëve në nivel qendror dhe vendor
• Zhvillimi i planeve te veprimit vendore për mobilizim dhe aktivizem i te rinjve në bashki (shpenzimet totale për hartimin e një plani 1 plan*500000lekë) 4 bashki 2021-2022 (planifikuar dhe 4 të tjera për 2023-2026)
</t>
  </si>
  <si>
    <t xml:space="preserve">I.1.4.c. Zhvillimi i programeve të edukimit digjital UPSHIFT, Ponder  për fëmijët në sipërmarrje, aftësim digjital, inovacion social, qytetari aktive, advokaci, mendim kritik dhe mendim mediatik
• Organizim i 3 cikleve UPSHIFT me pjesemarrjen e 150 te rinjve dhe perfshirjen e 40 mentoreve, mesuesve, institucioneve vendore.  (1 aktivitet*12 milionë lekë) 
• Organizimi i seminarit 3-ditor PONDER me 60 adoleshente dhe te rinj dhe perfshirjen e 25 mentoreve,  dhe partnereve te ndryshem ne nivel vendor, biznesin, media, etj. (3 seminare*3 ditë*85 persona)
• • Koordinimi i aktiviteteve nga stafi i MASR dhe DRA (4 persona x 11 ditë pune)
• Për periudhën 2023-2026 është planifikuar replikimi në 1 NJVQV
</t>
  </si>
  <si>
    <t>I.1.1 a Integrimi i çështjeve të fëmijëve në agjendën e punës së Grupeve të Menaxhimit të Politikave të Integruara, në koordinim me Këshillin Kombëtar për të Drejtat dhe Mbrojtjen e fëmijëve (KKDMF) (Kosto e stafit të MSHMS që bëjnë pjesë në GMPI, 4 persona në nivel drejtori, 11 ditë në gjashtemujor, paga&amp;sigurime, shpenzime operative 20% e pagave dhe sigurimeve, shpenzime konsulence 4 dite gjithesesj)</t>
  </si>
  <si>
    <t>1.1.1. c Fuqizimi i kapaciteteve të ASHMDF, përfshirë rishikimin e strukturës dhe zhvillimin e kapaciteteve të stafit.  (trajnime vjetore për rritjen e kapaciteve 10 persona x 2 ditë trajnim, ekspert për rritjen e kapaciteteve 10 dite në vit për hartimin e moduleve të trajnimit, kosto e stafit dhe ekspertize per rishikimin e struktures, rregullores dhe statutit (2022-2023), shpenzime për stafin e ri duke filluar nga 2024. Ne 2021 trajnime per rritje kapacitetesh ne NJVQV nga Tdh</t>
  </si>
  <si>
    <t>1.1.1 d Ngritja dhe funksionimi i një strukture qëndrore ndër-sektoriale për të hartuar dhe koordinuar iniciativën e qyteteve miqësore për fëmijët/adoleshentët, në koordinim me KKDMF. Ngritja e mekanizmave vendor për iniciativën e qyteteve miqësore. Hartimi i planeve të qyteteve miqësore të fëmijëve në të paktën 3 bashki, bazuar në analizën e situatës së fëmijëve. (hartimi i urdherit per krijimin e struktures qendrore,  ngritja e mekanizmave vendor ne 10 bashki (7 persona x 10 bashki x 11 dite ne vit), eksperte per hartimin e planeve vendore (3 eksperte x 10 dite), koordinimi i punes nga ana e bashkive (3 staf x 1 muaj)</t>
  </si>
  <si>
    <t>I.1.1 dh Shqyrtimi dhe koordinimi për adresimin dhe monitorimin e zbatimit të rekomandimeve me fokus fëmijët të institucioneve ndërkombëtare të të drejtave të njeriut (CRC, CEDAë, UPR);   (ekspertize 5 dite, kosti stafi 2 persona x 1 muaj)</t>
  </si>
  <si>
    <t>I.1.1.e Hartimi I raportit analitik mbi efektet e ndryshimeve klimaterike dhe të mjedisit tek fëmijët në Shqipëri për të informuar hartimin e planit kombëtar dhe atyre vendore mbi emergjencat civile. (kosto e stafit qe do merret me hartimin e raportit (5 persona x 3 muaj), kosto eksperti 6 dite ne vit)</t>
  </si>
  <si>
    <t>I.1.1.ë Adresimi i efekteve të ndryshimeve klimaterike dhe të mjedisit tek fëmijët gjatë hartimit të planit kombëtar dhe ato vendore të emergjencave civile (stafi I perfshire ne hartimin e planit kombetar 2 persona x 2 muaj, stafi I bashkive perfshire ne hartimin e planeve vendore 65 persona x 5.5 dite per person e shtrire ne 4 vjet 2023-2026)</t>
  </si>
  <si>
    <t>I.1.2.a .Ngritja e kapaciteteve të institucioneve për analizën e trendeve të buxhetimit dhe planifikimin sektorial buxhetor, me qëllim ri-prioritizimin e arritjes së rezulteteve për fëmijët. (paga e stafit te MFE dedikuar kesaj analize 1 person x 1 muaj, trajnim me personat pergjegjes hartimin  e raporteve monitoruese dhe pikat fokale ne Ministrite e Linjes, ekspertize 1 ekspert x 10 dite pune per 3 vjet)</t>
  </si>
  <si>
    <t>I.1.3.a. Planifikimi dhe kryerja e anketës studimore të treguesve të shumëfishtë për fëmijët (MICS) (kosto sipas anketave te ngjashme 7.5 milione leke ne total)</t>
  </si>
  <si>
    <t>I.1.3.bAnaliza e përditësuar e situatës së fëmijëve me aftësi të kufizuar, bazuar edhe në rezultatet e Censi dhe MICS (kosto e stafit te INSTAT 2 persona x 6 muaj, kosto e stafit te MSHMS 1 person x 6 muaj, eksperte I fushes 20 dite pune ne dy vite, kosto e publikimit 500 cope x 700 leke/cope)</t>
  </si>
  <si>
    <t>I.1.3.cAnalizë e përditësuar e situatës së fëmijëve Romë dhe Egjiptian, bazuar edhe në rezultatet e Censi dhe MICS (kosto e stafit te INSTAT 2 persona x 6 muaj, kosto e stafit te MSHMS 1 person x 6 muaj, eksperte I fushes 20 dite pune ne dy vite, kosto e publikimit 500 cope x 700 leke/cope)</t>
  </si>
  <si>
    <t>I.1.3.ç Përgatitja e përvitshme e botimit analatik statistikor të të dhënave për fëmijët, adoleshentët dhe të rinjtë dhe përditësimi i dashboard me të dhënat zyrtare (kosto e stafit te INSTAT 3 persona x 1 muaj, kosto e publikimit shume fikse 2.16 milion leke)</t>
  </si>
  <si>
    <t>I.1.3.d Rishikimi i VKM-së 636, datë 26.10.2018 ‘Për përcaktimin e llojeve, të mënyrës së shkëmbimit e të përpunimit të informacionit dhe të të dhënave statistikore, të kërkuara nga ASHMDF, pranë strukturarave shtetërore përgjegjëse në nivel qëndror dhe vendor’ (shpenzimet e stafit qe do te punojne per rishikimin e VKM-se (7 persona x 11 dite pune)</t>
  </si>
  <si>
    <t>I.1.3.dh Përditësimi i përvitshëm i statistikave të fëmijëve të mbledhura nga ASHMDF –  (statistikafemijet.gov.al) (kosto stafi per grumbullimin dhe perpunimin e statistikave 1 person x 1 muaj, shpenzime operative)</t>
  </si>
  <si>
    <t xml:space="preserve">II.1.1.c Organizimi dhe ndërmarrja e fushatave masive ndërgjegjësuese në nivel kombëtar dhe lokal për informimin lidhur me format e trafikimit dhe efektin e tij në jetën e individit dhe shoqërisë, përfshirë ndërgjegjësimin për të drejtat e VT/VMT.
Ref: Plani Kombëtar për Luftën kundër Trafikimit të Personave 2021-2023
</t>
  </si>
  <si>
    <t xml:space="preserve">II.1.1.d Ngritja e kursit të prindërimit/programeve/mbështetje/këshillim pranë qendrave shëndetsore ose pranë drejtorive të shërbimit social në nivel lokal (mbi disiplinat pozitive, mbi përgjegjësitë e përbashkëta dhe të barabarta të nënave dhe baballarëve kundrejt fëmijëve, për rritjen e fëmijëve të lirë nga stereotipet gjinore dhe edukimin e tyre mbi vlerat e barazisë gjinore të përshtatshme për të gjitha grup moshat);
Ref: Strategjia Kombëtare për Barazinë Gjinore 2021-2030
</t>
  </si>
  <si>
    <t>II.2.1.ç Hartimi dhe miratimi i një ligji të veçantë kundër trafikimit të personave dhe për mbrojtjen e T/VMT dhe përafrimi për aq sa është e mundur me Direktivën 2011/36 “Mbi parandalimin dhe luftën e trafikut të qenieve njerëzore dhe mbrojtjen e viktimave të tyre”
Ref: Plani Kombëtar i luftës kundër trafikimit të V/TVMT</t>
  </si>
  <si>
    <t>II.2.1.j Hartimi dhe miratimi i një udhëzimi të brendshëm ndërinstitucional në lidhje me njoftimin dhe heqjen e materialeve të paligjshme dhe të dëmshme të abuzimit seksual dhe shfrytëzimit të fëmijëve online
Ref: Strategjia Kombëtare për Sigurinë Kibernetike 2020-2025</t>
  </si>
  <si>
    <t>II.2.2.dh Ngritja e kapaciteteve të ekipeve ndërsektoriale (KRAT)në bazë të moduleve të çertifikuara dhe aprovuara nga QKEV mbi parandalimin dhe mbrojtjen e fëmijëve viktima/ viktimave të mundshme të trafikimit
Ref: Planit Kombëtar për luftën kundër trafikimit të personave 2021-2023</t>
  </si>
  <si>
    <t>II.2.2.e Trajnimi i strukturave gjyqësore për t’u specializuar për veprat penale të trafikimit me qëllim për të hetuar në mënyrë proaktive rastet e trafikimit të personave, për të kryer në mënyrë efektive procedurat e ndjekjes penale, për të përdorur teknika speciale të hetimit, për të fuqizuar kryerjen e hetimeve financiare 
Ref: Plani Kombëtar për Luftën kundër Trafikimit të Personave 2021-2023</t>
  </si>
  <si>
    <t>II.2.2.ë Trajnimi i punonjësve të policisë kufitare dhe migracionit, punonjësit doganorë, punonjësit e azilit dhe stafi i qendrave të pritjes dhe akomodimit të migrantëve  përfshirë stafin mjekësor për rritjen e kapaciteteve për identifikimin e VT/VMT mes azilkërkuesve, migrantëve dhe veçanërisht fëmijëve të pashoqëruar, pavarësisht aftësisë dhe/ose gatishmërisë së tyre për të bashkëpunuar.
Ref: Plani Kombëtar për Luftën kundër Trafikimit të Personave 2021-2023</t>
  </si>
  <si>
    <t>II.2.2.g Krijimi i sistemit për identifikimin, parandalimin dhe raportimin e dhunës, bullizmit dhe ekstremizmit në shkolla
Ref: Strategjia Kombëtare e Arsimit 2021-2026 (2.3.1)</t>
  </si>
  <si>
    <t>II.2.2.gj Shtimi i numrit të oficerëve të sigurisë në shkolla
Ref: Strategjia Kombëtare e Arsimit 2021-2026 (2.3.4)</t>
  </si>
  <si>
    <t>II.2.2.h Shtimi i numrit të punonjësve psiko-socialë në shkolla
Ref: Strategjia Kombëtare e Arsimit 2021-2026 (2.2.1)</t>
  </si>
  <si>
    <r>
      <t xml:space="preserve">II.2.2.k Përfshirja e indikatorëve të depistimit të keqtrajtimit të fëmijës, në kriteret e vlerësimit të performancës së institucioneve shëndetësore publike që ofrojnë kujdes për fëmijën (QSH-të, maternitetet, urgjencat e spitaleve) etj.
</t>
    </r>
    <r>
      <rPr>
        <sz val="10"/>
        <color theme="1"/>
        <rFont val="Calibri"/>
        <family val="2"/>
        <scheme val="minor"/>
      </rPr>
      <t>Ref: Dokumenti Strategjik dhe Plani i Veprimit për Shëndetin Seksual dhe Riprodhues 2017-2021</t>
    </r>
  </si>
  <si>
    <r>
      <t xml:space="preserve">II.2.2.l Forcimi i kapaciteteve të Linjës Kombëtare falas 116-006, dhe Aplikacionit “Raporto dhe Shpëto” për të mundësuar këshillimin dhe raportimin e rasteve të mundshme të TQNJ 
</t>
    </r>
    <r>
      <rPr>
        <sz val="10"/>
        <color theme="1"/>
        <rFont val="Calibri"/>
        <family val="2"/>
        <scheme val="minor"/>
      </rPr>
      <t>Ref: Plani Kombëtar për Luftën kundër Trafikimit të Personave 2021-2023</t>
    </r>
  </si>
  <si>
    <t>II.3.1.a Hartimi dhe miratimi i një udhëzimi specifik për standardet e ofrimit të shërbimeve dhe të funksionimit të “Qendrave me një ndalesë” për trajtimin e fëmijëve viktima të dhunës seksuale dhe formave të tjera të rënda të dhunës
• Kosto e stafit të MSHMS për lehtësimin dhe koordinimin (2 staf*11 ditë në vit)
• Ekspertizë e huaj (2 ekspert*15 ditë)
• Ekspertizë lokale (2 ekspert*15 ditë)
Ref: Konventa e Lanzarotës (Mbi ratifikimin e Këshillit të Evropës për mbrojtjen e fëmijëve nga abuzimi seksual dhe shfrytëzimi)</t>
  </si>
  <si>
    <r>
      <t xml:space="preserve">II.3.1.g Ngritja e kapaciteteve të personelit të gjyqësorit, prokurorisë dhe policisë,dhe të institucioneve të tjera ligjzbatuese të sistemit të drejtësisë për të identifikuar në kohë dhe adresuar shpejt rastet e fëmijëve viktima të abuzimit seksual online, në lidhje me mbrojtjen e fëmijëve në internet dhe sigurinë kibernetike, duke përfshirë evidenca të përdorimit digjital dhe ndihmën e ndërsjellë juridike
</t>
    </r>
    <r>
      <rPr>
        <sz val="10"/>
        <color theme="1"/>
        <rFont val="Calibri"/>
        <family val="2"/>
        <scheme val="minor"/>
      </rPr>
      <t>Ref: Strategjia Kombëtare për Sigurinë Kibernetike 2020-2025</t>
    </r>
  </si>
  <si>
    <t xml:space="preserve"> •Save the children Aksesi ne edukimin parashkollor.
• UNICEF Viti 2022-2023 =$20 000
Studim i realizuar për njohjen e pengesave të hasura për përfshirjen e fëmijëve në edukimin parashkollor</t>
  </si>
  <si>
    <t xml:space="preserve"> Save the Children IDELA
Instrument i hartuar</t>
  </si>
  <si>
    <t xml:space="preserve">Save the ChildrenKujdesi per Femijerine e Hershme( viti 2022-2023) 
% e punonjësve të trajnuar të bashkive </t>
  </si>
  <si>
    <t>Save the Children  "Kujdesi per Femijerine e Hershme"                    (viti 2022-2024) 
Nr i shoqatave, këshillave të prindërve të trajnuar dhe angazhuar</t>
  </si>
  <si>
    <t>Save the Children  "Kujdesi per Femijerine e Hershme"                    (viti 2022-2024) 
% e mësuesve të trajnuar</t>
  </si>
  <si>
    <t>Save the Children  "Kujdesi per Femijerine e Hershme"                    (viti 2022-2024) 
Instrumenta të hartuar</t>
  </si>
  <si>
    <t>UNICEF dhe WV  $ 2000
% e mësuesve të trajnuar</t>
  </si>
  <si>
    <t>Save the children "Fuqizimi I te Rinjve" (2021-2025)
Udhëzues i përgatitur</t>
  </si>
  <si>
    <t xml:space="preserve">
UNICEF Viti 2022-2023= $5000
Dokumenti i dakortësuar</t>
  </si>
  <si>
    <t>UNICEF Viti 2021-2022-2023 =$ 10000
Mekanizmi i ngritur</t>
  </si>
  <si>
    <t>UNICEF Viti 2021; 2022 ($50000);
Total Terre de Homes Programet "1.Resilience per parandalim dhe riintegrim I sigurt  2. Pergjigje emergjence ndaj situates se krijuar nga Pandemia COVID 19 3.Sustainable reintegration of returned migrants in Albania (2021-2022)
- Viti 2021=100 000 leke 
- Viti 2022= 490 000 leke
% e punonjësve të trajnuar; ditet e hapura ne komunitet</t>
  </si>
  <si>
    <t>•World Vision Albania 
Programi per Mbrojtjen e Femijeve; Tungjatjeta…Jete ; Qyteza e femijeve ne Korce qe ofron sherbime parandalimi; Inclusive COVID- 19 response for children with disabilities and their families in Albania
- Viti 2022 = $ 360 000
Nr. i shërbimeve të reja sociale për fëmijë
Nr. i përfituesve të shërbimeve të disagreguara sipas gjinisë/modeleve të shërbimeve</t>
  </si>
  <si>
    <t xml:space="preserve">
UNICEF 2022 -2023= 5000 USD 
Miratimi i të paktën 6 protokolleve dhe udhërrëfyesve</t>
  </si>
  <si>
    <t xml:space="preserve">Terres des Homes
1.Resilience per parandalim dhe riintegrim I sigurt 
2. Pergjigje emergjence ndaj situates se krijuar nga Pandemia COVID 19
- Viti 2022 = 200 000 leke
Nr i personelit të trajnuar  
Nr i shkollave të mbuluara me trajnime
</t>
  </si>
  <si>
    <t xml:space="preserve">
Terres des Homes
1.Resilience per parandalim dhe riintegrim I sigurt 
2. Pergjigje emergjence ndaj situates se krijuar nga Pandemia COVID 19
- Viti 2022 = 200 000 leke
Protokollet e miratuara.</t>
  </si>
  <si>
    <r>
      <t xml:space="preserve">UNICEF 2021= $10 000
Save the Children. 
"Shkollat per shendetin" viti 2021-2024 por nuk kane dhene detaje buxheti
Nr i politikave të hartuara;
Nr i shkollave ku janë implementatuar ndërhyrjet
</t>
    </r>
    <r>
      <rPr>
        <sz val="10"/>
        <color rgb="FFFF0000"/>
        <rFont val="Calibri"/>
        <family val="2"/>
        <scheme val="minor"/>
      </rPr>
      <t/>
    </r>
  </si>
  <si>
    <t>UNICEF 2021 -2022 = $5000
Grupi i punës i ngritur
Kritere të hartuara, të dakordësuara, dhe miratuara</t>
  </si>
  <si>
    <t xml:space="preserve"> 
UNICEF 2021 -2022-2023 = $10 000
Sisteme të mirëmbajtura 
Nr i punonjësve të policisë të trajnuar për “Teknikat shkencore të intervistimit të të miturve”
% e intervistave të regjistruara</t>
  </si>
  <si>
    <t xml:space="preserve">
UNICEF ne 2022 do jape 10,000 Dollare per trajnim te punojesve te sherbimit te proves.  
Jane 150 punonjes… 
Nr i fëmijëve që marrin pjesë në programet e drejtësisë restauruse dhe të ndërmjetësimit</t>
  </si>
  <si>
    <t xml:space="preserve">
$20,000 UNICEF
2 Konsulente per trajnimin e data collectors. 
2021-2022 
Zhvillimi i trajnimeve vjetore mbi hedhjen e të dhënave.Gjenerimi dhe publikimi i raporteve vjetore të sistemit</t>
  </si>
  <si>
    <t>$3,000 UNICEF
 Konsulente hartimi te udhezimit; viti 2022
Udhëzim i miratuar</t>
  </si>
  <si>
    <t>UNICEF
Trajnim viti 2021; 2022;2023
Trajnim 3 ditor per 20 punonjes 
Shuma totale: sa ta llogarisesh ti sipas kuotave qe ke.. trajner shqiptar. 
Nr i punonjësve të trajnuar</t>
  </si>
  <si>
    <t>Trajnim $10,000 UNICEF
Viti 2021-2026
250  ne total Nr i përfaqësuesve të trajnuar per 5 vjet</t>
  </si>
  <si>
    <t>$5,000 UNICEF
2022-2023
Akt nënligjor i miratuar</t>
  </si>
  <si>
    <t>Puka dhe Shkodra UNICEF
2021-2022 – 50,000 USD
- Trajnim 3 ditore 65 persona x 2 vite
- 20 Takime te grupeve te punes 
- Mbulimi i rasteve per 100 femije 
- Takime ndergjegjesuese ne shkolla dhe komunitet. 200 femije dhe 200 adult 
5 juridiksione të reja
Nr. i profesinistëve të trajnuar
Nr i fëmijëve në kontakt/konflikt me ligjin të mbështetur</t>
  </si>
  <si>
    <t>UNICEF Viti2021-2023 = 50 000 
4 laboratore digjitale 40 persona
4 Qendra Komunitare
# i pajisjeve</t>
  </si>
  <si>
    <t>Planifkim Menaxhim Administrim 01110 (MD)10430 Përkujdesja Sociale (MSHMS)</t>
  </si>
  <si>
    <t>AKCESK 01140 kodi institucionit (1087027) , 10430 Përkujdesja Sociale, AMA</t>
  </si>
</sst>
</file>

<file path=xl/styles.xml><?xml version="1.0" encoding="utf-8"?>
<styleSheet xmlns="http://schemas.openxmlformats.org/spreadsheetml/2006/main">
  <numFmts count="4">
    <numFmt numFmtId="41" formatCode="_(* #,##0_);_(* \(#,##0\);_(* &quot;-&quot;_);_(@_)"/>
    <numFmt numFmtId="43" formatCode="_(* #,##0.00_);_(* \(#,##0.00\);_(* &quot;-&quot;??_);_(@_)"/>
    <numFmt numFmtId="164" formatCode="_(* #,##0_);_(* \(#,##0\);_(* &quot;-&quot;??_);_(@_)"/>
    <numFmt numFmtId="165" formatCode="_(* #,##0.0_);_(* \(#,##0.0\);_(* &quot;-&quot;??_);_(@_)"/>
  </numFmts>
  <fonts count="28">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sz val="8"/>
      <color theme="1"/>
      <name val="Calibri"/>
      <family val="2"/>
      <scheme val="minor"/>
    </font>
    <font>
      <sz val="8"/>
      <name val="Calibri"/>
      <family val="2"/>
      <scheme val="minor"/>
    </font>
    <font>
      <b/>
      <sz val="11"/>
      <name val="Calibri"/>
      <family val="2"/>
      <scheme val="minor"/>
    </font>
    <font>
      <sz val="11"/>
      <name val="Calibri"/>
      <family val="2"/>
      <scheme val="minor"/>
    </font>
    <font>
      <i/>
      <sz val="11"/>
      <name val="Calibri"/>
      <family val="2"/>
      <scheme val="minor"/>
    </font>
    <font>
      <sz val="11"/>
      <color theme="0" tint="-0.249977111117893"/>
      <name val="Calibri"/>
      <family val="2"/>
      <scheme val="minor"/>
    </font>
    <font>
      <b/>
      <sz val="14"/>
      <color theme="1"/>
      <name val="Calibri"/>
      <family val="2"/>
      <scheme val="minor"/>
    </font>
    <font>
      <i/>
      <sz val="12"/>
      <color theme="1"/>
      <name val="Times New Roman"/>
      <family val="1"/>
    </font>
    <font>
      <sz val="10"/>
      <color theme="1"/>
      <name val="Tw Cen MT"/>
      <family val="2"/>
    </font>
    <font>
      <sz val="12"/>
      <color theme="1"/>
      <name val="Times New Roman"/>
      <family val="1"/>
    </font>
    <font>
      <b/>
      <sz val="12"/>
      <color theme="1"/>
      <name val="Times New Roman"/>
      <family val="1"/>
    </font>
    <font>
      <i/>
      <sz val="12"/>
      <name val="Times New Roman"/>
      <family val="1"/>
    </font>
    <font>
      <sz val="10"/>
      <color rgb="FFFF0000"/>
      <name val="Calibri"/>
      <family val="2"/>
      <scheme val="minor"/>
    </font>
    <font>
      <b/>
      <sz val="9"/>
      <color indexed="81"/>
      <name val="Tahoma"/>
      <family val="2"/>
    </font>
    <font>
      <sz val="9"/>
      <color indexed="81"/>
      <name val="Tahoma"/>
      <family val="2"/>
    </font>
    <font>
      <sz val="12"/>
      <color rgb="FFFF0000"/>
      <name val="Times New Roman"/>
      <family val="1"/>
    </font>
    <font>
      <i/>
      <sz val="12"/>
      <color rgb="FFFF0000"/>
      <name val="Times New Roman"/>
      <family val="1"/>
    </font>
    <font>
      <sz val="8"/>
      <color indexed="81"/>
      <name val="Tahoma"/>
      <family val="2"/>
    </font>
    <font>
      <b/>
      <sz val="8"/>
      <color indexed="81"/>
      <name val="Tahoma"/>
      <family val="2"/>
    </font>
    <font>
      <sz val="12"/>
      <color theme="1"/>
      <name val="Calibri"/>
      <family val="2"/>
      <scheme val="minor"/>
    </font>
    <font>
      <sz val="11"/>
      <color theme="1"/>
      <name val="Times New Roman"/>
      <family val="1"/>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9.9978637043366805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49">
    <xf numFmtId="0" fontId="0" fillId="0" borderId="0" xfId="0"/>
    <xf numFmtId="0" fontId="0" fillId="3" borderId="0" xfId="0" applyFill="1"/>
    <xf numFmtId="0" fontId="3" fillId="3" borderId="0" xfId="0" applyFont="1" applyFill="1"/>
    <xf numFmtId="0" fontId="3" fillId="3" borderId="0" xfId="0" applyFont="1" applyFill="1" applyAlignment="1">
      <alignment horizontal="center"/>
    </xf>
    <xf numFmtId="0" fontId="4" fillId="3" borderId="0" xfId="0" applyFont="1" applyFill="1"/>
    <xf numFmtId="0" fontId="3" fillId="0" borderId="0" xfId="0" applyFont="1"/>
    <xf numFmtId="0" fontId="3" fillId="3"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0" borderId="0" xfId="0" applyFont="1" applyAlignment="1">
      <alignment horizontal="center" vertical="center" wrapText="1"/>
    </xf>
    <xf numFmtId="0" fontId="3"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0" borderId="0" xfId="0" applyFont="1" applyAlignment="1">
      <alignment horizontal="center"/>
    </xf>
    <xf numFmtId="164" fontId="3" fillId="2" borderId="1" xfId="1" applyNumberFormat="1" applyFont="1" applyFill="1" applyBorder="1"/>
    <xf numFmtId="164" fontId="4" fillId="3" borderId="1" xfId="0" applyNumberFormat="1" applyFont="1" applyFill="1" applyBorder="1"/>
    <xf numFmtId="41" fontId="4" fillId="2" borderId="1" xfId="0" applyNumberFormat="1" applyFont="1" applyFill="1" applyBorder="1"/>
    <xf numFmtId="0" fontId="3" fillId="0" borderId="0" xfId="0" applyFont="1" applyBorder="1"/>
    <xf numFmtId="0" fontId="3" fillId="0" borderId="0" xfId="0" applyFont="1" applyAlignment="1">
      <alignment horizontal="left"/>
    </xf>
    <xf numFmtId="0" fontId="7" fillId="3" borderId="0" xfId="0" applyFont="1" applyFill="1" applyAlignment="1">
      <alignment horizontal="center"/>
    </xf>
    <xf numFmtId="0" fontId="7" fillId="2" borderId="1" xfId="0" applyFont="1" applyFill="1" applyBorder="1" applyAlignment="1">
      <alignment horizontal="center" vertical="top" wrapText="1"/>
    </xf>
    <xf numFmtId="0" fontId="7" fillId="0" borderId="0" xfId="0" applyFont="1" applyAlignment="1">
      <alignment horizontal="center"/>
    </xf>
    <xf numFmtId="0" fontId="8" fillId="2" borderId="1" xfId="0" applyFont="1" applyFill="1" applyBorder="1" applyAlignment="1">
      <alignment horizontal="center" vertical="top" wrapText="1"/>
    </xf>
    <xf numFmtId="0" fontId="3" fillId="2" borderId="0" xfId="0" applyFont="1" applyFill="1" applyBorder="1" applyAlignment="1">
      <alignment horizontal="left" vertical="top" wrapText="1"/>
    </xf>
    <xf numFmtId="0" fontId="3" fillId="0" borderId="0" xfId="0" applyFont="1" applyFill="1"/>
    <xf numFmtId="0" fontId="5" fillId="0" borderId="0" xfId="0" applyFont="1" applyFill="1"/>
    <xf numFmtId="0" fontId="3" fillId="2" borderId="14" xfId="0" applyFont="1" applyFill="1" applyBorder="1"/>
    <xf numFmtId="0" fontId="3" fillId="2" borderId="10" xfId="0" applyFont="1" applyFill="1" applyBorder="1" applyAlignment="1">
      <alignment horizontal="left" vertical="top" wrapText="1"/>
    </xf>
    <xf numFmtId="0" fontId="3" fillId="2" borderId="1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7" xfId="0" applyFont="1" applyFill="1" applyBorder="1" applyAlignment="1">
      <alignment horizontal="center" vertical="top" wrapText="1"/>
    </xf>
    <xf numFmtId="0" fontId="3" fillId="0" borderId="14" xfId="0" applyFont="1" applyFill="1" applyBorder="1"/>
    <xf numFmtId="0" fontId="10" fillId="0" borderId="0" xfId="0" applyFont="1"/>
    <xf numFmtId="0" fontId="10" fillId="3" borderId="0" xfId="0" applyFont="1" applyFill="1"/>
    <xf numFmtId="0" fontId="10" fillId="4" borderId="1" xfId="0" applyFont="1" applyFill="1" applyBorder="1" applyAlignment="1">
      <alignment horizontal="center" vertical="top" wrapText="1"/>
    </xf>
    <xf numFmtId="164" fontId="10" fillId="0" borderId="0" xfId="0" applyNumberFormat="1" applyFont="1"/>
    <xf numFmtId="0" fontId="3" fillId="6" borderId="1" xfId="0" applyFont="1" applyFill="1" applyBorder="1" applyAlignment="1">
      <alignment horizontal="center" vertical="top" wrapText="1"/>
    </xf>
    <xf numFmtId="0" fontId="5" fillId="5" borderId="11" xfId="0" applyFont="1" applyFill="1" applyBorder="1" applyAlignment="1">
      <alignment horizontal="left" vertical="top" wrapText="1"/>
    </xf>
    <xf numFmtId="0" fontId="3" fillId="5" borderId="11" xfId="0" applyFont="1" applyFill="1" applyBorder="1" applyAlignment="1">
      <alignment horizontal="left" vertical="top" wrapText="1"/>
    </xf>
    <xf numFmtId="0" fontId="5" fillId="5" borderId="1" xfId="0" applyFont="1" applyFill="1" applyBorder="1" applyAlignment="1">
      <alignment horizontal="center" vertical="top" wrapText="1"/>
    </xf>
    <xf numFmtId="164" fontId="5" fillId="5" borderId="1" xfId="0" applyNumberFormat="1" applyFont="1" applyFill="1" applyBorder="1" applyAlignment="1">
      <alignment horizontal="center" vertical="top" wrapText="1"/>
    </xf>
    <xf numFmtId="164" fontId="5" fillId="6" borderId="1" xfId="0" applyNumberFormat="1" applyFont="1" applyFill="1" applyBorder="1" applyAlignment="1">
      <alignment horizontal="center" vertical="top" wrapText="1"/>
    </xf>
    <xf numFmtId="0" fontId="5" fillId="6" borderId="1" xfId="0" applyFont="1" applyFill="1" applyBorder="1" applyAlignment="1">
      <alignment horizontal="center" vertical="top" wrapText="1"/>
    </xf>
    <xf numFmtId="0" fontId="3" fillId="6" borderId="6" xfId="0" applyFont="1" applyFill="1" applyBorder="1" applyAlignment="1">
      <alignment horizontal="left" vertical="top" wrapText="1"/>
    </xf>
    <xf numFmtId="0" fontId="6" fillId="2" borderId="4" xfId="0" applyFont="1" applyFill="1" applyBorder="1" applyAlignment="1">
      <alignment horizontal="center" vertical="center" wrapText="1"/>
    </xf>
    <xf numFmtId="0" fontId="0" fillId="4" borderId="0" xfId="0" applyFill="1"/>
    <xf numFmtId="0" fontId="0" fillId="4" borderId="1" xfId="0" applyFill="1" applyBorder="1" applyAlignment="1">
      <alignment vertical="center"/>
    </xf>
    <xf numFmtId="0" fontId="3" fillId="6" borderId="1" xfId="0" applyFont="1" applyFill="1" applyBorder="1" applyAlignment="1">
      <alignment horizontal="left" vertical="top" wrapText="1"/>
    </xf>
    <xf numFmtId="164" fontId="0" fillId="2" borderId="1" xfId="1" applyNumberFormat="1" applyFont="1" applyFill="1" applyBorder="1"/>
    <xf numFmtId="164" fontId="0" fillId="5" borderId="1" xfId="1" applyNumberFormat="1" applyFont="1" applyFill="1" applyBorder="1"/>
    <xf numFmtId="164" fontId="0" fillId="6" borderId="1" xfId="1" applyNumberFormat="1" applyFont="1" applyFill="1" applyBorder="1"/>
    <xf numFmtId="164" fontId="0" fillId="2" borderId="1" xfId="1" applyNumberFormat="1" applyFont="1" applyFill="1" applyBorder="1" applyAlignment="1">
      <alignment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3" fillId="2" borderId="14" xfId="0" applyFont="1" applyFill="1" applyBorder="1" applyAlignment="1">
      <alignment vertical="top" wrapText="1"/>
    </xf>
    <xf numFmtId="0" fontId="3" fillId="2" borderId="13" xfId="0" applyFont="1" applyFill="1" applyBorder="1" applyAlignment="1">
      <alignment vertical="top" wrapText="1"/>
    </xf>
    <xf numFmtId="0" fontId="3" fillId="2" borderId="10" xfId="0" applyFont="1" applyFill="1" applyBorder="1" applyAlignment="1">
      <alignment vertical="top" wrapText="1"/>
    </xf>
    <xf numFmtId="0" fontId="3" fillId="2" borderId="13" xfId="0" applyFont="1" applyFill="1" applyBorder="1" applyAlignment="1">
      <alignment vertical="center" wrapText="1"/>
    </xf>
    <xf numFmtId="0" fontId="3" fillId="2" borderId="4" xfId="0" applyFont="1" applyFill="1" applyBorder="1" applyAlignment="1">
      <alignment vertical="center" wrapText="1"/>
    </xf>
    <xf numFmtId="164" fontId="10" fillId="0" borderId="1" xfId="1" applyNumberFormat="1" applyFont="1" applyFill="1" applyBorder="1"/>
    <xf numFmtId="9" fontId="10" fillId="0" borderId="1" xfId="2" applyFont="1" applyFill="1" applyBorder="1" applyAlignment="1">
      <alignment horizontal="center"/>
    </xf>
    <xf numFmtId="164" fontId="10" fillId="0" borderId="1" xfId="1" applyNumberFormat="1" applyFont="1" applyFill="1" applyBorder="1" applyAlignment="1">
      <alignment horizontal="center"/>
    </xf>
    <xf numFmtId="164" fontId="10" fillId="0" borderId="4" xfId="1" applyNumberFormat="1" applyFont="1" applyFill="1" applyBorder="1" applyAlignment="1"/>
    <xf numFmtId="9" fontId="10" fillId="0" borderId="4" xfId="2" applyFont="1" applyFill="1" applyBorder="1" applyAlignment="1">
      <alignment horizontal="center"/>
    </xf>
    <xf numFmtId="0" fontId="0" fillId="4" borderId="1" xfId="0" applyFill="1" applyBorder="1"/>
    <xf numFmtId="0" fontId="10" fillId="4" borderId="1" xfId="0" applyFont="1" applyFill="1" applyBorder="1"/>
    <xf numFmtId="164" fontId="10" fillId="4" borderId="1" xfId="1" applyNumberFormat="1" applyFont="1" applyFill="1" applyBorder="1"/>
    <xf numFmtId="0" fontId="10" fillId="4" borderId="0" xfId="0" applyFont="1" applyFill="1"/>
    <xf numFmtId="0" fontId="9" fillId="4" borderId="0" xfId="0" applyFont="1" applyFill="1"/>
    <xf numFmtId="164" fontId="10" fillId="4" borderId="0" xfId="0" applyNumberFormat="1" applyFont="1" applyFill="1"/>
    <xf numFmtId="0" fontId="10" fillId="4" borderId="0" xfId="0" applyFont="1" applyFill="1" applyBorder="1" applyAlignment="1">
      <alignment horizontal="center"/>
    </xf>
    <xf numFmtId="0" fontId="11" fillId="4" borderId="0" xfId="0" applyFont="1" applyFill="1" applyBorder="1"/>
    <xf numFmtId="164" fontId="10" fillId="4" borderId="0" xfId="1" applyNumberFormat="1" applyFont="1" applyFill="1" applyBorder="1"/>
    <xf numFmtId="0" fontId="10" fillId="4" borderId="1" xfId="0" applyFont="1" applyFill="1" applyBorder="1" applyAlignment="1">
      <alignment vertical="top" wrapText="1"/>
    </xf>
    <xf numFmtId="0" fontId="10" fillId="4" borderId="1" xfId="0" applyFont="1" applyFill="1" applyBorder="1" applyAlignment="1">
      <alignment horizontal="left"/>
    </xf>
    <xf numFmtId="0" fontId="10" fillId="4" borderId="0" xfId="0" applyFont="1" applyFill="1" applyBorder="1" applyAlignment="1">
      <alignment horizontal="left"/>
    </xf>
    <xf numFmtId="0" fontId="5" fillId="7" borderId="0" xfId="0" applyFont="1" applyFill="1" applyAlignment="1">
      <alignment vertical="top"/>
    </xf>
    <xf numFmtId="0" fontId="3" fillId="7" borderId="0" xfId="0" applyFont="1" applyFill="1" applyAlignment="1">
      <alignment horizontal="left"/>
    </xf>
    <xf numFmtId="0" fontId="0" fillId="7" borderId="0" xfId="0" applyFill="1"/>
    <xf numFmtId="0" fontId="5" fillId="0" borderId="0" xfId="0" applyFont="1" applyFill="1" applyBorder="1" applyAlignment="1">
      <alignment horizontal="center" vertical="top" wrapText="1"/>
    </xf>
    <xf numFmtId="164" fontId="0" fillId="8" borderId="1" xfId="1" applyNumberFormat="1" applyFont="1" applyFill="1" applyBorder="1"/>
    <xf numFmtId="164" fontId="0" fillId="8" borderId="1" xfId="1" applyNumberFormat="1" applyFont="1" applyFill="1" applyBorder="1" applyAlignment="1">
      <alignment wrapText="1"/>
    </xf>
    <xf numFmtId="164" fontId="5" fillId="0" borderId="1" xfId="0" applyNumberFormat="1" applyFont="1" applyFill="1" applyBorder="1"/>
    <xf numFmtId="0" fontId="3" fillId="6" borderId="3" xfId="0" applyFont="1" applyFill="1" applyBorder="1" applyAlignment="1">
      <alignment horizontal="left" vertical="top" wrapText="1"/>
    </xf>
    <xf numFmtId="0" fontId="3" fillId="2" borderId="11" xfId="0" applyFont="1" applyFill="1" applyBorder="1" applyAlignment="1">
      <alignment horizontal="center" vertical="center" wrapText="1"/>
    </xf>
    <xf numFmtId="0" fontId="3" fillId="2" borderId="15" xfId="0" applyFont="1" applyFill="1" applyBorder="1" applyAlignment="1">
      <alignment horizontal="left" vertical="top" wrapText="1"/>
    </xf>
    <xf numFmtId="0" fontId="3" fillId="2" borderId="15" xfId="0" applyFont="1" applyFill="1" applyBorder="1" applyAlignment="1">
      <alignment vertical="top" wrapText="1"/>
    </xf>
    <xf numFmtId="0" fontId="12" fillId="3" borderId="0" xfId="0" applyFont="1" applyFill="1"/>
    <xf numFmtId="164" fontId="12" fillId="3" borderId="0" xfId="0" applyNumberFormat="1" applyFont="1" applyFill="1"/>
    <xf numFmtId="164" fontId="0" fillId="3" borderId="14" xfId="1" applyNumberFormat="1" applyFont="1" applyFill="1" applyBorder="1"/>
    <xf numFmtId="164" fontId="0" fillId="3" borderId="0" xfId="1" applyNumberFormat="1" applyFont="1" applyFill="1"/>
    <xf numFmtId="164" fontId="0" fillId="0" borderId="0" xfId="1" applyNumberFormat="1" applyFont="1"/>
    <xf numFmtId="164" fontId="4" fillId="2" borderId="4" xfId="1" applyNumberFormat="1" applyFont="1" applyFill="1" applyBorder="1" applyAlignment="1">
      <alignment horizontal="center" vertical="center" wrapText="1"/>
    </xf>
    <xf numFmtId="164" fontId="3" fillId="8" borderId="4" xfId="1" applyNumberFormat="1" applyFont="1" applyFill="1" applyBorder="1" applyAlignment="1">
      <alignment horizontal="center" vertical="center" wrapText="1"/>
    </xf>
    <xf numFmtId="164" fontId="4" fillId="8" borderId="4" xfId="1" applyNumberFormat="1" applyFont="1" applyFill="1" applyBorder="1" applyAlignment="1">
      <alignment horizontal="center" vertical="center" wrapText="1"/>
    </xf>
    <xf numFmtId="164" fontId="12" fillId="3" borderId="0" xfId="1" applyNumberFormat="1" applyFont="1" applyFill="1"/>
    <xf numFmtId="0" fontId="3" fillId="2" borderId="11" xfId="0" applyFont="1" applyFill="1" applyBorder="1" applyAlignment="1">
      <alignment horizontal="center" vertical="center" wrapText="1"/>
    </xf>
    <xf numFmtId="0" fontId="3" fillId="3" borderId="0" xfId="0" applyFont="1" applyFill="1" applyAlignment="1">
      <alignment wrapText="1"/>
    </xf>
    <xf numFmtId="0" fontId="5" fillId="3" borderId="0" xfId="0" applyFont="1" applyFill="1" applyAlignment="1">
      <alignment wrapText="1"/>
    </xf>
    <xf numFmtId="0" fontId="7" fillId="3" borderId="0" xfId="0" applyFont="1" applyFill="1" applyAlignment="1">
      <alignment horizontal="center" wrapText="1"/>
    </xf>
    <xf numFmtId="0" fontId="3" fillId="3" borderId="0" xfId="0" applyFont="1" applyFill="1" applyAlignment="1">
      <alignment horizontal="center" wrapText="1"/>
    </xf>
    <xf numFmtId="0" fontId="3" fillId="2" borderId="14" xfId="0" applyFont="1" applyFill="1" applyBorder="1" applyAlignment="1">
      <alignment wrapText="1"/>
    </xf>
    <xf numFmtId="0" fontId="3" fillId="2" borderId="10" xfId="0" applyFont="1" applyFill="1" applyBorder="1" applyAlignment="1">
      <alignment horizontal="left"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2"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2" borderId="1" xfId="1" applyNumberFormat="1" applyFont="1" applyFill="1" applyBorder="1" applyAlignment="1">
      <alignment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3" fillId="3" borderId="1" xfId="1" applyNumberFormat="1" applyFont="1" applyFill="1" applyBorder="1" applyAlignment="1">
      <alignment wrapText="1"/>
    </xf>
    <xf numFmtId="0" fontId="3" fillId="2" borderId="5" xfId="0" applyFont="1" applyFill="1" applyBorder="1" applyAlignment="1">
      <alignment wrapText="1"/>
    </xf>
    <xf numFmtId="164" fontId="3" fillId="2" borderId="1" xfId="0" applyNumberFormat="1" applyFont="1" applyFill="1" applyBorder="1" applyAlignment="1">
      <alignment wrapText="1"/>
    </xf>
    <xf numFmtId="0" fontId="3" fillId="0" borderId="0" xfId="0" applyFont="1" applyFill="1" applyAlignment="1">
      <alignment wrapText="1"/>
    </xf>
    <xf numFmtId="0" fontId="3" fillId="2" borderId="2" xfId="0" applyFont="1" applyFill="1" applyBorder="1" applyAlignment="1">
      <alignment wrapText="1"/>
    </xf>
    <xf numFmtId="0" fontId="5" fillId="6" borderId="5" xfId="0" applyFont="1" applyFill="1" applyBorder="1" applyAlignment="1">
      <alignment wrapText="1"/>
    </xf>
    <xf numFmtId="164" fontId="5" fillId="6" borderId="1" xfId="0" applyNumberFormat="1" applyFont="1" applyFill="1" applyBorder="1" applyAlignment="1">
      <alignment wrapText="1"/>
    </xf>
    <xf numFmtId="0" fontId="3" fillId="2" borderId="6" xfId="0" applyFont="1" applyFill="1" applyBorder="1" applyAlignment="1">
      <alignment vertical="center" wrapText="1"/>
    </xf>
    <xf numFmtId="0" fontId="3" fillId="2" borderId="14" xfId="0" applyFont="1" applyFill="1" applyBorder="1" applyAlignment="1">
      <alignment horizontal="left" wrapText="1"/>
    </xf>
    <xf numFmtId="0" fontId="3" fillId="2" borderId="0" xfId="0" applyFont="1" applyFill="1" applyBorder="1" applyAlignment="1">
      <alignment vertical="top" wrapText="1"/>
    </xf>
    <xf numFmtId="0" fontId="3" fillId="2" borderId="8" xfId="0" applyFont="1" applyFill="1" applyBorder="1" applyAlignment="1">
      <alignment horizontal="left" wrapText="1"/>
    </xf>
    <xf numFmtId="0" fontId="3" fillId="2" borderId="4" xfId="0" applyFont="1" applyFill="1" applyBorder="1" applyAlignment="1">
      <alignment vertical="top" wrapText="1"/>
    </xf>
    <xf numFmtId="0" fontId="3" fillId="2" borderId="7" xfId="0" applyFont="1" applyFill="1" applyBorder="1" applyAlignment="1">
      <alignment horizontal="left" wrapText="1"/>
    </xf>
    <xf numFmtId="0" fontId="3" fillId="0" borderId="0" xfId="0" applyFont="1" applyAlignment="1">
      <alignment horizontal="left" wrapText="1"/>
    </xf>
    <xf numFmtId="0" fontId="3" fillId="3" borderId="1" xfId="1" applyNumberFormat="1" applyFont="1" applyFill="1" applyBorder="1" applyAlignment="1">
      <alignment wrapText="1"/>
    </xf>
    <xf numFmtId="0" fontId="3" fillId="3" borderId="0" xfId="0" applyNumberFormat="1" applyFont="1" applyFill="1" applyAlignment="1">
      <alignment wrapText="1"/>
    </xf>
    <xf numFmtId="0" fontId="3"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top" wrapText="1"/>
    </xf>
    <xf numFmtId="0" fontId="5" fillId="5" borderId="1" xfId="0" applyNumberFormat="1" applyFont="1" applyFill="1" applyBorder="1" applyAlignment="1">
      <alignment horizontal="center" vertical="top" wrapText="1"/>
    </xf>
    <xf numFmtId="0" fontId="5" fillId="6" borderId="1" xfId="0" applyNumberFormat="1" applyFont="1" applyFill="1" applyBorder="1" applyAlignment="1">
      <alignment horizontal="center" vertical="top" wrapText="1"/>
    </xf>
    <xf numFmtId="0" fontId="3" fillId="2" borderId="3" xfId="0" applyNumberFormat="1" applyFont="1" applyFill="1" applyBorder="1" applyAlignment="1">
      <alignment wrapText="1"/>
    </xf>
    <xf numFmtId="0" fontId="5" fillId="6" borderId="3" xfId="0" applyNumberFormat="1" applyFont="1" applyFill="1" applyBorder="1" applyAlignment="1">
      <alignment wrapText="1"/>
    </xf>
    <xf numFmtId="0" fontId="3" fillId="0" borderId="0" xfId="0" applyNumberFormat="1" applyFont="1"/>
    <xf numFmtId="0" fontId="3" fillId="3" borderId="1" xfId="1" applyNumberFormat="1" applyFont="1" applyFill="1" applyBorder="1" applyAlignment="1">
      <alignment vertical="top" wrapText="1"/>
    </xf>
    <xf numFmtId="0" fontId="15" fillId="3" borderId="1" xfId="0" applyFont="1" applyFill="1" applyBorder="1"/>
    <xf numFmtId="0" fontId="15" fillId="3" borderId="1" xfId="0" applyFont="1" applyFill="1" applyBorder="1" applyAlignment="1">
      <alignment horizontal="center"/>
    </xf>
    <xf numFmtId="0" fontId="3" fillId="3" borderId="3" xfId="1" applyNumberFormat="1" applyFont="1" applyFill="1" applyBorder="1" applyAlignment="1">
      <alignment wrapText="1"/>
    </xf>
    <xf numFmtId="0" fontId="3" fillId="3" borderId="3" xfId="0" applyFont="1" applyFill="1" applyBorder="1" applyAlignment="1">
      <alignment wrapText="1"/>
    </xf>
    <xf numFmtId="0" fontId="3" fillId="2" borderId="11" xfId="0" applyFont="1" applyFill="1" applyBorder="1" applyAlignment="1">
      <alignment vertical="top" wrapText="1"/>
    </xf>
    <xf numFmtId="0" fontId="3" fillId="6" borderId="11" xfId="0" applyFont="1" applyFill="1" applyBorder="1" applyAlignment="1">
      <alignment horizontal="left" vertical="top" wrapText="1"/>
    </xf>
    <xf numFmtId="0" fontId="3" fillId="2" borderId="15" xfId="0" applyFont="1" applyFill="1" applyBorder="1" applyAlignment="1">
      <alignment horizontal="left" vertical="top" wrapText="1"/>
    </xf>
    <xf numFmtId="0" fontId="3" fillId="6" borderId="3" xfId="0" applyFont="1" applyFill="1" applyBorder="1" applyAlignment="1">
      <alignment horizontal="left" vertical="top" wrapText="1"/>
    </xf>
    <xf numFmtId="0" fontId="16" fillId="2" borderId="14" xfId="0" applyFont="1" applyFill="1" applyBorder="1" applyAlignment="1">
      <alignment wrapText="1"/>
    </xf>
    <xf numFmtId="0" fontId="16" fillId="2" borderId="0" xfId="0" applyFont="1" applyFill="1" applyBorder="1" applyAlignment="1">
      <alignment horizontal="left" vertical="top" wrapText="1"/>
    </xf>
    <xf numFmtId="0" fontId="16" fillId="2" borderId="13" xfId="0" applyFont="1" applyFill="1" applyBorder="1" applyAlignment="1">
      <alignment vertical="top" wrapText="1"/>
    </xf>
    <xf numFmtId="0" fontId="16" fillId="2" borderId="13" xfId="0" applyFont="1" applyFill="1" applyBorder="1" applyAlignment="1">
      <alignment vertical="center" wrapText="1"/>
    </xf>
    <xf numFmtId="0" fontId="16" fillId="2" borderId="4" xfId="0" applyFont="1" applyFill="1" applyBorder="1" applyAlignment="1">
      <alignment vertical="center" wrapText="1"/>
    </xf>
    <xf numFmtId="0" fontId="16" fillId="2" borderId="1" xfId="0" applyFont="1" applyFill="1" applyBorder="1" applyAlignment="1">
      <alignment horizontal="left" wrapText="1"/>
    </xf>
    <xf numFmtId="0" fontId="16" fillId="2" borderId="10" xfId="0" applyFont="1" applyFill="1" applyBorder="1" applyAlignment="1">
      <alignment horizontal="left" wrapText="1"/>
    </xf>
    <xf numFmtId="0" fontId="16" fillId="2" borderId="10"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8" xfId="0" applyFont="1" applyFill="1" applyBorder="1" applyAlignment="1">
      <alignment vertical="top" wrapText="1"/>
    </xf>
    <xf numFmtId="0" fontId="17" fillId="5" borderId="11"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6" borderId="11" xfId="0" applyFont="1" applyFill="1" applyBorder="1" applyAlignment="1">
      <alignment horizontal="left" vertical="top" wrapText="1"/>
    </xf>
    <xf numFmtId="0" fontId="5" fillId="7" borderId="6" xfId="0" applyFont="1" applyFill="1" applyBorder="1" applyAlignment="1">
      <alignment horizontal="center" vertical="top" wrapText="1"/>
    </xf>
    <xf numFmtId="0" fontId="3" fillId="6" borderId="3" xfId="0" applyFont="1" applyFill="1" applyBorder="1" applyAlignment="1">
      <alignment horizontal="left" vertical="top" wrapText="1"/>
    </xf>
    <xf numFmtId="0" fontId="3" fillId="2" borderId="15" xfId="0" applyFont="1" applyFill="1" applyBorder="1" applyAlignment="1">
      <alignment horizontal="left" vertical="top" wrapText="1"/>
    </xf>
    <xf numFmtId="0" fontId="18" fillId="0" borderId="1" xfId="0" applyFont="1" applyFill="1" applyBorder="1" applyAlignment="1">
      <alignment horizontal="left" vertical="top" wrapText="1"/>
    </xf>
    <xf numFmtId="0" fontId="3" fillId="2" borderId="14" xfId="0" applyFont="1" applyFill="1" applyBorder="1" applyAlignment="1">
      <alignment horizontal="right" wrapText="1"/>
    </xf>
    <xf numFmtId="165" fontId="3" fillId="3" borderId="1" xfId="1" applyNumberFormat="1" applyFont="1" applyFill="1" applyBorder="1" applyAlignment="1">
      <alignment horizontal="center" wrapText="1"/>
    </xf>
    <xf numFmtId="0" fontId="19" fillId="3" borderId="1" xfId="1" applyNumberFormat="1" applyFont="1" applyFill="1" applyBorder="1" applyAlignment="1">
      <alignment wrapText="1"/>
    </xf>
    <xf numFmtId="0" fontId="14" fillId="0" borderId="4" xfId="0" applyFont="1" applyFill="1" applyBorder="1" applyAlignment="1">
      <alignment horizontal="left" vertical="top" wrapText="1"/>
    </xf>
    <xf numFmtId="0" fontId="14" fillId="0" borderId="4" xfId="0" applyFont="1" applyBorder="1" applyAlignment="1">
      <alignment horizontal="left" vertical="top" wrapText="1"/>
    </xf>
    <xf numFmtId="0" fontId="18" fillId="0" borderId="1" xfId="0" applyFont="1" applyBorder="1" applyAlignment="1">
      <alignment horizontal="left" vertical="top" wrapText="1"/>
    </xf>
    <xf numFmtId="0" fontId="3" fillId="2" borderId="15" xfId="0" applyFont="1" applyFill="1" applyBorder="1" applyAlignment="1">
      <alignment horizontal="left" wrapText="1"/>
    </xf>
    <xf numFmtId="0" fontId="14" fillId="0" borderId="1" xfId="0" applyFont="1" applyFill="1" applyBorder="1" applyAlignment="1">
      <alignment horizontal="left" vertical="top" wrapText="1"/>
    </xf>
    <xf numFmtId="0" fontId="4" fillId="3" borderId="3" xfId="0" applyFont="1" applyFill="1" applyBorder="1"/>
    <xf numFmtId="164" fontId="4" fillId="3" borderId="4" xfId="0" applyNumberFormat="1" applyFont="1" applyFill="1" applyBorder="1"/>
    <xf numFmtId="0" fontId="22" fillId="2" borderId="14" xfId="0" applyFont="1" applyFill="1" applyBorder="1" applyAlignment="1">
      <alignment vertical="top" wrapText="1"/>
    </xf>
    <xf numFmtId="0" fontId="19" fillId="2" borderId="14" xfId="0" applyFont="1" applyFill="1" applyBorder="1" applyAlignment="1">
      <alignment vertical="top" wrapText="1"/>
    </xf>
    <xf numFmtId="0" fontId="19" fillId="2" borderId="8" xfId="0" applyFont="1" applyFill="1" applyBorder="1" applyAlignment="1">
      <alignment vertical="top" wrapText="1"/>
    </xf>
    <xf numFmtId="0" fontId="19" fillId="2" borderId="14" xfId="0" applyFont="1" applyFill="1" applyBorder="1" applyAlignment="1">
      <alignment horizontal="left" wrapText="1"/>
    </xf>
    <xf numFmtId="0" fontId="19" fillId="2" borderId="10" xfId="0" applyFont="1" applyFill="1" applyBorder="1" applyAlignment="1">
      <alignment horizontal="left" wrapText="1"/>
    </xf>
    <xf numFmtId="0" fontId="23" fillId="0" borderId="1" xfId="0" applyFont="1" applyBorder="1" applyAlignment="1">
      <alignment horizontal="left" vertical="top" wrapText="1"/>
    </xf>
    <xf numFmtId="0" fontId="19" fillId="2" borderId="15" xfId="0" applyFont="1" applyFill="1" applyBorder="1" applyAlignment="1">
      <alignment vertical="top"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4" fillId="3" borderId="1" xfId="0" applyNumberFormat="1" applyFont="1" applyFill="1" applyBorder="1"/>
    <xf numFmtId="0" fontId="3" fillId="3" borderId="1" xfId="0" applyFont="1" applyFill="1" applyBorder="1" applyAlignment="1">
      <alignment wrapText="1"/>
    </xf>
    <xf numFmtId="0" fontId="3" fillId="3" borderId="1" xfId="0" applyFont="1" applyFill="1" applyBorder="1" applyAlignment="1">
      <alignment horizontal="center"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4" fillId="3" borderId="1" xfId="0" applyNumberFormat="1" applyFont="1" applyFill="1" applyBorder="1"/>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4" fillId="3" borderId="1" xfId="0" applyNumberFormat="1" applyFont="1" applyFill="1" applyBorder="1"/>
    <xf numFmtId="164" fontId="3" fillId="0" borderId="1" xfId="1" applyNumberFormat="1" applyFont="1" applyBorder="1" applyAlignment="1">
      <alignment wrapText="1"/>
    </xf>
    <xf numFmtId="0" fontId="18" fillId="3" borderId="1" xfId="0" applyFont="1" applyFill="1" applyBorder="1" applyAlignment="1">
      <alignment horizontal="left" vertical="top" wrapText="1"/>
    </xf>
    <xf numFmtId="9" fontId="0" fillId="0" borderId="0" xfId="2" applyFont="1"/>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3" fillId="3" borderId="1" xfId="1" applyNumberFormat="1" applyFont="1" applyFill="1" applyBorder="1" applyAlignment="1">
      <alignment wrapText="1"/>
    </xf>
    <xf numFmtId="0" fontId="3" fillId="2" borderId="5" xfId="0" applyFont="1" applyFill="1" applyBorder="1" applyAlignment="1">
      <alignment wrapText="1"/>
    </xf>
    <xf numFmtId="164" fontId="3" fillId="2" borderId="1" xfId="0" applyNumberFormat="1" applyFont="1" applyFill="1" applyBorder="1" applyAlignment="1">
      <alignment wrapText="1"/>
    </xf>
    <xf numFmtId="0" fontId="5" fillId="6" borderId="5" xfId="0" applyFont="1" applyFill="1" applyBorder="1" applyAlignment="1">
      <alignment wrapText="1"/>
    </xf>
    <xf numFmtId="164" fontId="5" fillId="6" borderId="1" xfId="0" applyNumberFormat="1" applyFont="1" applyFill="1" applyBorder="1" applyAlignment="1">
      <alignment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wrapText="1"/>
    </xf>
    <xf numFmtId="164" fontId="4" fillId="3" borderId="1" xfId="0" applyNumberFormat="1" applyFont="1" applyFill="1" applyBorder="1"/>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4" fillId="3" borderId="1" xfId="0" applyNumberFormat="1" applyFont="1" applyFill="1" applyBorder="1"/>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3" borderId="1" xfId="1" applyNumberFormat="1" applyFont="1" applyFill="1" applyBorder="1" applyAlignment="1">
      <alignment wrapText="1"/>
    </xf>
    <xf numFmtId="0" fontId="4" fillId="3" borderId="0" xfId="0" applyFont="1" applyFill="1"/>
    <xf numFmtId="0" fontId="3" fillId="0" borderId="0" xfId="0" applyFont="1"/>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4" fillId="2" borderId="4" xfId="0" applyFont="1" applyFill="1" applyBorder="1" applyAlignment="1">
      <alignment horizontal="center" vertical="center" wrapText="1"/>
    </xf>
    <xf numFmtId="164" fontId="4" fillId="3" borderId="1" xfId="0" applyNumberFormat="1" applyFont="1" applyFill="1" applyBorder="1"/>
    <xf numFmtId="0" fontId="3" fillId="0" borderId="0" xfId="0" applyFont="1" applyAlignment="1">
      <alignment horizontal="left"/>
    </xf>
    <xf numFmtId="0" fontId="7"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0" fontId="3" fillId="2" borderId="12" xfId="0" applyFont="1" applyFill="1" applyBorder="1" applyAlignment="1">
      <alignment horizontal="center" vertical="center" wrapText="1"/>
    </xf>
    <xf numFmtId="0" fontId="5" fillId="6" borderId="1" xfId="0" applyFont="1" applyFill="1" applyBorder="1" applyAlignment="1">
      <alignment horizontal="left" vertical="top" wrapText="1"/>
    </xf>
    <xf numFmtId="0" fontId="3" fillId="6" borderId="1" xfId="0" applyFont="1" applyFill="1" applyBorder="1" applyAlignment="1">
      <alignment horizontal="center" vertical="top" wrapText="1"/>
    </xf>
    <xf numFmtId="0" fontId="5" fillId="5" borderId="11" xfId="0" applyFont="1" applyFill="1" applyBorder="1" applyAlignment="1">
      <alignment horizontal="left" vertical="top" wrapText="1"/>
    </xf>
    <xf numFmtId="0" fontId="5" fillId="5" borderId="1" xfId="0" applyFont="1" applyFill="1" applyBorder="1" applyAlignment="1">
      <alignment horizontal="center" vertical="top" wrapText="1"/>
    </xf>
    <xf numFmtId="164" fontId="5" fillId="5" borderId="1" xfId="0" applyNumberFormat="1" applyFont="1" applyFill="1" applyBorder="1" applyAlignment="1">
      <alignment horizontal="center" vertical="top" wrapText="1"/>
    </xf>
    <xf numFmtId="164" fontId="5" fillId="6" borderId="1" xfId="0" applyNumberFormat="1" applyFont="1" applyFill="1" applyBorder="1" applyAlignment="1">
      <alignment horizontal="center" vertical="top" wrapText="1"/>
    </xf>
    <xf numFmtId="0" fontId="5" fillId="6" borderId="1" xfId="0" applyFont="1" applyFill="1" applyBorder="1" applyAlignment="1">
      <alignment horizontal="center" vertical="top" wrapText="1"/>
    </xf>
    <xf numFmtId="0" fontId="3" fillId="6" borderId="6" xfId="0" applyFont="1" applyFill="1" applyBorder="1" applyAlignment="1">
      <alignment horizontal="left" vertical="top" wrapText="1"/>
    </xf>
    <xf numFmtId="0" fontId="6" fillId="2" borderId="4" xfId="0" applyFont="1" applyFill="1" applyBorder="1" applyAlignment="1">
      <alignment horizontal="center" vertical="center" wrapText="1"/>
    </xf>
    <xf numFmtId="0" fontId="3" fillId="6" borderId="1" xfId="0" applyFont="1" applyFill="1" applyBorder="1" applyAlignment="1">
      <alignment horizontal="left" vertical="top"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3" fillId="2" borderId="14" xfId="0" applyFont="1" applyFill="1" applyBorder="1" applyAlignment="1">
      <alignment vertical="top" wrapText="1"/>
    </xf>
    <xf numFmtId="0" fontId="3" fillId="2" borderId="10" xfId="0" applyFont="1" applyFill="1" applyBorder="1" applyAlignment="1">
      <alignment vertical="top" wrapText="1"/>
    </xf>
    <xf numFmtId="0" fontId="3" fillId="2" borderId="13" xfId="0" applyFont="1" applyFill="1" applyBorder="1" applyAlignment="1">
      <alignment vertical="center" wrapText="1"/>
    </xf>
    <xf numFmtId="0" fontId="3" fillId="2" borderId="4" xfId="0" applyFont="1" applyFill="1" applyBorder="1" applyAlignment="1">
      <alignment vertical="center" wrapText="1"/>
    </xf>
    <xf numFmtId="0" fontId="3" fillId="2" borderId="15" xfId="0" applyFont="1" applyFill="1" applyBorder="1" applyAlignment="1">
      <alignment vertical="top" wrapText="1"/>
    </xf>
    <xf numFmtId="0" fontId="3" fillId="3" borderId="0" xfId="0" applyFont="1" applyFill="1" applyAlignment="1">
      <alignment wrapText="1"/>
    </xf>
    <xf numFmtId="0" fontId="3" fillId="2" borderId="10" xfId="0" applyFont="1" applyFill="1" applyBorder="1" applyAlignment="1">
      <alignment horizontal="left"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3" borderId="1" xfId="1" applyNumberFormat="1" applyFont="1" applyFill="1" applyBorder="1" applyAlignment="1">
      <alignment horizontal="center"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3" fillId="3" borderId="1" xfId="1" applyNumberFormat="1" applyFont="1" applyFill="1" applyBorder="1" applyAlignment="1">
      <alignment wrapText="1"/>
    </xf>
    <xf numFmtId="0" fontId="3" fillId="2" borderId="5" xfId="0" applyFont="1" applyFill="1" applyBorder="1" applyAlignment="1">
      <alignment wrapText="1"/>
    </xf>
    <xf numFmtId="164" fontId="3" fillId="2" borderId="1" xfId="0" applyNumberFormat="1" applyFont="1" applyFill="1" applyBorder="1" applyAlignment="1">
      <alignment wrapText="1"/>
    </xf>
    <xf numFmtId="0" fontId="5" fillId="6" borderId="5" xfId="0" applyFont="1" applyFill="1" applyBorder="1" applyAlignment="1">
      <alignment wrapText="1"/>
    </xf>
    <xf numFmtId="164" fontId="5" fillId="6" borderId="1" xfId="0" applyNumberFormat="1" applyFont="1" applyFill="1" applyBorder="1" applyAlignment="1">
      <alignment wrapText="1"/>
    </xf>
    <xf numFmtId="0" fontId="3" fillId="2" borderId="6" xfId="0" applyFont="1" applyFill="1" applyBorder="1" applyAlignment="1">
      <alignment vertical="center" wrapText="1"/>
    </xf>
    <xf numFmtId="0" fontId="3" fillId="2" borderId="14" xfId="0" applyFont="1" applyFill="1" applyBorder="1" applyAlignment="1">
      <alignment horizontal="left" wrapText="1"/>
    </xf>
    <xf numFmtId="0" fontId="3" fillId="2" borderId="0" xfId="0" applyFont="1" applyFill="1" applyBorder="1" applyAlignment="1">
      <alignment vertical="top" wrapText="1"/>
    </xf>
    <xf numFmtId="0" fontId="3" fillId="2" borderId="8" xfId="0" applyFont="1" applyFill="1" applyBorder="1" applyAlignment="1">
      <alignment horizontal="left" wrapText="1"/>
    </xf>
    <xf numFmtId="0" fontId="14" fillId="0" borderId="1" xfId="0" applyFont="1" applyBorder="1" applyAlignment="1">
      <alignment horizontal="left" vertical="top" wrapText="1"/>
    </xf>
    <xf numFmtId="0" fontId="3" fillId="2" borderId="1"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3" fillId="2" borderId="3" xfId="0" applyFont="1" applyFill="1" applyBorder="1" applyAlignment="1">
      <alignment horizontal="left" wrapText="1"/>
    </xf>
    <xf numFmtId="0" fontId="3" fillId="2" borderId="1" xfId="0" applyFont="1" applyFill="1" applyBorder="1" applyAlignment="1">
      <alignment horizontal="left" wrapText="1"/>
    </xf>
    <xf numFmtId="0" fontId="5" fillId="6" borderId="6" xfId="0" applyFont="1" applyFill="1" applyBorder="1" applyAlignment="1">
      <alignment horizontal="left" wrapText="1"/>
    </xf>
    <xf numFmtId="0" fontId="3" fillId="2" borderId="1" xfId="0" applyFont="1" applyFill="1" applyBorder="1" applyAlignment="1">
      <alignment horizontal="left" vertical="top" wrapText="1"/>
    </xf>
    <xf numFmtId="0" fontId="15" fillId="3" borderId="1" xfId="0" applyFont="1" applyFill="1" applyBorder="1"/>
    <xf numFmtId="0" fontId="15" fillId="3" borderId="1" xfId="0" applyFont="1" applyFill="1" applyBorder="1" applyAlignment="1">
      <alignment horizontal="center"/>
    </xf>
    <xf numFmtId="0" fontId="3" fillId="3" borderId="3" xfId="0" applyFont="1" applyFill="1" applyBorder="1" applyAlignment="1">
      <alignment wrapText="1"/>
    </xf>
    <xf numFmtId="0" fontId="3" fillId="2" borderId="11" xfId="0" applyFont="1" applyFill="1" applyBorder="1" applyAlignment="1">
      <alignment vertical="top" wrapText="1"/>
    </xf>
    <xf numFmtId="164" fontId="0" fillId="0" borderId="0" xfId="0" applyNumberFormat="1"/>
    <xf numFmtId="0" fontId="16" fillId="2" borderId="13" xfId="0" applyFont="1" applyFill="1" applyBorder="1" applyAlignment="1">
      <alignment vertical="center" wrapText="1"/>
    </xf>
    <xf numFmtId="0" fontId="16" fillId="2" borderId="4" xfId="0" applyFont="1" applyFill="1" applyBorder="1" applyAlignment="1">
      <alignment vertical="center" wrapText="1"/>
    </xf>
    <xf numFmtId="0" fontId="16" fillId="2" borderId="1" xfId="0" applyFont="1" applyFill="1" applyBorder="1" applyAlignment="1">
      <alignment horizontal="left" wrapText="1"/>
    </xf>
    <xf numFmtId="0" fontId="16" fillId="2" borderId="10"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8" xfId="0" applyFont="1" applyFill="1" applyBorder="1" applyAlignment="1">
      <alignment vertical="top" wrapText="1"/>
    </xf>
    <xf numFmtId="0" fontId="17" fillId="5" borderId="11" xfId="0" applyFont="1" applyFill="1" applyBorder="1" applyAlignment="1">
      <alignment horizontal="left" vertical="top" wrapText="1"/>
    </xf>
    <xf numFmtId="0" fontId="17" fillId="6" borderId="1" xfId="0" applyFont="1" applyFill="1" applyBorder="1" applyAlignment="1">
      <alignment horizontal="left" vertical="top" wrapText="1"/>
    </xf>
    <xf numFmtId="164" fontId="3" fillId="0" borderId="0" xfId="0" applyNumberFormat="1" applyFont="1"/>
    <xf numFmtId="164" fontId="3" fillId="0" borderId="0" xfId="0" applyNumberFormat="1" applyFont="1" applyAlignment="1">
      <alignment horizontal="center"/>
    </xf>
    <xf numFmtId="164" fontId="3" fillId="0" borderId="0" xfId="1" applyNumberFormat="1" applyFont="1"/>
    <xf numFmtId="0" fontId="4" fillId="3" borderId="1" xfId="0" applyFont="1" applyFill="1" applyBorder="1"/>
    <xf numFmtId="0" fontId="3" fillId="6" borderId="3" xfId="0" applyFont="1" applyFill="1" applyBorder="1" applyAlignment="1">
      <alignment horizontal="left" vertical="top" wrapText="1"/>
    </xf>
    <xf numFmtId="0" fontId="16" fillId="6" borderId="11" xfId="0" applyFont="1" applyFill="1" applyBorder="1" applyAlignment="1">
      <alignment horizontal="left" vertical="top" wrapText="1"/>
    </xf>
    <xf numFmtId="0" fontId="3" fillId="2" borderId="11" xfId="0" applyFont="1" applyFill="1" applyBorder="1" applyAlignment="1">
      <alignment horizontal="center" vertical="center" wrapText="1"/>
    </xf>
    <xf numFmtId="0" fontId="3" fillId="2" borderId="8" xfId="0" applyFont="1" applyFill="1" applyBorder="1" applyAlignment="1">
      <alignment horizontal="center" vertical="top" wrapText="1"/>
    </xf>
    <xf numFmtId="0" fontId="16" fillId="0" borderId="1" xfId="0" applyFont="1" applyBorder="1" applyAlignment="1">
      <alignment horizontal="left" vertical="top" wrapText="1"/>
    </xf>
    <xf numFmtId="0" fontId="16" fillId="0" borderId="4" xfId="0" applyFont="1" applyFill="1" applyBorder="1" applyAlignment="1">
      <alignment horizontal="left" vertical="top" wrapText="1"/>
    </xf>
    <xf numFmtId="0" fontId="16" fillId="0" borderId="4" xfId="0" applyFont="1" applyBorder="1" applyAlignment="1">
      <alignment horizontal="left" vertical="top" wrapText="1"/>
    </xf>
    <xf numFmtId="0" fontId="16" fillId="0"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10" fillId="0" borderId="0" xfId="0" applyFont="1" applyFill="1"/>
    <xf numFmtId="0" fontId="10" fillId="9" borderId="0" xfId="0" applyFont="1" applyFill="1"/>
    <xf numFmtId="0" fontId="9" fillId="9" borderId="0" xfId="0" applyFont="1" applyFill="1"/>
    <xf numFmtId="0" fontId="3" fillId="0" borderId="1" xfId="1" applyNumberFormat="1" applyFont="1" applyFill="1" applyBorder="1" applyAlignment="1">
      <alignment wrapText="1"/>
    </xf>
    <xf numFmtId="0" fontId="26" fillId="3" borderId="1" xfId="1" applyNumberFormat="1" applyFont="1" applyFill="1" applyBorder="1" applyAlignment="1">
      <alignment wrapText="1"/>
    </xf>
    <xf numFmtId="0" fontId="27" fillId="3" borderId="1" xfId="0" applyFont="1" applyFill="1" applyBorder="1" applyAlignment="1">
      <alignment horizontal="center" vertical="center" wrapText="1"/>
    </xf>
    <xf numFmtId="0" fontId="5" fillId="7" borderId="6" xfId="0" applyFont="1" applyFill="1" applyBorder="1" applyAlignment="1">
      <alignment horizontal="center" vertical="top" wrapText="1"/>
    </xf>
    <xf numFmtId="0" fontId="3" fillId="6" borderId="5" xfId="0" applyFont="1" applyFill="1" applyBorder="1" applyAlignment="1">
      <alignment horizontal="left" vertical="top" wrapText="1"/>
    </xf>
    <xf numFmtId="0" fontId="3" fillId="6" borderId="3" xfId="0" applyFont="1" applyFill="1" applyBorder="1" applyAlignment="1">
      <alignment horizontal="left" vertical="top" wrapText="1"/>
    </xf>
    <xf numFmtId="0" fontId="5" fillId="5" borderId="10" xfId="0" applyFont="1" applyFill="1" applyBorder="1" applyAlignment="1">
      <alignment horizontal="left" vertical="top" wrapText="1"/>
    </xf>
    <xf numFmtId="0" fontId="5" fillId="5" borderId="5" xfId="0" applyFont="1" applyFill="1" applyBorder="1" applyAlignment="1">
      <alignment horizontal="left" vertical="top" wrapText="1"/>
    </xf>
    <xf numFmtId="0" fontId="5" fillId="5" borderId="3" xfId="0" applyFont="1" applyFill="1" applyBorder="1" applyAlignment="1">
      <alignment horizontal="left" vertical="top" wrapText="1"/>
    </xf>
    <xf numFmtId="0" fontId="17" fillId="5" borderId="10" xfId="0" applyFont="1" applyFill="1" applyBorder="1" applyAlignment="1">
      <alignment horizontal="left" vertical="top" wrapText="1"/>
    </xf>
    <xf numFmtId="0" fontId="17" fillId="5" borderId="5" xfId="0" applyFont="1" applyFill="1" applyBorder="1" applyAlignment="1">
      <alignment horizontal="left" vertical="top" wrapText="1"/>
    </xf>
    <xf numFmtId="0" fontId="17" fillId="5" borderId="3" xfId="0" applyFont="1" applyFill="1" applyBorder="1" applyAlignment="1">
      <alignment horizontal="left" vertical="top" wrapText="1"/>
    </xf>
    <xf numFmtId="0" fontId="16" fillId="6" borderId="9" xfId="0" applyFont="1" applyFill="1" applyBorder="1" applyAlignment="1">
      <alignment horizontal="left" vertical="top" wrapText="1"/>
    </xf>
    <xf numFmtId="0" fontId="16" fillId="6" borderId="11" xfId="0" applyFont="1" applyFill="1" applyBorder="1" applyAlignment="1">
      <alignment horizontal="left" vertical="top" wrapText="1"/>
    </xf>
    <xf numFmtId="0" fontId="3" fillId="6" borderId="9" xfId="0" applyFont="1" applyFill="1" applyBorder="1" applyAlignment="1">
      <alignment horizontal="left" vertical="top" wrapText="1"/>
    </xf>
    <xf numFmtId="0" fontId="3" fillId="6" borderId="11" xfId="0" applyFont="1" applyFill="1" applyBorder="1" applyAlignment="1">
      <alignment horizontal="left" vertical="top" wrapText="1"/>
    </xf>
    <xf numFmtId="0" fontId="5" fillId="2" borderId="2"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5" xfId="0" applyFont="1" applyFill="1" applyBorder="1" applyAlignment="1">
      <alignment horizontal="left" vertical="top"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64" fontId="13" fillId="8" borderId="2" xfId="1" applyNumberFormat="1" applyFont="1" applyFill="1" applyBorder="1" applyAlignment="1">
      <alignment horizontal="center"/>
    </xf>
    <xf numFmtId="164" fontId="13" fillId="8" borderId="5" xfId="1" applyNumberFormat="1" applyFont="1" applyFill="1" applyBorder="1" applyAlignment="1">
      <alignment horizontal="center"/>
    </xf>
    <xf numFmtId="164" fontId="13" fillId="8" borderId="3" xfId="1" applyNumberFormat="1" applyFont="1" applyFill="1" applyBorder="1" applyAlignment="1">
      <alignment horizontal="center"/>
    </xf>
    <xf numFmtId="0" fontId="2" fillId="2" borderId="2" xfId="0" applyFont="1" applyFill="1" applyBorder="1" applyAlignment="1">
      <alignment horizontal="center"/>
    </xf>
    <xf numFmtId="0" fontId="2" fillId="2" borderId="5" xfId="0" applyFont="1" applyFill="1" applyBorder="1" applyAlignment="1">
      <alignment horizontal="center"/>
    </xf>
    <xf numFmtId="0" fontId="2" fillId="2" borderId="3" xfId="0" applyFont="1" applyFill="1" applyBorder="1" applyAlignment="1">
      <alignment horizontal="center"/>
    </xf>
    <xf numFmtId="164" fontId="2" fillId="2" borderId="2" xfId="1" applyNumberFormat="1" applyFont="1" applyFill="1" applyBorder="1" applyAlignment="1">
      <alignment horizontal="center"/>
    </xf>
    <xf numFmtId="164" fontId="2" fillId="2" borderId="5" xfId="1" applyNumberFormat="1" applyFont="1" applyFill="1" applyBorder="1" applyAlignment="1">
      <alignment horizontal="center"/>
    </xf>
    <xf numFmtId="164" fontId="2" fillId="2" borderId="3" xfId="1" applyNumberFormat="1" applyFont="1" applyFill="1" applyBorder="1" applyAlignment="1">
      <alignment horizontal="center"/>
    </xf>
    <xf numFmtId="0" fontId="3" fillId="2" borderId="13" xfId="0" applyNumberFormat="1" applyFont="1" applyFill="1" applyBorder="1" applyAlignment="1">
      <alignment vertical="top" wrapText="1"/>
    </xf>
    <xf numFmtId="0" fontId="3" fillId="2" borderId="1"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12" xfId="0" applyFont="1" applyFill="1" applyBorder="1" applyAlignment="1">
      <alignment horizontal="left" vertical="top" wrapText="1"/>
    </xf>
  </cellXfs>
  <cellStyles count="3">
    <cellStyle name="Comma" xfId="1" builtinId="3"/>
    <cellStyle name="Normal" xfId="0" builtinId="0"/>
    <cellStyle name="Percent" xfId="2" builtinId="5"/>
  </cellStyles>
  <dxfs count="158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Formati%20IV_Metodologjia%20e%20%20%20Kostimit_IPSIS%20Standart%20AKDF%202021-2026%20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NJK_357_Draft%20Plani%20i%20Veprimit%20%202021-2025%20-qershor%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jeza.gjuzi/Downloads/4.Formati%20IV_Metodologjia%20e%20%20%20%20%20%20Kostimit_IPSIS%20Standart%20Agjenda%20Kombetare%20per%20te%20Drejtat%20e%20Femijeve%20%20%20%20%202021-202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1. Standard_Cost"/>
      <sheetName val="Incremental_Cost Year 1"/>
      <sheetName val="Incremental_Cost Year 2"/>
      <sheetName val="Incremental_Cost Year 3"/>
      <sheetName val="Incremental_Cost Year 4"/>
      <sheetName val="Incremental_Cost Year 5"/>
      <sheetName val="Incremental_Cost Year 6"/>
      <sheetName val="Incremental_Cost Year 7"/>
      <sheetName val="Incremental_Cost Year 8"/>
      <sheetName val="Incremental_Cost Year 9"/>
      <sheetName val="Incremental_Cost Year 10"/>
      <sheetName val="Summary for IPSIS"/>
    </sheetNames>
    <sheetDataSet>
      <sheetData sheetId="0" refreshError="1"/>
      <sheetData sheetId="1" refreshError="1">
        <row r="4">
          <cell r="B4" t="str">
            <v>C1</v>
          </cell>
          <cell r="C4">
            <v>71142.857142857145</v>
          </cell>
          <cell r="D4">
            <v>650</v>
          </cell>
          <cell r="F4">
            <v>0.16700000000000001</v>
          </cell>
        </row>
        <row r="5">
          <cell r="B5" t="str">
            <v>C2</v>
          </cell>
          <cell r="C5">
            <v>120000</v>
          </cell>
          <cell r="D5">
            <v>1000</v>
          </cell>
        </row>
        <row r="6">
          <cell r="B6" t="str">
            <v>C3</v>
          </cell>
          <cell r="C6">
            <v>100000</v>
          </cell>
          <cell r="D6">
            <v>800</v>
          </cell>
        </row>
        <row r="7">
          <cell r="B7" t="str">
            <v>C4</v>
          </cell>
          <cell r="C7">
            <v>80000</v>
          </cell>
          <cell r="D7">
            <v>750</v>
          </cell>
        </row>
        <row r="8">
          <cell r="B8" t="str">
            <v>C5</v>
          </cell>
          <cell r="C8">
            <v>70000</v>
          </cell>
          <cell r="D8">
            <v>700</v>
          </cell>
        </row>
        <row r="9">
          <cell r="B9" t="str">
            <v>C6</v>
          </cell>
          <cell r="C9">
            <v>50000</v>
          </cell>
          <cell r="D9">
            <v>500</v>
          </cell>
        </row>
        <row r="10">
          <cell r="B10" t="str">
            <v>C7</v>
          </cell>
          <cell r="C10">
            <v>44000</v>
          </cell>
          <cell r="D10">
            <v>400</v>
          </cell>
        </row>
        <row r="11">
          <cell r="B11" t="str">
            <v>C8</v>
          </cell>
          <cell r="C11">
            <v>34000</v>
          </cell>
          <cell r="D11">
            <v>400</v>
          </cell>
        </row>
        <row r="15">
          <cell r="B15">
            <v>2000</v>
          </cell>
          <cell r="C15">
            <v>1500</v>
          </cell>
          <cell r="D15">
            <v>5000</v>
          </cell>
          <cell r="E15">
            <v>40000</v>
          </cell>
        </row>
        <row r="19">
          <cell r="B19">
            <v>60000</v>
          </cell>
          <cell r="C19">
            <v>5000</v>
          </cell>
        </row>
        <row r="23">
          <cell r="B23">
            <v>74000</v>
          </cell>
          <cell r="C23">
            <v>19000</v>
          </cell>
        </row>
        <row r="27">
          <cell r="B27">
            <v>90000</v>
          </cell>
          <cell r="C27">
            <v>25000</v>
          </cell>
          <cell r="D27">
            <v>1500000</v>
          </cell>
        </row>
        <row r="31">
          <cell r="B31">
            <v>0.2</v>
          </cell>
          <cell r="C31">
            <v>0.15</v>
          </cell>
        </row>
      </sheetData>
      <sheetData sheetId="2" refreshError="1"/>
      <sheetData sheetId="3" refreshError="1"/>
      <sheetData sheetId="4" refreshError="1"/>
      <sheetData sheetId="5" refreshError="1">
        <row r="166">
          <cell r="AJ166">
            <v>0</v>
          </cell>
          <cell r="AL166">
            <v>0</v>
          </cell>
        </row>
        <row r="176">
          <cell r="AJ176">
            <v>0</v>
          </cell>
          <cell r="AL176">
            <v>0</v>
          </cell>
        </row>
      </sheetData>
      <sheetData sheetId="6" refreshError="1">
        <row r="166">
          <cell r="AJ166">
            <v>0</v>
          </cell>
          <cell r="AL166">
            <v>0</v>
          </cell>
        </row>
        <row r="176">
          <cell r="AJ176">
            <v>0</v>
          </cell>
          <cell r="AL176">
            <v>0</v>
          </cell>
        </row>
      </sheetData>
      <sheetData sheetId="7" refreshError="1">
        <row r="166">
          <cell r="AJ166">
            <v>0</v>
          </cell>
          <cell r="AL166">
            <v>0</v>
          </cell>
        </row>
        <row r="176">
          <cell r="AJ176">
            <v>0</v>
          </cell>
          <cell r="AL176">
            <v>0</v>
          </cell>
        </row>
      </sheetData>
      <sheetData sheetId="8" refreshError="1">
        <row r="209">
          <cell r="AJ209">
            <v>0</v>
          </cell>
          <cell r="AL209">
            <v>0</v>
          </cell>
        </row>
        <row r="227">
          <cell r="AJ227">
            <v>0</v>
          </cell>
          <cell r="AL227">
            <v>0</v>
          </cell>
        </row>
      </sheetData>
      <sheetData sheetId="9" refreshError="1">
        <row r="209">
          <cell r="AJ209">
            <v>0</v>
          </cell>
          <cell r="AL209">
            <v>0</v>
          </cell>
        </row>
        <row r="227">
          <cell r="AJ227">
            <v>0</v>
          </cell>
          <cell r="AL227">
            <v>0</v>
          </cell>
        </row>
      </sheetData>
      <sheetData sheetId="10" refreshError="1">
        <row r="209">
          <cell r="AJ209">
            <v>0</v>
          </cell>
          <cell r="AL209">
            <v>0</v>
          </cell>
        </row>
        <row r="227">
          <cell r="AJ227">
            <v>0</v>
          </cell>
          <cell r="AL227">
            <v>0</v>
          </cell>
        </row>
      </sheetData>
      <sheetData sheetId="11" refreshError="1">
        <row r="209">
          <cell r="AJ209">
            <v>0</v>
          </cell>
          <cell r="AL209">
            <v>0</v>
          </cell>
        </row>
        <row r="227">
          <cell r="AJ227">
            <v>0</v>
          </cell>
          <cell r="AL227">
            <v>0</v>
          </cell>
        </row>
      </sheetData>
      <sheetData sheetId="1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Standard_Cost"/>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 Standard_Co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43"/>
  <sheetViews>
    <sheetView topLeftCell="A4" workbookViewId="0">
      <selection activeCell="E25" sqref="E25"/>
    </sheetView>
  </sheetViews>
  <sheetFormatPr defaultRowHeight="14.4"/>
  <cols>
    <col min="1" max="1" width="23" customWidth="1"/>
    <col min="2" max="2" width="20.88671875" customWidth="1"/>
    <col min="3" max="3" width="22.33203125" customWidth="1"/>
    <col min="4" max="4" width="18.33203125" customWidth="1"/>
    <col min="5" max="5" width="15.33203125" customWidth="1"/>
    <col min="6" max="6" width="22.33203125" customWidth="1"/>
    <col min="7" max="7" width="5.6640625" customWidth="1"/>
    <col min="8" max="8" width="10" customWidth="1"/>
  </cols>
  <sheetData>
    <row r="1" spans="1:14" ht="25.95" customHeight="1">
      <c r="A1" s="313" t="s">
        <v>171</v>
      </c>
      <c r="B1" s="313"/>
      <c r="C1" s="313"/>
      <c r="D1" s="313"/>
      <c r="E1" s="313"/>
      <c r="F1" s="313"/>
      <c r="G1" s="157"/>
      <c r="H1" s="80"/>
      <c r="I1" s="80"/>
      <c r="J1" s="80"/>
      <c r="K1" s="80"/>
      <c r="L1" s="33"/>
      <c r="M1" s="33"/>
      <c r="N1" s="33"/>
    </row>
    <row r="2" spans="1:14">
      <c r="A2" s="46"/>
      <c r="B2" s="69" t="s">
        <v>64</v>
      </c>
      <c r="C2" s="68"/>
      <c r="D2" s="68"/>
      <c r="E2" s="68"/>
      <c r="F2" s="69" t="s">
        <v>65</v>
      </c>
      <c r="G2" s="68"/>
      <c r="H2" s="33"/>
      <c r="I2" s="33"/>
      <c r="J2" s="33"/>
      <c r="K2" s="33"/>
      <c r="L2" s="33"/>
      <c r="M2" s="33"/>
      <c r="N2" s="33"/>
    </row>
    <row r="3" spans="1:14" ht="47.25" customHeight="1">
      <c r="A3" s="47" t="s">
        <v>51</v>
      </c>
      <c r="B3" s="35" t="s">
        <v>166</v>
      </c>
      <c r="C3" s="35" t="s">
        <v>167</v>
      </c>
      <c r="D3" s="35" t="s">
        <v>168</v>
      </c>
      <c r="E3" s="68"/>
      <c r="F3" s="35" t="s">
        <v>96</v>
      </c>
      <c r="G3" s="68"/>
      <c r="H3" s="33"/>
      <c r="I3" s="33"/>
      <c r="J3" s="33"/>
      <c r="K3" s="33"/>
      <c r="L3" s="33"/>
      <c r="M3" s="33"/>
      <c r="N3" s="33"/>
    </row>
    <row r="4" spans="1:14">
      <c r="A4" s="65" t="s">
        <v>53</v>
      </c>
      <c r="B4" s="66" t="s">
        <v>1</v>
      </c>
      <c r="C4" s="67">
        <f>AVERAGE(C5:C11)</f>
        <v>71142.857142857145</v>
      </c>
      <c r="D4" s="67">
        <f>AVERAGE(D5:D11)</f>
        <v>650</v>
      </c>
      <c r="E4" s="68"/>
      <c r="F4" s="61">
        <v>0.16700000000000001</v>
      </c>
      <c r="G4" s="70"/>
      <c r="H4" s="36"/>
      <c r="I4" s="33"/>
      <c r="J4" s="33"/>
      <c r="K4" s="33"/>
      <c r="L4" s="33"/>
      <c r="M4" s="33"/>
      <c r="N4" s="33"/>
    </row>
    <row r="5" spans="1:14">
      <c r="A5" s="65" t="s">
        <v>52</v>
      </c>
      <c r="B5" s="66" t="s">
        <v>2</v>
      </c>
      <c r="C5" s="60">
        <v>120000</v>
      </c>
      <c r="D5" s="60">
        <v>1000</v>
      </c>
      <c r="E5" s="68"/>
      <c r="F5" s="71"/>
      <c r="G5" s="68"/>
      <c r="H5" s="33"/>
      <c r="I5" s="33"/>
      <c r="J5" s="33"/>
      <c r="K5" s="33"/>
      <c r="L5" s="33"/>
      <c r="M5" s="33"/>
      <c r="N5" s="33"/>
    </row>
    <row r="6" spans="1:14">
      <c r="A6" s="65" t="s">
        <v>52</v>
      </c>
      <c r="B6" s="66" t="s">
        <v>3</v>
      </c>
      <c r="C6" s="60">
        <v>100000</v>
      </c>
      <c r="D6" s="60">
        <v>800</v>
      </c>
      <c r="E6" s="68"/>
      <c r="F6" s="68"/>
      <c r="G6" s="68"/>
      <c r="H6" s="33"/>
      <c r="I6" s="33"/>
      <c r="J6" s="33"/>
      <c r="K6" s="33"/>
      <c r="L6" s="33"/>
      <c r="M6" s="33"/>
      <c r="N6" s="33"/>
    </row>
    <row r="7" spans="1:14">
      <c r="A7" s="65" t="s">
        <v>52</v>
      </c>
      <c r="B7" s="66" t="s">
        <v>4</v>
      </c>
      <c r="C7" s="60">
        <v>80000</v>
      </c>
      <c r="D7" s="60">
        <v>750</v>
      </c>
      <c r="E7" s="68"/>
      <c r="F7" s="68"/>
      <c r="G7" s="68"/>
      <c r="H7" s="33"/>
      <c r="I7" s="33"/>
      <c r="J7" s="33"/>
      <c r="K7" s="33"/>
      <c r="L7" s="33"/>
      <c r="M7" s="33"/>
      <c r="N7" s="33"/>
    </row>
    <row r="8" spans="1:14">
      <c r="A8" s="65" t="s">
        <v>52</v>
      </c>
      <c r="B8" s="66" t="s">
        <v>5</v>
      </c>
      <c r="C8" s="60">
        <v>70000</v>
      </c>
      <c r="D8" s="60">
        <v>700</v>
      </c>
      <c r="E8" s="68"/>
      <c r="F8" s="68"/>
      <c r="G8" s="68"/>
      <c r="H8" s="33"/>
      <c r="I8" s="33"/>
      <c r="J8" s="33"/>
      <c r="K8" s="33"/>
      <c r="L8" s="33"/>
      <c r="M8" s="33"/>
      <c r="N8" s="33"/>
    </row>
    <row r="9" spans="1:14">
      <c r="A9" s="65" t="s">
        <v>52</v>
      </c>
      <c r="B9" s="66" t="s">
        <v>193</v>
      </c>
      <c r="C9" s="60">
        <v>50000</v>
      </c>
      <c r="D9" s="60">
        <v>500</v>
      </c>
      <c r="E9" s="68"/>
      <c r="F9" s="68"/>
      <c r="G9" s="68"/>
      <c r="H9" s="33"/>
      <c r="I9" s="33"/>
      <c r="J9" s="33"/>
      <c r="K9" s="33"/>
      <c r="L9" s="33"/>
      <c r="M9" s="33"/>
      <c r="N9" s="33"/>
    </row>
    <row r="10" spans="1:14">
      <c r="A10" s="65" t="s">
        <v>52</v>
      </c>
      <c r="B10" s="66" t="s">
        <v>484</v>
      </c>
      <c r="C10" s="60">
        <v>44000</v>
      </c>
      <c r="D10" s="60">
        <v>400</v>
      </c>
      <c r="E10" s="68"/>
      <c r="F10" s="68"/>
      <c r="G10" s="68"/>
      <c r="H10" s="33"/>
      <c r="I10" s="33"/>
      <c r="J10" s="33"/>
      <c r="K10" s="33"/>
      <c r="L10" s="33"/>
      <c r="M10" s="33"/>
      <c r="N10" s="33"/>
    </row>
    <row r="11" spans="1:14">
      <c r="A11" s="65" t="s">
        <v>52</v>
      </c>
      <c r="B11" s="66" t="s">
        <v>558</v>
      </c>
      <c r="C11" s="60">
        <v>34000</v>
      </c>
      <c r="D11" s="60">
        <v>400</v>
      </c>
      <c r="E11" s="68"/>
      <c r="F11" s="68"/>
      <c r="G11" s="68"/>
      <c r="H11" s="33"/>
      <c r="I11" s="33"/>
      <c r="J11" s="33"/>
      <c r="K11" s="33"/>
      <c r="L11" s="33"/>
      <c r="M11" s="33"/>
      <c r="N11" s="33"/>
    </row>
    <row r="12" spans="1:14" ht="15" customHeight="1">
      <c r="A12" s="46"/>
      <c r="B12" s="72"/>
      <c r="C12" s="73"/>
      <c r="D12" s="73"/>
      <c r="E12" s="68"/>
      <c r="F12" s="68"/>
      <c r="G12" s="68"/>
      <c r="H12" s="33"/>
      <c r="I12" s="33"/>
      <c r="J12" s="33"/>
      <c r="K12" s="33"/>
      <c r="L12" s="33"/>
      <c r="M12" s="33"/>
      <c r="N12" s="33"/>
    </row>
    <row r="13" spans="1:14">
      <c r="A13" s="46"/>
      <c r="B13" s="69" t="s">
        <v>41</v>
      </c>
      <c r="C13" s="68"/>
      <c r="D13" s="68"/>
      <c r="E13" s="68"/>
      <c r="F13" s="68"/>
      <c r="G13" s="68"/>
      <c r="H13" s="33"/>
      <c r="I13" s="33"/>
      <c r="J13" s="33"/>
      <c r="K13" s="33"/>
      <c r="L13" s="33"/>
      <c r="M13" s="33"/>
      <c r="N13" s="33"/>
    </row>
    <row r="14" spans="1:14" ht="28.8">
      <c r="A14" s="46"/>
      <c r="B14" s="35" t="s">
        <v>38</v>
      </c>
      <c r="C14" s="35" t="s">
        <v>36</v>
      </c>
      <c r="D14" s="35" t="s">
        <v>37</v>
      </c>
      <c r="E14" s="35" t="s">
        <v>39</v>
      </c>
      <c r="F14" s="35" t="s">
        <v>194</v>
      </c>
      <c r="G14" s="68"/>
      <c r="H14" s="33"/>
      <c r="I14" s="33"/>
      <c r="J14" s="33"/>
      <c r="K14" s="33"/>
      <c r="L14" s="33"/>
      <c r="M14" s="33"/>
      <c r="N14" s="33"/>
    </row>
    <row r="15" spans="1:14">
      <c r="A15" s="46"/>
      <c r="B15" s="62">
        <v>2000</v>
      </c>
      <c r="C15" s="62">
        <v>1500</v>
      </c>
      <c r="D15" s="62">
        <v>5000</v>
      </c>
      <c r="E15" s="62">
        <v>40000</v>
      </c>
      <c r="F15" s="62">
        <v>0</v>
      </c>
      <c r="G15" s="68"/>
      <c r="H15" s="33"/>
      <c r="I15" s="33"/>
      <c r="J15" s="33"/>
      <c r="K15" s="33"/>
      <c r="L15" s="33"/>
      <c r="M15" s="33"/>
      <c r="N15" s="33"/>
    </row>
    <row r="16" spans="1:14">
      <c r="A16" s="46"/>
      <c r="B16" s="68"/>
      <c r="C16" s="68"/>
      <c r="D16" s="68"/>
      <c r="E16" s="68"/>
      <c r="F16" s="68"/>
      <c r="G16" s="68"/>
      <c r="H16" s="33"/>
      <c r="I16" s="33"/>
      <c r="J16" s="33"/>
      <c r="K16" s="33"/>
      <c r="L16" s="33"/>
      <c r="M16" s="33"/>
      <c r="N16" s="33"/>
    </row>
    <row r="17" spans="1:14">
      <c r="A17" s="46"/>
      <c r="B17" s="69" t="s">
        <v>42</v>
      </c>
      <c r="C17" s="68"/>
      <c r="D17" s="68"/>
      <c r="E17" s="68"/>
      <c r="F17" s="68"/>
      <c r="G17" s="68"/>
      <c r="H17" s="33"/>
      <c r="I17" s="33"/>
      <c r="J17" s="33"/>
      <c r="K17" s="33"/>
      <c r="L17" s="33"/>
      <c r="M17" s="33"/>
      <c r="N17" s="33"/>
    </row>
    <row r="18" spans="1:14" ht="28.8">
      <c r="A18" s="46"/>
      <c r="B18" s="35" t="s">
        <v>69</v>
      </c>
      <c r="C18" s="35" t="s">
        <v>40</v>
      </c>
      <c r="D18" s="68"/>
      <c r="E18" s="68"/>
      <c r="F18" s="68"/>
      <c r="G18" s="68"/>
      <c r="H18" s="33"/>
      <c r="I18" s="33"/>
      <c r="J18" s="33"/>
      <c r="K18" s="33"/>
      <c r="L18" s="33"/>
      <c r="M18" s="33"/>
      <c r="N18" s="33"/>
    </row>
    <row r="19" spans="1:14">
      <c r="A19" s="46"/>
      <c r="B19" s="62">
        <v>60000</v>
      </c>
      <c r="C19" s="62">
        <v>5000</v>
      </c>
      <c r="D19" s="68"/>
      <c r="E19" s="68"/>
      <c r="F19" s="68"/>
      <c r="G19" s="68"/>
      <c r="H19" s="33"/>
      <c r="I19" s="33"/>
      <c r="J19" s="33"/>
      <c r="K19" s="33"/>
      <c r="L19" s="33"/>
      <c r="M19" s="33"/>
      <c r="N19" s="33"/>
    </row>
    <row r="20" spans="1:14">
      <c r="A20" s="46"/>
      <c r="B20" s="68"/>
      <c r="C20" s="68"/>
      <c r="D20" s="68"/>
      <c r="E20" s="68"/>
      <c r="F20" s="68"/>
      <c r="G20" s="68"/>
      <c r="H20" s="33"/>
      <c r="I20" s="33"/>
      <c r="J20" s="33"/>
      <c r="K20" s="33"/>
      <c r="L20" s="33"/>
      <c r="M20" s="33"/>
      <c r="N20" s="33"/>
    </row>
    <row r="21" spans="1:14">
      <c r="A21" s="46"/>
      <c r="B21" s="69" t="s">
        <v>43</v>
      </c>
      <c r="C21" s="68"/>
      <c r="D21" s="68"/>
      <c r="E21" s="309" t="s">
        <v>43</v>
      </c>
      <c r="F21" s="308"/>
      <c r="G21" s="68"/>
      <c r="H21" s="33"/>
      <c r="I21" s="33"/>
      <c r="J21" s="33"/>
      <c r="K21" s="33"/>
      <c r="L21" s="33"/>
      <c r="M21" s="33"/>
      <c r="N21" s="33"/>
    </row>
    <row r="22" spans="1:14">
      <c r="A22" s="46"/>
      <c r="B22" s="35" t="s">
        <v>34</v>
      </c>
      <c r="C22" s="35" t="s">
        <v>35</v>
      </c>
      <c r="D22" s="68"/>
      <c r="E22" s="308" t="s">
        <v>190</v>
      </c>
      <c r="F22" s="308"/>
      <c r="G22" s="68"/>
      <c r="H22" s="33"/>
      <c r="I22" s="33"/>
      <c r="J22" s="33"/>
      <c r="K22" s="33"/>
      <c r="L22" s="33"/>
      <c r="M22" s="33"/>
      <c r="N22" s="33"/>
    </row>
    <row r="23" spans="1:14">
      <c r="A23" s="46"/>
      <c r="B23" s="62">
        <v>74000</v>
      </c>
      <c r="C23" s="62">
        <v>19000</v>
      </c>
      <c r="D23" s="68"/>
      <c r="E23" s="307"/>
      <c r="F23" s="307">
        <f>1500*6</f>
        <v>9000</v>
      </c>
      <c r="G23" s="68"/>
      <c r="H23" s="33"/>
      <c r="I23" s="33"/>
      <c r="J23" s="33"/>
      <c r="K23" s="33"/>
      <c r="L23" s="33"/>
      <c r="M23" s="33"/>
      <c r="N23" s="33"/>
    </row>
    <row r="24" spans="1:14" s="1" customFormat="1">
      <c r="A24" s="46"/>
      <c r="B24" s="71"/>
      <c r="C24" s="71"/>
      <c r="D24" s="68"/>
      <c r="E24" s="68"/>
      <c r="F24" s="68"/>
      <c r="G24" s="68"/>
      <c r="H24" s="34"/>
      <c r="I24" s="34"/>
      <c r="J24" s="34"/>
      <c r="K24" s="34"/>
      <c r="L24" s="34"/>
      <c r="M24" s="34"/>
      <c r="N24" s="34"/>
    </row>
    <row r="25" spans="1:14">
      <c r="A25" s="46"/>
      <c r="B25" s="69" t="s">
        <v>44</v>
      </c>
      <c r="C25" s="68"/>
      <c r="D25" s="68"/>
      <c r="E25" s="68"/>
      <c r="F25" s="68"/>
      <c r="G25" s="68"/>
      <c r="H25" s="33"/>
      <c r="I25" s="33"/>
      <c r="J25" s="33"/>
      <c r="K25" s="33"/>
      <c r="L25" s="33"/>
      <c r="M25" s="33"/>
      <c r="N25" s="33"/>
    </row>
    <row r="26" spans="1:14" ht="32.4" customHeight="1">
      <c r="A26" s="46"/>
      <c r="B26" s="74" t="s">
        <v>32</v>
      </c>
      <c r="C26" s="74" t="s">
        <v>31</v>
      </c>
      <c r="D26" s="74" t="s">
        <v>33</v>
      </c>
      <c r="E26" s="68"/>
      <c r="F26" s="68"/>
      <c r="G26" s="68"/>
      <c r="H26" s="33"/>
      <c r="I26" s="33"/>
      <c r="J26" s="33"/>
      <c r="K26" s="33"/>
      <c r="L26" s="33"/>
      <c r="M26" s="33"/>
      <c r="N26" s="33"/>
    </row>
    <row r="27" spans="1:14">
      <c r="A27" s="46"/>
      <c r="B27" s="63">
        <v>90000</v>
      </c>
      <c r="C27" s="63">
        <v>25000</v>
      </c>
      <c r="D27" s="63">
        <v>1500000</v>
      </c>
      <c r="E27" s="68"/>
      <c r="F27" s="68"/>
      <c r="G27" s="68"/>
      <c r="H27" s="33"/>
      <c r="I27" s="33"/>
      <c r="J27" s="33"/>
      <c r="K27" s="33"/>
      <c r="L27" s="33"/>
      <c r="M27" s="33"/>
      <c r="N27" s="33"/>
    </row>
    <row r="28" spans="1:14">
      <c r="A28" s="46"/>
      <c r="B28" s="68"/>
      <c r="C28" s="68"/>
      <c r="D28" s="68"/>
      <c r="E28" s="68"/>
      <c r="F28" s="68"/>
      <c r="G28" s="68"/>
      <c r="H28" s="33"/>
      <c r="I28" s="33"/>
      <c r="J28" s="33"/>
      <c r="K28" s="33"/>
      <c r="L28" s="33"/>
      <c r="M28" s="33"/>
      <c r="N28" s="33"/>
    </row>
    <row r="29" spans="1:14">
      <c r="A29" s="46"/>
      <c r="B29" s="69" t="s">
        <v>45</v>
      </c>
      <c r="C29" s="69" t="s">
        <v>102</v>
      </c>
      <c r="D29" s="68"/>
      <c r="E29" s="68"/>
      <c r="F29" s="68"/>
      <c r="G29" s="68"/>
      <c r="H29" s="33"/>
      <c r="I29" s="33"/>
      <c r="J29" s="33"/>
      <c r="K29" s="33"/>
      <c r="L29" s="33"/>
      <c r="M29" s="33"/>
      <c r="N29" s="33"/>
    </row>
    <row r="30" spans="1:14">
      <c r="A30" s="46"/>
      <c r="B30" s="75" t="s">
        <v>101</v>
      </c>
      <c r="C30" s="75" t="s">
        <v>94</v>
      </c>
      <c r="D30" s="76"/>
      <c r="E30" s="68"/>
      <c r="F30" s="68"/>
      <c r="G30" s="68"/>
      <c r="H30" s="33"/>
      <c r="I30" s="33"/>
      <c r="J30" s="33"/>
      <c r="K30" s="33"/>
      <c r="L30" s="33"/>
      <c r="M30" s="33"/>
      <c r="N30" s="33"/>
    </row>
    <row r="31" spans="1:14">
      <c r="A31" s="46"/>
      <c r="B31" s="64">
        <v>0.2</v>
      </c>
      <c r="C31" s="61">
        <v>0.15</v>
      </c>
      <c r="D31" s="68"/>
      <c r="E31" s="68"/>
      <c r="F31" s="68"/>
      <c r="G31" s="68"/>
      <c r="H31" s="33"/>
      <c r="I31" s="33"/>
      <c r="J31" s="33"/>
      <c r="K31" s="33"/>
      <c r="L31" s="33"/>
      <c r="M31" s="33"/>
      <c r="N31" s="33"/>
    </row>
    <row r="32" spans="1:14">
      <c r="A32" s="46"/>
      <c r="B32" s="68"/>
      <c r="C32" s="68"/>
      <c r="D32" s="68"/>
      <c r="E32" s="68"/>
      <c r="F32" s="68"/>
      <c r="G32" s="68"/>
      <c r="H32" s="33"/>
      <c r="I32" s="33"/>
      <c r="J32" s="33"/>
      <c r="K32" s="33"/>
      <c r="L32" s="33"/>
      <c r="M32" s="33"/>
      <c r="N32" s="33"/>
    </row>
    <row r="33" spans="2:14">
      <c r="B33" s="33"/>
      <c r="C33" s="33"/>
      <c r="D33" s="33"/>
      <c r="E33" s="33"/>
      <c r="F33" s="33"/>
      <c r="G33" s="33"/>
      <c r="H33" s="33"/>
      <c r="I33" s="33"/>
      <c r="J33" s="33"/>
      <c r="K33" s="33"/>
      <c r="L33" s="33"/>
      <c r="M33" s="33"/>
      <c r="N33" s="33"/>
    </row>
    <row r="34" spans="2:14">
      <c r="B34" s="33"/>
      <c r="C34" s="33"/>
      <c r="D34" s="33"/>
      <c r="E34" s="33"/>
      <c r="F34" s="33"/>
      <c r="G34" s="33"/>
      <c r="H34" s="33"/>
      <c r="I34" s="33"/>
      <c r="J34" s="33"/>
      <c r="K34" s="33"/>
      <c r="L34" s="33"/>
      <c r="M34" s="33"/>
      <c r="N34" s="33"/>
    </row>
    <row r="35" spans="2:14">
      <c r="B35" s="36"/>
      <c r="C35" s="36"/>
      <c r="D35" s="33"/>
      <c r="E35" s="33"/>
      <c r="F35" s="33"/>
      <c r="G35" s="33"/>
      <c r="H35" s="33"/>
      <c r="I35" s="33"/>
      <c r="J35" s="33"/>
      <c r="K35" s="33"/>
      <c r="L35" s="33"/>
      <c r="M35" s="33"/>
      <c r="N35" s="33"/>
    </row>
    <row r="43" spans="2:14">
      <c r="B43" s="33"/>
      <c r="C43" s="33"/>
      <c r="D43" s="33"/>
    </row>
  </sheetData>
  <mergeCells count="1">
    <mergeCell ref="A1:F1"/>
  </mergeCells>
  <pageMargins left="0.7" right="0.7" top="0.75" bottom="0.75" header="0.3" footer="0.3"/>
  <pageSetup scale="84" orientation="portrait" horizontalDpi="4294967292" verticalDpi="0" r:id="rId1"/>
  <headerFooter>
    <oddHeader>&amp;L&amp;"-,Bold"&amp;12Standard Costs</oddHeader>
    <oddFooter>&amp;CPage &amp;P of &amp;N</oddFooter>
  </headerFooter>
</worksheet>
</file>

<file path=xl/worksheets/sheet10.xml><?xml version="1.0" encoding="utf-8"?>
<worksheet xmlns="http://schemas.openxmlformats.org/spreadsheetml/2006/main" xmlns:r="http://schemas.openxmlformats.org/officeDocument/2006/relationships">
  <dimension ref="A1:BB242"/>
  <sheetViews>
    <sheetView zoomScale="60" zoomScaleNormal="60" workbookViewId="0">
      <selection activeCell="H2" sqref="H1:H1048576"/>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229" customWidth="1" outlineLevel="2"/>
    <col min="10" max="10" width="7.5546875" style="229" customWidth="1" outlineLevel="2"/>
    <col min="11" max="11" width="8.33203125" style="229" customWidth="1" outlineLevel="2"/>
    <col min="12" max="12" width="15.6640625" style="5" customWidth="1" outlineLevel="1"/>
    <col min="13" max="13" width="16" style="5" customWidth="1" outlineLevel="1"/>
    <col min="14" max="14" width="10.5546875" style="229" customWidth="1" outlineLevel="2"/>
    <col min="15" max="15" width="11" style="229" customWidth="1" outlineLevel="2"/>
    <col min="16" max="16" width="13.33203125" style="229" customWidth="1" outlineLevel="2"/>
    <col min="17" max="17" width="14.109375" style="229" customWidth="1" outlineLevel="2"/>
    <col min="18" max="21" width="12.109375" style="5" customWidth="1" outlineLevel="2"/>
    <col min="22" max="22" width="6.109375" style="229" bestFit="1" customWidth="1" outlineLevel="2"/>
    <col min="23" max="23" width="6.44140625" style="229" bestFit="1" customWidth="1" outlineLevel="2"/>
    <col min="24" max="24" width="7.5546875" style="229" customWidth="1" outlineLevel="2"/>
    <col min="25" max="25" width="11.6640625" style="5" bestFit="1" customWidth="1" outlineLevel="1"/>
    <col min="26" max="27" width="8.109375" style="229" bestFit="1" customWidth="1" outlineLevel="2"/>
    <col min="28" max="28" width="14.44140625" style="5" customWidth="1" outlineLevel="1"/>
    <col min="29" max="29" width="14.44140625" style="229" customWidth="1" outlineLevel="1"/>
    <col min="30" max="30" width="12.88671875" style="229" customWidth="1" outlineLevel="2"/>
    <col min="31" max="31" width="16" style="5" bestFit="1" customWidth="1" outlineLevel="2"/>
    <col min="32" max="32" width="13.88671875" style="5" bestFit="1" customWidth="1" outlineLevel="1"/>
    <col min="33" max="33" width="7" style="229" bestFit="1" customWidth="1" outlineLevel="2"/>
    <col min="34" max="34" width="6.109375" style="229" bestFit="1" customWidth="1" outlineLevel="2"/>
    <col min="35" max="35" width="7.33203125" style="229" customWidth="1" outlineLevel="2"/>
    <col min="36" max="36" width="9" style="229" customWidth="1" outlineLevel="2"/>
    <col min="37" max="37" width="9" style="229" bestFit="1" customWidth="1" outlineLevel="2"/>
    <col min="38" max="38" width="8.109375" style="229" bestFit="1" customWidth="1" outlineLevel="2"/>
    <col min="39" max="39" width="15.33203125" style="5" customWidth="1" outlineLevel="1"/>
    <col min="40" max="40" width="11.109375" style="5" customWidth="1" outlineLevel="1"/>
    <col min="41" max="41" width="39.88671875" style="133" customWidth="1" outlineLevel="2"/>
    <col min="42" max="42" width="2.6640625" style="5" customWidth="1"/>
    <col min="43" max="43" width="16.6640625" style="5" customWidth="1"/>
    <col min="44" max="46" width="14.88671875" style="5" customWidth="1"/>
    <col min="47" max="53" width="15" style="228"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256"/>
      <c r="O1" s="256"/>
      <c r="P1" s="256"/>
      <c r="Q1" s="256"/>
      <c r="R1" s="98"/>
      <c r="S1" s="98"/>
      <c r="T1" s="98"/>
      <c r="U1" s="98"/>
      <c r="V1" s="256"/>
      <c r="W1" s="256"/>
      <c r="X1" s="256"/>
      <c r="Y1" s="98"/>
      <c r="Z1" s="256"/>
      <c r="AA1" s="256"/>
      <c r="AB1" s="98"/>
      <c r="AC1" s="256"/>
      <c r="AD1" s="256"/>
      <c r="AE1" s="98"/>
      <c r="AF1" s="98"/>
      <c r="AG1" s="256"/>
      <c r="AH1" s="256"/>
      <c r="AI1" s="256"/>
      <c r="AJ1" s="256"/>
      <c r="AK1" s="256"/>
      <c r="AL1" s="256"/>
      <c r="AM1" s="98"/>
      <c r="AN1" s="98"/>
      <c r="AO1" s="126"/>
      <c r="AU1" s="228"/>
      <c r="AV1" s="228"/>
      <c r="AW1" s="228"/>
      <c r="AX1" s="228"/>
      <c r="AY1" s="228"/>
      <c r="AZ1" s="228"/>
      <c r="BA1" s="228"/>
      <c r="BB1" s="4"/>
    </row>
    <row r="2" spans="1:54" ht="55.2" customHeight="1">
      <c r="A2" s="98" t="s">
        <v>58</v>
      </c>
      <c r="B2" s="329" t="s">
        <v>124</v>
      </c>
      <c r="C2" s="330"/>
      <c r="D2" s="330"/>
      <c r="E2" s="331"/>
      <c r="F2" s="300" t="s">
        <v>141</v>
      </c>
      <c r="G2" s="300" t="s">
        <v>142</v>
      </c>
      <c r="H2" s="273" t="s">
        <v>57</v>
      </c>
      <c r="I2" s="230" t="s">
        <v>0</v>
      </c>
      <c r="J2" s="230" t="s">
        <v>15</v>
      </c>
      <c r="K2" s="230" t="s">
        <v>16</v>
      </c>
      <c r="L2" s="8" t="s">
        <v>11</v>
      </c>
      <c r="M2" s="8" t="s">
        <v>85</v>
      </c>
      <c r="N2" s="230" t="s">
        <v>17</v>
      </c>
      <c r="O2" s="230" t="s">
        <v>7</v>
      </c>
      <c r="P2" s="230" t="s">
        <v>6</v>
      </c>
      <c r="Q2" s="230" t="s">
        <v>8</v>
      </c>
      <c r="R2" s="8" t="s">
        <v>60</v>
      </c>
      <c r="S2" s="8" t="s">
        <v>68</v>
      </c>
      <c r="T2" s="8" t="s">
        <v>67</v>
      </c>
      <c r="U2" s="8" t="s">
        <v>66</v>
      </c>
      <c r="V2" s="230" t="s">
        <v>18</v>
      </c>
      <c r="W2" s="230" t="s">
        <v>70</v>
      </c>
      <c r="X2" s="230" t="s">
        <v>6</v>
      </c>
      <c r="Y2" s="8" t="s">
        <v>74</v>
      </c>
      <c r="Z2" s="230" t="s">
        <v>10</v>
      </c>
      <c r="AA2" s="230" t="s">
        <v>9</v>
      </c>
      <c r="AB2" s="8" t="s">
        <v>73</v>
      </c>
      <c r="AC2" s="232" t="s">
        <v>19</v>
      </c>
      <c r="AD2" s="231" t="s">
        <v>82</v>
      </c>
      <c r="AE2" s="8" t="s">
        <v>24</v>
      </c>
      <c r="AF2" s="8" t="s">
        <v>83</v>
      </c>
      <c r="AG2" s="230" t="s">
        <v>21</v>
      </c>
      <c r="AH2" s="230" t="s">
        <v>22</v>
      </c>
      <c r="AI2" s="230" t="s">
        <v>23</v>
      </c>
      <c r="AJ2" s="230" t="s">
        <v>103</v>
      </c>
      <c r="AK2" s="230" t="s">
        <v>105</v>
      </c>
      <c r="AL2" s="230" t="s">
        <v>93</v>
      </c>
      <c r="AM2" s="8" t="s">
        <v>95</v>
      </c>
      <c r="AN2" s="8" t="s">
        <v>13</v>
      </c>
      <c r="AO2" s="127" t="s">
        <v>14</v>
      </c>
      <c r="AQ2" s="326" t="s">
        <v>173</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230" t="s">
        <v>54</v>
      </c>
      <c r="J3" s="230" t="s">
        <v>55</v>
      </c>
      <c r="K3" s="230" t="s">
        <v>56</v>
      </c>
      <c r="L3" s="8" t="s">
        <v>121</v>
      </c>
      <c r="M3" s="8" t="s">
        <v>120</v>
      </c>
      <c r="N3" s="230" t="s">
        <v>76</v>
      </c>
      <c r="O3" s="230" t="s">
        <v>75</v>
      </c>
      <c r="P3" s="230" t="s">
        <v>77</v>
      </c>
      <c r="Q3" s="230" t="s">
        <v>78</v>
      </c>
      <c r="R3" s="8" t="s">
        <v>119</v>
      </c>
      <c r="S3" s="8" t="s">
        <v>118</v>
      </c>
      <c r="T3" s="8" t="s">
        <v>117</v>
      </c>
      <c r="U3" s="8" t="s">
        <v>116</v>
      </c>
      <c r="V3" s="230" t="s">
        <v>79</v>
      </c>
      <c r="W3" s="230" t="s">
        <v>80</v>
      </c>
      <c r="X3" s="230" t="s">
        <v>81</v>
      </c>
      <c r="Y3" s="8" t="s">
        <v>115</v>
      </c>
      <c r="Z3" s="230" t="s">
        <v>71</v>
      </c>
      <c r="AA3" s="230" t="s">
        <v>72</v>
      </c>
      <c r="AB3" s="8" t="s">
        <v>114</v>
      </c>
      <c r="AC3" s="232" t="s">
        <v>113</v>
      </c>
      <c r="AD3" s="231" t="s">
        <v>112</v>
      </c>
      <c r="AE3" s="8" t="s">
        <v>111</v>
      </c>
      <c r="AF3" s="8" t="s">
        <v>110</v>
      </c>
      <c r="AG3" s="230" t="s">
        <v>90</v>
      </c>
      <c r="AH3" s="230" t="s">
        <v>92</v>
      </c>
      <c r="AI3" s="230" t="s">
        <v>91</v>
      </c>
      <c r="AJ3" s="231" t="s">
        <v>104</v>
      </c>
      <c r="AK3" s="231" t="s">
        <v>106</v>
      </c>
      <c r="AL3" s="231" t="s">
        <v>100</v>
      </c>
      <c r="AM3" s="8" t="s">
        <v>108</v>
      </c>
      <c r="AN3" s="8" t="s">
        <v>109</v>
      </c>
      <c r="AO3" s="127" t="s">
        <v>99</v>
      </c>
      <c r="AQ3" s="11" t="s">
        <v>127</v>
      </c>
      <c r="AR3" s="11" t="s">
        <v>25</v>
      </c>
      <c r="AS3" s="11" t="s">
        <v>12</v>
      </c>
      <c r="AT3" s="11" t="s">
        <v>20</v>
      </c>
      <c r="AU3" s="233" t="s">
        <v>128</v>
      </c>
      <c r="AV3" s="233" t="s">
        <v>129</v>
      </c>
      <c r="AW3" s="233" t="s">
        <v>144</v>
      </c>
      <c r="AX3" s="233" t="s">
        <v>145</v>
      </c>
      <c r="AY3" s="233" t="s">
        <v>196</v>
      </c>
      <c r="AZ3" s="233" t="s">
        <v>195</v>
      </c>
      <c r="BA3" s="247" t="s">
        <v>132</v>
      </c>
      <c r="BB3" s="12" t="s">
        <v>26</v>
      </c>
    </row>
    <row r="4" spans="1:54" s="21" customFormat="1" ht="27.6">
      <c r="A4" s="100"/>
      <c r="B4" s="28"/>
      <c r="C4" s="29"/>
      <c r="D4" s="29"/>
      <c r="E4" s="238"/>
      <c r="F4" s="238" t="s">
        <v>139</v>
      </c>
      <c r="G4" s="238" t="s">
        <v>140</v>
      </c>
      <c r="H4" s="275" t="s">
        <v>123</v>
      </c>
      <c r="I4" s="236" t="s">
        <v>122</v>
      </c>
      <c r="J4" s="236">
        <v>2</v>
      </c>
      <c r="K4" s="236">
        <v>3</v>
      </c>
      <c r="L4" s="20" t="s">
        <v>84</v>
      </c>
      <c r="M4" s="20" t="s">
        <v>86</v>
      </c>
      <c r="N4" s="236">
        <v>6</v>
      </c>
      <c r="O4" s="236">
        <v>7</v>
      </c>
      <c r="P4" s="236">
        <v>8</v>
      </c>
      <c r="Q4" s="236">
        <v>9</v>
      </c>
      <c r="R4" s="20" t="s">
        <v>27</v>
      </c>
      <c r="S4" s="20" t="s">
        <v>28</v>
      </c>
      <c r="T4" s="20" t="s">
        <v>29</v>
      </c>
      <c r="U4" s="20" t="s">
        <v>30</v>
      </c>
      <c r="V4" s="236">
        <v>14</v>
      </c>
      <c r="W4" s="236">
        <v>15</v>
      </c>
      <c r="X4" s="236">
        <v>16</v>
      </c>
      <c r="Y4" s="20" t="s">
        <v>87</v>
      </c>
      <c r="Z4" s="236">
        <v>18</v>
      </c>
      <c r="AA4" s="236">
        <v>19</v>
      </c>
      <c r="AB4" s="20" t="s">
        <v>88</v>
      </c>
      <c r="AC4" s="236">
        <v>21</v>
      </c>
      <c r="AD4" s="236">
        <v>22</v>
      </c>
      <c r="AE4" s="20" t="s">
        <v>97</v>
      </c>
      <c r="AF4" s="20" t="s">
        <v>89</v>
      </c>
      <c r="AG4" s="236">
        <v>25</v>
      </c>
      <c r="AH4" s="236">
        <v>26</v>
      </c>
      <c r="AI4" s="236">
        <v>27</v>
      </c>
      <c r="AJ4" s="236">
        <v>28</v>
      </c>
      <c r="AK4" s="236">
        <v>29</v>
      </c>
      <c r="AL4" s="236">
        <v>30</v>
      </c>
      <c r="AM4" s="20" t="s">
        <v>98</v>
      </c>
      <c r="AN4" s="20" t="s">
        <v>107</v>
      </c>
      <c r="AO4" s="128"/>
      <c r="AQ4" s="20" t="s">
        <v>133</v>
      </c>
      <c r="AR4" s="20" t="s">
        <v>134</v>
      </c>
      <c r="AS4" s="20" t="s">
        <v>135</v>
      </c>
      <c r="AT4" s="20" t="s">
        <v>136</v>
      </c>
      <c r="AU4" s="237">
        <v>37</v>
      </c>
      <c r="AV4" s="237">
        <v>38</v>
      </c>
      <c r="AW4" s="237">
        <v>39</v>
      </c>
      <c r="AX4" s="237">
        <v>40</v>
      </c>
      <c r="AY4" s="237"/>
      <c r="AZ4" s="237">
        <v>41</v>
      </c>
      <c r="BA4" s="237">
        <v>42</v>
      </c>
      <c r="BB4" s="22" t="s">
        <v>157</v>
      </c>
    </row>
    <row r="5" spans="1:54" s="13" customFormat="1" ht="30" customHeight="1">
      <c r="A5" s="101"/>
      <c r="B5" s="316" t="s">
        <v>203</v>
      </c>
      <c r="C5" s="317"/>
      <c r="D5" s="317"/>
      <c r="E5" s="318"/>
      <c r="F5" s="241"/>
      <c r="G5" s="241"/>
      <c r="H5" s="241" t="s">
        <v>61</v>
      </c>
      <c r="I5" s="242"/>
      <c r="J5" s="242"/>
      <c r="K5" s="242"/>
      <c r="L5" s="41">
        <f>SUM(L6)</f>
        <v>0</v>
      </c>
      <c r="M5" s="41">
        <f>SUM(M6)</f>
        <v>0</v>
      </c>
      <c r="N5" s="242"/>
      <c r="O5" s="242"/>
      <c r="P5" s="242"/>
      <c r="Q5" s="242"/>
      <c r="R5" s="41">
        <f t="shared" ref="R5:U5" si="0">SUM(R6)</f>
        <v>0</v>
      </c>
      <c r="S5" s="41">
        <f t="shared" si="0"/>
        <v>0</v>
      </c>
      <c r="T5" s="41">
        <f t="shared" si="0"/>
        <v>0</v>
      </c>
      <c r="U5" s="41">
        <f t="shared" si="0"/>
        <v>0</v>
      </c>
      <c r="V5" s="242"/>
      <c r="W5" s="242"/>
      <c r="X5" s="242"/>
      <c r="Y5" s="41">
        <f t="shared" ref="Y5:AF5" si="1">SUM(Y6)</f>
        <v>0</v>
      </c>
      <c r="Z5" s="243">
        <f t="shared" si="1"/>
        <v>0</v>
      </c>
      <c r="AA5" s="243">
        <f t="shared" si="1"/>
        <v>0</v>
      </c>
      <c r="AB5" s="41">
        <f t="shared" si="1"/>
        <v>0</v>
      </c>
      <c r="AC5" s="243">
        <f t="shared" si="1"/>
        <v>0</v>
      </c>
      <c r="AD5" s="243">
        <f t="shared" si="1"/>
        <v>0</v>
      </c>
      <c r="AE5" s="41">
        <f t="shared" si="1"/>
        <v>0</v>
      </c>
      <c r="AF5" s="41">
        <f t="shared" si="1"/>
        <v>0</v>
      </c>
      <c r="AG5" s="242"/>
      <c r="AH5" s="242"/>
      <c r="AI5" s="242"/>
      <c r="AJ5" s="243">
        <f t="shared" ref="AJ5:AL5" si="2">SUM(AJ6)</f>
        <v>0</v>
      </c>
      <c r="AK5" s="243">
        <f t="shared" si="2"/>
        <v>0</v>
      </c>
      <c r="AL5" s="243">
        <f t="shared" si="2"/>
        <v>0</v>
      </c>
      <c r="AM5" s="41">
        <f t="shared" ref="AM5:AN5" si="3">SUM(AM6)</f>
        <v>0</v>
      </c>
      <c r="AN5" s="41">
        <f t="shared" si="3"/>
        <v>0</v>
      </c>
      <c r="AO5" s="129"/>
      <c r="AQ5" s="41">
        <f t="shared" ref="AQ5:BB5" si="4">SUM(AQ6)</f>
        <v>0</v>
      </c>
      <c r="AR5" s="41">
        <f t="shared" si="4"/>
        <v>0</v>
      </c>
      <c r="AS5" s="41">
        <f t="shared" si="4"/>
        <v>0</v>
      </c>
      <c r="AT5" s="41">
        <f t="shared" si="4"/>
        <v>0</v>
      </c>
      <c r="AU5" s="243">
        <f t="shared" si="4"/>
        <v>0</v>
      </c>
      <c r="AV5" s="243">
        <f t="shared" si="4"/>
        <v>0</v>
      </c>
      <c r="AW5" s="243">
        <f t="shared" si="4"/>
        <v>0</v>
      </c>
      <c r="AX5" s="243">
        <f t="shared" si="4"/>
        <v>0</v>
      </c>
      <c r="AY5" s="243">
        <f t="shared" si="4"/>
        <v>0</v>
      </c>
      <c r="AZ5" s="243">
        <f t="shared" si="4"/>
        <v>0</v>
      </c>
      <c r="BA5" s="243">
        <f t="shared" si="4"/>
        <v>0</v>
      </c>
      <c r="BB5" s="41">
        <f t="shared" si="4"/>
        <v>0</v>
      </c>
    </row>
    <row r="6" spans="1:54" s="13" customFormat="1" ht="13.8" customHeight="1">
      <c r="A6" s="101"/>
      <c r="B6" s="27"/>
      <c r="C6" s="324" t="s">
        <v>204</v>
      </c>
      <c r="D6" s="324"/>
      <c r="E6" s="325"/>
      <c r="F6" s="248"/>
      <c r="G6" s="298"/>
      <c r="H6" s="239" t="s">
        <v>62</v>
      </c>
      <c r="I6" s="240"/>
      <c r="J6" s="240"/>
      <c r="K6" s="240"/>
      <c r="L6" s="42">
        <f>SUM(L15+L17+L25+L30)</f>
        <v>0</v>
      </c>
      <c r="M6" s="42">
        <f>SUM(M15+M17+M25+M30)</f>
        <v>0</v>
      </c>
      <c r="N6" s="244"/>
      <c r="O6" s="245"/>
      <c r="P6" s="245"/>
      <c r="Q6" s="245"/>
      <c r="R6" s="42">
        <f t="shared" ref="R6:U6" si="5">SUM(R15+R17+R25+R30)</f>
        <v>0</v>
      </c>
      <c r="S6" s="42">
        <f t="shared" si="5"/>
        <v>0</v>
      </c>
      <c r="T6" s="42">
        <f t="shared" si="5"/>
        <v>0</v>
      </c>
      <c r="U6" s="42">
        <f t="shared" si="5"/>
        <v>0</v>
      </c>
      <c r="V6" s="244"/>
      <c r="W6" s="245"/>
      <c r="X6" s="245"/>
      <c r="Y6" s="42">
        <f t="shared" ref="Y6:AF6" si="6">SUM(Y15+Y17+Y25+Y30)</f>
        <v>0</v>
      </c>
      <c r="Z6" s="244">
        <f t="shared" ref="Z6:AA6" si="7">SUM(Z15+Z17+Z25+Z30)</f>
        <v>0</v>
      </c>
      <c r="AA6" s="244">
        <f t="shared" si="7"/>
        <v>0</v>
      </c>
      <c r="AB6" s="42">
        <f t="shared" si="6"/>
        <v>0</v>
      </c>
      <c r="AC6" s="244">
        <f t="shared" ref="AC6:AD6" si="8">SUM(AC15+AC17+AC25+AC30)</f>
        <v>0</v>
      </c>
      <c r="AD6" s="244">
        <f t="shared" si="8"/>
        <v>0</v>
      </c>
      <c r="AE6" s="42">
        <f t="shared" si="6"/>
        <v>0</v>
      </c>
      <c r="AF6" s="42">
        <f t="shared" si="6"/>
        <v>0</v>
      </c>
      <c r="AG6" s="245"/>
      <c r="AH6" s="245"/>
      <c r="AI6" s="245"/>
      <c r="AJ6" s="244">
        <f t="shared" ref="AJ6:AL6" si="9">SUM(AJ15+AJ17+AJ25+AJ30)</f>
        <v>0</v>
      </c>
      <c r="AK6" s="244">
        <f t="shared" si="9"/>
        <v>0</v>
      </c>
      <c r="AL6" s="244">
        <f t="shared" si="9"/>
        <v>0</v>
      </c>
      <c r="AM6" s="42">
        <f t="shared" ref="AM6:AN6" si="10">SUM(AM15+AM17+AM25+AM30)</f>
        <v>0</v>
      </c>
      <c r="AN6" s="42">
        <f t="shared" si="10"/>
        <v>0</v>
      </c>
      <c r="AO6" s="130"/>
      <c r="AQ6" s="42">
        <f t="shared" ref="AQ6:BB6" si="11">SUM(AQ15+AQ17+AQ25+AQ30)</f>
        <v>0</v>
      </c>
      <c r="AR6" s="42">
        <f t="shared" si="11"/>
        <v>0</v>
      </c>
      <c r="AS6" s="42">
        <f t="shared" si="11"/>
        <v>0</v>
      </c>
      <c r="AT6" s="42">
        <f t="shared" si="11"/>
        <v>0</v>
      </c>
      <c r="AU6" s="244">
        <f t="shared" ref="AU6:BA6" si="12">SUM(AU15+AU17+AU25+AU30)</f>
        <v>0</v>
      </c>
      <c r="AV6" s="244">
        <f t="shared" si="12"/>
        <v>0</v>
      </c>
      <c r="AW6" s="244">
        <f t="shared" si="12"/>
        <v>0</v>
      </c>
      <c r="AX6" s="244">
        <f t="shared" si="12"/>
        <v>0</v>
      </c>
      <c r="AY6" s="244">
        <f t="shared" si="12"/>
        <v>0</v>
      </c>
      <c r="AZ6" s="244">
        <f t="shared" si="12"/>
        <v>0</v>
      </c>
      <c r="BA6" s="244">
        <f t="shared" si="12"/>
        <v>0</v>
      </c>
      <c r="BB6" s="42">
        <f t="shared" si="11"/>
        <v>0</v>
      </c>
    </row>
    <row r="7" spans="1:54" ht="55.2" outlineLevel="2">
      <c r="A7" s="98"/>
      <c r="B7" s="102"/>
      <c r="C7" s="23"/>
      <c r="D7" s="257"/>
      <c r="E7" s="123"/>
      <c r="F7" s="270"/>
      <c r="G7" s="250"/>
      <c r="H7" s="272"/>
      <c r="I7" s="258"/>
      <c r="J7" s="259"/>
      <c r="K7" s="259"/>
      <c r="L7" s="106" t="str">
        <f>IF(I7&lt;&gt;0,((VLOOKUP(I7,'1. Standard_Cost'!$B$4:$D$11,2)+VLOOKUP(I7,'1. Standard_Cost'!$B$4:$D$11,3))*J7*K7),"0")</f>
        <v>0</v>
      </c>
      <c r="M7" s="106">
        <f>L7*'1. Standard_Cost'!$F$4</f>
        <v>0</v>
      </c>
      <c r="N7" s="260"/>
      <c r="O7" s="260"/>
      <c r="P7" s="260"/>
      <c r="Q7" s="260"/>
      <c r="R7" s="108">
        <f>'1. Standard_Cost'!$B$15*N7*P7</f>
        <v>0</v>
      </c>
      <c r="S7" s="108">
        <f>N7*O7*P7*'1. Standard_Cost'!$C$15</f>
        <v>0</v>
      </c>
      <c r="T7" s="108">
        <f>N7*P7*Q7*'1. Standard_Cost'!$D$15</f>
        <v>0</v>
      </c>
      <c r="U7" s="108">
        <f>N7*O7*'1. Standard_Cost'!$E$15</f>
        <v>0</v>
      </c>
      <c r="V7" s="260"/>
      <c r="W7" s="260"/>
      <c r="X7" s="260"/>
      <c r="Y7" s="108">
        <f>+V7*((X7*'1. Standard_Cost'!$B$19)+(W7*X7*'1. Standard_Cost'!$C$19))</f>
        <v>0</v>
      </c>
      <c r="Z7" s="260"/>
      <c r="AA7" s="260"/>
      <c r="AB7" s="108">
        <f>+Z7*'1. Standard_Cost'!$B$23+AA7*'1. Standard_Cost'!$C$23</f>
        <v>0</v>
      </c>
      <c r="AC7" s="261"/>
      <c r="AD7" s="262"/>
      <c r="AE7" s="108">
        <f>SUM(AD7,AC7,AB7,Y7,U7,T7,S7,R7)*'1. Standard_Cost'!$B$31</f>
        <v>0</v>
      </c>
      <c r="AF7" s="108">
        <f>SUM(AE7,AD7,AC7,AB7,Y7,U7,T7,S7,R7)</f>
        <v>0</v>
      </c>
      <c r="AG7" s="260"/>
      <c r="AH7" s="260"/>
      <c r="AI7" s="260"/>
      <c r="AJ7" s="263"/>
      <c r="AK7" s="263"/>
      <c r="AL7" s="263"/>
      <c r="AM7" s="108">
        <f>AG7*'1. Standard_Cost'!$B$27+'Incremental_Cost Year 9'!AH7*'1. Standard_Cost'!$C$27+'Incremental_Cost Year 9'!AI7*'1. Standard_Cost'!$D$27+'Incremental_Cost Year 9'!AJ7+'Incremental_Cost Year 9'!AL7+AK7</f>
        <v>0</v>
      </c>
      <c r="AN7" s="108">
        <f>AM7*'1. Standard_Cost'!$C$31</f>
        <v>0</v>
      </c>
      <c r="AO7" s="134" t="s">
        <v>270</v>
      </c>
      <c r="AQ7" s="14">
        <f>L7+M7</f>
        <v>0</v>
      </c>
      <c r="AR7" s="14">
        <f>AF7</f>
        <v>0</v>
      </c>
      <c r="AS7" s="14">
        <f>AM7+AN7</f>
        <v>0</v>
      </c>
      <c r="AT7" s="14">
        <f>SUM(AQ7,AR7,AS7)</f>
        <v>0</v>
      </c>
      <c r="AU7" s="234"/>
      <c r="AV7" s="234"/>
      <c r="AW7" s="234"/>
      <c r="AX7" s="234"/>
      <c r="AY7" s="234"/>
      <c r="AZ7" s="234"/>
      <c r="BA7" s="234"/>
      <c r="BB7" s="16">
        <f>SUM(AU7:BA7)-AT7</f>
        <v>0</v>
      </c>
    </row>
    <row r="8" spans="1:54" ht="13.5" customHeight="1" outlineLevel="2">
      <c r="A8" s="98"/>
      <c r="B8" s="102"/>
      <c r="C8" s="23"/>
      <c r="D8" s="269"/>
      <c r="E8" s="271"/>
      <c r="F8" s="270"/>
      <c r="G8" s="250"/>
      <c r="H8" s="272"/>
      <c r="I8" s="258"/>
      <c r="J8" s="259"/>
      <c r="K8" s="259"/>
      <c r="L8" s="106" t="str">
        <f>IF(I8&lt;&gt;0,((VLOOKUP(I8,'1. Standard_Cost'!$B$4:$D$11,2)+VLOOKUP(I8,'1. Standard_Cost'!$B$4:$D$11,3))*J8*K8),"0")</f>
        <v>0</v>
      </c>
      <c r="M8" s="106">
        <f>L8*'1. Standard_Cost'!$F$4</f>
        <v>0</v>
      </c>
      <c r="N8" s="260"/>
      <c r="O8" s="260"/>
      <c r="P8" s="260"/>
      <c r="Q8" s="260"/>
      <c r="R8" s="108">
        <f>'1. Standard_Cost'!$B$15*N8*P8</f>
        <v>0</v>
      </c>
      <c r="S8" s="108">
        <f>N8*O8*P8*'1. Standard_Cost'!$C$15</f>
        <v>0</v>
      </c>
      <c r="T8" s="108">
        <f>N8*P8*Q8*'1. Standard_Cost'!$D$15</f>
        <v>0</v>
      </c>
      <c r="U8" s="108">
        <f>N8*O8*'1. Standard_Cost'!$E$15</f>
        <v>0</v>
      </c>
      <c r="V8" s="260"/>
      <c r="W8" s="260"/>
      <c r="X8" s="260"/>
      <c r="Y8" s="108">
        <f>+V8*((X8*'1. Standard_Cost'!$B$19)+(W8*X8*'1. Standard_Cost'!$C$19))</f>
        <v>0</v>
      </c>
      <c r="Z8" s="260"/>
      <c r="AA8" s="260"/>
      <c r="AB8" s="108">
        <f>+Z8*'1. Standard_Cost'!$B$23+AA8*'1. Standard_Cost'!$C$23</f>
        <v>0</v>
      </c>
      <c r="AC8" s="261"/>
      <c r="AD8" s="262"/>
      <c r="AE8" s="108">
        <f>SUM(AD8,AC8,AB8,Y8,U8,T8,S8,R8)*'1. Standard_Cost'!$B$31</f>
        <v>0</v>
      </c>
      <c r="AF8" s="108">
        <f t="shared" ref="AF8:AF14" si="13">SUM(AE8,AD8,AC8,AB8,Y8,U8,T8,S8,R8)</f>
        <v>0</v>
      </c>
      <c r="AG8" s="260"/>
      <c r="AH8" s="260"/>
      <c r="AI8" s="260"/>
      <c r="AJ8" s="263"/>
      <c r="AK8" s="263"/>
      <c r="AL8" s="263"/>
      <c r="AM8" s="108">
        <f>AG8*'1. Standard_Cost'!$B$27+'Incremental_Cost Year 9'!AH8*'1. Standard_Cost'!$C$27+'Incremental_Cost Year 9'!AI8*'1. Standard_Cost'!$D$27+'Incremental_Cost Year 9'!AJ8+'Incremental_Cost Year 9'!AL8+AK8</f>
        <v>0</v>
      </c>
      <c r="AN8" s="108">
        <f>AM8*'1. Standard_Cost'!$C$31</f>
        <v>0</v>
      </c>
      <c r="AO8" s="125" t="s">
        <v>271</v>
      </c>
      <c r="AQ8" s="14">
        <f t="shared" ref="AQ8:AQ14" si="14">L8+M8</f>
        <v>0</v>
      </c>
      <c r="AR8" s="14">
        <f t="shared" ref="AR8:AR14" si="15">AF8</f>
        <v>0</v>
      </c>
      <c r="AS8" s="14">
        <f t="shared" ref="AS8:AS14" si="16">AM8+AN8</f>
        <v>0</v>
      </c>
      <c r="AT8" s="14">
        <f t="shared" ref="AT8:AT14" si="17">SUM(AQ8,AR8,AS8)</f>
        <v>0</v>
      </c>
      <c r="AU8" s="234"/>
      <c r="AV8" s="234"/>
      <c r="AW8" s="234"/>
      <c r="AX8" s="234"/>
      <c r="AY8" s="234"/>
      <c r="AZ8" s="234"/>
      <c r="BA8" s="234"/>
      <c r="BB8" s="16">
        <f t="shared" ref="BB8:BB14" si="18">SUM(AU8:BA8)-AT8</f>
        <v>0</v>
      </c>
    </row>
    <row r="9" spans="1:54" ht="27.6" outlineLevel="2">
      <c r="A9" s="98"/>
      <c r="B9" s="102"/>
      <c r="C9" s="23"/>
      <c r="D9" s="251"/>
      <c r="E9" s="250"/>
      <c r="F9" s="270"/>
      <c r="G9" s="250"/>
      <c r="H9" s="272"/>
      <c r="I9" s="258"/>
      <c r="J9" s="259"/>
      <c r="K9" s="259"/>
      <c r="L9" s="106" t="str">
        <f>IF(I9&lt;&gt;0,((VLOOKUP(I9,'1. Standard_Cost'!$B$4:$D$11,2)+VLOOKUP(I9,'1. Standard_Cost'!$B$4:$D$11,3))*J9*K9),"0")</f>
        <v>0</v>
      </c>
      <c r="M9" s="106">
        <f>L9*'1. Standard_Cost'!$F$4</f>
        <v>0</v>
      </c>
      <c r="N9" s="260"/>
      <c r="O9" s="260"/>
      <c r="P9" s="260"/>
      <c r="Q9" s="260"/>
      <c r="R9" s="108">
        <f>'1. Standard_Cost'!$B$15*N9*P9</f>
        <v>0</v>
      </c>
      <c r="S9" s="108">
        <f>N9*O9*P9*'1. Standard_Cost'!$C$15</f>
        <v>0</v>
      </c>
      <c r="T9" s="108">
        <f>N9*P9*Q9*'1. Standard_Cost'!$D$15</f>
        <v>0</v>
      </c>
      <c r="U9" s="108">
        <f>N9*O9*'1. Standard_Cost'!$E$15</f>
        <v>0</v>
      </c>
      <c r="V9" s="260"/>
      <c r="W9" s="260"/>
      <c r="X9" s="260"/>
      <c r="Y9" s="108">
        <f>+V9*((X9*'1. Standard_Cost'!$B$19)+(W9*X9*'1. Standard_Cost'!$C$19))</f>
        <v>0</v>
      </c>
      <c r="Z9" s="260"/>
      <c r="AA9" s="260"/>
      <c r="AB9" s="108">
        <f>+Z9*'1. Standard_Cost'!$B$23+AA9*'1. Standard_Cost'!$C$23</f>
        <v>0</v>
      </c>
      <c r="AC9" s="261"/>
      <c r="AD9" s="262"/>
      <c r="AE9" s="108">
        <f>SUM(AD9,AC9,AB9,Y9,U9,T9,S9,R9)*'1. Standard_Cost'!$B$31</f>
        <v>0</v>
      </c>
      <c r="AF9" s="108">
        <f t="shared" si="13"/>
        <v>0</v>
      </c>
      <c r="AG9" s="260"/>
      <c r="AH9" s="260"/>
      <c r="AI9" s="260"/>
      <c r="AJ9" s="263"/>
      <c r="AK9" s="263"/>
      <c r="AL9" s="263"/>
      <c r="AM9" s="108">
        <f>AG9*'1. Standard_Cost'!$B$27+'Incremental_Cost Year 9'!AH9*'1. Standard_Cost'!$C$27+'Incremental_Cost Year 9'!AI9*'1. Standard_Cost'!$D$27+'Incremental_Cost Year 9'!AJ9+'Incremental_Cost Year 9'!AL9+AK9</f>
        <v>0</v>
      </c>
      <c r="AN9" s="108">
        <f>AM9*'1. Standard_Cost'!$C$31</f>
        <v>0</v>
      </c>
      <c r="AO9" s="125" t="s">
        <v>272</v>
      </c>
      <c r="AQ9" s="14">
        <f t="shared" si="14"/>
        <v>0</v>
      </c>
      <c r="AR9" s="14">
        <f t="shared" si="15"/>
        <v>0</v>
      </c>
      <c r="AS9" s="14">
        <f t="shared" si="16"/>
        <v>0</v>
      </c>
      <c r="AT9" s="14">
        <f t="shared" si="17"/>
        <v>0</v>
      </c>
      <c r="AU9" s="234"/>
      <c r="AV9" s="234"/>
      <c r="AW9" s="234"/>
      <c r="AX9" s="234"/>
      <c r="AY9" s="234"/>
      <c r="AZ9" s="234"/>
      <c r="BA9" s="234"/>
      <c r="BB9" s="16">
        <f t="shared" si="18"/>
        <v>0</v>
      </c>
    </row>
    <row r="10" spans="1:54" ht="27.6" outlineLevel="2">
      <c r="A10" s="98"/>
      <c r="B10" s="102"/>
      <c r="C10" s="23"/>
      <c r="D10" s="251"/>
      <c r="E10" s="250"/>
      <c r="F10" s="270"/>
      <c r="G10" s="250"/>
      <c r="H10" s="272"/>
      <c r="I10" s="258"/>
      <c r="J10" s="259"/>
      <c r="K10" s="259"/>
      <c r="L10" s="106" t="str">
        <f>IF(I10&lt;&gt;0,((VLOOKUP(I10,'1. Standard_Cost'!$B$4:$D$11,2)+VLOOKUP(I10,'1. Standard_Cost'!$B$4:$D$11,3))*J10*K10),"0")</f>
        <v>0</v>
      </c>
      <c r="M10" s="106">
        <f>L10*'1. Standard_Cost'!$F$4</f>
        <v>0</v>
      </c>
      <c r="N10" s="260"/>
      <c r="O10" s="260"/>
      <c r="P10" s="260"/>
      <c r="Q10" s="260"/>
      <c r="R10" s="108">
        <f>'1. Standard_Cost'!$B$15*N10*P10</f>
        <v>0</v>
      </c>
      <c r="S10" s="108">
        <f>N10*O10*P10*'1. Standard_Cost'!$C$15</f>
        <v>0</v>
      </c>
      <c r="T10" s="108">
        <f>N10*P10*Q10*'1. Standard_Cost'!$D$15</f>
        <v>0</v>
      </c>
      <c r="U10" s="108">
        <f>N10*O10*'1. Standard_Cost'!$E$15</f>
        <v>0</v>
      </c>
      <c r="V10" s="260"/>
      <c r="W10" s="260"/>
      <c r="X10" s="260"/>
      <c r="Y10" s="108">
        <f>+V10*((X10*'1. Standard_Cost'!$B$19)+(W10*X10*'1. Standard_Cost'!$C$19))</f>
        <v>0</v>
      </c>
      <c r="Z10" s="260"/>
      <c r="AA10" s="260"/>
      <c r="AB10" s="108">
        <f>+Z10*'1. Standard_Cost'!$B$23+AA10*'1. Standard_Cost'!$C$23</f>
        <v>0</v>
      </c>
      <c r="AC10" s="261"/>
      <c r="AD10" s="262"/>
      <c r="AE10" s="108">
        <f>SUM(AD10,AC10,AB10,Y10,U10,T10,S10,R10)*'1. Standard_Cost'!$B$31</f>
        <v>0</v>
      </c>
      <c r="AF10" s="108">
        <f t="shared" si="13"/>
        <v>0</v>
      </c>
      <c r="AG10" s="260"/>
      <c r="AH10" s="260"/>
      <c r="AI10" s="260"/>
      <c r="AJ10" s="263"/>
      <c r="AK10" s="263"/>
      <c r="AL10" s="263"/>
      <c r="AM10" s="108">
        <f>AG10*'1. Standard_Cost'!$B$27+'Incremental_Cost Year 9'!AH10*'1. Standard_Cost'!$C$27+'Incremental_Cost Year 9'!AI10*'1. Standard_Cost'!$D$27+'Incremental_Cost Year 9'!AJ10+'Incremental_Cost Year 9'!AL10+AK10</f>
        <v>0</v>
      </c>
      <c r="AN10" s="108">
        <f>AM10*'1. Standard_Cost'!$C$31</f>
        <v>0</v>
      </c>
      <c r="AO10" s="134" t="s">
        <v>273</v>
      </c>
      <c r="AQ10" s="14">
        <f t="shared" si="14"/>
        <v>0</v>
      </c>
      <c r="AR10" s="14">
        <f t="shared" si="15"/>
        <v>0</v>
      </c>
      <c r="AS10" s="14">
        <f t="shared" si="16"/>
        <v>0</v>
      </c>
      <c r="AT10" s="14">
        <f t="shared" si="17"/>
        <v>0</v>
      </c>
      <c r="AU10" s="234"/>
      <c r="AV10" s="234"/>
      <c r="AW10" s="234"/>
      <c r="AX10" s="234"/>
      <c r="AY10" s="234"/>
      <c r="AZ10" s="234"/>
      <c r="BA10" s="234"/>
      <c r="BB10" s="16">
        <f t="shared" si="18"/>
        <v>0</v>
      </c>
    </row>
    <row r="11" spans="1:54" ht="69" outlineLevel="2">
      <c r="A11" s="98"/>
      <c r="B11" s="102"/>
      <c r="C11" s="23"/>
      <c r="D11" s="251"/>
      <c r="E11" s="250"/>
      <c r="F11" s="270"/>
      <c r="G11" s="250"/>
      <c r="H11" s="272"/>
      <c r="I11" s="258"/>
      <c r="J11" s="259"/>
      <c r="K11" s="259"/>
      <c r="L11" s="106" t="str">
        <f>IF(I11&lt;&gt;0,((VLOOKUP(I11,'1. Standard_Cost'!$B$4:$D$11,2)+VLOOKUP(I11,'1. Standard_Cost'!$B$4:$D$11,3))*J11*K11),"0")</f>
        <v>0</v>
      </c>
      <c r="M11" s="106">
        <f>L11*'1. Standard_Cost'!$F$4</f>
        <v>0</v>
      </c>
      <c r="N11" s="260"/>
      <c r="O11" s="260"/>
      <c r="P11" s="260"/>
      <c r="Q11" s="260"/>
      <c r="R11" s="108">
        <f>'1. Standard_Cost'!$B$15*N11*P11</f>
        <v>0</v>
      </c>
      <c r="S11" s="108">
        <f>N11*O11*P11*'1. Standard_Cost'!$C$15</f>
        <v>0</v>
      </c>
      <c r="T11" s="108">
        <f>N11*P11*Q11*'1. Standard_Cost'!$D$15</f>
        <v>0</v>
      </c>
      <c r="U11" s="108">
        <f>N11*O11*'1. Standard_Cost'!$E$15</f>
        <v>0</v>
      </c>
      <c r="V11" s="260"/>
      <c r="W11" s="260"/>
      <c r="X11" s="260"/>
      <c r="Y11" s="108">
        <f>+V11*((X11*'1. Standard_Cost'!$B$19)+(W11*X11*'1. Standard_Cost'!$C$19))</f>
        <v>0</v>
      </c>
      <c r="Z11" s="260"/>
      <c r="AA11" s="260"/>
      <c r="AB11" s="108">
        <f>+Z11*'1. Standard_Cost'!$B$23+AA11*'1. Standard_Cost'!$C$23</f>
        <v>0</v>
      </c>
      <c r="AC11" s="261"/>
      <c r="AD11" s="262"/>
      <c r="AE11" s="108">
        <f>SUM(AD11,AC11,AB11,Y11,U11,T11,S11,R11)*'1. Standard_Cost'!$B$31</f>
        <v>0</v>
      </c>
      <c r="AF11" s="108">
        <f t="shared" si="13"/>
        <v>0</v>
      </c>
      <c r="AG11" s="260"/>
      <c r="AH11" s="260"/>
      <c r="AI11" s="260"/>
      <c r="AJ11" s="263"/>
      <c r="AK11" s="263"/>
      <c r="AL11" s="263"/>
      <c r="AM11" s="108">
        <f>AG11*'1. Standard_Cost'!$B$27+'Incremental_Cost Year 9'!AH11*'1. Standard_Cost'!$C$27+'Incremental_Cost Year 9'!AI11*'1. Standard_Cost'!$D$27+'Incremental_Cost Year 9'!AJ11+'Incremental_Cost Year 9'!AL11+AK11</f>
        <v>0</v>
      </c>
      <c r="AN11" s="108">
        <f>AM11*'1. Standard_Cost'!$C$31</f>
        <v>0</v>
      </c>
      <c r="AO11" s="134" t="s">
        <v>275</v>
      </c>
      <c r="AQ11" s="14">
        <f t="shared" si="14"/>
        <v>0</v>
      </c>
      <c r="AR11" s="14">
        <f t="shared" si="15"/>
        <v>0</v>
      </c>
      <c r="AS11" s="14">
        <f t="shared" si="16"/>
        <v>0</v>
      </c>
      <c r="AT11" s="14">
        <f t="shared" si="17"/>
        <v>0</v>
      </c>
      <c r="AU11" s="234"/>
      <c r="AV11" s="234"/>
      <c r="AW11" s="234"/>
      <c r="AX11" s="234"/>
      <c r="AY11" s="234"/>
      <c r="AZ11" s="234"/>
      <c r="BA11" s="234"/>
      <c r="BB11" s="16">
        <f t="shared" si="18"/>
        <v>0</v>
      </c>
    </row>
    <row r="12" spans="1:54" ht="27.6" outlineLevel="2">
      <c r="A12" s="98"/>
      <c r="B12" s="102"/>
      <c r="C12" s="23"/>
      <c r="D12" s="251"/>
      <c r="E12" s="250"/>
      <c r="F12" s="270"/>
      <c r="G12" s="250"/>
      <c r="H12" s="272"/>
      <c r="I12" s="258"/>
      <c r="J12" s="259"/>
      <c r="K12" s="259"/>
      <c r="L12" s="106" t="str">
        <f>IF(I12&lt;&gt;0,((VLOOKUP(I12,'1. Standard_Cost'!$B$4:$D$11,2)+VLOOKUP(I12,'1. Standard_Cost'!$B$4:$D$11,3))*J12*K12),"0")</f>
        <v>0</v>
      </c>
      <c r="M12" s="106">
        <f>L12*'1. Standard_Cost'!$F$4</f>
        <v>0</v>
      </c>
      <c r="N12" s="260"/>
      <c r="O12" s="260"/>
      <c r="P12" s="260"/>
      <c r="Q12" s="260"/>
      <c r="R12" s="108">
        <f>'1. Standard_Cost'!$B$15*N12*P12</f>
        <v>0</v>
      </c>
      <c r="S12" s="108">
        <f>N12*O12*P12*'1. Standard_Cost'!$C$15</f>
        <v>0</v>
      </c>
      <c r="T12" s="108">
        <f>N12*P12*Q12*'1. Standard_Cost'!$D$15</f>
        <v>0</v>
      </c>
      <c r="U12" s="108">
        <f>N12*O12*'1. Standard_Cost'!$E$15</f>
        <v>0</v>
      </c>
      <c r="V12" s="260"/>
      <c r="W12" s="260"/>
      <c r="X12" s="260"/>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13"/>
        <v>0</v>
      </c>
      <c r="AG12" s="260"/>
      <c r="AH12" s="260"/>
      <c r="AI12" s="260"/>
      <c r="AJ12" s="263"/>
      <c r="AK12" s="263"/>
      <c r="AL12" s="263"/>
      <c r="AM12" s="108">
        <f>AG12*'1. Standard_Cost'!$B$27+'Incremental_Cost Year 9'!AH12*'1. Standard_Cost'!$C$27+'Incremental_Cost Year 9'!AI12*'1. Standard_Cost'!$D$27+'Incremental_Cost Year 9'!AJ12+'Incremental_Cost Year 9'!AL12+AK12</f>
        <v>0</v>
      </c>
      <c r="AN12" s="108">
        <f>AM12*'1. Standard_Cost'!$C$31</f>
        <v>0</v>
      </c>
      <c r="AO12" s="134" t="s">
        <v>273</v>
      </c>
      <c r="AQ12" s="14">
        <f t="shared" si="14"/>
        <v>0</v>
      </c>
      <c r="AR12" s="14">
        <f t="shared" si="15"/>
        <v>0</v>
      </c>
      <c r="AS12" s="14">
        <f t="shared" si="16"/>
        <v>0</v>
      </c>
      <c r="AT12" s="14">
        <f t="shared" si="17"/>
        <v>0</v>
      </c>
      <c r="AU12" s="234"/>
      <c r="AV12" s="234"/>
      <c r="AW12" s="234"/>
      <c r="AX12" s="234"/>
      <c r="AY12" s="234"/>
      <c r="AZ12" s="234"/>
      <c r="BA12" s="234"/>
      <c r="BB12" s="16">
        <f t="shared" si="18"/>
        <v>0</v>
      </c>
    </row>
    <row r="13" spans="1:54" ht="69" outlineLevel="2">
      <c r="A13" s="98"/>
      <c r="B13" s="102"/>
      <c r="C13" s="23"/>
      <c r="D13" s="251"/>
      <c r="E13" s="250"/>
      <c r="F13" s="270"/>
      <c r="G13" s="250"/>
      <c r="H13" s="272"/>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260"/>
      <c r="W13" s="260"/>
      <c r="X13" s="260"/>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13"/>
        <v>0</v>
      </c>
      <c r="AG13" s="260"/>
      <c r="AH13" s="260"/>
      <c r="AI13" s="260"/>
      <c r="AJ13" s="263"/>
      <c r="AK13" s="263"/>
      <c r="AL13" s="263"/>
      <c r="AM13" s="108">
        <f>AG13*'1. Standard_Cost'!$B$27+'Incremental_Cost Year 9'!AH13*'1. Standard_Cost'!$C$27+'Incremental_Cost Year 9'!AI13*'1. Standard_Cost'!$D$27+'Incremental_Cost Year 9'!AJ13+'Incremental_Cost Year 9'!AL13+AK13</f>
        <v>0</v>
      </c>
      <c r="AN13" s="108">
        <f>AM13*'1. Standard_Cost'!$C$31</f>
        <v>0</v>
      </c>
      <c r="AO13" s="134" t="s">
        <v>275</v>
      </c>
      <c r="AQ13" s="14">
        <f t="shared" si="14"/>
        <v>0</v>
      </c>
      <c r="AR13" s="14">
        <f t="shared" si="15"/>
        <v>0</v>
      </c>
      <c r="AS13" s="14">
        <f t="shared" si="16"/>
        <v>0</v>
      </c>
      <c r="AT13" s="14">
        <f t="shared" si="17"/>
        <v>0</v>
      </c>
      <c r="AU13" s="234"/>
      <c r="AV13" s="234"/>
      <c r="AW13" s="234"/>
      <c r="AX13" s="234"/>
      <c r="AY13" s="234"/>
      <c r="AZ13" s="234"/>
      <c r="BA13" s="234"/>
      <c r="BB13" s="16">
        <f t="shared" si="18"/>
        <v>0</v>
      </c>
    </row>
    <row r="14" spans="1:54" ht="27.6" outlineLevel="2">
      <c r="A14" s="98"/>
      <c r="B14" s="102"/>
      <c r="C14" s="23"/>
      <c r="D14" s="251"/>
      <c r="E14" s="250"/>
      <c r="F14" s="270"/>
      <c r="G14" s="250"/>
      <c r="H14" s="272"/>
      <c r="I14" s="258"/>
      <c r="J14" s="259"/>
      <c r="K14" s="259"/>
      <c r="L14" s="106" t="str">
        <f>IF(I14&lt;&gt;0,((VLOOKUP(I14,'1. Standard_Cost'!$B$4:$D$11,2)+VLOOKUP(I14,'1. Standard_Cost'!$B$4:$D$11,3))*J14*K14),"0")</f>
        <v>0</v>
      </c>
      <c r="M14" s="106">
        <f>L14*'1. Standard_Cost'!$F$4</f>
        <v>0</v>
      </c>
      <c r="N14" s="260"/>
      <c r="O14" s="260"/>
      <c r="P14" s="260"/>
      <c r="Q14" s="260"/>
      <c r="R14" s="108">
        <f>'1. Standard_Cost'!$B$15*N14*P14</f>
        <v>0</v>
      </c>
      <c r="S14" s="108">
        <f>N14*O14*P14*'1. Standard_Cost'!$C$15</f>
        <v>0</v>
      </c>
      <c r="T14" s="108">
        <f>N14*P14*Q14*'1. Standard_Cost'!$D$15</f>
        <v>0</v>
      </c>
      <c r="U14" s="108">
        <f>N14*O14*'1. Standard_Cost'!$E$15</f>
        <v>0</v>
      </c>
      <c r="V14" s="260"/>
      <c r="W14" s="260"/>
      <c r="X14" s="260"/>
      <c r="Y14" s="108">
        <f>+V14*((X14*'1. Standard_Cost'!$B$19)+(W14*X14*'1. Standard_Cost'!$C$19))</f>
        <v>0</v>
      </c>
      <c r="Z14" s="260"/>
      <c r="AA14" s="260"/>
      <c r="AB14" s="108">
        <f>+Z14*'1. Standard_Cost'!$B$23+AA14*'1. Standard_Cost'!$C$23</f>
        <v>0</v>
      </c>
      <c r="AC14" s="261"/>
      <c r="AD14" s="262"/>
      <c r="AE14" s="108">
        <f>SUM(AD14,AC14,AB14,Y14,U14,T14,S14,R14)*'1. Standard_Cost'!$B$31</f>
        <v>0</v>
      </c>
      <c r="AF14" s="108">
        <f t="shared" si="13"/>
        <v>0</v>
      </c>
      <c r="AG14" s="260"/>
      <c r="AH14" s="260"/>
      <c r="AI14" s="260"/>
      <c r="AJ14" s="263"/>
      <c r="AK14" s="263"/>
      <c r="AL14" s="263"/>
      <c r="AM14" s="108">
        <f>AG14*'1. Standard_Cost'!$B$27+'Incremental_Cost Year 9'!AH14*'1. Standard_Cost'!$C$27+'Incremental_Cost Year 9'!AI14*'1. Standard_Cost'!$D$27+'Incremental_Cost Year 9'!AJ14+'Incremental_Cost Year 9'!AL14+AK14</f>
        <v>0</v>
      </c>
      <c r="AN14" s="108">
        <f>AM14*'1. Standard_Cost'!$C$31</f>
        <v>0</v>
      </c>
      <c r="AO14" s="134" t="s">
        <v>274</v>
      </c>
      <c r="AQ14" s="14">
        <f t="shared" si="14"/>
        <v>0</v>
      </c>
      <c r="AR14" s="14">
        <f t="shared" si="15"/>
        <v>0</v>
      </c>
      <c r="AS14" s="14">
        <f t="shared" si="16"/>
        <v>0</v>
      </c>
      <c r="AT14" s="14">
        <f t="shared" si="17"/>
        <v>0</v>
      </c>
      <c r="AU14" s="234"/>
      <c r="AV14" s="234"/>
      <c r="AW14" s="234"/>
      <c r="AX14" s="234"/>
      <c r="AY14" s="234"/>
      <c r="AZ14" s="234"/>
      <c r="BA14" s="234"/>
      <c r="BB14" s="16">
        <f t="shared" si="18"/>
        <v>0</v>
      </c>
    </row>
    <row r="15" spans="1:54" ht="41.4" outlineLevel="1">
      <c r="A15" s="98"/>
      <c r="B15" s="102"/>
      <c r="C15" s="23"/>
      <c r="D15" s="56" t="s">
        <v>205</v>
      </c>
      <c r="E15" s="122" t="s">
        <v>206</v>
      </c>
      <c r="F15" s="268">
        <v>2021</v>
      </c>
      <c r="G15" s="254">
        <v>2026</v>
      </c>
      <c r="H15" s="276" t="s">
        <v>48</v>
      </c>
      <c r="I15" s="264"/>
      <c r="J15" s="264"/>
      <c r="K15" s="264"/>
      <c r="L15" s="113">
        <f>SUM(L7:L14)</f>
        <v>0</v>
      </c>
      <c r="M15" s="113">
        <f>SUM(M7:M14)</f>
        <v>0</v>
      </c>
      <c r="N15" s="265"/>
      <c r="O15" s="264"/>
      <c r="P15" s="264"/>
      <c r="Q15" s="264"/>
      <c r="R15" s="113">
        <f>SUM(R7:R14)</f>
        <v>0</v>
      </c>
      <c r="S15" s="113">
        <f>SUM(S7:S14)</f>
        <v>0</v>
      </c>
      <c r="T15" s="113">
        <f>SUM(T7:T14)</f>
        <v>0</v>
      </c>
      <c r="U15" s="113">
        <f>SUM(U7:U14)</f>
        <v>0</v>
      </c>
      <c r="V15" s="264"/>
      <c r="W15" s="264"/>
      <c r="X15" s="264"/>
      <c r="Y15" s="113">
        <f>SUM(Y7:Y14)</f>
        <v>0</v>
      </c>
      <c r="Z15" s="264"/>
      <c r="AA15" s="264"/>
      <c r="AB15" s="113">
        <f>SUM(AB7:AB14)</f>
        <v>0</v>
      </c>
      <c r="AC15" s="265">
        <f>SUM(AC7:AC14)</f>
        <v>0</v>
      </c>
      <c r="AD15" s="265">
        <f>SUM(AD7:AD14)</f>
        <v>0</v>
      </c>
      <c r="AE15" s="113">
        <f>SUM(AE7:AE14)</f>
        <v>0</v>
      </c>
      <c r="AF15" s="113">
        <f>SUM(AF7:AF14)</f>
        <v>0</v>
      </c>
      <c r="AG15" s="264"/>
      <c r="AH15" s="264"/>
      <c r="AI15" s="264"/>
      <c r="AJ15" s="265">
        <f>SUM(AJ7:AJ14)</f>
        <v>0</v>
      </c>
      <c r="AK15" s="265">
        <f>SUM(AK7:AK14)</f>
        <v>0</v>
      </c>
      <c r="AL15" s="265">
        <f>SUM(AL7:AL14)</f>
        <v>0</v>
      </c>
      <c r="AM15" s="113">
        <f>SUM(AM7:AM14)</f>
        <v>0</v>
      </c>
      <c r="AN15" s="113">
        <f>SUM(AN7:AN14)</f>
        <v>0</v>
      </c>
      <c r="AO15" s="131"/>
      <c r="AP15" s="17"/>
      <c r="AQ15" s="113">
        <f t="shared" ref="AQ15:BB15" si="19">SUM(AQ7:AQ14)</f>
        <v>0</v>
      </c>
      <c r="AR15" s="113">
        <f t="shared" si="19"/>
        <v>0</v>
      </c>
      <c r="AS15" s="113">
        <f t="shared" si="19"/>
        <v>0</v>
      </c>
      <c r="AT15" s="113">
        <f t="shared" si="19"/>
        <v>0</v>
      </c>
      <c r="AU15" s="265">
        <f t="shared" si="19"/>
        <v>0</v>
      </c>
      <c r="AV15" s="265">
        <f t="shared" si="19"/>
        <v>0</v>
      </c>
      <c r="AW15" s="265">
        <f t="shared" si="19"/>
        <v>0</v>
      </c>
      <c r="AX15" s="265">
        <f t="shared" si="19"/>
        <v>0</v>
      </c>
      <c r="AY15" s="265">
        <f t="shared" si="19"/>
        <v>0</v>
      </c>
      <c r="AZ15" s="265">
        <f t="shared" si="19"/>
        <v>0</v>
      </c>
      <c r="BA15" s="265">
        <f t="shared" si="19"/>
        <v>0</v>
      </c>
      <c r="BB15" s="113">
        <f t="shared" si="19"/>
        <v>0</v>
      </c>
    </row>
    <row r="16" spans="1:54" ht="27.6" outlineLevel="2">
      <c r="A16" s="98"/>
      <c r="B16" s="102"/>
      <c r="C16" s="23"/>
      <c r="D16" s="251"/>
      <c r="E16" s="250"/>
      <c r="F16" s="270"/>
      <c r="G16" s="250"/>
      <c r="H16" s="272"/>
      <c r="I16" s="258"/>
      <c r="J16" s="259"/>
      <c r="K16" s="259"/>
      <c r="L16" s="106" t="str">
        <f>IF(I16&lt;&gt;0,((VLOOKUP(I16,'1. Standard_Cost'!$B$4:$D$11,2)+VLOOKUP(I16,'1. Standard_Cost'!$B$4:$D$11,3))*J16*K16),"0")</f>
        <v>0</v>
      </c>
      <c r="M16" s="106">
        <f>L16*'1. Standard_Cost'!$F$4</f>
        <v>0</v>
      </c>
      <c r="N16" s="260"/>
      <c r="O16" s="260"/>
      <c r="P16" s="260"/>
      <c r="Q16" s="260"/>
      <c r="R16" s="108">
        <f>'1. Standard_Cost'!$B$15*N16*P16</f>
        <v>0</v>
      </c>
      <c r="S16" s="108">
        <f>N16*O16*P16*'1. Standard_Cost'!$C$15</f>
        <v>0</v>
      </c>
      <c r="T16" s="108">
        <f>N16*P16*Q16*'1. Standard_Cost'!$D$15</f>
        <v>0</v>
      </c>
      <c r="U16" s="108">
        <f>N16*O16*'1. Standard_Cost'!$E$15</f>
        <v>0</v>
      </c>
      <c r="V16" s="260"/>
      <c r="W16" s="260"/>
      <c r="X16" s="260"/>
      <c r="Y16" s="108">
        <f>+V16*((X16*'1. Standard_Cost'!$B$19)+(W16*X16*'1. Standard_Cost'!$C$19))</f>
        <v>0</v>
      </c>
      <c r="Z16" s="260"/>
      <c r="AA16" s="260"/>
      <c r="AB16" s="108">
        <f>+Z16*'1. Standard_Cost'!$B$23+AA16*'1. Standard_Cost'!$C$23</f>
        <v>0</v>
      </c>
      <c r="AC16" s="261"/>
      <c r="AD16" s="262"/>
      <c r="AE16" s="108">
        <f>SUM(AD16,AC16,AB16,Y16,U16,T16,S16,R16)*'1. Standard_Cost'!$B$31</f>
        <v>0</v>
      </c>
      <c r="AF16" s="108">
        <f t="shared" ref="AF16" si="20">SUM(AE16,AD16,AC16,AB16,Y16,U16,T16,S16,R16)</f>
        <v>0</v>
      </c>
      <c r="AG16" s="260"/>
      <c r="AH16" s="260"/>
      <c r="AI16" s="260"/>
      <c r="AJ16" s="263"/>
      <c r="AK16" s="263"/>
      <c r="AL16" s="263"/>
      <c r="AM16" s="108">
        <f>AG16*'1. Standard_Cost'!$B$27+'Incremental_Cost Year 9'!AH16*'1. Standard_Cost'!$C$27+'Incremental_Cost Year 9'!AI16*'1. Standard_Cost'!$D$27+'Incremental_Cost Year 9'!AJ16+'Incremental_Cost Year 9'!AL16+AK16</f>
        <v>0</v>
      </c>
      <c r="AN16" s="108">
        <f>AM16*'1. Standard_Cost'!$C$31</f>
        <v>0</v>
      </c>
      <c r="AO16" s="125" t="s">
        <v>276</v>
      </c>
      <c r="AQ16" s="14">
        <f t="shared" ref="AQ16:AQ24" si="21">L16+M16</f>
        <v>0</v>
      </c>
      <c r="AR16" s="14">
        <f t="shared" ref="AR16:AR24" si="22">AF16</f>
        <v>0</v>
      </c>
      <c r="AS16" s="14">
        <f t="shared" ref="AS16:AS24" si="23">AM16+AN16</f>
        <v>0</v>
      </c>
      <c r="AT16" s="14">
        <f>SUM(AQ16,AR16,AS16)</f>
        <v>0</v>
      </c>
      <c r="AU16" s="234"/>
      <c r="AV16" s="234"/>
      <c r="AW16" s="234"/>
      <c r="AX16" s="234"/>
      <c r="AY16" s="234"/>
      <c r="AZ16" s="234"/>
      <c r="BA16" s="234"/>
      <c r="BB16" s="16">
        <f t="shared" ref="BB16:BB24" si="24">SUM(AU16:BA16)-AT16</f>
        <v>0</v>
      </c>
    </row>
    <row r="17" spans="1:54" ht="46.8" outlineLevel="1">
      <c r="A17" s="98"/>
      <c r="B17" s="143"/>
      <c r="C17" s="144"/>
      <c r="D17" s="287" t="s">
        <v>47</v>
      </c>
      <c r="E17" s="287" t="s">
        <v>207</v>
      </c>
      <c r="F17" s="287"/>
      <c r="G17" s="287"/>
      <c r="H17" s="287" t="s">
        <v>49</v>
      </c>
      <c r="I17" s="264"/>
      <c r="J17" s="264"/>
      <c r="K17" s="264"/>
      <c r="L17" s="113">
        <f>SUM(L16:L16)</f>
        <v>0</v>
      </c>
      <c r="M17" s="113">
        <f>SUM(M16:M16)</f>
        <v>0</v>
      </c>
      <c r="N17" s="264"/>
      <c r="O17" s="264"/>
      <c r="P17" s="264"/>
      <c r="Q17" s="264"/>
      <c r="R17" s="113">
        <f>SUM(R16:R16)</f>
        <v>0</v>
      </c>
      <c r="S17" s="113">
        <f>SUM(S16:S16)</f>
        <v>0</v>
      </c>
      <c r="T17" s="113">
        <f>SUM(T16:T16)</f>
        <v>0</v>
      </c>
      <c r="U17" s="113">
        <f>SUM(U16:U16)</f>
        <v>0</v>
      </c>
      <c r="V17" s="264"/>
      <c r="W17" s="264"/>
      <c r="X17" s="264"/>
      <c r="Y17" s="113">
        <f>SUM(Y16:Y16)</f>
        <v>0</v>
      </c>
      <c r="Z17" s="264"/>
      <c r="AA17" s="264"/>
      <c r="AB17" s="113">
        <f>SUM(AB16:AB16)</f>
        <v>0</v>
      </c>
      <c r="AC17" s="265">
        <f>SUM(AC16:AC16)</f>
        <v>0</v>
      </c>
      <c r="AD17" s="265">
        <f>SUM(AD16:AD16)</f>
        <v>0</v>
      </c>
      <c r="AE17" s="113">
        <f>SUM(AE16:AE16)</f>
        <v>0</v>
      </c>
      <c r="AF17" s="113">
        <f>SUM(AF16:AF16)</f>
        <v>0</v>
      </c>
      <c r="AG17" s="264"/>
      <c r="AH17" s="264"/>
      <c r="AI17" s="264"/>
      <c r="AJ17" s="265">
        <f>SUM(AJ16:AJ16)</f>
        <v>0</v>
      </c>
      <c r="AK17" s="265">
        <f>SUM(AK16:AK16)</f>
        <v>0</v>
      </c>
      <c r="AL17" s="265">
        <f>SUM(AL16:AL16)</f>
        <v>0</v>
      </c>
      <c r="AM17" s="113">
        <f>SUM(AM16:AM16)</f>
        <v>0</v>
      </c>
      <c r="AN17" s="113">
        <f>SUM(AN16:AN16)</f>
        <v>0</v>
      </c>
      <c r="AO17" s="131"/>
      <c r="AP17" s="17"/>
      <c r="AQ17" s="113">
        <f t="shared" ref="AQ17:BA17" si="25">SUM(AQ16:AQ16)</f>
        <v>0</v>
      </c>
      <c r="AR17" s="113">
        <f t="shared" si="25"/>
        <v>0</v>
      </c>
      <c r="AS17" s="113">
        <f t="shared" si="25"/>
        <v>0</v>
      </c>
      <c r="AT17" s="113">
        <f t="shared" si="25"/>
        <v>0</v>
      </c>
      <c r="AU17" s="265">
        <f t="shared" si="25"/>
        <v>0</v>
      </c>
      <c r="AV17" s="265">
        <f t="shared" si="25"/>
        <v>0</v>
      </c>
      <c r="AW17" s="265">
        <f t="shared" si="25"/>
        <v>0</v>
      </c>
      <c r="AX17" s="265">
        <f t="shared" si="25"/>
        <v>0</v>
      </c>
      <c r="AY17" s="265">
        <f t="shared" si="25"/>
        <v>0</v>
      </c>
      <c r="AZ17" s="265">
        <f t="shared" si="25"/>
        <v>0</v>
      </c>
      <c r="BA17" s="265">
        <f t="shared" si="25"/>
        <v>0</v>
      </c>
      <c r="BB17" s="16">
        <f t="shared" si="24"/>
        <v>0</v>
      </c>
    </row>
    <row r="18" spans="1:54" ht="15.6" outlineLevel="2">
      <c r="A18" s="98"/>
      <c r="B18" s="143"/>
      <c r="C18" s="144"/>
      <c r="D18" s="149"/>
      <c r="E18" s="149"/>
      <c r="F18" s="288"/>
      <c r="G18" s="289"/>
      <c r="H18" s="272"/>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260"/>
      <c r="W18" s="260"/>
      <c r="X18" s="260"/>
      <c r="Y18" s="108">
        <f>+V18*((X18*'1. Standard_Cost'!$B$19)+(W18*X18*'1. Standard_Cost'!$C$19))</f>
        <v>0</v>
      </c>
      <c r="Z18" s="260"/>
      <c r="AA18" s="260"/>
      <c r="AB18" s="108">
        <f>+Z18*'1. Standard_Cost'!$B$23+AA18*'1. Standard_Cost'!$C$23</f>
        <v>0</v>
      </c>
      <c r="AC18" s="261"/>
      <c r="AD18" s="262"/>
      <c r="AE18" s="108">
        <f>SUM(AD18,AC18,AB18,Y18,U18,T18,S18,R18)*'1. Standard_Cost'!$B$31</f>
        <v>0</v>
      </c>
      <c r="AF18" s="108">
        <f t="shared" ref="AF18:AF24" si="26">SUM(AE18,AD18,AC18,AB18,Y18,U18,T18,S18,R18)</f>
        <v>0</v>
      </c>
      <c r="AG18" s="260"/>
      <c r="AH18" s="260"/>
      <c r="AI18" s="260"/>
      <c r="AJ18" s="263"/>
      <c r="AK18" s="263"/>
      <c r="AL18" s="263"/>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7">L18+M18</f>
        <v>0</v>
      </c>
      <c r="AR18" s="14">
        <f t="shared" ref="AR18" si="28">AF18</f>
        <v>0</v>
      </c>
      <c r="AS18" s="14">
        <f t="shared" ref="AS18" si="29">AM18+AN18</f>
        <v>0</v>
      </c>
      <c r="AT18" s="14">
        <f>SUM(AQ18,AR18,AS18)</f>
        <v>0</v>
      </c>
      <c r="AU18" s="234"/>
      <c r="AV18" s="234"/>
      <c r="AW18" s="234"/>
      <c r="AX18" s="234"/>
      <c r="AY18" s="234"/>
      <c r="AZ18" s="234"/>
      <c r="BA18" s="234"/>
      <c r="BB18" s="16">
        <f t="shared" si="24"/>
        <v>0</v>
      </c>
    </row>
    <row r="19" spans="1:54" ht="15.6" outlineLevel="2">
      <c r="A19" s="98"/>
      <c r="B19" s="143"/>
      <c r="C19" s="144"/>
      <c r="D19" s="290"/>
      <c r="E19" s="290"/>
      <c r="F19" s="290"/>
      <c r="G19" s="291"/>
      <c r="H19" s="272"/>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260"/>
      <c r="W19" s="260"/>
      <c r="X19" s="260"/>
      <c r="Y19" s="108">
        <f>+V19*((X19*'1. Standard_Cost'!$B$19)+(W19*X19*'1. Standard_Cost'!$C$19))</f>
        <v>0</v>
      </c>
      <c r="Z19" s="260"/>
      <c r="AA19" s="260"/>
      <c r="AB19" s="108">
        <f>+Z19*'1. Standard_Cost'!$B$23+AA19*'1. Standard_Cost'!$C$23</f>
        <v>0</v>
      </c>
      <c r="AC19" s="261"/>
      <c r="AD19" s="262"/>
      <c r="AE19" s="108">
        <f>SUM(AD19,AC19,AB19,Y19,U19,T19,S19,R19)*'1. Standard_Cost'!$B$31</f>
        <v>0</v>
      </c>
      <c r="AF19" s="108">
        <f t="shared" si="26"/>
        <v>0</v>
      </c>
      <c r="AG19" s="260"/>
      <c r="AH19" s="260"/>
      <c r="AI19" s="260"/>
      <c r="AJ19" s="263"/>
      <c r="AK19" s="263"/>
      <c r="AL19" s="263"/>
      <c r="AM19" s="108">
        <f>AG19*'1. Standard_Cost'!$B$27+'Incremental_Cost Year 9'!AH19*'1. Standard_Cost'!$C$27+'Incremental_Cost Year 9'!AI19*'1. Standard_Cost'!$D$27+'Incremental_Cost Year 9'!AJ19+'Incremental_Cost Year 9'!AL19+AK19</f>
        <v>0</v>
      </c>
      <c r="AN19" s="108">
        <f>AM19*'1. Standard_Cost'!$C$31</f>
        <v>0</v>
      </c>
      <c r="AO19" s="125" t="s">
        <v>278</v>
      </c>
      <c r="AQ19" s="14">
        <f t="shared" si="21"/>
        <v>0</v>
      </c>
      <c r="AR19" s="14">
        <f t="shared" si="22"/>
        <v>0</v>
      </c>
      <c r="AS19" s="14">
        <f t="shared" si="23"/>
        <v>0</v>
      </c>
      <c r="AT19" s="14">
        <f t="shared" ref="AT19:AT24" si="30">SUM(AQ19,AR19,AS19)</f>
        <v>0</v>
      </c>
      <c r="AU19" s="234"/>
      <c r="AV19" s="234"/>
      <c r="AW19" s="234"/>
      <c r="AX19" s="234"/>
      <c r="AY19" s="234"/>
      <c r="AZ19" s="234"/>
      <c r="BA19" s="234"/>
      <c r="BB19" s="16">
        <f t="shared" si="24"/>
        <v>0</v>
      </c>
    </row>
    <row r="20" spans="1:54" ht="15.6" outlineLevel="2">
      <c r="A20" s="98"/>
      <c r="B20" s="143"/>
      <c r="C20" s="144"/>
      <c r="D20" s="290"/>
      <c r="E20" s="290"/>
      <c r="F20" s="171"/>
      <c r="G20" s="291"/>
      <c r="H20" s="272"/>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260"/>
      <c r="W20" s="260"/>
      <c r="X20" s="260"/>
      <c r="Y20" s="108">
        <f>+V20*((X20*'1. Standard_Cost'!$B$19)+(W20*X20*'1. Standard_Cost'!$C$19))</f>
        <v>0</v>
      </c>
      <c r="Z20" s="260"/>
      <c r="AA20" s="260"/>
      <c r="AB20" s="108">
        <f>+Z20*'1. Standard_Cost'!$B$23+AA20*'1. Standard_Cost'!$C$23</f>
        <v>0</v>
      </c>
      <c r="AC20" s="261"/>
      <c r="AD20" s="262"/>
      <c r="AE20" s="108">
        <f>SUM(AD20,AC20,AB20,Y20,U20,T20,S20,R20)*'1. Standard_Cost'!$B$31</f>
        <v>0</v>
      </c>
      <c r="AF20" s="108">
        <f t="shared" si="26"/>
        <v>0</v>
      </c>
      <c r="AG20" s="260"/>
      <c r="AH20" s="260"/>
      <c r="AI20" s="260"/>
      <c r="AJ20" s="263"/>
      <c r="AK20" s="263"/>
      <c r="AL20" s="263"/>
      <c r="AM20" s="108">
        <f>AG20*'1. Standard_Cost'!$B$27+'Incremental_Cost Year 9'!AH20*'1. Standard_Cost'!$C$27+'Incremental_Cost Year 9'!AI20*'1. Standard_Cost'!$D$27+'Incremental_Cost Year 9'!AJ20+'Incremental_Cost Year 9'!AL20+AK20</f>
        <v>0</v>
      </c>
      <c r="AN20" s="108">
        <f>AM20*'1. Standard_Cost'!$C$31</f>
        <v>0</v>
      </c>
      <c r="AO20" s="125" t="s">
        <v>278</v>
      </c>
      <c r="AQ20" s="14">
        <f t="shared" si="21"/>
        <v>0</v>
      </c>
      <c r="AR20" s="14">
        <f t="shared" si="22"/>
        <v>0</v>
      </c>
      <c r="AS20" s="14">
        <f t="shared" si="23"/>
        <v>0</v>
      </c>
      <c r="AT20" s="14">
        <f t="shared" si="30"/>
        <v>0</v>
      </c>
      <c r="AU20" s="234"/>
      <c r="AV20" s="234"/>
      <c r="AW20" s="234"/>
      <c r="AX20" s="234"/>
      <c r="AY20" s="234"/>
      <c r="AZ20" s="234"/>
      <c r="BA20" s="234"/>
      <c r="BB20" s="16">
        <f t="shared" si="24"/>
        <v>0</v>
      </c>
    </row>
    <row r="21" spans="1:54" ht="15.6" outlineLevel="2">
      <c r="A21" s="98"/>
      <c r="B21" s="143"/>
      <c r="C21" s="144"/>
      <c r="D21" s="290"/>
      <c r="E21" s="290"/>
      <c r="F21" s="290"/>
      <c r="G21" s="291"/>
      <c r="H21" s="272"/>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260"/>
      <c r="W21" s="260"/>
      <c r="X21" s="260"/>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26"/>
        <v>0</v>
      </c>
      <c r="AG21" s="260"/>
      <c r="AH21" s="260"/>
      <c r="AI21" s="260"/>
      <c r="AJ21" s="263"/>
      <c r="AK21" s="263"/>
      <c r="AL21" s="263"/>
      <c r="AM21" s="108">
        <f>AG21*'1. Standard_Cost'!$B$27+'Incremental_Cost Year 9'!AH21*'1. Standard_Cost'!$C$27+'Incremental_Cost Year 9'!AI21*'1. Standard_Cost'!$D$27+'Incremental_Cost Year 9'!AJ21+'Incremental_Cost Year 9'!AL21+AK21</f>
        <v>0</v>
      </c>
      <c r="AN21" s="108">
        <f>AM21*'1. Standard_Cost'!$C$31</f>
        <v>0</v>
      </c>
      <c r="AO21" s="125" t="s">
        <v>279</v>
      </c>
      <c r="AQ21" s="14">
        <f t="shared" si="21"/>
        <v>0</v>
      </c>
      <c r="AR21" s="14">
        <f t="shared" si="22"/>
        <v>0</v>
      </c>
      <c r="AS21" s="14">
        <f t="shared" si="23"/>
        <v>0</v>
      </c>
      <c r="AT21" s="14">
        <f t="shared" si="30"/>
        <v>0</v>
      </c>
      <c r="AU21" s="234"/>
      <c r="AV21" s="234"/>
      <c r="AW21" s="234"/>
      <c r="AX21" s="234"/>
      <c r="AY21" s="234"/>
      <c r="AZ21" s="234"/>
      <c r="BA21" s="234"/>
      <c r="BB21" s="16">
        <f t="shared" si="24"/>
        <v>0</v>
      </c>
    </row>
    <row r="22" spans="1:54" ht="15.6" outlineLevel="2">
      <c r="A22" s="98"/>
      <c r="B22" s="143"/>
      <c r="C22" s="144"/>
      <c r="D22" s="290"/>
      <c r="E22" s="290"/>
      <c r="F22" s="290"/>
      <c r="G22" s="291"/>
      <c r="H22" s="272"/>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260"/>
      <c r="W22" s="260"/>
      <c r="X22" s="260"/>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26"/>
        <v>0</v>
      </c>
      <c r="AG22" s="260"/>
      <c r="AH22" s="260"/>
      <c r="AI22" s="260"/>
      <c r="AJ22" s="263"/>
      <c r="AK22" s="263"/>
      <c r="AL22" s="263"/>
      <c r="AM22" s="108">
        <f>AG22*'1. Standard_Cost'!$B$27+'Incremental_Cost Year 9'!AH22*'1. Standard_Cost'!$C$27+'Incremental_Cost Year 9'!AI22*'1. Standard_Cost'!$D$27+'Incremental_Cost Year 9'!AJ22+'Incremental_Cost Year 9'!AL22+AK22</f>
        <v>0</v>
      </c>
      <c r="AN22" s="108">
        <f>AM22*'1. Standard_Cost'!$C$31</f>
        <v>0</v>
      </c>
      <c r="AO22" s="125" t="s">
        <v>280</v>
      </c>
      <c r="AQ22" s="14">
        <f t="shared" si="21"/>
        <v>0</v>
      </c>
      <c r="AR22" s="14">
        <f t="shared" si="22"/>
        <v>0</v>
      </c>
      <c r="AS22" s="14">
        <f t="shared" si="23"/>
        <v>0</v>
      </c>
      <c r="AT22" s="14">
        <f t="shared" si="30"/>
        <v>0</v>
      </c>
      <c r="AU22" s="234"/>
      <c r="AV22" s="234"/>
      <c r="AW22" s="234"/>
      <c r="AX22" s="234"/>
      <c r="AY22" s="234"/>
      <c r="AZ22" s="234"/>
      <c r="BA22" s="234"/>
      <c r="BB22" s="16">
        <f t="shared" si="24"/>
        <v>0</v>
      </c>
    </row>
    <row r="23" spans="1:54" ht="15.6" outlineLevel="2">
      <c r="A23" s="98"/>
      <c r="B23" s="143"/>
      <c r="C23" s="144"/>
      <c r="D23" s="290"/>
      <c r="E23" s="290"/>
      <c r="F23" s="290"/>
      <c r="G23" s="291"/>
      <c r="H23" s="272"/>
      <c r="I23" s="258"/>
      <c r="J23" s="259"/>
      <c r="K23" s="259"/>
      <c r="L23" s="106" t="str">
        <f>IF(I23&lt;&gt;0,((VLOOKUP(I23,'1. Standard_Cost'!$B$4:$D$11,2)+VLOOKUP(I23,'1. Standard_Cost'!$B$4:$D$11,3))*J23*K23),"0")</f>
        <v>0</v>
      </c>
      <c r="M23" s="106">
        <f>L23*'1. Standard_Cost'!$F$4</f>
        <v>0</v>
      </c>
      <c r="N23" s="260"/>
      <c r="O23" s="260"/>
      <c r="P23" s="260"/>
      <c r="Q23" s="260"/>
      <c r="R23" s="108">
        <f>'1. Standard_Cost'!$B$15*N23*P23</f>
        <v>0</v>
      </c>
      <c r="S23" s="108">
        <f>N23*O23*P23*'1. Standard_Cost'!$C$15</f>
        <v>0</v>
      </c>
      <c r="T23" s="108">
        <f>N23*P23*Q23*'1. Standard_Cost'!$D$15</f>
        <v>0</v>
      </c>
      <c r="U23" s="108">
        <f>N23*O23*'1. Standard_Cost'!$E$15</f>
        <v>0</v>
      </c>
      <c r="V23" s="260"/>
      <c r="W23" s="260"/>
      <c r="X23" s="260"/>
      <c r="Y23" s="108">
        <f>+V23*((X23*'1. Standard_Cost'!$B$19)+(W23*X23*'1. Standard_Cost'!$C$19))</f>
        <v>0</v>
      </c>
      <c r="Z23" s="260"/>
      <c r="AA23" s="260"/>
      <c r="AB23" s="108">
        <f>+Z23*'1. Standard_Cost'!$B$23+AA23*'1. Standard_Cost'!$C$23</f>
        <v>0</v>
      </c>
      <c r="AC23" s="261"/>
      <c r="AD23" s="262"/>
      <c r="AE23" s="108">
        <f>SUM(AD23,AC23,AB23,Y23,U23,T23,S23,R23)*'1. Standard_Cost'!$B$31</f>
        <v>0</v>
      </c>
      <c r="AF23" s="108">
        <f t="shared" si="26"/>
        <v>0</v>
      </c>
      <c r="AG23" s="260"/>
      <c r="AH23" s="260"/>
      <c r="AI23" s="260"/>
      <c r="AJ23" s="263"/>
      <c r="AK23" s="263"/>
      <c r="AL23" s="263"/>
      <c r="AM23" s="108">
        <f>AG23*'1. Standard_Cost'!$B$27+'Incremental_Cost Year 9'!AH23*'1. Standard_Cost'!$C$27+'Incremental_Cost Year 9'!AI23*'1. Standard_Cost'!$D$27+'Incremental_Cost Year 9'!AJ23+'Incremental_Cost Year 9'!AL23+AK23</f>
        <v>0</v>
      </c>
      <c r="AN23" s="108">
        <f>AM23*'1. Standard_Cost'!$C$31</f>
        <v>0</v>
      </c>
      <c r="AO23" s="125" t="s">
        <v>281</v>
      </c>
      <c r="AQ23" s="14">
        <f t="shared" si="21"/>
        <v>0</v>
      </c>
      <c r="AR23" s="14">
        <f t="shared" si="22"/>
        <v>0</v>
      </c>
      <c r="AS23" s="14">
        <f t="shared" si="23"/>
        <v>0</v>
      </c>
      <c r="AT23" s="14">
        <f t="shared" si="30"/>
        <v>0</v>
      </c>
      <c r="AU23" s="234"/>
      <c r="AV23" s="234"/>
      <c r="AW23" s="234"/>
      <c r="AX23" s="234"/>
      <c r="AY23" s="234"/>
      <c r="AZ23" s="234"/>
      <c r="BA23" s="234"/>
      <c r="BB23" s="16">
        <f t="shared" si="24"/>
        <v>0</v>
      </c>
    </row>
    <row r="24" spans="1:54" ht="27.6" outlineLevel="2">
      <c r="A24" s="98"/>
      <c r="B24" s="143"/>
      <c r="C24" s="144"/>
      <c r="D24" s="290"/>
      <c r="E24" s="290"/>
      <c r="F24" s="290"/>
      <c r="G24" s="291"/>
      <c r="H24" s="272"/>
      <c r="I24" s="258"/>
      <c r="J24" s="259"/>
      <c r="K24" s="259"/>
      <c r="L24" s="106" t="str">
        <f>IF(I24&lt;&gt;0,((VLOOKUP(I24,'1. Standard_Cost'!$B$4:$D$11,2)+VLOOKUP(I24,'1. Standard_Cost'!$B$4:$D$11,3))*J24*K24),"0")</f>
        <v>0</v>
      </c>
      <c r="M24" s="106">
        <f>L24*'1. Standard_Cost'!$F$4</f>
        <v>0</v>
      </c>
      <c r="N24" s="260"/>
      <c r="O24" s="260"/>
      <c r="P24" s="260"/>
      <c r="Q24" s="260"/>
      <c r="R24" s="108">
        <f>'1. Standard_Cost'!$B$15*N24*P24</f>
        <v>0</v>
      </c>
      <c r="S24" s="108">
        <f>N24*O24*P24*'1. Standard_Cost'!$C$15</f>
        <v>0</v>
      </c>
      <c r="T24" s="108">
        <f>N24*P24*Q24*'1. Standard_Cost'!$D$15</f>
        <v>0</v>
      </c>
      <c r="U24" s="108">
        <f>N24*O24*'1. Standard_Cost'!$E$15</f>
        <v>0</v>
      </c>
      <c r="V24" s="260"/>
      <c r="W24" s="260"/>
      <c r="X24" s="260"/>
      <c r="Y24" s="108">
        <f>+V24*((X24*'1. Standard_Cost'!$B$19)+(W24*X24*'1. Standard_Cost'!$C$19))</f>
        <v>0</v>
      </c>
      <c r="Z24" s="260"/>
      <c r="AA24" s="260"/>
      <c r="AB24" s="108">
        <f>+Z24*'1. Standard_Cost'!$B$23+AA24*'1. Standard_Cost'!$C$23</f>
        <v>0</v>
      </c>
      <c r="AC24" s="261"/>
      <c r="AD24" s="262"/>
      <c r="AE24" s="108">
        <f>SUM(AD24,AC24,AB24,Y24,U24,T24,S24,R24)*'1. Standard_Cost'!$B$31</f>
        <v>0</v>
      </c>
      <c r="AF24" s="108">
        <f t="shared" si="26"/>
        <v>0</v>
      </c>
      <c r="AG24" s="260"/>
      <c r="AH24" s="260"/>
      <c r="AI24" s="260"/>
      <c r="AJ24" s="263"/>
      <c r="AK24" s="263"/>
      <c r="AL24" s="263"/>
      <c r="AM24" s="108">
        <f>AG24*'1. Standard_Cost'!$B$27+'Incremental_Cost Year 9'!AH24*'1. Standard_Cost'!$C$27+'Incremental_Cost Year 9'!AI24*'1. Standard_Cost'!$D$27+'Incremental_Cost Year 9'!AJ24+'Incremental_Cost Year 9'!AL24+AK24</f>
        <v>0</v>
      </c>
      <c r="AN24" s="108">
        <f>AM24*'1. Standard_Cost'!$C$31</f>
        <v>0</v>
      </c>
      <c r="AO24" s="125" t="s">
        <v>282</v>
      </c>
      <c r="AQ24" s="14">
        <f t="shared" si="21"/>
        <v>0</v>
      </c>
      <c r="AR24" s="14">
        <f t="shared" si="22"/>
        <v>0</v>
      </c>
      <c r="AS24" s="14">
        <f t="shared" si="23"/>
        <v>0</v>
      </c>
      <c r="AT24" s="14">
        <f t="shared" si="30"/>
        <v>0</v>
      </c>
      <c r="AU24" s="234"/>
      <c r="AV24" s="234"/>
      <c r="AW24" s="234"/>
      <c r="AX24" s="234"/>
      <c r="AY24" s="234"/>
      <c r="AZ24" s="234"/>
      <c r="BA24" s="234"/>
      <c r="BB24" s="16">
        <f t="shared" si="24"/>
        <v>0</v>
      </c>
    </row>
    <row r="25" spans="1:54" ht="46.8" outlineLevel="1">
      <c r="A25" s="98"/>
      <c r="B25" s="143"/>
      <c r="C25" s="144"/>
      <c r="D25" s="287" t="s">
        <v>47</v>
      </c>
      <c r="E25" s="287" t="s">
        <v>208</v>
      </c>
      <c r="F25" s="287"/>
      <c r="G25" s="287"/>
      <c r="H25" s="287" t="s">
        <v>50</v>
      </c>
      <c r="I25" s="264"/>
      <c r="J25" s="264"/>
      <c r="K25" s="264"/>
      <c r="L25" s="113">
        <f>SUM(L18:L24)</f>
        <v>0</v>
      </c>
      <c r="M25" s="113">
        <f>SUM(M18:M24)</f>
        <v>0</v>
      </c>
      <c r="N25" s="264"/>
      <c r="O25" s="264"/>
      <c r="P25" s="264"/>
      <c r="Q25" s="264"/>
      <c r="R25" s="113">
        <f t="shared" ref="R25:U25" si="31">SUM(R18:R24)</f>
        <v>0</v>
      </c>
      <c r="S25" s="113">
        <f t="shared" si="31"/>
        <v>0</v>
      </c>
      <c r="T25" s="113">
        <f t="shared" si="31"/>
        <v>0</v>
      </c>
      <c r="U25" s="113">
        <f t="shared" si="31"/>
        <v>0</v>
      </c>
      <c r="V25" s="264"/>
      <c r="W25" s="264"/>
      <c r="X25" s="264"/>
      <c r="Y25" s="113">
        <f>SUM(Y18:Y24)</f>
        <v>0</v>
      </c>
      <c r="Z25" s="264"/>
      <c r="AA25" s="264"/>
      <c r="AB25" s="113">
        <f t="shared" ref="AB25:AF25" si="32">SUM(AB18:AB24)</f>
        <v>0</v>
      </c>
      <c r="AC25" s="265">
        <f t="shared" si="32"/>
        <v>0</v>
      </c>
      <c r="AD25" s="265">
        <f t="shared" si="32"/>
        <v>0</v>
      </c>
      <c r="AE25" s="113">
        <f t="shared" si="32"/>
        <v>0</v>
      </c>
      <c r="AF25" s="113">
        <f t="shared" si="32"/>
        <v>0</v>
      </c>
      <c r="AG25" s="264"/>
      <c r="AH25" s="264"/>
      <c r="AI25" s="264"/>
      <c r="AJ25" s="265">
        <f t="shared" ref="AJ25:AL25" si="33">SUM(AJ18:AJ24)</f>
        <v>0</v>
      </c>
      <c r="AK25" s="265">
        <f t="shared" si="33"/>
        <v>0</v>
      </c>
      <c r="AL25" s="265">
        <f t="shared" si="33"/>
        <v>0</v>
      </c>
      <c r="AM25" s="113">
        <f t="shared" ref="AM25:AN25" si="34">SUM(AM18:AM24)</f>
        <v>0</v>
      </c>
      <c r="AN25" s="113">
        <f t="shared" si="34"/>
        <v>0</v>
      </c>
      <c r="AO25" s="131"/>
      <c r="AP25" s="17"/>
      <c r="AQ25" s="113">
        <f t="shared" ref="AQ25:BB25" si="35">SUM(AQ18:AQ24)</f>
        <v>0</v>
      </c>
      <c r="AR25" s="113">
        <f t="shared" si="35"/>
        <v>0</v>
      </c>
      <c r="AS25" s="113">
        <f t="shared" si="35"/>
        <v>0</v>
      </c>
      <c r="AT25" s="113">
        <f t="shared" si="35"/>
        <v>0</v>
      </c>
      <c r="AU25" s="265">
        <f t="shared" si="35"/>
        <v>0</v>
      </c>
      <c r="AV25" s="265">
        <f t="shared" si="35"/>
        <v>0</v>
      </c>
      <c r="AW25" s="265">
        <f t="shared" si="35"/>
        <v>0</v>
      </c>
      <c r="AX25" s="265">
        <f t="shared" si="35"/>
        <v>0</v>
      </c>
      <c r="AY25" s="265">
        <f t="shared" si="35"/>
        <v>0</v>
      </c>
      <c r="AZ25" s="265">
        <f t="shared" si="35"/>
        <v>0</v>
      </c>
      <c r="BA25" s="265">
        <f t="shared" si="35"/>
        <v>0</v>
      </c>
      <c r="BB25" s="113">
        <f t="shared" si="35"/>
        <v>0</v>
      </c>
    </row>
    <row r="26" spans="1:54" ht="27.6" outlineLevel="2">
      <c r="A26" s="98"/>
      <c r="B26" s="143"/>
      <c r="C26" s="144"/>
      <c r="D26" s="149"/>
      <c r="E26" s="149"/>
      <c r="F26" s="288"/>
      <c r="G26" s="289"/>
      <c r="H26" s="272"/>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260"/>
      <c r="W26" s="260"/>
      <c r="X26" s="260"/>
      <c r="Y26" s="108">
        <f>+V26*((X26*'1. Standard_Cost'!$B$19)+(W26*X26*'1. Standard_Cost'!$C$19))</f>
        <v>0</v>
      </c>
      <c r="Z26" s="260"/>
      <c r="AA26" s="260"/>
      <c r="AB26" s="108">
        <f>+Z26*'1. Standard_Cost'!$B$23+AA26*'1. Standard_Cost'!$C$23</f>
        <v>0</v>
      </c>
      <c r="AC26" s="261"/>
      <c r="AD26" s="262"/>
      <c r="AE26" s="108">
        <f>SUM(AD26,AC26,AB26,Y26,U26,T26,S26,R26)*'1. Standard_Cost'!$B$31</f>
        <v>0</v>
      </c>
      <c r="AF26" s="108">
        <f t="shared" ref="AF26:AF29" si="36">SUM(AE26,AD26,AC26,AB26,Y26,U26,T26,S26,R26)</f>
        <v>0</v>
      </c>
      <c r="AG26" s="260"/>
      <c r="AH26" s="260"/>
      <c r="AI26" s="260"/>
      <c r="AJ26" s="263"/>
      <c r="AK26" s="263"/>
      <c r="AL26" s="263"/>
      <c r="AM26" s="108">
        <f>AG26*'1. Standard_Cost'!$B$27+'Incremental_Cost Year 9'!AH26*'1. Standard_Cost'!$C$27+'Incremental_Cost Year 9'!AI26*'1. Standard_Cost'!$D$27+'Incremental_Cost Year 9'!AJ26+'Incremental_Cost Year 9'!AL26+AK26</f>
        <v>0</v>
      </c>
      <c r="AN26" s="108">
        <f>AM26*'1. Standard_Cost'!$C$31</f>
        <v>0</v>
      </c>
      <c r="AO26" s="125" t="s">
        <v>283</v>
      </c>
      <c r="AQ26" s="14">
        <f>L26+M26</f>
        <v>0</v>
      </c>
      <c r="AR26" s="14">
        <f t="shared" ref="AR26:AR29" si="37">AF26</f>
        <v>0</v>
      </c>
      <c r="AS26" s="14">
        <f t="shared" ref="AS26:AS29" si="38">AM26+AN26</f>
        <v>0</v>
      </c>
      <c r="AT26" s="14">
        <f>SUM(AQ26,AR26,AS26)</f>
        <v>0</v>
      </c>
      <c r="AU26" s="234"/>
      <c r="AV26" s="234"/>
      <c r="AW26" s="234"/>
      <c r="AX26" s="234"/>
      <c r="AY26" s="234"/>
      <c r="AZ26" s="234"/>
      <c r="BA26" s="234"/>
      <c r="BB26" s="16">
        <f>SUM(AU26:BA26)-AT26</f>
        <v>0</v>
      </c>
    </row>
    <row r="27" spans="1:54" ht="27.6" outlineLevel="2">
      <c r="A27" s="98"/>
      <c r="B27" s="143"/>
      <c r="C27" s="144"/>
      <c r="D27" s="290"/>
      <c r="E27" s="290"/>
      <c r="F27" s="290"/>
      <c r="G27" s="291"/>
      <c r="H27" s="272"/>
      <c r="I27" s="258"/>
      <c r="J27" s="259"/>
      <c r="K27" s="259"/>
      <c r="L27" s="106" t="str">
        <f>IF(I27&lt;&gt;0,((VLOOKUP(I27,'1. Standard_Cost'!$B$4:$D$11,2)+VLOOKUP(I27,'1. Standard_Cost'!$B$4:$D$11,3))*J27*K27),"0")</f>
        <v>0</v>
      </c>
      <c r="M27" s="106">
        <f>L27*'1. Standard_Cost'!$F$4</f>
        <v>0</v>
      </c>
      <c r="N27" s="260"/>
      <c r="O27" s="260"/>
      <c r="P27" s="260"/>
      <c r="Q27" s="260"/>
      <c r="R27" s="108">
        <f>'1. Standard_Cost'!$B$15*N27*P27</f>
        <v>0</v>
      </c>
      <c r="S27" s="108">
        <f>N27*O27*P27*'1. Standard_Cost'!$C$15</f>
        <v>0</v>
      </c>
      <c r="T27" s="108">
        <f>N27*P27*Q27*'1. Standard_Cost'!$D$15</f>
        <v>0</v>
      </c>
      <c r="U27" s="108">
        <f>N27*O27*'1. Standard_Cost'!$E$15</f>
        <v>0</v>
      </c>
      <c r="V27" s="260"/>
      <c r="W27" s="260"/>
      <c r="X27" s="260"/>
      <c r="Y27" s="108">
        <f>+V27*((X27*'1. Standard_Cost'!$B$19)+(W27*X27*'1. Standard_Cost'!$C$19))</f>
        <v>0</v>
      </c>
      <c r="Z27" s="260"/>
      <c r="AA27" s="260"/>
      <c r="AB27" s="108">
        <f>+Z27*'1. Standard_Cost'!$B$23+AA27*'1. Standard_Cost'!$C$23</f>
        <v>0</v>
      </c>
      <c r="AC27" s="261"/>
      <c r="AD27" s="262"/>
      <c r="AE27" s="108">
        <f>SUM(AD27,AC27,AB27,Y27,U27,T27,S27,R27)*'1. Standard_Cost'!$B$31</f>
        <v>0</v>
      </c>
      <c r="AF27" s="108">
        <f t="shared" si="36"/>
        <v>0</v>
      </c>
      <c r="AG27" s="260"/>
      <c r="AH27" s="260"/>
      <c r="AI27" s="260"/>
      <c r="AJ27" s="263"/>
      <c r="AK27" s="263"/>
      <c r="AL27" s="263"/>
      <c r="AM27" s="108">
        <f>AG27*'1. Standard_Cost'!$B$27+'Incremental_Cost Year 9'!AH27*'1. Standard_Cost'!$C$27+'Incremental_Cost Year 9'!AI27*'1. Standard_Cost'!$D$27+'Incremental_Cost Year 9'!AJ27+'Incremental_Cost Year 9'!AL27+AK27</f>
        <v>0</v>
      </c>
      <c r="AN27" s="108">
        <f>AM27*'1. Standard_Cost'!$C$31</f>
        <v>0</v>
      </c>
      <c r="AO27" s="125" t="s">
        <v>284</v>
      </c>
      <c r="AQ27" s="14">
        <f t="shared" ref="AQ27:AQ29" si="39">L27+M27</f>
        <v>0</v>
      </c>
      <c r="AR27" s="14">
        <f t="shared" si="37"/>
        <v>0</v>
      </c>
      <c r="AS27" s="14">
        <f t="shared" si="38"/>
        <v>0</v>
      </c>
      <c r="AT27" s="14">
        <f t="shared" ref="AT27:AT29" si="40">SUM(AQ27,AR27,AS27)</f>
        <v>0</v>
      </c>
      <c r="AU27" s="234"/>
      <c r="AV27" s="234"/>
      <c r="AW27" s="234"/>
      <c r="AX27" s="234"/>
      <c r="AY27" s="234"/>
      <c r="AZ27" s="234"/>
      <c r="BA27" s="234"/>
      <c r="BB27" s="16">
        <f t="shared" ref="BB27:BB29" si="41">SUM(AU27:BA27)-AT27</f>
        <v>0</v>
      </c>
    </row>
    <row r="28" spans="1:54" ht="15.6" outlineLevel="2">
      <c r="A28" s="98"/>
      <c r="B28" s="143"/>
      <c r="C28" s="144"/>
      <c r="D28" s="290"/>
      <c r="E28" s="290"/>
      <c r="F28" s="290"/>
      <c r="G28" s="291"/>
      <c r="H28" s="272"/>
      <c r="I28" s="258"/>
      <c r="J28" s="259"/>
      <c r="K28" s="259"/>
      <c r="L28" s="106" t="str">
        <f>IF(I28&lt;&gt;0,((VLOOKUP(I28,'1. Standard_Cost'!$B$4:$D$11,2)+VLOOKUP(I28,'1. Standard_Cost'!$B$4:$D$11,3))*J28*K28),"0")</f>
        <v>0</v>
      </c>
      <c r="M28" s="106">
        <f>L28*'1. Standard_Cost'!$F$4</f>
        <v>0</v>
      </c>
      <c r="N28" s="260"/>
      <c r="O28" s="260"/>
      <c r="P28" s="260"/>
      <c r="Q28" s="260"/>
      <c r="R28" s="108">
        <f>'1. Standard_Cost'!$B$15*N28*P28</f>
        <v>0</v>
      </c>
      <c r="S28" s="108">
        <f>N28*O28*P28*'1. Standard_Cost'!$C$15</f>
        <v>0</v>
      </c>
      <c r="T28" s="108">
        <f>N28*P28*Q28*'1. Standard_Cost'!$D$15</f>
        <v>0</v>
      </c>
      <c r="U28" s="108">
        <f>N28*O28*'1. Standard_Cost'!$E$15</f>
        <v>0</v>
      </c>
      <c r="V28" s="260"/>
      <c r="W28" s="260"/>
      <c r="X28" s="260"/>
      <c r="Y28" s="108">
        <f>+V28*((X28*'1. Standard_Cost'!$B$19)+(W28*X28*'1. Standard_Cost'!$C$19))</f>
        <v>0</v>
      </c>
      <c r="Z28" s="260"/>
      <c r="AA28" s="260"/>
      <c r="AB28" s="108">
        <f>+Z28*'1. Standard_Cost'!$B$23+AA28*'1. Standard_Cost'!$C$23</f>
        <v>0</v>
      </c>
      <c r="AC28" s="261"/>
      <c r="AD28" s="262"/>
      <c r="AE28" s="108">
        <f>SUM(AD28,AC28,AB28,Y28,U28,T28,S28,R28)*'1. Standard_Cost'!$B$31</f>
        <v>0</v>
      </c>
      <c r="AF28" s="108">
        <f t="shared" si="36"/>
        <v>0</v>
      </c>
      <c r="AG28" s="260"/>
      <c r="AH28" s="260"/>
      <c r="AI28" s="260"/>
      <c r="AJ28" s="263"/>
      <c r="AK28" s="263"/>
      <c r="AL28" s="263"/>
      <c r="AM28" s="108">
        <f>AG28*'1. Standard_Cost'!$B$27+'Incremental_Cost Year 9'!AH28*'1. Standard_Cost'!$C$27+'Incremental_Cost Year 9'!AI28*'1. Standard_Cost'!$D$27+'Incremental_Cost Year 9'!AJ28+'Incremental_Cost Year 9'!AL28+AK28</f>
        <v>0</v>
      </c>
      <c r="AN28" s="108">
        <f>AM28*'1. Standard_Cost'!$C$31</f>
        <v>0</v>
      </c>
      <c r="AO28" s="125" t="s">
        <v>285</v>
      </c>
      <c r="AQ28" s="14">
        <f t="shared" si="39"/>
        <v>0</v>
      </c>
      <c r="AR28" s="14">
        <f t="shared" si="37"/>
        <v>0</v>
      </c>
      <c r="AS28" s="14">
        <f t="shared" si="38"/>
        <v>0</v>
      </c>
      <c r="AT28" s="14">
        <f t="shared" si="40"/>
        <v>0</v>
      </c>
      <c r="AU28" s="234"/>
      <c r="AV28" s="234"/>
      <c r="AW28" s="234"/>
      <c r="AX28" s="234"/>
      <c r="AY28" s="234"/>
      <c r="AZ28" s="234"/>
      <c r="BA28" s="234"/>
      <c r="BB28" s="16">
        <f t="shared" si="41"/>
        <v>0</v>
      </c>
    </row>
    <row r="29" spans="1:54" ht="27.6" outlineLevel="2">
      <c r="A29" s="98"/>
      <c r="B29" s="143"/>
      <c r="C29" s="144"/>
      <c r="D29" s="290"/>
      <c r="E29" s="290"/>
      <c r="F29" s="290"/>
      <c r="G29" s="291"/>
      <c r="H29" s="272"/>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260"/>
      <c r="W29" s="260"/>
      <c r="X29" s="260"/>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36"/>
        <v>0</v>
      </c>
      <c r="AG29" s="260"/>
      <c r="AH29" s="260"/>
      <c r="AI29" s="260"/>
      <c r="AJ29" s="263"/>
      <c r="AK29" s="263"/>
      <c r="AL29" s="263"/>
      <c r="AM29" s="108">
        <f>AG29*'1. Standard_Cost'!$B$27+'Incremental_Cost Year 9'!AH29*'1. Standard_Cost'!$C$27+'Incremental_Cost Year 9'!AI29*'1. Standard_Cost'!$D$27+'Incremental_Cost Year 9'!AJ29+'Incremental_Cost Year 9'!AL29+AK29</f>
        <v>0</v>
      </c>
      <c r="AN29" s="108">
        <f>AM29*'1. Standard_Cost'!$C$31</f>
        <v>0</v>
      </c>
      <c r="AO29" s="125" t="s">
        <v>286</v>
      </c>
      <c r="AQ29" s="14">
        <f t="shared" si="39"/>
        <v>0</v>
      </c>
      <c r="AR29" s="14">
        <f t="shared" si="37"/>
        <v>0</v>
      </c>
      <c r="AS29" s="14">
        <f t="shared" si="38"/>
        <v>0</v>
      </c>
      <c r="AT29" s="14">
        <f t="shared" si="40"/>
        <v>0</v>
      </c>
      <c r="AU29" s="234"/>
      <c r="AV29" s="234"/>
      <c r="AW29" s="234"/>
      <c r="AX29" s="234">
        <v>0</v>
      </c>
      <c r="AY29" s="234"/>
      <c r="AZ29" s="234"/>
      <c r="BA29" s="234"/>
      <c r="BB29" s="16">
        <f t="shared" si="41"/>
        <v>0</v>
      </c>
    </row>
    <row r="30" spans="1:54" ht="46.8" outlineLevel="1">
      <c r="A30" s="98"/>
      <c r="B30" s="143"/>
      <c r="C30" s="144"/>
      <c r="D30" s="287" t="s">
        <v>47</v>
      </c>
      <c r="E30" s="287" t="s">
        <v>209</v>
      </c>
      <c r="F30" s="287">
        <v>2021</v>
      </c>
      <c r="G30" s="287">
        <v>2026</v>
      </c>
      <c r="H30" s="287" t="s">
        <v>191</v>
      </c>
      <c r="I30" s="264"/>
      <c r="J30" s="264"/>
      <c r="K30" s="264"/>
      <c r="L30" s="113">
        <f>SUM(L26:L29)</f>
        <v>0</v>
      </c>
      <c r="M30" s="113">
        <f>SUM(M26:M29)</f>
        <v>0</v>
      </c>
      <c r="N30" s="264"/>
      <c r="O30" s="264"/>
      <c r="P30" s="264"/>
      <c r="Q30" s="264"/>
      <c r="R30" s="113">
        <f t="shared" ref="R30:U30" si="42">SUM(R26:R29)</f>
        <v>0</v>
      </c>
      <c r="S30" s="113">
        <f t="shared" si="42"/>
        <v>0</v>
      </c>
      <c r="T30" s="113">
        <f t="shared" si="42"/>
        <v>0</v>
      </c>
      <c r="U30" s="113">
        <f t="shared" si="42"/>
        <v>0</v>
      </c>
      <c r="V30" s="264"/>
      <c r="W30" s="264"/>
      <c r="X30" s="264"/>
      <c r="Y30" s="113">
        <f>SUM(Y26:Y29)</f>
        <v>0</v>
      </c>
      <c r="Z30" s="264"/>
      <c r="AA30" s="264"/>
      <c r="AB30" s="113">
        <f t="shared" ref="AB30:AF30" si="43">SUM(AB26:AB29)</f>
        <v>0</v>
      </c>
      <c r="AC30" s="265">
        <f t="shared" si="43"/>
        <v>0</v>
      </c>
      <c r="AD30" s="265">
        <f t="shared" si="43"/>
        <v>0</v>
      </c>
      <c r="AE30" s="113">
        <f t="shared" si="43"/>
        <v>0</v>
      </c>
      <c r="AF30" s="113">
        <f t="shared" si="43"/>
        <v>0</v>
      </c>
      <c r="AG30" s="264"/>
      <c r="AH30" s="264"/>
      <c r="AI30" s="264"/>
      <c r="AJ30" s="265">
        <f t="shared" ref="AJ30:AL30" si="44">SUM(AJ26:AJ29)</f>
        <v>0</v>
      </c>
      <c r="AK30" s="265">
        <f t="shared" si="44"/>
        <v>0</v>
      </c>
      <c r="AL30" s="265">
        <f t="shared" si="44"/>
        <v>0</v>
      </c>
      <c r="AM30" s="113">
        <f t="shared" ref="AM30:AN30" si="45">SUM(AM26:AM29)</f>
        <v>0</v>
      </c>
      <c r="AN30" s="113">
        <f t="shared" si="45"/>
        <v>0</v>
      </c>
      <c r="AO30" s="131"/>
      <c r="AP30" s="17"/>
      <c r="AQ30" s="113">
        <f t="shared" ref="AQ30:BB30" si="46">SUM(AQ26:AQ29)</f>
        <v>0</v>
      </c>
      <c r="AR30" s="113">
        <f t="shared" si="46"/>
        <v>0</v>
      </c>
      <c r="AS30" s="113">
        <f t="shared" si="46"/>
        <v>0</v>
      </c>
      <c r="AT30" s="113">
        <f t="shared" si="46"/>
        <v>0</v>
      </c>
      <c r="AU30" s="265">
        <f t="shared" si="46"/>
        <v>0</v>
      </c>
      <c r="AV30" s="265">
        <f t="shared" si="46"/>
        <v>0</v>
      </c>
      <c r="AW30" s="265">
        <f t="shared" si="46"/>
        <v>0</v>
      </c>
      <c r="AX30" s="265">
        <f t="shared" si="46"/>
        <v>0</v>
      </c>
      <c r="AY30" s="265">
        <f t="shared" si="46"/>
        <v>0</v>
      </c>
      <c r="AZ30" s="265">
        <f t="shared" si="46"/>
        <v>0</v>
      </c>
      <c r="BA30" s="265">
        <f t="shared" si="46"/>
        <v>0</v>
      </c>
      <c r="BB30" s="113">
        <f t="shared" si="46"/>
        <v>0</v>
      </c>
    </row>
    <row r="31" spans="1:54" s="13" customFormat="1" ht="15.6" customHeight="1">
      <c r="A31" s="101"/>
      <c r="B31" s="319" t="s">
        <v>211</v>
      </c>
      <c r="C31" s="320"/>
      <c r="D31" s="320"/>
      <c r="E31" s="321"/>
      <c r="F31" s="292"/>
      <c r="G31" s="292"/>
      <c r="H31" s="292" t="s">
        <v>63</v>
      </c>
      <c r="I31" s="242"/>
      <c r="J31" s="242"/>
      <c r="K31" s="242"/>
      <c r="L31" s="41">
        <f>SUM(L32,L40,L80)</f>
        <v>0</v>
      </c>
      <c r="M31" s="41">
        <f>SUM(M32,M40,M80)</f>
        <v>0</v>
      </c>
      <c r="N31" s="242"/>
      <c r="O31" s="242"/>
      <c r="P31" s="242"/>
      <c r="Q31" s="242"/>
      <c r="R31" s="41">
        <f t="shared" ref="R31:U31" si="47">SUM(R32,R40,R80)</f>
        <v>0</v>
      </c>
      <c r="S31" s="41">
        <f t="shared" si="47"/>
        <v>0</v>
      </c>
      <c r="T31" s="41">
        <f t="shared" si="47"/>
        <v>0</v>
      </c>
      <c r="U31" s="41">
        <f t="shared" si="47"/>
        <v>0</v>
      </c>
      <c r="V31" s="242"/>
      <c r="W31" s="242"/>
      <c r="X31" s="242"/>
      <c r="Y31" s="41">
        <f>SUM(Y32,Y40,Y80)</f>
        <v>0</v>
      </c>
      <c r="Z31" s="242"/>
      <c r="AA31" s="242"/>
      <c r="AB31" s="41">
        <f t="shared" ref="AB31:AF31" si="48">SUM(AB32,AB40,AB80)</f>
        <v>0</v>
      </c>
      <c r="AC31" s="243">
        <f t="shared" si="48"/>
        <v>0</v>
      </c>
      <c r="AD31" s="243">
        <f t="shared" si="48"/>
        <v>0</v>
      </c>
      <c r="AE31" s="41">
        <f t="shared" si="48"/>
        <v>0</v>
      </c>
      <c r="AF31" s="41">
        <f t="shared" si="48"/>
        <v>0</v>
      </c>
      <c r="AG31" s="243"/>
      <c r="AH31" s="243"/>
      <c r="AI31" s="243"/>
      <c r="AJ31" s="243">
        <f t="shared" ref="AJ31:AL31" si="49">SUM(AJ32,AJ40,AJ80)</f>
        <v>0</v>
      </c>
      <c r="AK31" s="243">
        <f t="shared" si="49"/>
        <v>0</v>
      </c>
      <c r="AL31" s="243">
        <f t="shared" si="49"/>
        <v>0</v>
      </c>
      <c r="AM31" s="41">
        <f t="shared" ref="AM31:AN31" si="50">SUM(AM32,AM40,AM80)</f>
        <v>0</v>
      </c>
      <c r="AN31" s="41">
        <f t="shared" si="50"/>
        <v>0</v>
      </c>
      <c r="AO31" s="129"/>
      <c r="AQ31" s="41">
        <f t="shared" ref="AQ31:BB31" si="51">SUM(AQ32,AQ40,AQ80)</f>
        <v>0</v>
      </c>
      <c r="AR31" s="41">
        <f t="shared" si="51"/>
        <v>0</v>
      </c>
      <c r="AS31" s="41">
        <f t="shared" si="51"/>
        <v>0</v>
      </c>
      <c r="AT31" s="41">
        <f t="shared" si="51"/>
        <v>0</v>
      </c>
      <c r="AU31" s="243">
        <f t="shared" si="51"/>
        <v>0</v>
      </c>
      <c r="AV31" s="243">
        <f t="shared" si="51"/>
        <v>0</v>
      </c>
      <c r="AW31" s="243">
        <f t="shared" si="51"/>
        <v>0</v>
      </c>
      <c r="AX31" s="243">
        <f t="shared" si="51"/>
        <v>0</v>
      </c>
      <c r="AY31" s="243">
        <f t="shared" si="51"/>
        <v>0</v>
      </c>
      <c r="AZ31" s="243">
        <f t="shared" si="51"/>
        <v>0</v>
      </c>
      <c r="BA31" s="243">
        <f t="shared" si="51"/>
        <v>0</v>
      </c>
      <c r="BB31" s="41">
        <f t="shared" si="51"/>
        <v>0</v>
      </c>
    </row>
    <row r="32" spans="1:54" s="13" customFormat="1" ht="15.6" customHeight="1">
      <c r="A32" s="101"/>
      <c r="B32" s="155"/>
      <c r="C32" s="322" t="s">
        <v>210</v>
      </c>
      <c r="D32" s="322"/>
      <c r="E32" s="323"/>
      <c r="F32" s="299"/>
      <c r="G32" s="299"/>
      <c r="H32" s="293" t="s">
        <v>181</v>
      </c>
      <c r="I32" s="240"/>
      <c r="J32" s="240"/>
      <c r="K32" s="240"/>
      <c r="L32" s="42">
        <f>SUM(L39)</f>
        <v>0</v>
      </c>
      <c r="M32" s="42">
        <f>SUM(M39)</f>
        <v>0</v>
      </c>
      <c r="N32" s="244"/>
      <c r="O32" s="244"/>
      <c r="P32" s="244"/>
      <c r="Q32" s="244"/>
      <c r="R32" s="42">
        <f t="shared" ref="R32:U32" si="52">SUM(R39)</f>
        <v>0</v>
      </c>
      <c r="S32" s="42">
        <f t="shared" si="52"/>
        <v>0</v>
      </c>
      <c r="T32" s="42">
        <f t="shared" si="52"/>
        <v>0</v>
      </c>
      <c r="U32" s="42">
        <f t="shared" si="52"/>
        <v>0</v>
      </c>
      <c r="V32" s="244"/>
      <c r="W32" s="244"/>
      <c r="X32" s="244"/>
      <c r="Y32" s="42">
        <f>SUM(Y39)</f>
        <v>0</v>
      </c>
      <c r="Z32" s="244"/>
      <c r="AA32" s="244"/>
      <c r="AB32" s="42">
        <f t="shared" ref="AB32:AF32" si="53">SUM(AB39)</f>
        <v>0</v>
      </c>
      <c r="AC32" s="244">
        <f t="shared" ref="AC32:AD32" si="54">SUM(AC39)</f>
        <v>0</v>
      </c>
      <c r="AD32" s="244">
        <f t="shared" si="54"/>
        <v>0</v>
      </c>
      <c r="AE32" s="42">
        <f t="shared" si="53"/>
        <v>0</v>
      </c>
      <c r="AF32" s="42">
        <f t="shared" si="53"/>
        <v>0</v>
      </c>
      <c r="AG32" s="244"/>
      <c r="AH32" s="244"/>
      <c r="AI32" s="244"/>
      <c r="AJ32" s="244">
        <f t="shared" ref="AJ32:AL32" si="55">SUM(AJ39)</f>
        <v>0</v>
      </c>
      <c r="AK32" s="244">
        <f t="shared" si="55"/>
        <v>0</v>
      </c>
      <c r="AL32" s="244">
        <f t="shared" si="55"/>
        <v>0</v>
      </c>
      <c r="AM32" s="42">
        <f t="shared" ref="AM32:AN32" si="56">SUM(AM39)</f>
        <v>0</v>
      </c>
      <c r="AN32" s="42">
        <f t="shared" si="56"/>
        <v>0</v>
      </c>
      <c r="AO32" s="130"/>
      <c r="AP32" s="83"/>
      <c r="AQ32" s="42">
        <f t="shared" ref="AQ32:BB32" si="57">SUM(AQ39)</f>
        <v>0</v>
      </c>
      <c r="AR32" s="42">
        <f t="shared" si="57"/>
        <v>0</v>
      </c>
      <c r="AS32" s="42">
        <f t="shared" si="57"/>
        <v>0</v>
      </c>
      <c r="AT32" s="42">
        <f t="shared" si="57"/>
        <v>0</v>
      </c>
      <c r="AU32" s="244">
        <f t="shared" ref="AU32:BA32" si="58">SUM(AU39)</f>
        <v>0</v>
      </c>
      <c r="AV32" s="244">
        <f t="shared" si="58"/>
        <v>0</v>
      </c>
      <c r="AW32" s="244">
        <f t="shared" si="58"/>
        <v>0</v>
      </c>
      <c r="AX32" s="244">
        <f t="shared" si="58"/>
        <v>0</v>
      </c>
      <c r="AY32" s="244">
        <f t="shared" si="58"/>
        <v>0</v>
      </c>
      <c r="AZ32" s="244">
        <f t="shared" si="58"/>
        <v>0</v>
      </c>
      <c r="BA32" s="244">
        <f t="shared" si="58"/>
        <v>0</v>
      </c>
      <c r="BB32" s="42">
        <f t="shared" si="57"/>
        <v>0</v>
      </c>
    </row>
    <row r="33" spans="1:54" ht="41.4" outlineLevel="2">
      <c r="A33" s="98"/>
      <c r="B33" s="143"/>
      <c r="C33" s="144"/>
      <c r="D33" s="149"/>
      <c r="E33" s="149"/>
      <c r="F33" s="288"/>
      <c r="G33" s="289"/>
      <c r="H33" s="272"/>
      <c r="I33" s="280"/>
      <c r="J33" s="281"/>
      <c r="K33" s="281"/>
      <c r="L33" s="106" t="str">
        <f>IF(I33&lt;&gt;0,((VLOOKUP(I33,'1. Standard_Cost'!$B$4:$D$11,2)+VLOOKUP(I33,'1. Standard_Cost'!$B$4:$D$11,3))*J33*K33),"0")</f>
        <v>0</v>
      </c>
      <c r="M33" s="106">
        <f>L33*'1. Standard_Cost'!$F$4</f>
        <v>0</v>
      </c>
      <c r="N33" s="260"/>
      <c r="O33" s="260"/>
      <c r="P33" s="260"/>
      <c r="Q33" s="260"/>
      <c r="R33" s="108">
        <f>'1. Standard_Cost'!$B$15*N33*P33</f>
        <v>0</v>
      </c>
      <c r="S33" s="108">
        <f>N33*O33*P33*'1. Standard_Cost'!$C$15</f>
        <v>0</v>
      </c>
      <c r="T33" s="108">
        <f>N33*P33*Q33*'1. Standard_Cost'!$D$15</f>
        <v>0</v>
      </c>
      <c r="U33" s="108">
        <f>N33*O33*'1. Standard_Cost'!$E$15</f>
        <v>0</v>
      </c>
      <c r="V33" s="260"/>
      <c r="W33" s="260"/>
      <c r="X33" s="260"/>
      <c r="Y33" s="108">
        <f>+V33*((X33*'1. Standard_Cost'!$B$19)+(W33*X33*'1. Standard_Cost'!$C$19))</f>
        <v>0</v>
      </c>
      <c r="Z33" s="260"/>
      <c r="AA33" s="260"/>
      <c r="AB33" s="108">
        <f>+Z33*'1. Standard_Cost'!$B$23+AA33*'1. Standard_Cost'!$C$23</f>
        <v>0</v>
      </c>
      <c r="AC33" s="261"/>
      <c r="AD33" s="262"/>
      <c r="AE33" s="108">
        <f>SUM(AD33,AC33,AB33,Y33,U33,T33,S33,R33)*'1. Standard_Cost'!$B$31</f>
        <v>0</v>
      </c>
      <c r="AF33" s="108">
        <f t="shared" ref="AF33:AF38" si="59">SUM(AE33,AD33,AC33,AB33,Y33,U33,T33,S33,R33)</f>
        <v>0</v>
      </c>
      <c r="AG33" s="260"/>
      <c r="AH33" s="260"/>
      <c r="AI33" s="260"/>
      <c r="AJ33" s="263"/>
      <c r="AK33" s="263"/>
      <c r="AL33" s="263"/>
      <c r="AM33" s="108">
        <f>AG33*'1. Standard_Cost'!$B$27+'Incremental_Cost Year 9'!AH33*'1. Standard_Cost'!$C$27+'Incremental_Cost Year 9'!AI33*'1. Standard_Cost'!$D$27+'Incremental_Cost Year 9'!AJ33+'Incremental_Cost Year 9'!AL33+AK33</f>
        <v>0</v>
      </c>
      <c r="AN33" s="108">
        <f>AM33*'1. Standard_Cost'!$C$31</f>
        <v>0</v>
      </c>
      <c r="AO33" s="125" t="s">
        <v>287</v>
      </c>
      <c r="AQ33" s="14">
        <f t="shared" ref="AQ33:AQ38" si="60">L33+M33</f>
        <v>0</v>
      </c>
      <c r="AR33" s="14">
        <f t="shared" ref="AR33:AR38" si="61">AF33</f>
        <v>0</v>
      </c>
      <c r="AS33" s="14">
        <f t="shared" ref="AS33:AS38" si="62">AM33+AN33</f>
        <v>0</v>
      </c>
      <c r="AT33" s="14">
        <f>SUM(AQ33,AR33,AS33)</f>
        <v>0</v>
      </c>
      <c r="AU33" s="234"/>
      <c r="AV33" s="234"/>
      <c r="AW33" s="234"/>
      <c r="AX33" s="234"/>
      <c r="AY33" s="234"/>
      <c r="AZ33" s="234"/>
      <c r="BA33" s="234"/>
      <c r="BB33" s="16">
        <f t="shared" ref="BB33:BB38" si="63">SUM(AU33:BA33)-AT33</f>
        <v>0</v>
      </c>
    </row>
    <row r="34" spans="1:54" ht="55.2" outlineLevel="2">
      <c r="A34" s="98"/>
      <c r="B34" s="143"/>
      <c r="C34" s="144"/>
      <c r="D34" s="290"/>
      <c r="E34" s="290"/>
      <c r="F34" s="290"/>
      <c r="G34" s="291"/>
      <c r="H34" s="272"/>
      <c r="I34" s="280"/>
      <c r="J34" s="281"/>
      <c r="K34" s="281"/>
      <c r="L34" s="106" t="str">
        <f>IF(I34&lt;&gt;0,((VLOOKUP(I34,'1. Standard_Cost'!$B$4:$D$11,2)+VLOOKUP(I34,'1. Standard_Cost'!$B$4:$D$11,3))*J34*K34),"0")</f>
        <v>0</v>
      </c>
      <c r="M34" s="106">
        <f>L34*'1. Standard_Cost'!$F$4</f>
        <v>0</v>
      </c>
      <c r="N34" s="260"/>
      <c r="O34" s="260"/>
      <c r="P34" s="260"/>
      <c r="Q34" s="260"/>
      <c r="R34" s="108">
        <f>'1. Standard_Cost'!$B$15*N34*P34</f>
        <v>0</v>
      </c>
      <c r="S34" s="108">
        <f>N34*O34*P34*'1. Standard_Cost'!$C$15</f>
        <v>0</v>
      </c>
      <c r="T34" s="108">
        <f>N34*P34*Q34*'1. Standard_Cost'!$D$15</f>
        <v>0</v>
      </c>
      <c r="U34" s="108">
        <f>N34*O34*'1. Standard_Cost'!$E$15</f>
        <v>0</v>
      </c>
      <c r="V34" s="260"/>
      <c r="W34" s="260"/>
      <c r="X34" s="260"/>
      <c r="Y34" s="108">
        <f>+V34*((X34*'1. Standard_Cost'!$B$19)+(W34*X34*'1. Standard_Cost'!$C$19))</f>
        <v>0</v>
      </c>
      <c r="Z34" s="260"/>
      <c r="AA34" s="260"/>
      <c r="AB34" s="108">
        <f>+Z34*'1. Standard_Cost'!$B$23+AA34*'1. Standard_Cost'!$C$23</f>
        <v>0</v>
      </c>
      <c r="AC34" s="261"/>
      <c r="AD34" s="262"/>
      <c r="AE34" s="108">
        <f>SUM(AD34,AC34,AB34,Y34,U34,T34,S34,R34)*'1. Standard_Cost'!$B$31</f>
        <v>0</v>
      </c>
      <c r="AF34" s="108">
        <f t="shared" si="59"/>
        <v>0</v>
      </c>
      <c r="AG34" s="260"/>
      <c r="AH34" s="260"/>
      <c r="AI34" s="260"/>
      <c r="AJ34" s="263"/>
      <c r="AK34" s="263"/>
      <c r="AL34" s="263"/>
      <c r="AM34" s="108">
        <f>AG34*'1. Standard_Cost'!$B$27+'Incremental_Cost Year 9'!AH34*'1. Standard_Cost'!$C$27+'Incremental_Cost Year 9'!AI34*'1. Standard_Cost'!$D$27+'Incremental_Cost Year 9'!AJ34+'Incremental_Cost Year 9'!AL34+AK34</f>
        <v>0</v>
      </c>
      <c r="AN34" s="108">
        <f>AM34*'1. Standard_Cost'!$C$31</f>
        <v>0</v>
      </c>
      <c r="AO34" s="125" t="s">
        <v>288</v>
      </c>
      <c r="AQ34" s="14">
        <f t="shared" si="60"/>
        <v>0</v>
      </c>
      <c r="AR34" s="14">
        <f t="shared" si="61"/>
        <v>0</v>
      </c>
      <c r="AS34" s="14">
        <f t="shared" si="62"/>
        <v>0</v>
      </c>
      <c r="AT34" s="14">
        <f t="shared" ref="AT34:AT38" si="64">SUM(AQ34,AR34,AS34)</f>
        <v>0</v>
      </c>
      <c r="AU34" s="234"/>
      <c r="AV34" s="234"/>
      <c r="AW34" s="234"/>
      <c r="AX34" s="234"/>
      <c r="AY34" s="234"/>
      <c r="AZ34" s="234"/>
      <c r="BA34" s="234"/>
      <c r="BB34" s="16">
        <f t="shared" si="63"/>
        <v>0</v>
      </c>
    </row>
    <row r="35" spans="1:54" ht="27.6" outlineLevel="2">
      <c r="A35" s="98"/>
      <c r="B35" s="143"/>
      <c r="C35" s="144"/>
      <c r="D35" s="290"/>
      <c r="E35" s="290"/>
      <c r="F35" s="290"/>
      <c r="G35" s="291"/>
      <c r="H35" s="272"/>
      <c r="I35" s="258"/>
      <c r="J35" s="259"/>
      <c r="K35" s="259"/>
      <c r="L35" s="106" t="str">
        <f>IF(I35&lt;&gt;0,((VLOOKUP(I35,'1. Standard_Cost'!$B$4:$D$11,2)+VLOOKUP(I35,'1. Standard_Cost'!$B$4:$D$11,3))*J35*K35),"0")</f>
        <v>0</v>
      </c>
      <c r="M35" s="106">
        <f>L35*'1. Standard_Cost'!$F$4</f>
        <v>0</v>
      </c>
      <c r="N35" s="260"/>
      <c r="O35" s="260"/>
      <c r="P35" s="260"/>
      <c r="Q35" s="260"/>
      <c r="R35" s="108">
        <f>'1. Standard_Cost'!$B$15*N35*P35</f>
        <v>0</v>
      </c>
      <c r="S35" s="108">
        <f>N35*O35*P35*'1. Standard_Cost'!$C$15</f>
        <v>0</v>
      </c>
      <c r="T35" s="108">
        <f>N35*P35*Q35*'1. Standard_Cost'!$D$15</f>
        <v>0</v>
      </c>
      <c r="U35" s="108">
        <f>N35*O35*'1. Standard_Cost'!$E$15</f>
        <v>0</v>
      </c>
      <c r="V35" s="260"/>
      <c r="W35" s="260"/>
      <c r="X35" s="260"/>
      <c r="Y35" s="108">
        <f>+V35*((X35*'1. Standard_Cost'!$B$19)+(W35*X35*'1. Standard_Cost'!$C$19))</f>
        <v>0</v>
      </c>
      <c r="Z35" s="260"/>
      <c r="AA35" s="260"/>
      <c r="AB35" s="108">
        <f>+Z35*'1. Standard_Cost'!$B$23+AA35*'1. Standard_Cost'!$C$23</f>
        <v>0</v>
      </c>
      <c r="AC35" s="261"/>
      <c r="AD35" s="262"/>
      <c r="AE35" s="108">
        <f>SUM(AD35,AC35,AB35,Y35,U35,T35,S35,R35)*'1. Standard_Cost'!$B$31</f>
        <v>0</v>
      </c>
      <c r="AF35" s="108">
        <f t="shared" si="59"/>
        <v>0</v>
      </c>
      <c r="AG35" s="260"/>
      <c r="AH35" s="260"/>
      <c r="AI35" s="260"/>
      <c r="AJ35" s="263"/>
      <c r="AK35" s="263"/>
      <c r="AL35" s="263"/>
      <c r="AM35" s="108">
        <f>AG35*'1. Standard_Cost'!$B$27+'Incremental_Cost Year 9'!AH35*'1. Standard_Cost'!$C$27+'Incremental_Cost Year 9'!AI35*'1. Standard_Cost'!$D$27+'Incremental_Cost Year 9'!AJ35+'Incremental_Cost Year 9'!AL35+AK35</f>
        <v>0</v>
      </c>
      <c r="AN35" s="108">
        <f>AM35*'1. Standard_Cost'!$C$31</f>
        <v>0</v>
      </c>
      <c r="AO35" s="125" t="s">
        <v>289</v>
      </c>
      <c r="AQ35" s="14">
        <f t="shared" si="60"/>
        <v>0</v>
      </c>
      <c r="AR35" s="14">
        <f t="shared" si="61"/>
        <v>0</v>
      </c>
      <c r="AS35" s="14">
        <f t="shared" si="62"/>
        <v>0</v>
      </c>
      <c r="AT35" s="14">
        <f t="shared" si="64"/>
        <v>0</v>
      </c>
      <c r="AU35" s="234"/>
      <c r="AV35" s="234"/>
      <c r="AW35" s="234"/>
      <c r="AX35" s="234"/>
      <c r="AY35" s="234"/>
      <c r="AZ35" s="234"/>
      <c r="BA35" s="234"/>
      <c r="BB35" s="16">
        <f t="shared" si="63"/>
        <v>0</v>
      </c>
    </row>
    <row r="36" spans="1:54" ht="55.2" outlineLevel="2">
      <c r="A36" s="98"/>
      <c r="B36" s="143"/>
      <c r="C36" s="144"/>
      <c r="D36" s="290"/>
      <c r="E36" s="290"/>
      <c r="F36" s="290"/>
      <c r="G36" s="291"/>
      <c r="H36" s="272"/>
      <c r="I36" s="280"/>
      <c r="J36" s="281"/>
      <c r="K36" s="281"/>
      <c r="L36" s="106" t="str">
        <f>IF(I36&lt;&gt;0,((VLOOKUP(I36,'1. Standard_Cost'!$B$4:$D$11,2)+VLOOKUP(I36,'1. Standard_Cost'!$B$4:$D$11,3))*J36*K36),"0")</f>
        <v>0</v>
      </c>
      <c r="M36" s="106">
        <f>L36*'1. Standard_Cost'!$F$4</f>
        <v>0</v>
      </c>
      <c r="N36" s="260"/>
      <c r="O36" s="260"/>
      <c r="P36" s="260"/>
      <c r="Q36" s="260"/>
      <c r="R36" s="108">
        <f>'1. Standard_Cost'!$B$15*N36*P36</f>
        <v>0</v>
      </c>
      <c r="S36" s="108">
        <f>N36*O36*P36*'1. Standard_Cost'!$C$15</f>
        <v>0</v>
      </c>
      <c r="T36" s="108">
        <f>N36*P36*Q36*'1. Standard_Cost'!$D$15</f>
        <v>0</v>
      </c>
      <c r="U36" s="108">
        <f>N36*O36*'1. Standard_Cost'!$E$15</f>
        <v>0</v>
      </c>
      <c r="V36" s="260"/>
      <c r="W36" s="260"/>
      <c r="X36" s="260"/>
      <c r="Y36" s="108">
        <f>+V36*((X36*'1. Standard_Cost'!$B$19)+(W36*X36*'1. Standard_Cost'!$C$19))</f>
        <v>0</v>
      </c>
      <c r="Z36" s="260"/>
      <c r="AA36" s="260"/>
      <c r="AB36" s="108">
        <f>+Z36*'1. Standard_Cost'!$B$23+AA36*'1. Standard_Cost'!$C$23</f>
        <v>0</v>
      </c>
      <c r="AC36" s="261"/>
      <c r="AD36" s="262"/>
      <c r="AE36" s="108">
        <f>SUM(AD36,AC36,AB36,Y36,U36,T36,S36,R36)*'1. Standard_Cost'!$B$31</f>
        <v>0</v>
      </c>
      <c r="AF36" s="108">
        <f t="shared" si="59"/>
        <v>0</v>
      </c>
      <c r="AG36" s="260"/>
      <c r="AH36" s="260"/>
      <c r="AI36" s="260"/>
      <c r="AJ36" s="263"/>
      <c r="AK36" s="263"/>
      <c r="AL36" s="263"/>
      <c r="AM36" s="108">
        <f>AG36*'1. Standard_Cost'!$B$27+'Incremental_Cost Year 9'!AH36*'1. Standard_Cost'!$C$27+'Incremental_Cost Year 9'!AI36*'1. Standard_Cost'!$D$27+'Incremental_Cost Year 9'!AJ36+'Incremental_Cost Year 9'!AL36+AK36</f>
        <v>0</v>
      </c>
      <c r="AN36" s="108">
        <f>AM36*'1. Standard_Cost'!$C$31</f>
        <v>0</v>
      </c>
      <c r="AO36" s="125" t="s">
        <v>290</v>
      </c>
      <c r="AQ36" s="14">
        <f t="shared" si="60"/>
        <v>0</v>
      </c>
      <c r="AR36" s="14">
        <f t="shared" si="61"/>
        <v>0</v>
      </c>
      <c r="AS36" s="14">
        <f t="shared" si="62"/>
        <v>0</v>
      </c>
      <c r="AT36" s="14">
        <f t="shared" si="64"/>
        <v>0</v>
      </c>
      <c r="AU36" s="234"/>
      <c r="AV36" s="234"/>
      <c r="AW36" s="234"/>
      <c r="AX36" s="234"/>
      <c r="AY36" s="234"/>
      <c r="AZ36" s="234"/>
      <c r="BA36" s="234"/>
      <c r="BB36" s="16">
        <f t="shared" si="63"/>
        <v>0</v>
      </c>
    </row>
    <row r="37" spans="1:54" ht="27.6" outlineLevel="2">
      <c r="A37" s="98"/>
      <c r="B37" s="143"/>
      <c r="C37" s="144"/>
      <c r="D37" s="290"/>
      <c r="E37" s="290"/>
      <c r="F37" s="290"/>
      <c r="G37" s="291"/>
      <c r="H37" s="272"/>
      <c r="I37" s="258"/>
      <c r="J37" s="259"/>
      <c r="K37" s="259"/>
      <c r="L37" s="106" t="str">
        <f>IF(I37&lt;&gt;0,((VLOOKUP(I37,'1. Standard_Cost'!$B$4:$D$11,2)+VLOOKUP(I37,'1. Standard_Cost'!$B$4:$D$11,3))*J37*K37),"0")</f>
        <v>0</v>
      </c>
      <c r="M37" s="106">
        <f>L37*'1. Standard_Cost'!$F$4</f>
        <v>0</v>
      </c>
      <c r="N37" s="260"/>
      <c r="O37" s="260"/>
      <c r="P37" s="260"/>
      <c r="Q37" s="260"/>
      <c r="R37" s="108">
        <f>'1. Standard_Cost'!$B$15*N37*P37</f>
        <v>0</v>
      </c>
      <c r="S37" s="108">
        <f>N37*O37*P37*'1. Standard_Cost'!$C$15</f>
        <v>0</v>
      </c>
      <c r="T37" s="108">
        <f>N37*P37*Q37*'1. Standard_Cost'!$D$15</f>
        <v>0</v>
      </c>
      <c r="U37" s="108">
        <f>N37*O37*'1. Standard_Cost'!$E$15</f>
        <v>0</v>
      </c>
      <c r="V37" s="260"/>
      <c r="W37" s="260"/>
      <c r="X37" s="260"/>
      <c r="Y37" s="108">
        <f>+V37*((X37*'1. Standard_Cost'!$B$19)+(W37*X37*'1. Standard_Cost'!$C$19))</f>
        <v>0</v>
      </c>
      <c r="Z37" s="260"/>
      <c r="AA37" s="260"/>
      <c r="AB37" s="108">
        <f>+Z37*'1. Standard_Cost'!$B$23+AA37*'1. Standard_Cost'!$C$23</f>
        <v>0</v>
      </c>
      <c r="AC37" s="261"/>
      <c r="AD37" s="262"/>
      <c r="AE37" s="108">
        <f>SUM(AD37,AC37,AB37,Y37,U37,T37,S37,R37)*'1. Standard_Cost'!$B$31</f>
        <v>0</v>
      </c>
      <c r="AF37" s="108">
        <f t="shared" si="59"/>
        <v>0</v>
      </c>
      <c r="AG37" s="260"/>
      <c r="AH37" s="260"/>
      <c r="AI37" s="260"/>
      <c r="AJ37" s="263"/>
      <c r="AK37" s="263"/>
      <c r="AL37" s="263"/>
      <c r="AM37" s="108">
        <f>AG37*'1. Standard_Cost'!$B$27+'Incremental_Cost Year 9'!AH37*'1. Standard_Cost'!$C$27+'Incremental_Cost Year 9'!AI37*'1. Standard_Cost'!$D$27+'Incremental_Cost Year 9'!AJ37+'Incremental_Cost Year 9'!AL37+AK37</f>
        <v>0</v>
      </c>
      <c r="AN37" s="108">
        <f>AM37*'1. Standard_Cost'!$C$31</f>
        <v>0</v>
      </c>
      <c r="AO37" s="125" t="s">
        <v>291</v>
      </c>
      <c r="AQ37" s="14">
        <f t="shared" si="60"/>
        <v>0</v>
      </c>
      <c r="AR37" s="14">
        <f t="shared" si="61"/>
        <v>0</v>
      </c>
      <c r="AS37" s="14">
        <f t="shared" si="62"/>
        <v>0</v>
      </c>
      <c r="AT37" s="14">
        <f t="shared" si="64"/>
        <v>0</v>
      </c>
      <c r="AU37" s="234"/>
      <c r="AV37" s="234"/>
      <c r="AW37" s="234"/>
      <c r="AX37" s="234"/>
      <c r="AY37" s="234"/>
      <c r="AZ37" s="234"/>
      <c r="BA37" s="234"/>
      <c r="BB37" s="16">
        <f t="shared" si="63"/>
        <v>0</v>
      </c>
    </row>
    <row r="38" spans="1:54" ht="27.6" outlineLevel="2">
      <c r="A38" s="98"/>
      <c r="B38" s="143"/>
      <c r="C38" s="144"/>
      <c r="D38" s="290"/>
      <c r="E38" s="290"/>
      <c r="F38" s="290"/>
      <c r="G38" s="291"/>
      <c r="H38" s="272"/>
      <c r="I38" s="258"/>
      <c r="J38" s="259"/>
      <c r="K38" s="259"/>
      <c r="L38" s="106" t="str">
        <f>IF(I38&lt;&gt;0,((VLOOKUP(I38,'1. Standard_Cost'!$B$4:$D$11,2)+VLOOKUP(I38,'1. Standard_Cost'!$B$4:$D$11,3))*J38*K38),"0")</f>
        <v>0</v>
      </c>
      <c r="M38" s="106">
        <f>L38*'1. Standard_Cost'!$F$4</f>
        <v>0</v>
      </c>
      <c r="N38" s="260"/>
      <c r="O38" s="260"/>
      <c r="P38" s="260"/>
      <c r="Q38" s="260"/>
      <c r="R38" s="108">
        <f>'1. Standard_Cost'!$B$15*N38*P38</f>
        <v>0</v>
      </c>
      <c r="S38" s="108">
        <f>N38*O38*P38*'1. Standard_Cost'!$C$15</f>
        <v>0</v>
      </c>
      <c r="T38" s="108">
        <f>N38*P38*Q38*'1. Standard_Cost'!$D$15</f>
        <v>0</v>
      </c>
      <c r="U38" s="108">
        <f>N38*O38*'1. Standard_Cost'!$E$15</f>
        <v>0</v>
      </c>
      <c r="V38" s="260"/>
      <c r="W38" s="260"/>
      <c r="X38" s="260"/>
      <c r="Y38" s="108">
        <f>+V38*((X38*'1. Standard_Cost'!$B$19)+(W38*X38*'1. Standard_Cost'!$C$19))</f>
        <v>0</v>
      </c>
      <c r="Z38" s="260"/>
      <c r="AA38" s="260"/>
      <c r="AB38" s="108">
        <f>+Z38*'1. Standard_Cost'!$B$23+AA38*'1. Standard_Cost'!$C$23</f>
        <v>0</v>
      </c>
      <c r="AC38" s="261"/>
      <c r="AD38" s="262"/>
      <c r="AE38" s="108">
        <f>SUM(AD38,AC38,AB38,Y38,U38,T38,S38,R38)*'1. Standard_Cost'!$B$31</f>
        <v>0</v>
      </c>
      <c r="AF38" s="108">
        <f t="shared" si="59"/>
        <v>0</v>
      </c>
      <c r="AG38" s="260"/>
      <c r="AH38" s="260"/>
      <c r="AI38" s="260"/>
      <c r="AJ38" s="263"/>
      <c r="AK38" s="263"/>
      <c r="AL38" s="263"/>
      <c r="AM38" s="108">
        <f>AG38*'1. Standard_Cost'!$B$27+'Incremental_Cost Year 9'!AH38*'1. Standard_Cost'!$C$27+'Incremental_Cost Year 9'!AI38*'1. Standard_Cost'!$D$27+'Incremental_Cost Year 9'!AJ38+'Incremental_Cost Year 9'!AL38+AK38</f>
        <v>0</v>
      </c>
      <c r="AN38" s="108">
        <f>AM38*'1. Standard_Cost'!$C$31</f>
        <v>0</v>
      </c>
      <c r="AO38" s="125" t="s">
        <v>292</v>
      </c>
      <c r="AQ38" s="14">
        <f t="shared" si="60"/>
        <v>0</v>
      </c>
      <c r="AR38" s="14">
        <f t="shared" si="61"/>
        <v>0</v>
      </c>
      <c r="AS38" s="14">
        <f t="shared" si="62"/>
        <v>0</v>
      </c>
      <c r="AT38" s="14">
        <f t="shared" si="64"/>
        <v>0</v>
      </c>
      <c r="AU38" s="234"/>
      <c r="AV38" s="234"/>
      <c r="AW38" s="234"/>
      <c r="AX38" s="234"/>
      <c r="AY38" s="234"/>
      <c r="AZ38" s="234"/>
      <c r="BA38" s="234"/>
      <c r="BB38" s="16">
        <f t="shared" si="63"/>
        <v>0</v>
      </c>
    </row>
    <row r="39" spans="1:54" ht="46.8" outlineLevel="1">
      <c r="A39" s="98"/>
      <c r="B39" s="143"/>
      <c r="C39" s="144"/>
      <c r="D39" s="145" t="s">
        <v>47</v>
      </c>
      <c r="E39" s="145" t="s">
        <v>212</v>
      </c>
      <c r="F39" s="285">
        <v>2021</v>
      </c>
      <c r="G39" s="286">
        <v>2026</v>
      </c>
      <c r="H39" s="287" t="s">
        <v>214</v>
      </c>
      <c r="I39" s="264"/>
      <c r="J39" s="264"/>
      <c r="K39" s="264"/>
      <c r="L39" s="113">
        <f>SUM(L33:L38)</f>
        <v>0</v>
      </c>
      <c r="M39" s="113">
        <f>SUM(M33:M38)</f>
        <v>0</v>
      </c>
      <c r="N39" s="264"/>
      <c r="O39" s="264"/>
      <c r="P39" s="264"/>
      <c r="Q39" s="264"/>
      <c r="R39" s="113">
        <f t="shared" ref="R39:U39" si="65">SUM(R33:R38)</f>
        <v>0</v>
      </c>
      <c r="S39" s="113">
        <f t="shared" si="65"/>
        <v>0</v>
      </c>
      <c r="T39" s="113">
        <f t="shared" si="65"/>
        <v>0</v>
      </c>
      <c r="U39" s="113">
        <f t="shared" si="65"/>
        <v>0</v>
      </c>
      <c r="V39" s="264"/>
      <c r="W39" s="264"/>
      <c r="X39" s="264"/>
      <c r="Y39" s="113">
        <f>SUM(Y33:Y38)</f>
        <v>0</v>
      </c>
      <c r="Z39" s="264"/>
      <c r="AA39" s="264"/>
      <c r="AB39" s="113">
        <f>SUM(AB33:AB38)</f>
        <v>0</v>
      </c>
      <c r="AC39" s="265">
        <f t="shared" ref="AC39:AD39" si="66">SUM(AC33:AC38)</f>
        <v>0</v>
      </c>
      <c r="AD39" s="265">
        <f t="shared" si="66"/>
        <v>0</v>
      </c>
      <c r="AE39" s="113">
        <f t="shared" ref="AE39:AF39" si="67">SUM(AE33:AE38)</f>
        <v>0</v>
      </c>
      <c r="AF39" s="113">
        <f t="shared" si="67"/>
        <v>0</v>
      </c>
      <c r="AG39" s="264"/>
      <c r="AH39" s="264"/>
      <c r="AI39" s="264"/>
      <c r="AJ39" s="265">
        <f t="shared" ref="AJ39:AL39" si="68">SUM(AJ33:AJ38)</f>
        <v>0</v>
      </c>
      <c r="AK39" s="265">
        <f t="shared" si="68"/>
        <v>0</v>
      </c>
      <c r="AL39" s="265">
        <f t="shared" si="68"/>
        <v>0</v>
      </c>
      <c r="AM39" s="113">
        <f t="shared" ref="AM39:AN39" si="69">SUM(AM33:AM38)</f>
        <v>0</v>
      </c>
      <c r="AN39" s="113">
        <f t="shared" si="69"/>
        <v>0</v>
      </c>
      <c r="AO39" s="131"/>
      <c r="AP39" s="17"/>
      <c r="AQ39" s="113">
        <f t="shared" ref="AQ39:BB39" si="70">SUM(AQ33:AQ38)</f>
        <v>0</v>
      </c>
      <c r="AR39" s="113">
        <f t="shared" si="70"/>
        <v>0</v>
      </c>
      <c r="AS39" s="113">
        <f t="shared" si="70"/>
        <v>0</v>
      </c>
      <c r="AT39" s="113">
        <f t="shared" si="70"/>
        <v>0</v>
      </c>
      <c r="AU39" s="265">
        <f t="shared" si="70"/>
        <v>0</v>
      </c>
      <c r="AV39" s="265">
        <f t="shared" si="70"/>
        <v>0</v>
      </c>
      <c r="AW39" s="265">
        <f t="shared" si="70"/>
        <v>0</v>
      </c>
      <c r="AX39" s="265">
        <f t="shared" si="70"/>
        <v>0</v>
      </c>
      <c r="AY39" s="265">
        <f t="shared" si="70"/>
        <v>0</v>
      </c>
      <c r="AZ39" s="265">
        <f t="shared" si="70"/>
        <v>0</v>
      </c>
      <c r="BA39" s="265">
        <f t="shared" si="70"/>
        <v>0</v>
      </c>
      <c r="BB39" s="113">
        <f t="shared" si="70"/>
        <v>0</v>
      </c>
    </row>
    <row r="40" spans="1:54" s="24" customFormat="1" ht="13.8" customHeight="1">
      <c r="A40" s="114"/>
      <c r="B40" s="115"/>
      <c r="C40" s="314" t="s">
        <v>192</v>
      </c>
      <c r="D40" s="314"/>
      <c r="E40" s="315"/>
      <c r="F40" s="246"/>
      <c r="G40" s="246"/>
      <c r="H40" s="278" t="s">
        <v>184</v>
      </c>
      <c r="I40" s="266"/>
      <c r="J40" s="266"/>
      <c r="K40" s="266"/>
      <c r="L40" s="117">
        <f>SUM(L59,L79)</f>
        <v>0</v>
      </c>
      <c r="M40" s="117">
        <f>SUM(M59,M79)</f>
        <v>0</v>
      </c>
      <c r="N40" s="266"/>
      <c r="O40" s="266"/>
      <c r="P40" s="266"/>
      <c r="Q40" s="266"/>
      <c r="R40" s="117">
        <f t="shared" ref="R40:U40" si="71">SUM(R59,R79)</f>
        <v>0</v>
      </c>
      <c r="S40" s="117">
        <f t="shared" si="71"/>
        <v>0</v>
      </c>
      <c r="T40" s="117">
        <f t="shared" si="71"/>
        <v>0</v>
      </c>
      <c r="U40" s="117">
        <f t="shared" si="71"/>
        <v>0</v>
      </c>
      <c r="V40" s="266"/>
      <c r="W40" s="266"/>
      <c r="X40" s="266"/>
      <c r="Y40" s="117">
        <f>SUM(Y59,Y79)</f>
        <v>0</v>
      </c>
      <c r="Z40" s="266"/>
      <c r="AA40" s="266"/>
      <c r="AB40" s="117">
        <f t="shared" ref="AB40:AF40" si="72">SUM(AB59,AB79)</f>
        <v>0</v>
      </c>
      <c r="AC40" s="267">
        <f t="shared" si="72"/>
        <v>0</v>
      </c>
      <c r="AD40" s="267">
        <f t="shared" si="72"/>
        <v>0</v>
      </c>
      <c r="AE40" s="117">
        <f t="shared" si="72"/>
        <v>0</v>
      </c>
      <c r="AF40" s="117">
        <f t="shared" si="72"/>
        <v>0</v>
      </c>
      <c r="AG40" s="266"/>
      <c r="AH40" s="266"/>
      <c r="AI40" s="266"/>
      <c r="AJ40" s="267">
        <f t="shared" ref="AJ40:AL40" si="73">SUM(AJ59,AJ79)</f>
        <v>0</v>
      </c>
      <c r="AK40" s="267">
        <f t="shared" si="73"/>
        <v>0</v>
      </c>
      <c r="AL40" s="267">
        <f t="shared" si="73"/>
        <v>0</v>
      </c>
      <c r="AM40" s="117">
        <f t="shared" ref="AM40:AN40" si="74">SUM(AM59,AM79)</f>
        <v>0</v>
      </c>
      <c r="AN40" s="117">
        <f t="shared" si="74"/>
        <v>0</v>
      </c>
      <c r="AO40" s="132"/>
      <c r="AP40" s="25"/>
      <c r="AQ40" s="117">
        <f t="shared" ref="AQ40:BB40" si="75">SUM(AQ59,AQ79)</f>
        <v>0</v>
      </c>
      <c r="AR40" s="117">
        <f t="shared" si="75"/>
        <v>0</v>
      </c>
      <c r="AS40" s="117">
        <f t="shared" si="75"/>
        <v>0</v>
      </c>
      <c r="AT40" s="117">
        <f t="shared" si="75"/>
        <v>0</v>
      </c>
      <c r="AU40" s="267">
        <f t="shared" si="75"/>
        <v>0</v>
      </c>
      <c r="AV40" s="267">
        <f t="shared" si="75"/>
        <v>0</v>
      </c>
      <c r="AW40" s="267">
        <f t="shared" si="75"/>
        <v>0</v>
      </c>
      <c r="AX40" s="267">
        <f t="shared" si="75"/>
        <v>0</v>
      </c>
      <c r="AY40" s="267">
        <f t="shared" si="75"/>
        <v>0</v>
      </c>
      <c r="AZ40" s="267">
        <f t="shared" si="75"/>
        <v>0</v>
      </c>
      <c r="BA40" s="267">
        <f t="shared" si="75"/>
        <v>0</v>
      </c>
      <c r="BB40" s="117">
        <f t="shared" si="75"/>
        <v>0</v>
      </c>
    </row>
    <row r="41" spans="1:54" ht="27.6" outlineLevel="2">
      <c r="A41" s="98"/>
      <c r="B41" s="102"/>
      <c r="C41" s="23"/>
      <c r="D41" s="257"/>
      <c r="E41" s="257"/>
      <c r="F41" s="251"/>
      <c r="G41" s="250"/>
      <c r="H41" s="272"/>
      <c r="I41" s="258"/>
      <c r="J41" s="259"/>
      <c r="K41" s="259"/>
      <c r="L41" s="106" t="str">
        <f>IF(I41&lt;&gt;0,((VLOOKUP(I41,'1. Standard_Cost'!$B$4:$D$11,2)+VLOOKUP(I41,'1. Standard_Cost'!$B$4:$D$11,3))*J41*K41),"0")</f>
        <v>0</v>
      </c>
      <c r="M41" s="106">
        <f>L41*'1. Standard_Cost'!$F$4</f>
        <v>0</v>
      </c>
      <c r="N41" s="260"/>
      <c r="O41" s="260"/>
      <c r="P41" s="260"/>
      <c r="Q41" s="260"/>
      <c r="R41" s="108">
        <f>'1. Standard_Cost'!$B$15*N41*P41</f>
        <v>0</v>
      </c>
      <c r="S41" s="108">
        <f>N41*O41*P41*'1. Standard_Cost'!$C$15</f>
        <v>0</v>
      </c>
      <c r="T41" s="108">
        <f>N41*P41*Q41*'1. Standard_Cost'!$D$15</f>
        <v>0</v>
      </c>
      <c r="U41" s="108">
        <f>N41*O41*'1. Standard_Cost'!$E$15</f>
        <v>0</v>
      </c>
      <c r="V41" s="260"/>
      <c r="W41" s="260"/>
      <c r="X41" s="260"/>
      <c r="Y41" s="108">
        <f>+V41*((X41*'1. Standard_Cost'!$B$19)+(W41*X41*'1. Standard_Cost'!$C$19))</f>
        <v>0</v>
      </c>
      <c r="Z41" s="260"/>
      <c r="AA41" s="260"/>
      <c r="AB41" s="108">
        <f>+Z41*'1. Standard_Cost'!$B$23+AA41*'1. Standard_Cost'!$C$23</f>
        <v>0</v>
      </c>
      <c r="AC41" s="261"/>
      <c r="AD41" s="262"/>
      <c r="AE41" s="108">
        <f>SUM(AD41,AC41,AB41,Y41,U41,T41,S41,R41)*'1. Standard_Cost'!$B$31</f>
        <v>0</v>
      </c>
      <c r="AF41" s="108">
        <f t="shared" ref="AF41:AF58" si="76">SUM(AE41,AD41,AC41,AB41,Y41,U41,T41,S41,R41)</f>
        <v>0</v>
      </c>
      <c r="AG41" s="260"/>
      <c r="AH41" s="260"/>
      <c r="AI41" s="260"/>
      <c r="AJ41" s="263"/>
      <c r="AK41" s="263"/>
      <c r="AL41" s="263"/>
      <c r="AM41" s="108">
        <f>AG41*'1. Standard_Cost'!$B$27+'Incremental_Cost Year 9'!AH41*'1. Standard_Cost'!$C$27+'Incremental_Cost Year 9'!AI41*'1. Standard_Cost'!$D$27+'Incremental_Cost Year 9'!AJ41+'Incremental_Cost Year 9'!AL41+AK41</f>
        <v>0</v>
      </c>
      <c r="AN41" s="108">
        <f>AM41*'1. Standard_Cost'!$C$31</f>
        <v>0</v>
      </c>
      <c r="AO41" s="125" t="s">
        <v>293</v>
      </c>
      <c r="AQ41" s="14">
        <f t="shared" ref="AQ41:AQ58" si="77">L41+M41</f>
        <v>0</v>
      </c>
      <c r="AR41" s="14">
        <f t="shared" ref="AR41:AR58" si="78">AF41</f>
        <v>0</v>
      </c>
      <c r="AS41" s="14">
        <f t="shared" ref="AS41:AS58" si="79">AM41+AN41</f>
        <v>0</v>
      </c>
      <c r="AT41" s="14">
        <f>SUM(AQ41,AR41,AS41)</f>
        <v>0</v>
      </c>
      <c r="AU41" s="234"/>
      <c r="AV41" s="234"/>
      <c r="AW41" s="234"/>
      <c r="AX41" s="234"/>
      <c r="AY41" s="234"/>
      <c r="AZ41" s="234"/>
      <c r="BA41" s="234"/>
      <c r="BB41" s="16">
        <f t="shared" ref="BB41:BB58" si="80">SUM(AU41:BA41)-AT41</f>
        <v>0</v>
      </c>
    </row>
    <row r="42" spans="1:54" ht="27.6" outlineLevel="2">
      <c r="A42" s="98"/>
      <c r="B42" s="102"/>
      <c r="C42" s="23"/>
      <c r="D42" s="251"/>
      <c r="E42" s="251"/>
      <c r="F42" s="251"/>
      <c r="G42" s="250"/>
      <c r="H42" s="272"/>
      <c r="I42" s="258"/>
      <c r="J42" s="259"/>
      <c r="K42" s="259"/>
      <c r="L42" s="106" t="str">
        <f>IF(I42&lt;&gt;0,((VLOOKUP(I42,'1. Standard_Cost'!$B$4:$D$11,2)+VLOOKUP(I42,'1. Standard_Cost'!$B$4:$D$11,3))*J42*K42),"0")</f>
        <v>0</v>
      </c>
      <c r="M42" s="106">
        <f>L42*'1. Standard_Cost'!$F$4</f>
        <v>0</v>
      </c>
      <c r="N42" s="260"/>
      <c r="O42" s="260"/>
      <c r="P42" s="260"/>
      <c r="Q42" s="260"/>
      <c r="R42" s="108">
        <f>'1. Standard_Cost'!$B$15*N42*P42</f>
        <v>0</v>
      </c>
      <c r="S42" s="108">
        <f>N42*O42*P42*'1. Standard_Cost'!$C$15</f>
        <v>0</v>
      </c>
      <c r="T42" s="108">
        <f>N42*P42*Q42*'1. Standard_Cost'!$D$15</f>
        <v>0</v>
      </c>
      <c r="U42" s="108">
        <f>N42*O42*'1. Standard_Cost'!$E$15</f>
        <v>0</v>
      </c>
      <c r="V42" s="260"/>
      <c r="W42" s="260"/>
      <c r="X42" s="260"/>
      <c r="Y42" s="108">
        <f>+V42*((X42*'1. Standard_Cost'!$B$19)+(W42*X42*'1. Standard_Cost'!$C$19))</f>
        <v>0</v>
      </c>
      <c r="Z42" s="260"/>
      <c r="AA42" s="260"/>
      <c r="AB42" s="108">
        <f>+Z42*'1. Standard_Cost'!$B$23+AA42*'1. Standard_Cost'!$C$23</f>
        <v>0</v>
      </c>
      <c r="AC42" s="261"/>
      <c r="AD42" s="262"/>
      <c r="AE42" s="108">
        <f>SUM(AD42,AC42,AB42,Y42,U42,T42,S42,R42)*'1. Standard_Cost'!$B$31</f>
        <v>0</v>
      </c>
      <c r="AF42" s="108">
        <f t="shared" si="76"/>
        <v>0</v>
      </c>
      <c r="AG42" s="260"/>
      <c r="AH42" s="260"/>
      <c r="AI42" s="260"/>
      <c r="AJ42" s="263"/>
      <c r="AK42" s="263"/>
      <c r="AL42" s="263"/>
      <c r="AM42" s="108">
        <f>AG42*'1. Standard_Cost'!$B$27+'Incremental_Cost Year 9'!AH42*'1. Standard_Cost'!$C$27+'Incremental_Cost Year 9'!AI42*'1. Standard_Cost'!$D$27+'Incremental_Cost Year 9'!AJ42+'Incremental_Cost Year 9'!AL42+AK42</f>
        <v>0</v>
      </c>
      <c r="AN42" s="108">
        <f>AM42*'1. Standard_Cost'!$C$31</f>
        <v>0</v>
      </c>
      <c r="AO42" s="125" t="s">
        <v>294</v>
      </c>
      <c r="AQ42" s="14">
        <f t="shared" si="77"/>
        <v>0</v>
      </c>
      <c r="AR42" s="14">
        <f t="shared" si="78"/>
        <v>0</v>
      </c>
      <c r="AS42" s="14">
        <f t="shared" si="79"/>
        <v>0</v>
      </c>
      <c r="AT42" s="14">
        <f t="shared" ref="AT42:AT57" si="81">SUM(AQ42,AR42,AS42)</f>
        <v>0</v>
      </c>
      <c r="AU42" s="234"/>
      <c r="AV42" s="234">
        <v>0</v>
      </c>
      <c r="AW42" s="234"/>
      <c r="AX42" s="234"/>
      <c r="AY42" s="234"/>
      <c r="AZ42" s="234"/>
      <c r="BA42" s="234"/>
      <c r="BB42" s="16">
        <f t="shared" si="80"/>
        <v>0</v>
      </c>
    </row>
    <row r="43" spans="1:54" ht="15.6" outlineLevel="2">
      <c r="A43" s="98"/>
      <c r="B43" s="102"/>
      <c r="C43" s="23"/>
      <c r="D43" s="251"/>
      <c r="E43" s="251"/>
      <c r="F43" s="251"/>
      <c r="G43" s="250"/>
      <c r="H43" s="272"/>
      <c r="I43" s="258"/>
      <c r="J43" s="259"/>
      <c r="K43" s="259"/>
      <c r="L43" s="106" t="str">
        <f>IF(I43&lt;&gt;0,((VLOOKUP(I43,'1. Standard_Cost'!$B$4:$D$11,2)+VLOOKUP(I43,'1. Standard_Cost'!$B$4:$D$11,3))*J43*K43),"0")</f>
        <v>0</v>
      </c>
      <c r="M43" s="106">
        <f>L43*'1. Standard_Cost'!$F$4</f>
        <v>0</v>
      </c>
      <c r="N43" s="260"/>
      <c r="O43" s="260"/>
      <c r="P43" s="260"/>
      <c r="Q43" s="260"/>
      <c r="R43" s="108">
        <f>'1. Standard_Cost'!$B$15*N43*P43</f>
        <v>0</v>
      </c>
      <c r="S43" s="108">
        <f>N43*O43*P43*'1. Standard_Cost'!$C$15</f>
        <v>0</v>
      </c>
      <c r="T43" s="108">
        <f>N43*P43*Q43*'1. Standard_Cost'!$D$15</f>
        <v>0</v>
      </c>
      <c r="U43" s="108">
        <f>N43*O43*'1. Standard_Cost'!$E$15</f>
        <v>0</v>
      </c>
      <c r="V43" s="260"/>
      <c r="W43" s="260"/>
      <c r="X43" s="260"/>
      <c r="Y43" s="108">
        <f>+V43*((X43*'1. Standard_Cost'!$B$19)+(W43*X43*'1. Standard_Cost'!$C$19))</f>
        <v>0</v>
      </c>
      <c r="Z43" s="260"/>
      <c r="AA43" s="260"/>
      <c r="AB43" s="108">
        <f>+Z43*'1. Standard_Cost'!$B$23+AA43*'1. Standard_Cost'!$C$23</f>
        <v>0</v>
      </c>
      <c r="AC43" s="261"/>
      <c r="AD43" s="262"/>
      <c r="AE43" s="108">
        <f>SUM(AD43,AC43,AB43,Y43,U43,T43,S43,R43)*'1. Standard_Cost'!$B$31</f>
        <v>0</v>
      </c>
      <c r="AF43" s="108">
        <f t="shared" si="76"/>
        <v>0</v>
      </c>
      <c r="AG43" s="260"/>
      <c r="AH43" s="260"/>
      <c r="AI43" s="260"/>
      <c r="AJ43" s="263"/>
      <c r="AK43" s="263"/>
      <c r="AL43" s="263"/>
      <c r="AM43" s="108">
        <f>AG43*'1. Standard_Cost'!$B$27+'Incremental_Cost Year 9'!AH43*'1. Standard_Cost'!$C$27+'Incremental_Cost Year 9'!AI43*'1. Standard_Cost'!$D$27+'Incremental_Cost Year 9'!AJ43+'Incremental_Cost Year 9'!AL43+AK43</f>
        <v>0</v>
      </c>
      <c r="AN43" s="108">
        <f>AM43*'1. Standard_Cost'!$C$31</f>
        <v>0</v>
      </c>
      <c r="AO43" s="125" t="s">
        <v>295</v>
      </c>
      <c r="AQ43" s="14">
        <f t="shared" si="77"/>
        <v>0</v>
      </c>
      <c r="AR43" s="14">
        <f t="shared" si="78"/>
        <v>0</v>
      </c>
      <c r="AS43" s="14">
        <f t="shared" si="79"/>
        <v>0</v>
      </c>
      <c r="AT43" s="14">
        <f t="shared" si="81"/>
        <v>0</v>
      </c>
      <c r="AU43" s="234"/>
      <c r="AV43" s="234">
        <v>0</v>
      </c>
      <c r="AW43" s="234"/>
      <c r="AX43" s="234"/>
      <c r="AY43" s="234"/>
      <c r="AZ43" s="234"/>
      <c r="BA43" s="234"/>
      <c r="BB43" s="16">
        <f t="shared" si="80"/>
        <v>0</v>
      </c>
    </row>
    <row r="44" spans="1:54" ht="82.8" outlineLevel="2">
      <c r="A44" s="98"/>
      <c r="B44" s="102"/>
      <c r="C44" s="23"/>
      <c r="D44" s="251"/>
      <c r="E44" s="251"/>
      <c r="F44" s="172"/>
      <c r="G44" s="173"/>
      <c r="H44" s="272"/>
      <c r="I44" s="258"/>
      <c r="J44" s="259"/>
      <c r="K44" s="259"/>
      <c r="L44" s="106" t="str">
        <f>IF(I44&lt;&gt;0,((VLOOKUP(I44,'1. Standard_Cost'!$B$4:$D$11,2)+VLOOKUP(I44,'1. Standard_Cost'!$B$4:$D$11,3))*J44*K44),"0")</f>
        <v>0</v>
      </c>
      <c r="M44" s="106">
        <f>L44*'1. Standard_Cost'!$F$4</f>
        <v>0</v>
      </c>
      <c r="N44" s="260"/>
      <c r="O44" s="260"/>
      <c r="P44" s="260"/>
      <c r="Q44" s="260"/>
      <c r="R44" s="108">
        <f>'1. Standard_Cost'!$B$15*N44*P44</f>
        <v>0</v>
      </c>
      <c r="S44" s="108">
        <f>N44*O44*P44*'1. Standard_Cost'!$C$15</f>
        <v>0</v>
      </c>
      <c r="T44" s="108">
        <f>N44*P44*Q44*'1. Standard_Cost'!$D$15</f>
        <v>0</v>
      </c>
      <c r="U44" s="108">
        <f>N44*O44*'1. Standard_Cost'!$E$15</f>
        <v>0</v>
      </c>
      <c r="V44" s="260"/>
      <c r="W44" s="260"/>
      <c r="X44" s="260"/>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76"/>
        <v>0</v>
      </c>
      <c r="AG44" s="260"/>
      <c r="AH44" s="260"/>
      <c r="AI44" s="260"/>
      <c r="AJ44" s="263"/>
      <c r="AK44" s="263"/>
      <c r="AL44" s="263"/>
      <c r="AM44" s="108">
        <f>AG44*'1. Standard_Cost'!$B$27+'Incremental_Cost Year 9'!AH44*'1. Standard_Cost'!$C$27+'Incremental_Cost Year 9'!AI44*'1. Standard_Cost'!$D$27+'Incremental_Cost Year 9'!AJ44+'Incremental_Cost Year 9'!AL44+AK44</f>
        <v>0</v>
      </c>
      <c r="AN44" s="108">
        <f>AM44*'1. Standard_Cost'!$C$31</f>
        <v>0</v>
      </c>
      <c r="AO44" s="125" t="s">
        <v>296</v>
      </c>
      <c r="AQ44" s="14">
        <f t="shared" si="77"/>
        <v>0</v>
      </c>
      <c r="AR44" s="14">
        <f t="shared" si="78"/>
        <v>0</v>
      </c>
      <c r="AS44" s="14">
        <f t="shared" si="79"/>
        <v>0</v>
      </c>
      <c r="AT44" s="14">
        <f t="shared" si="81"/>
        <v>0</v>
      </c>
      <c r="AU44" s="234"/>
      <c r="AV44" s="234"/>
      <c r="AW44" s="234"/>
      <c r="AX44" s="234"/>
      <c r="AY44" s="234"/>
      <c r="AZ44" s="234"/>
      <c r="BA44" s="234"/>
      <c r="BB44" s="16">
        <f t="shared" si="80"/>
        <v>0</v>
      </c>
    </row>
    <row r="45" spans="1:54" ht="15.6" outlineLevel="2">
      <c r="A45" s="98"/>
      <c r="B45" s="102"/>
      <c r="C45" s="23"/>
      <c r="D45" s="251"/>
      <c r="E45" s="251"/>
      <c r="F45" s="251"/>
      <c r="G45" s="250"/>
      <c r="H45" s="272"/>
      <c r="I45" s="258"/>
      <c r="J45" s="259"/>
      <c r="K45" s="259"/>
      <c r="L45" s="106" t="str">
        <f>IF(I45&lt;&gt;0,((VLOOKUP(I45,'1. Standard_Cost'!$B$4:$D$11,2)+VLOOKUP(I45,'1. Standard_Cost'!$B$4:$D$11,3))*J45*K45),"0")</f>
        <v>0</v>
      </c>
      <c r="M45" s="106">
        <f>L45*'1. Standard_Cost'!$F$4</f>
        <v>0</v>
      </c>
      <c r="N45" s="260"/>
      <c r="O45" s="260"/>
      <c r="P45" s="260"/>
      <c r="Q45" s="260"/>
      <c r="R45" s="108">
        <f>'1. Standard_Cost'!$B$15*N45*P45</f>
        <v>0</v>
      </c>
      <c r="S45" s="108">
        <f>N45*O45*P45*'1. Standard_Cost'!$C$15</f>
        <v>0</v>
      </c>
      <c r="T45" s="108">
        <f>N45*P45*Q45*'1. Standard_Cost'!$D$15</f>
        <v>0</v>
      </c>
      <c r="U45" s="108">
        <f>N45*O45*'1. Standard_Cost'!$E$15</f>
        <v>0</v>
      </c>
      <c r="V45" s="260"/>
      <c r="W45" s="260"/>
      <c r="X45" s="260"/>
      <c r="Y45" s="108">
        <f>+V45*((X45*'1. Standard_Cost'!$B$19)+(W45*X45*'1. Standard_Cost'!$C$19))</f>
        <v>0</v>
      </c>
      <c r="Z45" s="260"/>
      <c r="AA45" s="260"/>
      <c r="AB45" s="108">
        <f>+Z45*'1. Standard_Cost'!$B$23+AA45*'1. Standard_Cost'!$C$23</f>
        <v>0</v>
      </c>
      <c r="AC45" s="261"/>
      <c r="AD45" s="262"/>
      <c r="AE45" s="108">
        <f>SUM(AD45,AC45,AB45,Y45,U45,T45,S45,R45)*'1. Standard_Cost'!$B$31</f>
        <v>0</v>
      </c>
      <c r="AF45" s="108">
        <f t="shared" si="76"/>
        <v>0</v>
      </c>
      <c r="AG45" s="260"/>
      <c r="AH45" s="260"/>
      <c r="AI45" s="260"/>
      <c r="AJ45" s="263"/>
      <c r="AK45" s="263"/>
      <c r="AL45" s="263"/>
      <c r="AM45" s="108">
        <f>AG45*'1. Standard_Cost'!$B$27+'Incremental_Cost Year 9'!AH45*'1. Standard_Cost'!$C$27+'Incremental_Cost Year 9'!AI45*'1. Standard_Cost'!$D$27+'Incremental_Cost Year 9'!AJ45+'Incremental_Cost Year 9'!AL45+AK45</f>
        <v>0</v>
      </c>
      <c r="AN45" s="108">
        <f>AM45*'1. Standard_Cost'!$C$31</f>
        <v>0</v>
      </c>
      <c r="AO45" s="125" t="s">
        <v>297</v>
      </c>
      <c r="AQ45" s="14">
        <f t="shared" si="77"/>
        <v>0</v>
      </c>
      <c r="AR45" s="14">
        <f t="shared" si="78"/>
        <v>0</v>
      </c>
      <c r="AS45" s="14">
        <f t="shared" si="79"/>
        <v>0</v>
      </c>
      <c r="AT45" s="14">
        <f t="shared" si="81"/>
        <v>0</v>
      </c>
      <c r="AU45" s="234"/>
      <c r="AV45" s="234">
        <v>0</v>
      </c>
      <c r="AW45" s="234"/>
      <c r="AX45" s="234"/>
      <c r="AY45" s="234"/>
      <c r="AZ45" s="234"/>
      <c r="BA45" s="234"/>
      <c r="BB45" s="16">
        <f t="shared" si="80"/>
        <v>0</v>
      </c>
    </row>
    <row r="46" spans="1:54" ht="15.6" outlineLevel="2">
      <c r="A46" s="98"/>
      <c r="B46" s="102"/>
      <c r="C46" s="23"/>
      <c r="D46" s="251"/>
      <c r="E46" s="251"/>
      <c r="F46" s="251"/>
      <c r="G46" s="250"/>
      <c r="H46" s="272"/>
      <c r="I46" s="258"/>
      <c r="J46" s="259"/>
      <c r="K46" s="259"/>
      <c r="L46" s="106" t="str">
        <f>IF(I46&lt;&gt;0,((VLOOKUP(I46,'1. Standard_Cost'!$B$4:$D$11,2)+VLOOKUP(I46,'1. Standard_Cost'!$B$4:$D$11,3))*J46*K46),"0")</f>
        <v>0</v>
      </c>
      <c r="M46" s="106">
        <f>L46*'1. Standard_Cost'!$F$4</f>
        <v>0</v>
      </c>
      <c r="N46" s="260"/>
      <c r="O46" s="260"/>
      <c r="P46" s="260"/>
      <c r="Q46" s="260"/>
      <c r="R46" s="108">
        <f>'1. Standard_Cost'!$B$15*N46*P46</f>
        <v>0</v>
      </c>
      <c r="S46" s="108">
        <f>N46*O46*P46*'1. Standard_Cost'!$C$15</f>
        <v>0</v>
      </c>
      <c r="T46" s="108">
        <f>N46*P46*Q46*'1. Standard_Cost'!$D$15</f>
        <v>0</v>
      </c>
      <c r="U46" s="108">
        <f>N46*O46*'1. Standard_Cost'!$E$15</f>
        <v>0</v>
      </c>
      <c r="V46" s="260"/>
      <c r="W46" s="260"/>
      <c r="X46" s="260"/>
      <c r="Y46" s="108">
        <f>+V46*((X46*'1. Standard_Cost'!$B$19)+(W46*X46*'1. Standard_Cost'!$C$19))</f>
        <v>0</v>
      </c>
      <c r="Z46" s="260"/>
      <c r="AA46" s="260"/>
      <c r="AB46" s="108">
        <f>+Z46*'1. Standard_Cost'!$B$23+AA46*'1. Standard_Cost'!$C$23</f>
        <v>0</v>
      </c>
      <c r="AC46" s="261"/>
      <c r="AD46" s="262"/>
      <c r="AE46" s="108">
        <f>SUM(AD46,AC46,AB46,Y46,U46,T46,S46,R46)*'1. Standard_Cost'!$B$31</f>
        <v>0</v>
      </c>
      <c r="AF46" s="108">
        <f t="shared" si="76"/>
        <v>0</v>
      </c>
      <c r="AG46" s="260"/>
      <c r="AH46" s="260"/>
      <c r="AI46" s="260"/>
      <c r="AJ46" s="263"/>
      <c r="AK46" s="263"/>
      <c r="AL46" s="263"/>
      <c r="AM46" s="108">
        <f>AG46*'1. Standard_Cost'!$B$27+'Incremental_Cost Year 9'!AH46*'1. Standard_Cost'!$C$27+'Incremental_Cost Year 9'!AI46*'1. Standard_Cost'!$D$27+'Incremental_Cost Year 9'!AJ46+'Incremental_Cost Year 9'!AL46+AK46</f>
        <v>0</v>
      </c>
      <c r="AN46" s="108">
        <f>AM46*'1. Standard_Cost'!$C$31</f>
        <v>0</v>
      </c>
      <c r="AO46" s="125" t="s">
        <v>298</v>
      </c>
      <c r="AQ46" s="14">
        <f t="shared" si="77"/>
        <v>0</v>
      </c>
      <c r="AR46" s="14">
        <f t="shared" si="78"/>
        <v>0</v>
      </c>
      <c r="AS46" s="14">
        <f t="shared" si="79"/>
        <v>0</v>
      </c>
      <c r="AT46" s="14">
        <f t="shared" si="81"/>
        <v>0</v>
      </c>
      <c r="AU46" s="234"/>
      <c r="AV46" s="234"/>
      <c r="AW46" s="234"/>
      <c r="AX46" s="234"/>
      <c r="AY46" s="234"/>
      <c r="AZ46" s="234"/>
      <c r="BA46" s="234"/>
      <c r="BB46" s="16">
        <f t="shared" si="80"/>
        <v>0</v>
      </c>
    </row>
    <row r="47" spans="1:54" ht="15.6" outlineLevel="2">
      <c r="A47" s="98"/>
      <c r="B47" s="102"/>
      <c r="C47" s="23"/>
      <c r="D47" s="251"/>
      <c r="E47" s="251"/>
      <c r="F47" s="172"/>
      <c r="G47" s="173"/>
      <c r="H47" s="272"/>
      <c r="I47" s="258"/>
      <c r="J47" s="259"/>
      <c r="K47" s="259"/>
      <c r="L47" s="106" t="str">
        <f>IF(I47&lt;&gt;0,((VLOOKUP(I47,'1. Standard_Cost'!$B$4:$D$11,2)+VLOOKUP(I47,'1. Standard_Cost'!$B$4:$D$11,3))*J47*K47),"0")</f>
        <v>0</v>
      </c>
      <c r="M47" s="106">
        <f>L47*'1. Standard_Cost'!$F$4</f>
        <v>0</v>
      </c>
      <c r="N47" s="260"/>
      <c r="O47" s="260"/>
      <c r="P47" s="260"/>
      <c r="Q47" s="260"/>
      <c r="R47" s="108">
        <f>'1. Standard_Cost'!$B$15*N47*P47</f>
        <v>0</v>
      </c>
      <c r="S47" s="108">
        <f>N47*O47*P47*'1. Standard_Cost'!$C$15</f>
        <v>0</v>
      </c>
      <c r="T47" s="108">
        <f>N47*P47*Q47*'1. Standard_Cost'!$D$15</f>
        <v>0</v>
      </c>
      <c r="U47" s="108">
        <f>N47*O47*'1. Standard_Cost'!$E$15</f>
        <v>0</v>
      </c>
      <c r="V47" s="260"/>
      <c r="W47" s="260"/>
      <c r="X47" s="260"/>
      <c r="Y47" s="108">
        <f>+V47*((X47*'1. Standard_Cost'!$B$19)+(W47*X47*'1. Standard_Cost'!$C$19))</f>
        <v>0</v>
      </c>
      <c r="Z47" s="260"/>
      <c r="AA47" s="260"/>
      <c r="AB47" s="108">
        <f>+Z47*'1. Standard_Cost'!$B$23+AA47*'1. Standard_Cost'!$C$23</f>
        <v>0</v>
      </c>
      <c r="AC47" s="261"/>
      <c r="AD47" s="262"/>
      <c r="AE47" s="108">
        <f>SUM(AD47,AC47,AB47,Y47,U47,T47,S47,R47)*'1. Standard_Cost'!$B$31</f>
        <v>0</v>
      </c>
      <c r="AF47" s="108">
        <f t="shared" si="76"/>
        <v>0</v>
      </c>
      <c r="AG47" s="260"/>
      <c r="AH47" s="260"/>
      <c r="AI47" s="260"/>
      <c r="AJ47" s="263"/>
      <c r="AK47" s="263"/>
      <c r="AL47" s="263"/>
      <c r="AM47" s="108">
        <f>AG47*'1. Standard_Cost'!$B$27+'Incremental_Cost Year 9'!AH47*'1. Standard_Cost'!$C$27+'Incremental_Cost Year 9'!AI47*'1. Standard_Cost'!$D$27+'Incremental_Cost Year 9'!AJ47+'Incremental_Cost Year 9'!AL47+AK47</f>
        <v>0</v>
      </c>
      <c r="AN47" s="108">
        <f>AM47*'1. Standard_Cost'!$C$31</f>
        <v>0</v>
      </c>
      <c r="AO47" s="125" t="s">
        <v>298</v>
      </c>
      <c r="AQ47" s="14">
        <f t="shared" si="77"/>
        <v>0</v>
      </c>
      <c r="AR47" s="14">
        <f t="shared" si="78"/>
        <v>0</v>
      </c>
      <c r="AS47" s="14">
        <f t="shared" si="79"/>
        <v>0</v>
      </c>
      <c r="AT47" s="14">
        <f t="shared" si="81"/>
        <v>0</v>
      </c>
      <c r="AU47" s="234"/>
      <c r="AV47" s="234">
        <v>0</v>
      </c>
      <c r="AW47" s="234"/>
      <c r="AX47" s="234"/>
      <c r="AY47" s="234"/>
      <c r="AZ47" s="234"/>
      <c r="BA47" s="234"/>
      <c r="BB47" s="16">
        <f t="shared" si="80"/>
        <v>0</v>
      </c>
    </row>
    <row r="48" spans="1:54" ht="15.6" outlineLevel="2">
      <c r="A48" s="98"/>
      <c r="B48" s="102"/>
      <c r="C48" s="23"/>
      <c r="D48" s="251"/>
      <c r="E48" s="251"/>
      <c r="F48" s="172"/>
      <c r="G48" s="173"/>
      <c r="H48" s="272"/>
      <c r="I48" s="258"/>
      <c r="J48" s="259"/>
      <c r="K48" s="259"/>
      <c r="L48" s="106" t="str">
        <f>IF(I48&lt;&gt;0,((VLOOKUP(I48,'1. Standard_Cost'!$B$4:$D$11,2)+VLOOKUP(I48,'1. Standard_Cost'!$B$4:$D$11,3))*J48*K48),"0")</f>
        <v>0</v>
      </c>
      <c r="M48" s="106">
        <f>L48*'1. Standard_Cost'!$F$4</f>
        <v>0</v>
      </c>
      <c r="N48" s="260"/>
      <c r="O48" s="260"/>
      <c r="P48" s="260"/>
      <c r="Q48" s="260"/>
      <c r="R48" s="108">
        <f>'1. Standard_Cost'!$B$15*N48*P48</f>
        <v>0</v>
      </c>
      <c r="S48" s="108">
        <f>N48*O48*P48*'1. Standard_Cost'!$C$15</f>
        <v>0</v>
      </c>
      <c r="T48" s="108">
        <f>N48*P48*Q48*'1. Standard_Cost'!$D$15</f>
        <v>0</v>
      </c>
      <c r="U48" s="108">
        <f>N48*O48*'1. Standard_Cost'!$E$15</f>
        <v>0</v>
      </c>
      <c r="V48" s="260"/>
      <c r="W48" s="260"/>
      <c r="X48" s="260"/>
      <c r="Y48" s="108">
        <f>+V48*((X48*'1. Standard_Cost'!$B$19)+(W48*X48*'1. Standard_Cost'!$C$19))</f>
        <v>0</v>
      </c>
      <c r="Z48" s="260"/>
      <c r="AA48" s="260"/>
      <c r="AB48" s="108">
        <f>+Z48*'1. Standard_Cost'!$B$23+AA48*'1. Standard_Cost'!$C$23</f>
        <v>0</v>
      </c>
      <c r="AC48" s="261"/>
      <c r="AD48" s="262"/>
      <c r="AE48" s="108">
        <f>SUM(AD48,AC48,AB48,Y48,U48,T48,S48,R48)*'1. Standard_Cost'!$B$31</f>
        <v>0</v>
      </c>
      <c r="AF48" s="108">
        <f t="shared" si="76"/>
        <v>0</v>
      </c>
      <c r="AG48" s="260"/>
      <c r="AH48" s="260"/>
      <c r="AI48" s="260"/>
      <c r="AJ48" s="263"/>
      <c r="AK48" s="263"/>
      <c r="AL48" s="263"/>
      <c r="AM48" s="108">
        <f>AG48*'1. Standard_Cost'!$B$27+'Incremental_Cost Year 9'!AH48*'1. Standard_Cost'!$C$27+'Incremental_Cost Year 9'!AI48*'1. Standard_Cost'!$D$27+'Incremental_Cost Year 9'!AJ48+'Incremental_Cost Year 9'!AL48+AK48</f>
        <v>0</v>
      </c>
      <c r="AN48" s="108">
        <f>AM48*'1. Standard_Cost'!$C$31</f>
        <v>0</v>
      </c>
      <c r="AO48" s="125" t="s">
        <v>298</v>
      </c>
      <c r="AQ48" s="14">
        <f t="shared" si="77"/>
        <v>0</v>
      </c>
      <c r="AR48" s="14">
        <f t="shared" si="78"/>
        <v>0</v>
      </c>
      <c r="AS48" s="14">
        <f t="shared" si="79"/>
        <v>0</v>
      </c>
      <c r="AT48" s="14">
        <f t="shared" si="81"/>
        <v>0</v>
      </c>
      <c r="AU48" s="234"/>
      <c r="AV48" s="234"/>
      <c r="AW48" s="234"/>
      <c r="AX48" s="234"/>
      <c r="AY48" s="234"/>
      <c r="AZ48" s="234"/>
      <c r="BA48" s="234"/>
      <c r="BB48" s="16">
        <f t="shared" si="80"/>
        <v>0</v>
      </c>
    </row>
    <row r="49" spans="1:54" ht="15.6" outlineLevel="2">
      <c r="A49" s="98"/>
      <c r="B49" s="102"/>
      <c r="C49" s="23"/>
      <c r="D49" s="251"/>
      <c r="E49" s="251"/>
      <c r="F49" s="251"/>
      <c r="G49" s="250"/>
      <c r="H49" s="272"/>
      <c r="I49" s="258"/>
      <c r="J49" s="259"/>
      <c r="K49" s="259"/>
      <c r="L49" s="106" t="str">
        <f>IF(I49&lt;&gt;0,((VLOOKUP(I49,'1. Standard_Cost'!$B$4:$D$11,2)+VLOOKUP(I49,'1. Standard_Cost'!$B$4:$D$11,3))*J49*K49),"0")</f>
        <v>0</v>
      </c>
      <c r="M49" s="106">
        <f>L49*'1. Standard_Cost'!$F$4</f>
        <v>0</v>
      </c>
      <c r="N49" s="260"/>
      <c r="O49" s="260"/>
      <c r="P49" s="260"/>
      <c r="Q49" s="260"/>
      <c r="R49" s="108">
        <f>'1. Standard_Cost'!$B$15*N49*P49</f>
        <v>0</v>
      </c>
      <c r="S49" s="108">
        <f>N49*O49*P49*'1. Standard_Cost'!$C$15</f>
        <v>0</v>
      </c>
      <c r="T49" s="108">
        <f>N49*P49*Q49*'1. Standard_Cost'!$D$15</f>
        <v>0</v>
      </c>
      <c r="U49" s="108">
        <f>N49*O49*'1. Standard_Cost'!$E$15</f>
        <v>0</v>
      </c>
      <c r="V49" s="260"/>
      <c r="W49" s="260"/>
      <c r="X49" s="260"/>
      <c r="Y49" s="108">
        <f>+V49*((X49*'1. Standard_Cost'!$B$19)+(W49*X49*'1. Standard_Cost'!$C$19))</f>
        <v>0</v>
      </c>
      <c r="Z49" s="260"/>
      <c r="AA49" s="260"/>
      <c r="AB49" s="108">
        <f>+Z49*'1. Standard_Cost'!$B$23+AA49*'1. Standard_Cost'!$C$23</f>
        <v>0</v>
      </c>
      <c r="AC49" s="261"/>
      <c r="AD49" s="262"/>
      <c r="AE49" s="108">
        <f>SUM(AD49,AC49,AB49,Y49,U49,T49,S49,R49)*'1. Standard_Cost'!$B$31</f>
        <v>0</v>
      </c>
      <c r="AF49" s="108">
        <f t="shared" si="76"/>
        <v>0</v>
      </c>
      <c r="AG49" s="260"/>
      <c r="AH49" s="260"/>
      <c r="AI49" s="260"/>
      <c r="AJ49" s="263"/>
      <c r="AK49" s="263"/>
      <c r="AL49" s="263"/>
      <c r="AM49" s="108">
        <f>AG49*'1. Standard_Cost'!$B$27+'Incremental_Cost Year 9'!AH49*'1. Standard_Cost'!$C$27+'Incremental_Cost Year 9'!AI49*'1. Standard_Cost'!$D$27+'Incremental_Cost Year 9'!AJ49+'Incremental_Cost Year 9'!AL49+AK49</f>
        <v>0</v>
      </c>
      <c r="AN49" s="108">
        <f>AM49*'1. Standard_Cost'!$C$31</f>
        <v>0</v>
      </c>
      <c r="AO49" s="125" t="s">
        <v>299</v>
      </c>
      <c r="AQ49" s="14">
        <f t="shared" si="77"/>
        <v>0</v>
      </c>
      <c r="AR49" s="14">
        <f t="shared" si="78"/>
        <v>0</v>
      </c>
      <c r="AS49" s="14">
        <f t="shared" si="79"/>
        <v>0</v>
      </c>
      <c r="AT49" s="14">
        <f t="shared" si="81"/>
        <v>0</v>
      </c>
      <c r="AU49" s="234"/>
      <c r="AV49" s="234">
        <v>0</v>
      </c>
      <c r="AW49" s="234"/>
      <c r="AX49" s="234"/>
      <c r="AY49" s="234"/>
      <c r="AZ49" s="234"/>
      <c r="BA49" s="234"/>
      <c r="BB49" s="16">
        <f t="shared" si="80"/>
        <v>0</v>
      </c>
    </row>
    <row r="50" spans="1:54" ht="15.6" outlineLevel="2">
      <c r="A50" s="98"/>
      <c r="B50" s="102"/>
      <c r="C50" s="23"/>
      <c r="D50" s="251"/>
      <c r="E50" s="251"/>
      <c r="F50" s="172"/>
      <c r="G50" s="173"/>
      <c r="H50" s="272"/>
      <c r="I50" s="258"/>
      <c r="J50" s="259"/>
      <c r="K50" s="259"/>
      <c r="L50" s="106" t="str">
        <f>IF(I50&lt;&gt;0,((VLOOKUP(I50,'1. Standard_Cost'!$B$4:$D$11,2)+VLOOKUP(I50,'1. Standard_Cost'!$B$4:$D$11,3))*J50*K50),"0")</f>
        <v>0</v>
      </c>
      <c r="M50" s="106">
        <f>L50*'1. Standard_Cost'!$F$4</f>
        <v>0</v>
      </c>
      <c r="N50" s="260"/>
      <c r="O50" s="260"/>
      <c r="P50" s="260"/>
      <c r="Q50" s="260"/>
      <c r="R50" s="108">
        <f>'1. Standard_Cost'!$B$15*N50*P50</f>
        <v>0</v>
      </c>
      <c r="S50" s="108">
        <f>N50*O50*P50*'1. Standard_Cost'!$C$15</f>
        <v>0</v>
      </c>
      <c r="T50" s="108">
        <f>N50*P50*Q50*'1. Standard_Cost'!$D$15</f>
        <v>0</v>
      </c>
      <c r="U50" s="108">
        <f>N50*O50*'1. Standard_Cost'!$E$15</f>
        <v>0</v>
      </c>
      <c r="V50" s="260"/>
      <c r="W50" s="260"/>
      <c r="X50" s="260"/>
      <c r="Y50" s="108">
        <f>+V50*((X50*'1. Standard_Cost'!$B$19)+(W50*X50*'1. Standard_Cost'!$C$19))</f>
        <v>0</v>
      </c>
      <c r="Z50" s="260"/>
      <c r="AA50" s="260"/>
      <c r="AB50" s="108">
        <f>+Z50*'1. Standard_Cost'!$B$23+AA50*'1. Standard_Cost'!$C$23</f>
        <v>0</v>
      </c>
      <c r="AC50" s="261"/>
      <c r="AD50" s="262"/>
      <c r="AE50" s="108">
        <f>SUM(AD50,AC50,AB50,Y50,U50,T50,S50,R50)*'1. Standard_Cost'!$B$31</f>
        <v>0</v>
      </c>
      <c r="AF50" s="108">
        <f t="shared" si="76"/>
        <v>0</v>
      </c>
      <c r="AG50" s="260"/>
      <c r="AH50" s="260"/>
      <c r="AI50" s="260"/>
      <c r="AJ50" s="263"/>
      <c r="AK50" s="263"/>
      <c r="AL50" s="263"/>
      <c r="AM50" s="108">
        <f>AG50*'1. Standard_Cost'!$B$27+'Incremental_Cost Year 9'!AH50*'1. Standard_Cost'!$C$27+'Incremental_Cost Year 9'!AI50*'1. Standard_Cost'!$D$27+'Incremental_Cost Year 9'!AJ50+'Incremental_Cost Year 9'!AL50+AK50</f>
        <v>0</v>
      </c>
      <c r="AN50" s="108">
        <f>AM50*'1. Standard_Cost'!$C$31</f>
        <v>0</v>
      </c>
      <c r="AO50" s="125" t="s">
        <v>300</v>
      </c>
      <c r="AQ50" s="14">
        <f t="shared" si="77"/>
        <v>0</v>
      </c>
      <c r="AR50" s="14">
        <f t="shared" si="78"/>
        <v>0</v>
      </c>
      <c r="AS50" s="14">
        <f t="shared" si="79"/>
        <v>0</v>
      </c>
      <c r="AT50" s="14">
        <f t="shared" si="81"/>
        <v>0</v>
      </c>
      <c r="AU50" s="234"/>
      <c r="AV50" s="234">
        <v>0</v>
      </c>
      <c r="AW50" s="234"/>
      <c r="AX50" s="234"/>
      <c r="AY50" s="234"/>
      <c r="AZ50" s="234"/>
      <c r="BA50" s="234"/>
      <c r="BB50" s="16">
        <f t="shared" si="80"/>
        <v>0</v>
      </c>
    </row>
    <row r="51" spans="1:54" ht="15.6" outlineLevel="2">
      <c r="A51" s="98"/>
      <c r="B51" s="102"/>
      <c r="C51" s="23"/>
      <c r="D51" s="251"/>
      <c r="E51" s="251"/>
      <c r="F51" s="251"/>
      <c r="G51" s="173"/>
      <c r="H51" s="272"/>
      <c r="I51" s="258"/>
      <c r="J51" s="259"/>
      <c r="K51" s="259"/>
      <c r="L51" s="106" t="str">
        <f>IF(I51&lt;&gt;0,((VLOOKUP(I51,'1. Standard_Cost'!$B$4:$D$11,2)+VLOOKUP(I51,'1. Standard_Cost'!$B$4:$D$11,3))*J51*K51),"0")</f>
        <v>0</v>
      </c>
      <c r="M51" s="106">
        <f>L51*'1. Standard_Cost'!$F$4</f>
        <v>0</v>
      </c>
      <c r="N51" s="260"/>
      <c r="O51" s="260"/>
      <c r="P51" s="260"/>
      <c r="Q51" s="260"/>
      <c r="R51" s="108">
        <f>'1. Standard_Cost'!$B$15*N51*P51</f>
        <v>0</v>
      </c>
      <c r="S51" s="108">
        <f>N51*O51*P51*'1. Standard_Cost'!$C$15</f>
        <v>0</v>
      </c>
      <c r="T51" s="108">
        <f>N51*P51*Q51*'1. Standard_Cost'!$D$15</f>
        <v>0</v>
      </c>
      <c r="U51" s="108">
        <f>N51*O51*'1. Standard_Cost'!$E$15</f>
        <v>0</v>
      </c>
      <c r="V51" s="260"/>
      <c r="W51" s="260"/>
      <c r="X51" s="260"/>
      <c r="Y51" s="108">
        <f>+V51*((X51*'1. Standard_Cost'!$B$19)+(W51*X51*'1. Standard_Cost'!$C$19))</f>
        <v>0</v>
      </c>
      <c r="Z51" s="260"/>
      <c r="AA51" s="260"/>
      <c r="AB51" s="108">
        <f>+Z51*'1. Standard_Cost'!$B$23+AA51*'1. Standard_Cost'!$C$23</f>
        <v>0</v>
      </c>
      <c r="AC51" s="261"/>
      <c r="AD51" s="262"/>
      <c r="AE51" s="108">
        <f>SUM(AD51,AC51,AB51,Y51,U51,T51,S51,R51)*'1. Standard_Cost'!$B$31</f>
        <v>0</v>
      </c>
      <c r="AF51" s="108">
        <f t="shared" si="76"/>
        <v>0</v>
      </c>
      <c r="AG51" s="260"/>
      <c r="AH51" s="260"/>
      <c r="AI51" s="260"/>
      <c r="AJ51" s="263"/>
      <c r="AK51" s="263"/>
      <c r="AL51" s="263"/>
      <c r="AM51" s="108">
        <f>AG51*'1. Standard_Cost'!$B$27+'Incremental_Cost Year 9'!AH51*'1. Standard_Cost'!$C$27+'Incremental_Cost Year 9'!AI51*'1. Standard_Cost'!$D$27+'Incremental_Cost Year 9'!AJ51+'Incremental_Cost Year 9'!AL51+AK51</f>
        <v>0</v>
      </c>
      <c r="AN51" s="108">
        <f>AM51*'1. Standard_Cost'!$C$31</f>
        <v>0</v>
      </c>
      <c r="AO51" s="125" t="s">
        <v>301</v>
      </c>
      <c r="AQ51" s="14">
        <f t="shared" si="77"/>
        <v>0</v>
      </c>
      <c r="AR51" s="14">
        <f t="shared" si="78"/>
        <v>0</v>
      </c>
      <c r="AS51" s="14">
        <f t="shared" si="79"/>
        <v>0</v>
      </c>
      <c r="AT51" s="14">
        <f t="shared" si="81"/>
        <v>0</v>
      </c>
      <c r="AU51" s="234"/>
      <c r="AV51" s="234"/>
      <c r="AW51" s="234"/>
      <c r="AX51" s="234"/>
      <c r="AY51" s="234"/>
      <c r="AZ51" s="234"/>
      <c r="BA51" s="234"/>
      <c r="BB51" s="16">
        <f t="shared" si="80"/>
        <v>0</v>
      </c>
    </row>
    <row r="52" spans="1:54" ht="15.6" outlineLevel="2">
      <c r="A52" s="98"/>
      <c r="B52" s="102"/>
      <c r="C52" s="23"/>
      <c r="D52" s="251"/>
      <c r="E52" s="251"/>
      <c r="F52" s="251"/>
      <c r="G52" s="250"/>
      <c r="H52" s="272"/>
      <c r="I52" s="258"/>
      <c r="J52" s="259"/>
      <c r="K52" s="259"/>
      <c r="L52" s="106" t="str">
        <f>IF(I52&lt;&gt;0,((VLOOKUP(I52,'1. Standard_Cost'!$B$4:$D$11,2)+VLOOKUP(I52,'1. Standard_Cost'!$B$4:$D$11,3))*J52*K52),"0")</f>
        <v>0</v>
      </c>
      <c r="M52" s="106">
        <f>L52*'1. Standard_Cost'!$F$4</f>
        <v>0</v>
      </c>
      <c r="N52" s="260"/>
      <c r="O52" s="260"/>
      <c r="P52" s="260"/>
      <c r="Q52" s="260"/>
      <c r="R52" s="108">
        <f>'1. Standard_Cost'!$B$15*N52*P52</f>
        <v>0</v>
      </c>
      <c r="S52" s="108">
        <f>N52*O52*P52*'1. Standard_Cost'!$C$15</f>
        <v>0</v>
      </c>
      <c r="T52" s="108">
        <f>N52*P52*Q52*'1. Standard_Cost'!$D$15</f>
        <v>0</v>
      </c>
      <c r="U52" s="108">
        <f>N52*O52*'1. Standard_Cost'!$E$15</f>
        <v>0</v>
      </c>
      <c r="V52" s="260"/>
      <c r="W52" s="260"/>
      <c r="X52" s="260"/>
      <c r="Y52" s="108">
        <f>+V52*((X52*'1. Standard_Cost'!$B$19)+(W52*X52*'1. Standard_Cost'!$C$19))</f>
        <v>0</v>
      </c>
      <c r="Z52" s="260"/>
      <c r="AA52" s="260"/>
      <c r="AB52" s="108">
        <f>+Z52*'1. Standard_Cost'!$B$23+AA52*'1. Standard_Cost'!$C$23</f>
        <v>0</v>
      </c>
      <c r="AC52" s="261"/>
      <c r="AD52" s="262"/>
      <c r="AE52" s="108">
        <f>SUM(AD52,AC52,AB52,Y52,U52,T52,S52,R52)*'1. Standard_Cost'!$B$31</f>
        <v>0</v>
      </c>
      <c r="AF52" s="108">
        <f t="shared" si="76"/>
        <v>0</v>
      </c>
      <c r="AG52" s="260"/>
      <c r="AH52" s="260"/>
      <c r="AI52" s="260"/>
      <c r="AJ52" s="263"/>
      <c r="AK52" s="263"/>
      <c r="AL52" s="263"/>
      <c r="AM52" s="108">
        <f>AG52*'1. Standard_Cost'!$B$27+'Incremental_Cost Year 9'!AH52*'1. Standard_Cost'!$C$27+'Incremental_Cost Year 9'!AI52*'1. Standard_Cost'!$D$27+'Incremental_Cost Year 9'!AJ52+'Incremental_Cost Year 9'!AL52+AK52</f>
        <v>0</v>
      </c>
      <c r="AN52" s="108">
        <f>AM52*'1. Standard_Cost'!$C$31</f>
        <v>0</v>
      </c>
      <c r="AO52" s="125" t="s">
        <v>302</v>
      </c>
      <c r="AQ52" s="14">
        <f t="shared" si="77"/>
        <v>0</v>
      </c>
      <c r="AR52" s="14">
        <f t="shared" si="78"/>
        <v>0</v>
      </c>
      <c r="AS52" s="14">
        <f t="shared" si="79"/>
        <v>0</v>
      </c>
      <c r="AT52" s="14">
        <f t="shared" si="81"/>
        <v>0</v>
      </c>
      <c r="AU52" s="234"/>
      <c r="AV52" s="234">
        <v>0</v>
      </c>
      <c r="AW52" s="234"/>
      <c r="AX52" s="234"/>
      <c r="AY52" s="234"/>
      <c r="AZ52" s="234"/>
      <c r="BA52" s="234"/>
      <c r="BB52" s="16">
        <f t="shared" si="80"/>
        <v>0</v>
      </c>
    </row>
    <row r="53" spans="1:54" ht="15.6" outlineLevel="2">
      <c r="A53" s="98"/>
      <c r="B53" s="102"/>
      <c r="C53" s="23"/>
      <c r="D53" s="251"/>
      <c r="E53" s="251"/>
      <c r="F53" s="172"/>
      <c r="G53" s="173"/>
      <c r="H53" s="272"/>
      <c r="I53" s="258"/>
      <c r="J53" s="259"/>
      <c r="K53" s="259"/>
      <c r="L53" s="106" t="str">
        <f>IF(I53&lt;&gt;0,((VLOOKUP(I53,'1. Standard_Cost'!$B$4:$D$11,2)+VLOOKUP(I53,'1. Standard_Cost'!$B$4:$D$11,3))*J53*K53),"0")</f>
        <v>0</v>
      </c>
      <c r="M53" s="106">
        <f>L53*'1. Standard_Cost'!$F$4</f>
        <v>0</v>
      </c>
      <c r="N53" s="260"/>
      <c r="O53" s="260"/>
      <c r="P53" s="260"/>
      <c r="Q53" s="260"/>
      <c r="R53" s="108">
        <f>'1. Standard_Cost'!$B$15*N53*P53</f>
        <v>0</v>
      </c>
      <c r="S53" s="108">
        <f>N53*O53*P53*'1. Standard_Cost'!$C$15</f>
        <v>0</v>
      </c>
      <c r="T53" s="108">
        <f>N53*P53*Q53*'1. Standard_Cost'!$D$15</f>
        <v>0</v>
      </c>
      <c r="U53" s="108">
        <f>N53*O53*'1. Standard_Cost'!$E$15</f>
        <v>0</v>
      </c>
      <c r="V53" s="260"/>
      <c r="W53" s="260"/>
      <c r="X53" s="260"/>
      <c r="Y53" s="108">
        <f>+V53*((X53*'1. Standard_Cost'!$B$19)+(W53*X53*'1. Standard_Cost'!$C$19))</f>
        <v>0</v>
      </c>
      <c r="Z53" s="260"/>
      <c r="AA53" s="260"/>
      <c r="AB53" s="108">
        <f>+Z53*'1. Standard_Cost'!$B$23+AA53*'1. Standard_Cost'!$C$23</f>
        <v>0</v>
      </c>
      <c r="AC53" s="261"/>
      <c r="AD53" s="262"/>
      <c r="AE53" s="108">
        <f>SUM(AD53,AC53,AB53,Y53,U53,T53,S53,R53)*'1. Standard_Cost'!$B$31</f>
        <v>0</v>
      </c>
      <c r="AF53" s="108">
        <f t="shared" si="76"/>
        <v>0</v>
      </c>
      <c r="AG53" s="260"/>
      <c r="AH53" s="260"/>
      <c r="AI53" s="260"/>
      <c r="AJ53" s="263"/>
      <c r="AK53" s="263"/>
      <c r="AL53" s="263"/>
      <c r="AM53" s="108">
        <f>AG53*'1. Standard_Cost'!$B$27+'Incremental_Cost Year 9'!AH53*'1. Standard_Cost'!$C$27+'Incremental_Cost Year 9'!AI53*'1. Standard_Cost'!$D$27+'Incremental_Cost Year 9'!AJ53+'Incremental_Cost Year 9'!AL53+AK53</f>
        <v>0</v>
      </c>
      <c r="AN53" s="108">
        <f>AM53*'1. Standard_Cost'!$C$31</f>
        <v>0</v>
      </c>
      <c r="AO53" s="125" t="s">
        <v>302</v>
      </c>
      <c r="AQ53" s="14">
        <f t="shared" si="77"/>
        <v>0</v>
      </c>
      <c r="AR53" s="14">
        <f t="shared" si="78"/>
        <v>0</v>
      </c>
      <c r="AS53" s="14">
        <f t="shared" si="79"/>
        <v>0</v>
      </c>
      <c r="AT53" s="14">
        <f t="shared" si="81"/>
        <v>0</v>
      </c>
      <c r="AU53" s="234"/>
      <c r="AV53" s="234"/>
      <c r="AW53" s="234"/>
      <c r="AX53" s="234"/>
      <c r="AY53" s="234"/>
      <c r="AZ53" s="234"/>
      <c r="BA53" s="234"/>
      <c r="BB53" s="16">
        <f t="shared" si="80"/>
        <v>0</v>
      </c>
    </row>
    <row r="54" spans="1:54" ht="15.6" outlineLevel="2">
      <c r="A54" s="98"/>
      <c r="B54" s="102"/>
      <c r="C54" s="23"/>
      <c r="D54" s="251"/>
      <c r="E54" s="251"/>
      <c r="F54" s="172"/>
      <c r="G54" s="173"/>
      <c r="H54" s="272"/>
      <c r="I54" s="258"/>
      <c r="J54" s="259"/>
      <c r="K54" s="259"/>
      <c r="L54" s="106" t="str">
        <f>IF(I54&lt;&gt;0,((VLOOKUP(I54,'1. Standard_Cost'!$B$4:$D$11,2)+VLOOKUP(I54,'1. Standard_Cost'!$B$4:$D$11,3))*J54*K54),"0")</f>
        <v>0</v>
      </c>
      <c r="M54" s="106">
        <f>L54*'1. Standard_Cost'!$F$4</f>
        <v>0</v>
      </c>
      <c r="N54" s="260"/>
      <c r="O54" s="260"/>
      <c r="P54" s="260"/>
      <c r="Q54" s="260"/>
      <c r="R54" s="108">
        <f>'1. Standard_Cost'!$B$15*N54*P54</f>
        <v>0</v>
      </c>
      <c r="S54" s="108">
        <f>N54*O54*P54*'1. Standard_Cost'!$C$15</f>
        <v>0</v>
      </c>
      <c r="T54" s="108">
        <f>N54*P54*Q54*'1. Standard_Cost'!$D$15</f>
        <v>0</v>
      </c>
      <c r="U54" s="108">
        <f>N54*O54*'1. Standard_Cost'!$E$15</f>
        <v>0</v>
      </c>
      <c r="V54" s="260"/>
      <c r="W54" s="260"/>
      <c r="X54" s="260"/>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76"/>
        <v>0</v>
      </c>
      <c r="AG54" s="260"/>
      <c r="AH54" s="260"/>
      <c r="AI54" s="260"/>
      <c r="AJ54" s="263"/>
      <c r="AK54" s="263"/>
      <c r="AL54" s="263"/>
      <c r="AM54" s="108">
        <f>AG54*'1. Standard_Cost'!$B$27+'Incremental_Cost Year 9'!AH54*'1. Standard_Cost'!$C$27+'Incremental_Cost Year 9'!AI54*'1. Standard_Cost'!$D$27+'Incremental_Cost Year 9'!AJ54+'Incremental_Cost Year 9'!AL54+AK54</f>
        <v>0</v>
      </c>
      <c r="AN54" s="108">
        <f>AM54*'1. Standard_Cost'!$C$31</f>
        <v>0</v>
      </c>
      <c r="AO54" s="125" t="s">
        <v>300</v>
      </c>
      <c r="AQ54" s="14">
        <f t="shared" si="77"/>
        <v>0</v>
      </c>
      <c r="AR54" s="14">
        <f t="shared" si="78"/>
        <v>0</v>
      </c>
      <c r="AS54" s="14">
        <f t="shared" si="79"/>
        <v>0</v>
      </c>
      <c r="AT54" s="14">
        <f t="shared" si="81"/>
        <v>0</v>
      </c>
      <c r="AU54" s="234"/>
      <c r="AV54" s="234">
        <v>0</v>
      </c>
      <c r="AW54" s="234"/>
      <c r="AX54" s="234"/>
      <c r="AY54" s="234"/>
      <c r="AZ54" s="234"/>
      <c r="BA54" s="234"/>
      <c r="BB54" s="16">
        <f t="shared" si="80"/>
        <v>0</v>
      </c>
    </row>
    <row r="55" spans="1:54" ht="15.6" outlineLevel="2">
      <c r="A55" s="98"/>
      <c r="B55" s="102"/>
      <c r="C55" s="23"/>
      <c r="D55" s="251"/>
      <c r="E55" s="251"/>
      <c r="F55" s="251"/>
      <c r="G55" s="173"/>
      <c r="H55" s="272"/>
      <c r="I55" s="258"/>
      <c r="J55" s="259"/>
      <c r="K55" s="259"/>
      <c r="L55" s="106" t="str">
        <f>IF(I55&lt;&gt;0,((VLOOKUP(I55,'1. Standard_Cost'!$B$4:$D$11,2)+VLOOKUP(I55,'1. Standard_Cost'!$B$4:$D$11,3))*J55*K55),"0")</f>
        <v>0</v>
      </c>
      <c r="M55" s="106">
        <f>L55*'1. Standard_Cost'!$F$4</f>
        <v>0</v>
      </c>
      <c r="N55" s="260"/>
      <c r="O55" s="260"/>
      <c r="P55" s="260"/>
      <c r="Q55" s="260"/>
      <c r="R55" s="108">
        <f>'1. Standard_Cost'!$B$15*N55*P55</f>
        <v>0</v>
      </c>
      <c r="S55" s="108">
        <f>N55*O55*P55*'1. Standard_Cost'!$C$15</f>
        <v>0</v>
      </c>
      <c r="T55" s="108">
        <f>N55*P55*Q55*'1. Standard_Cost'!$D$15</f>
        <v>0</v>
      </c>
      <c r="U55" s="108">
        <f>N55*O55*'1. Standard_Cost'!$E$15</f>
        <v>0</v>
      </c>
      <c r="V55" s="260"/>
      <c r="W55" s="260"/>
      <c r="X55" s="260"/>
      <c r="Y55" s="108">
        <f>+V55*((X55*'1. Standard_Cost'!$B$19)+(W55*X55*'1. Standard_Cost'!$C$19))</f>
        <v>0</v>
      </c>
      <c r="Z55" s="260"/>
      <c r="AA55" s="260"/>
      <c r="AB55" s="108">
        <f>+Z55*'1. Standard_Cost'!$B$23+AA55*'1. Standard_Cost'!$C$23</f>
        <v>0</v>
      </c>
      <c r="AC55" s="261"/>
      <c r="AD55" s="262"/>
      <c r="AE55" s="108">
        <f>SUM(AD55,AC55,AB55,Y55,U55,T55,S55,R55)*'1. Standard_Cost'!$B$31</f>
        <v>0</v>
      </c>
      <c r="AF55" s="108">
        <f t="shared" si="76"/>
        <v>0</v>
      </c>
      <c r="AG55" s="260"/>
      <c r="AH55" s="260"/>
      <c r="AI55" s="260"/>
      <c r="AJ55" s="263"/>
      <c r="AK55" s="263"/>
      <c r="AL55" s="263"/>
      <c r="AM55" s="108">
        <f>AG55*'1. Standard_Cost'!$B$27+'Incremental_Cost Year 9'!AH55*'1. Standard_Cost'!$C$27+'Incremental_Cost Year 9'!AI55*'1. Standard_Cost'!$D$27+'Incremental_Cost Year 9'!AJ55+'Incremental_Cost Year 9'!AL55+AK55</f>
        <v>0</v>
      </c>
      <c r="AN55" s="108">
        <f>AM55*'1. Standard_Cost'!$C$31</f>
        <v>0</v>
      </c>
      <c r="AO55" s="125" t="s">
        <v>303</v>
      </c>
      <c r="AQ55" s="14">
        <f t="shared" si="77"/>
        <v>0</v>
      </c>
      <c r="AR55" s="14">
        <f t="shared" si="78"/>
        <v>0</v>
      </c>
      <c r="AS55" s="14">
        <f t="shared" si="79"/>
        <v>0</v>
      </c>
      <c r="AT55" s="14">
        <f t="shared" si="81"/>
        <v>0</v>
      </c>
      <c r="AU55" s="234"/>
      <c r="AV55" s="234"/>
      <c r="AW55" s="234"/>
      <c r="AX55" s="234"/>
      <c r="AY55" s="234"/>
      <c r="AZ55" s="234"/>
      <c r="BA55" s="234"/>
      <c r="BB55" s="16">
        <f t="shared" si="80"/>
        <v>0</v>
      </c>
    </row>
    <row r="56" spans="1:54" ht="15.6" outlineLevel="2">
      <c r="A56" s="98"/>
      <c r="B56" s="102"/>
      <c r="C56" s="23"/>
      <c r="D56" s="251"/>
      <c r="E56" s="251"/>
      <c r="F56" s="251"/>
      <c r="G56" s="173"/>
      <c r="H56" s="272"/>
      <c r="I56" s="258"/>
      <c r="J56" s="259"/>
      <c r="K56" s="259"/>
      <c r="L56" s="106" t="str">
        <f>IF(I56&lt;&gt;0,((VLOOKUP(I56,'1. Standard_Cost'!$B$4:$D$11,2)+VLOOKUP(I56,'1. Standard_Cost'!$B$4:$D$11,3))*J56*K56),"0")</f>
        <v>0</v>
      </c>
      <c r="M56" s="106">
        <f>L56*'1. Standard_Cost'!$F$4</f>
        <v>0</v>
      </c>
      <c r="N56" s="260"/>
      <c r="O56" s="260"/>
      <c r="P56" s="260"/>
      <c r="Q56" s="260"/>
      <c r="R56" s="108">
        <f>'1. Standard_Cost'!$B$15*N56*P56</f>
        <v>0</v>
      </c>
      <c r="S56" s="108">
        <f>N56*O56*P56*'1. Standard_Cost'!$C$15</f>
        <v>0</v>
      </c>
      <c r="T56" s="108">
        <f>N56*P56*Q56*'1. Standard_Cost'!$D$15</f>
        <v>0</v>
      </c>
      <c r="U56" s="108">
        <f>N56*O56*'1. Standard_Cost'!$E$15</f>
        <v>0</v>
      </c>
      <c r="V56" s="260"/>
      <c r="W56" s="260"/>
      <c r="X56" s="260"/>
      <c r="Y56" s="108">
        <f>+V56*((X56*'1. Standard_Cost'!$B$19)+(W56*X56*'1. Standard_Cost'!$C$19))</f>
        <v>0</v>
      </c>
      <c r="Z56" s="260"/>
      <c r="AA56" s="260"/>
      <c r="AB56" s="108">
        <f>+Z56*'1. Standard_Cost'!$B$23+AA56*'1. Standard_Cost'!$C$23</f>
        <v>0</v>
      </c>
      <c r="AC56" s="261"/>
      <c r="AD56" s="262"/>
      <c r="AE56" s="108">
        <f>SUM(AD56,AC56,AB56,Y56,U56,T56,S56,R56)*'1. Standard_Cost'!$B$31</f>
        <v>0</v>
      </c>
      <c r="AF56" s="108">
        <f t="shared" si="76"/>
        <v>0</v>
      </c>
      <c r="AG56" s="260"/>
      <c r="AH56" s="260"/>
      <c r="AI56" s="260"/>
      <c r="AJ56" s="263"/>
      <c r="AK56" s="263"/>
      <c r="AL56" s="263"/>
      <c r="AM56" s="108">
        <f>AG56*'1. Standard_Cost'!$B$27+'Incremental_Cost Year 9'!AH56*'1. Standard_Cost'!$C$27+'Incremental_Cost Year 9'!AI56*'1. Standard_Cost'!$D$27+'Incremental_Cost Year 9'!AJ56+'Incremental_Cost Year 9'!AL56+AK56</f>
        <v>0</v>
      </c>
      <c r="AN56" s="108">
        <f>AM56*'1. Standard_Cost'!$C$31</f>
        <v>0</v>
      </c>
      <c r="AO56" s="125" t="s">
        <v>304</v>
      </c>
      <c r="AQ56" s="14">
        <f t="shared" si="77"/>
        <v>0</v>
      </c>
      <c r="AR56" s="14">
        <f t="shared" si="78"/>
        <v>0</v>
      </c>
      <c r="AS56" s="14">
        <f t="shared" si="79"/>
        <v>0</v>
      </c>
      <c r="AT56" s="14">
        <f t="shared" si="81"/>
        <v>0</v>
      </c>
      <c r="AU56" s="234"/>
      <c r="AV56" s="234">
        <v>0</v>
      </c>
      <c r="AW56" s="234"/>
      <c r="AX56" s="234"/>
      <c r="AY56" s="234"/>
      <c r="AZ56" s="234"/>
      <c r="BA56" s="234"/>
      <c r="BB56" s="16">
        <f t="shared" si="80"/>
        <v>0</v>
      </c>
    </row>
    <row r="57" spans="1:54" ht="55.2" outlineLevel="2">
      <c r="A57" s="98"/>
      <c r="B57" s="102"/>
      <c r="C57" s="23"/>
      <c r="D57" s="251"/>
      <c r="E57" s="251"/>
      <c r="F57" s="251"/>
      <c r="G57" s="250"/>
      <c r="H57" s="272"/>
      <c r="I57" s="258"/>
      <c r="J57" s="259"/>
      <c r="K57" s="259"/>
      <c r="L57" s="106" t="str">
        <f>IF(I57&lt;&gt;0,((VLOOKUP(I57,'1. Standard_Cost'!$B$4:$D$11,2)+VLOOKUP(I57,'1. Standard_Cost'!$B$4:$D$11,3))*J57*K57),"0")</f>
        <v>0</v>
      </c>
      <c r="M57" s="106">
        <f>L57*'1. Standard_Cost'!$F$4</f>
        <v>0</v>
      </c>
      <c r="N57" s="260"/>
      <c r="O57" s="260"/>
      <c r="P57" s="260"/>
      <c r="Q57" s="260"/>
      <c r="R57" s="108">
        <f>'1. Standard_Cost'!$B$15*N57*P57</f>
        <v>0</v>
      </c>
      <c r="S57" s="108">
        <f>N57*O57*P57*'1. Standard_Cost'!$C$15</f>
        <v>0</v>
      </c>
      <c r="T57" s="108">
        <f>N57*P57*Q57*'1. Standard_Cost'!$D$15</f>
        <v>0</v>
      </c>
      <c r="U57" s="108">
        <f>N57*O57*'1. Standard_Cost'!$E$15</f>
        <v>0</v>
      </c>
      <c r="V57" s="260"/>
      <c r="W57" s="260"/>
      <c r="X57" s="260"/>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76"/>
        <v>0</v>
      </c>
      <c r="AG57" s="260"/>
      <c r="AH57" s="260"/>
      <c r="AI57" s="260"/>
      <c r="AJ57" s="263"/>
      <c r="AK57" s="263"/>
      <c r="AL57" s="263"/>
      <c r="AM57" s="108">
        <f>AG57*'1. Standard_Cost'!$B$27+'Incremental_Cost Year 9'!AH57*'1. Standard_Cost'!$C$27+'Incremental_Cost Year 9'!AI57*'1. Standard_Cost'!$D$27+'Incremental_Cost Year 9'!AJ57+'Incremental_Cost Year 9'!AL57+AK57</f>
        <v>0</v>
      </c>
      <c r="AN57" s="108">
        <f>AM57*'1. Standard_Cost'!$C$31</f>
        <v>0</v>
      </c>
      <c r="AO57" s="125" t="s">
        <v>305</v>
      </c>
      <c r="AQ57" s="14">
        <f t="shared" si="77"/>
        <v>0</v>
      </c>
      <c r="AR57" s="14">
        <f t="shared" si="78"/>
        <v>0</v>
      </c>
      <c r="AS57" s="14">
        <f t="shared" si="79"/>
        <v>0</v>
      </c>
      <c r="AT57" s="14">
        <f t="shared" si="81"/>
        <v>0</v>
      </c>
      <c r="AU57" s="234"/>
      <c r="AV57" s="234"/>
      <c r="AW57" s="234"/>
      <c r="AX57" s="234"/>
      <c r="AY57" s="234"/>
      <c r="AZ57" s="234"/>
      <c r="BA57" s="234"/>
      <c r="BB57" s="16">
        <f t="shared" si="80"/>
        <v>0</v>
      </c>
    </row>
    <row r="58" spans="1:54" ht="41.4" outlineLevel="2">
      <c r="A58" s="98"/>
      <c r="B58" s="102"/>
      <c r="C58" s="23"/>
      <c r="D58" s="251"/>
      <c r="E58" s="251"/>
      <c r="F58" s="251"/>
      <c r="G58" s="250"/>
      <c r="H58" s="272"/>
      <c r="I58" s="258"/>
      <c r="J58" s="259"/>
      <c r="K58" s="259"/>
      <c r="L58" s="106" t="str">
        <f>IF(I58&lt;&gt;0,((VLOOKUP(I58,'1. Standard_Cost'!$B$4:$D$11,2)+VLOOKUP(I58,'1. Standard_Cost'!$B$4:$D$11,3))*J58*K58),"0")</f>
        <v>0</v>
      </c>
      <c r="M58" s="106">
        <f>L58*'1. Standard_Cost'!$F$4</f>
        <v>0</v>
      </c>
      <c r="N58" s="260"/>
      <c r="O58" s="260"/>
      <c r="P58" s="260"/>
      <c r="Q58" s="260"/>
      <c r="R58" s="108">
        <f>'1. Standard_Cost'!$B$15*N58*P58</f>
        <v>0</v>
      </c>
      <c r="S58" s="108">
        <f>N58*O58*P58*'1. Standard_Cost'!$C$15</f>
        <v>0</v>
      </c>
      <c r="T58" s="108">
        <f>N58*P58*Q58*'1. Standard_Cost'!$D$15</f>
        <v>0</v>
      </c>
      <c r="U58" s="108">
        <f>N58*O58*'1. Standard_Cost'!$E$15</f>
        <v>0</v>
      </c>
      <c r="V58" s="260"/>
      <c r="W58" s="260"/>
      <c r="X58" s="260"/>
      <c r="Y58" s="108">
        <f>+V58*((X58*'1. Standard_Cost'!$B$19)+(W58*X58*'1. Standard_Cost'!$C$19))</f>
        <v>0</v>
      </c>
      <c r="Z58" s="260"/>
      <c r="AA58" s="260"/>
      <c r="AB58" s="108">
        <f>+Z58*'1. Standard_Cost'!$B$23+AA58*'1. Standard_Cost'!$C$23</f>
        <v>0</v>
      </c>
      <c r="AC58" s="261"/>
      <c r="AD58" s="262"/>
      <c r="AE58" s="108">
        <f>SUM(AD58,AC58,AB58,Y58,U58,T58,S58,R58)*'1. Standard_Cost'!$B$31</f>
        <v>0</v>
      </c>
      <c r="AF58" s="108">
        <f t="shared" si="76"/>
        <v>0</v>
      </c>
      <c r="AG58" s="260"/>
      <c r="AH58" s="260"/>
      <c r="AI58" s="260"/>
      <c r="AJ58" s="263"/>
      <c r="AK58" s="263"/>
      <c r="AL58" s="263"/>
      <c r="AM58" s="108">
        <f>AG58*'1. Standard_Cost'!$B$27+'Incremental_Cost Year 9'!AH58*'1. Standard_Cost'!$C$27+'Incremental_Cost Year 9'!AI58*'1. Standard_Cost'!$D$27+'Incremental_Cost Year 9'!AJ58+'Incremental_Cost Year 9'!AL58+AK58</f>
        <v>0</v>
      </c>
      <c r="AN58" s="108">
        <f>AM58*'1. Standard_Cost'!$C$31</f>
        <v>0</v>
      </c>
      <c r="AO58" s="125" t="s">
        <v>306</v>
      </c>
      <c r="AQ58" s="14">
        <f t="shared" si="77"/>
        <v>0</v>
      </c>
      <c r="AR58" s="14">
        <f t="shared" si="78"/>
        <v>0</v>
      </c>
      <c r="AS58" s="14">
        <f t="shared" si="79"/>
        <v>0</v>
      </c>
      <c r="AT58" s="14">
        <f>SUM(AQ58,AR58,AS58)</f>
        <v>0</v>
      </c>
      <c r="AU58" s="234"/>
      <c r="AV58" s="234"/>
      <c r="AW58" s="234"/>
      <c r="AX58" s="234"/>
      <c r="AY58" s="234"/>
      <c r="AZ58" s="234"/>
      <c r="BA58" s="234"/>
      <c r="BB58" s="16">
        <f t="shared" si="80"/>
        <v>0</v>
      </c>
    </row>
    <row r="59" spans="1:54" ht="27.6" outlineLevel="1">
      <c r="A59" s="98"/>
      <c r="B59" s="102"/>
      <c r="C59" s="23"/>
      <c r="D59" s="56" t="s">
        <v>47</v>
      </c>
      <c r="E59" s="56" t="s">
        <v>213</v>
      </c>
      <c r="F59" s="253">
        <v>2021</v>
      </c>
      <c r="G59" s="254">
        <v>2026</v>
      </c>
      <c r="H59" s="277" t="s">
        <v>183</v>
      </c>
      <c r="I59" s="264"/>
      <c r="J59" s="264"/>
      <c r="K59" s="264"/>
      <c r="L59" s="113">
        <f>SUM(L41:L58)</f>
        <v>0</v>
      </c>
      <c r="M59" s="113">
        <f>SUM(M41:M58)</f>
        <v>0</v>
      </c>
      <c r="N59" s="264"/>
      <c r="O59" s="264"/>
      <c r="P59" s="264"/>
      <c r="Q59" s="264"/>
      <c r="R59" s="113">
        <f>SUM(R41:R58)</f>
        <v>0</v>
      </c>
      <c r="S59" s="113">
        <f>SUM(S41:S58)</f>
        <v>0</v>
      </c>
      <c r="T59" s="113">
        <f>SUM(T41:T58)</f>
        <v>0</v>
      </c>
      <c r="U59" s="113">
        <f>SUM(U41:U58)</f>
        <v>0</v>
      </c>
      <c r="V59" s="264"/>
      <c r="W59" s="264"/>
      <c r="X59" s="264"/>
      <c r="Y59" s="113">
        <f>SUM(Y41:Y58)</f>
        <v>0</v>
      </c>
      <c r="Z59" s="265">
        <f>SUM(Z41:Z58)</f>
        <v>0</v>
      </c>
      <c r="AA59" s="264"/>
      <c r="AB59" s="113">
        <f>SUM(AB41:AB58)</f>
        <v>0</v>
      </c>
      <c r="AC59" s="265">
        <f>SUM(AC41:AC58)</f>
        <v>0</v>
      </c>
      <c r="AD59" s="265">
        <f>SUM(AD41:AD58)</f>
        <v>0</v>
      </c>
      <c r="AE59" s="113">
        <f>SUM(AE41:AE58)</f>
        <v>0</v>
      </c>
      <c r="AF59" s="113">
        <f>SUM(AF41:AF58)</f>
        <v>0</v>
      </c>
      <c r="AG59" s="264"/>
      <c r="AH59" s="264"/>
      <c r="AI59" s="264"/>
      <c r="AJ59" s="265">
        <f>SUM(AJ41:AJ58)</f>
        <v>0</v>
      </c>
      <c r="AK59" s="265">
        <f>SUM(AK41:AK58)</f>
        <v>0</v>
      </c>
      <c r="AL59" s="265">
        <f>SUM(AL41:AL58)</f>
        <v>0</v>
      </c>
      <c r="AM59" s="113">
        <f>SUM(AM41:AM58)</f>
        <v>0</v>
      </c>
      <c r="AN59" s="113">
        <f>SUM(AN41:AN58)</f>
        <v>0</v>
      </c>
      <c r="AO59" s="131"/>
      <c r="AP59" s="17"/>
      <c r="AQ59" s="113">
        <f t="shared" ref="AQ59:BB59" si="82">SUM(AQ41:AQ58)</f>
        <v>0</v>
      </c>
      <c r="AR59" s="113">
        <f t="shared" si="82"/>
        <v>0</v>
      </c>
      <c r="AS59" s="113">
        <f t="shared" si="82"/>
        <v>0</v>
      </c>
      <c r="AT59" s="113">
        <f t="shared" si="82"/>
        <v>0</v>
      </c>
      <c r="AU59" s="265">
        <f t="shared" si="82"/>
        <v>0</v>
      </c>
      <c r="AV59" s="265">
        <f t="shared" si="82"/>
        <v>0</v>
      </c>
      <c r="AW59" s="265">
        <f t="shared" si="82"/>
        <v>0</v>
      </c>
      <c r="AX59" s="265">
        <f t="shared" si="82"/>
        <v>0</v>
      </c>
      <c r="AY59" s="265">
        <f t="shared" si="82"/>
        <v>0</v>
      </c>
      <c r="AZ59" s="265">
        <f t="shared" si="82"/>
        <v>0</v>
      </c>
      <c r="BA59" s="265">
        <f t="shared" si="82"/>
        <v>0</v>
      </c>
      <c r="BB59" s="113">
        <f t="shared" si="82"/>
        <v>0</v>
      </c>
    </row>
    <row r="60" spans="1:54" ht="15.6" outlineLevel="2">
      <c r="A60" s="98"/>
      <c r="B60" s="102"/>
      <c r="C60" s="23"/>
      <c r="D60" s="257"/>
      <c r="E60" s="257"/>
      <c r="F60" s="251"/>
      <c r="G60" s="250"/>
      <c r="H60" s="272"/>
      <c r="I60" s="258"/>
      <c r="J60" s="259"/>
      <c r="K60" s="259"/>
      <c r="L60" s="106" t="str">
        <f>IF(I60&lt;&gt;0,((VLOOKUP(I60,'1. Standard_Cost'!$B$4:$D$11,2)+VLOOKUP(I60,'1. Standard_Cost'!$B$4:$D$11,3))*J60*K60),"0")</f>
        <v>0</v>
      </c>
      <c r="M60" s="106">
        <f>L60*'1. Standard_Cost'!$F$4</f>
        <v>0</v>
      </c>
      <c r="N60" s="260"/>
      <c r="O60" s="260"/>
      <c r="P60" s="260"/>
      <c r="Q60" s="260"/>
      <c r="R60" s="108">
        <f>'1. Standard_Cost'!$B$15*N60*P60</f>
        <v>0</v>
      </c>
      <c r="S60" s="108">
        <f>N60*O60*P60*'1. Standard_Cost'!$C$15</f>
        <v>0</v>
      </c>
      <c r="T60" s="108">
        <f>N60*P60*Q60*'1. Standard_Cost'!$D$15</f>
        <v>0</v>
      </c>
      <c r="U60" s="108">
        <f>N60*O60*'1. Standard_Cost'!$E$15</f>
        <v>0</v>
      </c>
      <c r="V60" s="260"/>
      <c r="W60" s="260"/>
      <c r="X60" s="260"/>
      <c r="Y60" s="108">
        <f>+V60*((X60*'1. Standard_Cost'!$B$19)+(W60*X60*'1. Standard_Cost'!$C$19))</f>
        <v>0</v>
      </c>
      <c r="Z60" s="260"/>
      <c r="AA60" s="260"/>
      <c r="AB60" s="108">
        <f>+Z60*'1. Standard_Cost'!$B$23+AA60*'1. Standard_Cost'!$C$23</f>
        <v>0</v>
      </c>
      <c r="AC60" s="261"/>
      <c r="AD60" s="262"/>
      <c r="AE60" s="108">
        <f>SUM(AD60,AC60,AB60,Y60,U60,T60,S60,R60)*'1. Standard_Cost'!$B$31</f>
        <v>0</v>
      </c>
      <c r="AF60" s="108">
        <f t="shared" ref="AF60:AF78" si="83">SUM(AE60,AD60,AC60,AB60,Y60,U60,T60,S60,R60)</f>
        <v>0</v>
      </c>
      <c r="AG60" s="260"/>
      <c r="AH60" s="260"/>
      <c r="AI60" s="260"/>
      <c r="AJ60" s="263"/>
      <c r="AK60" s="263"/>
      <c r="AL60" s="263"/>
      <c r="AM60" s="108">
        <f>AG60*'1. Standard_Cost'!$B$27+'Incremental_Cost Year 9'!AH60*'1. Standard_Cost'!$C$27+'Incremental_Cost Year 9'!AI60*'1. Standard_Cost'!$D$27+'Incremental_Cost Year 9'!AJ60+'Incremental_Cost Year 9'!AL60+AK60</f>
        <v>0</v>
      </c>
      <c r="AN60" s="108">
        <f>AM60*'1. Standard_Cost'!$C$31</f>
        <v>0</v>
      </c>
      <c r="AO60" s="125" t="s">
        <v>307</v>
      </c>
      <c r="AQ60" s="14">
        <f t="shared" ref="AQ60:AQ78" si="84">L60+M60</f>
        <v>0</v>
      </c>
      <c r="AR60" s="14">
        <f t="shared" ref="AR60:AR78" si="85">AF60</f>
        <v>0</v>
      </c>
      <c r="AS60" s="14">
        <f t="shared" ref="AS60:AS78" si="86">AM60+AN60</f>
        <v>0</v>
      </c>
      <c r="AT60" s="14">
        <f>SUM(AQ60,AR60,AS60)</f>
        <v>0</v>
      </c>
      <c r="AU60" s="234"/>
      <c r="AV60" s="234"/>
      <c r="AW60" s="234"/>
      <c r="AX60" s="234"/>
      <c r="AY60" s="234"/>
      <c r="AZ60" s="234"/>
      <c r="BA60" s="234"/>
      <c r="BB60" s="16">
        <f t="shared" ref="BB60:BB78" si="87">SUM(AU60:BA60)-AT60</f>
        <v>0</v>
      </c>
    </row>
    <row r="61" spans="1:54" ht="15.6" outlineLevel="2">
      <c r="A61" s="98"/>
      <c r="B61" s="102"/>
      <c r="C61" s="23"/>
      <c r="D61" s="269"/>
      <c r="E61" s="269"/>
      <c r="F61" s="251"/>
      <c r="G61" s="250"/>
      <c r="H61" s="272"/>
      <c r="I61" s="258"/>
      <c r="J61" s="259"/>
      <c r="K61" s="259"/>
      <c r="L61" s="106" t="str">
        <f>IF(I61&lt;&gt;0,((VLOOKUP(I61,'1. Standard_Cost'!$B$4:$D$11,2)+VLOOKUP(I61,'1. Standard_Cost'!$B$4:$D$11,3))*J61*K61),"0")</f>
        <v>0</v>
      </c>
      <c r="M61" s="106">
        <f>L61*'1. Standard_Cost'!$F$4</f>
        <v>0</v>
      </c>
      <c r="N61" s="260"/>
      <c r="O61" s="260"/>
      <c r="P61" s="260"/>
      <c r="Q61" s="260"/>
      <c r="R61" s="108">
        <f>'1. Standard_Cost'!$B$15*N61*P61</f>
        <v>0</v>
      </c>
      <c r="S61" s="108">
        <f>N61*O61*P61*'1. Standard_Cost'!$C$15</f>
        <v>0</v>
      </c>
      <c r="T61" s="108">
        <f>N61*P61*Q61*'1. Standard_Cost'!$D$15</f>
        <v>0</v>
      </c>
      <c r="U61" s="108">
        <f>N61*O61*'1. Standard_Cost'!$E$15</f>
        <v>0</v>
      </c>
      <c r="V61" s="260"/>
      <c r="W61" s="260"/>
      <c r="X61" s="260"/>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83"/>
        <v>0</v>
      </c>
      <c r="AG61" s="260"/>
      <c r="AH61" s="260"/>
      <c r="AI61" s="260"/>
      <c r="AJ61" s="263"/>
      <c r="AK61" s="263"/>
      <c r="AL61" s="263"/>
      <c r="AM61" s="108">
        <f>AG61*'1. Standard_Cost'!$B$27+'Incremental_Cost Year 9'!AH61*'1. Standard_Cost'!$C$27+'Incremental_Cost Year 9'!AI61*'1. Standard_Cost'!$D$27+'Incremental_Cost Year 9'!AJ61+'Incremental_Cost Year 9'!AL61+AK61</f>
        <v>0</v>
      </c>
      <c r="AN61" s="108">
        <f>AM61*'1. Standard_Cost'!$C$31</f>
        <v>0</v>
      </c>
      <c r="AO61" s="125" t="s">
        <v>308</v>
      </c>
      <c r="AQ61" s="14">
        <f t="shared" si="84"/>
        <v>0</v>
      </c>
      <c r="AR61" s="14">
        <f t="shared" si="85"/>
        <v>0</v>
      </c>
      <c r="AS61" s="14">
        <f t="shared" si="86"/>
        <v>0</v>
      </c>
      <c r="AT61" s="14">
        <f t="shared" ref="AT61:AT78" si="88">SUM(AQ61,AR61,AS61)</f>
        <v>0</v>
      </c>
      <c r="AU61" s="234"/>
      <c r="AV61" s="234"/>
      <c r="AW61" s="234"/>
      <c r="AX61" s="234"/>
      <c r="AY61" s="234"/>
      <c r="AZ61" s="234"/>
      <c r="BA61" s="234"/>
      <c r="BB61" s="16">
        <f t="shared" si="87"/>
        <v>0</v>
      </c>
    </row>
    <row r="62" spans="1:54" ht="69" outlineLevel="2">
      <c r="A62" s="98"/>
      <c r="B62" s="102"/>
      <c r="C62" s="23"/>
      <c r="D62" s="269"/>
      <c r="E62" s="269"/>
      <c r="F62" s="251"/>
      <c r="G62" s="250"/>
      <c r="H62" s="272"/>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260"/>
      <c r="W62" s="260"/>
      <c r="X62" s="260"/>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83"/>
        <v>0</v>
      </c>
      <c r="AG62" s="260"/>
      <c r="AH62" s="260"/>
      <c r="AI62" s="260"/>
      <c r="AJ62" s="263"/>
      <c r="AK62" s="263"/>
      <c r="AL62" s="263"/>
      <c r="AM62" s="108">
        <f>AG62*'1. Standard_Cost'!$B$27+'Incremental_Cost Year 9'!AH62*'1. Standard_Cost'!$C$27+'Incremental_Cost Year 9'!AI62*'1. Standard_Cost'!$D$27+'Incremental_Cost Year 9'!AJ62+'Incremental_Cost Year 9'!AL62+AK62</f>
        <v>0</v>
      </c>
      <c r="AN62" s="108">
        <f>AM62*'1. Standard_Cost'!$C$31</f>
        <v>0</v>
      </c>
      <c r="AO62" s="125" t="s">
        <v>309</v>
      </c>
      <c r="AQ62" s="14">
        <f t="shared" si="84"/>
        <v>0</v>
      </c>
      <c r="AR62" s="14">
        <f t="shared" si="85"/>
        <v>0</v>
      </c>
      <c r="AS62" s="14">
        <f t="shared" si="86"/>
        <v>0</v>
      </c>
      <c r="AT62" s="14">
        <f t="shared" si="88"/>
        <v>0</v>
      </c>
      <c r="AU62" s="234"/>
      <c r="AV62" s="234"/>
      <c r="AW62" s="234"/>
      <c r="AX62" s="234"/>
      <c r="AY62" s="234"/>
      <c r="AZ62" s="234"/>
      <c r="BA62" s="234"/>
      <c r="BB62" s="16">
        <f t="shared" si="87"/>
        <v>0</v>
      </c>
    </row>
    <row r="63" spans="1:54" ht="27.6" outlineLevel="2">
      <c r="A63" s="98"/>
      <c r="B63" s="102"/>
      <c r="C63" s="23"/>
      <c r="D63" s="269"/>
      <c r="E63" s="269"/>
      <c r="F63" s="251"/>
      <c r="G63" s="250"/>
      <c r="H63" s="272"/>
      <c r="I63" s="258"/>
      <c r="J63" s="259"/>
      <c r="K63" s="259"/>
      <c r="L63" s="106" t="str">
        <f>IF(I63&lt;&gt;0,((VLOOKUP(I63,'1. Standard_Cost'!$B$4:$D$11,2)+VLOOKUP(I63,'1. Standard_Cost'!$B$4:$D$11,3))*J63*K63),"0")</f>
        <v>0</v>
      </c>
      <c r="M63" s="106">
        <f>L63*'1. Standard_Cost'!$F$4</f>
        <v>0</v>
      </c>
      <c r="N63" s="260"/>
      <c r="O63" s="260"/>
      <c r="P63" s="260"/>
      <c r="Q63" s="260"/>
      <c r="R63" s="108">
        <f>'1. Standard_Cost'!$B$15*N63*P63</f>
        <v>0</v>
      </c>
      <c r="S63" s="108">
        <f>N63*O63*P63*'1. Standard_Cost'!$C$15</f>
        <v>0</v>
      </c>
      <c r="T63" s="108">
        <f>N63*P63*Q63*'1. Standard_Cost'!$D$15</f>
        <v>0</v>
      </c>
      <c r="U63" s="108">
        <f>N63*O63*'1. Standard_Cost'!$E$15</f>
        <v>0</v>
      </c>
      <c r="V63" s="260"/>
      <c r="W63" s="260"/>
      <c r="X63" s="260"/>
      <c r="Y63" s="108">
        <f>+V63*((X63*'1. Standard_Cost'!$B$19)+(W63*X63*'1. Standard_Cost'!$C$19))</f>
        <v>0</v>
      </c>
      <c r="Z63" s="260"/>
      <c r="AA63" s="260"/>
      <c r="AB63" s="108">
        <f>+Z63*'1. Standard_Cost'!$B$23+AA63*'1. Standard_Cost'!$C$23</f>
        <v>0</v>
      </c>
      <c r="AC63" s="261"/>
      <c r="AD63" s="262"/>
      <c r="AE63" s="108">
        <f>SUM(AD63,AC63,AB63,Y63,U63,T63,S63,R63)*'1. Standard_Cost'!$B$31</f>
        <v>0</v>
      </c>
      <c r="AF63" s="108">
        <f t="shared" si="83"/>
        <v>0</v>
      </c>
      <c r="AG63" s="260"/>
      <c r="AH63" s="260"/>
      <c r="AI63" s="260"/>
      <c r="AJ63" s="263"/>
      <c r="AK63" s="263"/>
      <c r="AL63" s="263"/>
      <c r="AM63" s="108">
        <f>AG63*'1. Standard_Cost'!$B$27+'Incremental_Cost Year 9'!AH63*'1. Standard_Cost'!$C$27+'Incremental_Cost Year 9'!AI63*'1. Standard_Cost'!$D$27+'Incremental_Cost Year 9'!AJ63+'Incremental_Cost Year 9'!AL63+AK63</f>
        <v>0</v>
      </c>
      <c r="AN63" s="108">
        <f>AM63*'1. Standard_Cost'!$C$31</f>
        <v>0</v>
      </c>
      <c r="AO63" s="125" t="s">
        <v>310</v>
      </c>
      <c r="AQ63" s="14">
        <f t="shared" si="84"/>
        <v>0</v>
      </c>
      <c r="AR63" s="14">
        <f t="shared" si="85"/>
        <v>0</v>
      </c>
      <c r="AS63" s="14">
        <f t="shared" si="86"/>
        <v>0</v>
      </c>
      <c r="AT63" s="14">
        <f t="shared" si="88"/>
        <v>0</v>
      </c>
      <c r="AU63" s="234"/>
      <c r="AV63" s="234"/>
      <c r="AW63" s="234"/>
      <c r="AX63" s="234"/>
      <c r="AY63" s="234"/>
      <c r="AZ63" s="234"/>
      <c r="BA63" s="234"/>
      <c r="BB63" s="16">
        <f t="shared" si="87"/>
        <v>0</v>
      </c>
    </row>
    <row r="64" spans="1:54" ht="41.4" outlineLevel="2">
      <c r="A64" s="98"/>
      <c r="B64" s="102"/>
      <c r="C64" s="23"/>
      <c r="D64" s="269"/>
      <c r="E64" s="269"/>
      <c r="F64" s="251"/>
      <c r="G64" s="250"/>
      <c r="H64" s="272"/>
      <c r="I64" s="258"/>
      <c r="J64" s="259"/>
      <c r="K64" s="259"/>
      <c r="L64" s="106" t="str">
        <f>IF(I64&lt;&gt;0,((VLOOKUP(I64,'1. Standard_Cost'!$B$4:$D$11,2)+VLOOKUP(I64,'1. Standard_Cost'!$B$4:$D$11,3))*J64*K64),"0")</f>
        <v>0</v>
      </c>
      <c r="M64" s="106">
        <f>L64*'1. Standard_Cost'!$F$4</f>
        <v>0</v>
      </c>
      <c r="N64" s="260"/>
      <c r="O64" s="260"/>
      <c r="P64" s="260"/>
      <c r="Q64" s="260"/>
      <c r="R64" s="108">
        <f>'1. Standard_Cost'!$B$15*N64*P64</f>
        <v>0</v>
      </c>
      <c r="S64" s="108">
        <f>N64*O64*P64*'1. Standard_Cost'!$C$15</f>
        <v>0</v>
      </c>
      <c r="T64" s="108">
        <f>N64*P64*Q64*'1. Standard_Cost'!$D$15</f>
        <v>0</v>
      </c>
      <c r="U64" s="108">
        <f>N64*O64*'1. Standard_Cost'!$E$15</f>
        <v>0</v>
      </c>
      <c r="V64" s="260"/>
      <c r="W64" s="260"/>
      <c r="X64" s="260"/>
      <c r="Y64" s="108">
        <f>+V64*((X64*'1. Standard_Cost'!$B$19)+(W64*X64*'1. Standard_Cost'!$C$19))</f>
        <v>0</v>
      </c>
      <c r="Z64" s="260"/>
      <c r="AA64" s="260"/>
      <c r="AB64" s="108">
        <f>+Z64*'1. Standard_Cost'!$B$23+AA64*'1. Standard_Cost'!$C$23</f>
        <v>0</v>
      </c>
      <c r="AC64" s="261"/>
      <c r="AD64" s="262"/>
      <c r="AE64" s="108">
        <f>SUM(AD64,AC64,AB64,Y64,U64,T64,S64,R64)*'1. Standard_Cost'!$B$31</f>
        <v>0</v>
      </c>
      <c r="AF64" s="108">
        <f t="shared" si="83"/>
        <v>0</v>
      </c>
      <c r="AG64" s="260"/>
      <c r="AH64" s="260"/>
      <c r="AI64" s="260"/>
      <c r="AJ64" s="263"/>
      <c r="AK64" s="263"/>
      <c r="AL64" s="263"/>
      <c r="AM64" s="108">
        <f>AG64*'1. Standard_Cost'!$B$27+'Incremental_Cost Year 9'!AH64*'1. Standard_Cost'!$C$27+'Incremental_Cost Year 9'!AI64*'1. Standard_Cost'!$D$27+'Incremental_Cost Year 9'!AJ64+'Incremental_Cost Year 9'!AL64+AK64</f>
        <v>0</v>
      </c>
      <c r="AN64" s="108">
        <f>AM64*'1. Standard_Cost'!$C$31</f>
        <v>0</v>
      </c>
      <c r="AO64" s="125" t="s">
        <v>311</v>
      </c>
      <c r="AQ64" s="14">
        <f t="shared" si="84"/>
        <v>0</v>
      </c>
      <c r="AR64" s="14">
        <f t="shared" si="85"/>
        <v>0</v>
      </c>
      <c r="AS64" s="14">
        <f t="shared" si="86"/>
        <v>0</v>
      </c>
      <c r="AT64" s="14">
        <f t="shared" si="88"/>
        <v>0</v>
      </c>
      <c r="AU64" s="234"/>
      <c r="AV64" s="234"/>
      <c r="AW64" s="234"/>
      <c r="AX64" s="234"/>
      <c r="AY64" s="234"/>
      <c r="AZ64" s="234"/>
      <c r="BA64" s="234"/>
      <c r="BB64" s="16">
        <f t="shared" si="87"/>
        <v>0</v>
      </c>
    </row>
    <row r="65" spans="1:54" ht="15.6" outlineLevel="2">
      <c r="A65" s="98"/>
      <c r="B65" s="102"/>
      <c r="C65" s="23"/>
      <c r="D65" s="269"/>
      <c r="E65" s="269"/>
      <c r="F65" s="251"/>
      <c r="G65" s="250"/>
      <c r="H65" s="272"/>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260"/>
      <c r="W65" s="260"/>
      <c r="X65" s="260"/>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83"/>
        <v>0</v>
      </c>
      <c r="AG65" s="260"/>
      <c r="AH65" s="260"/>
      <c r="AI65" s="260"/>
      <c r="AJ65" s="263"/>
      <c r="AK65" s="263"/>
      <c r="AL65" s="263"/>
      <c r="AM65" s="108">
        <f>AG65*'1. Standard_Cost'!$B$27+'Incremental_Cost Year 9'!AH65*'1. Standard_Cost'!$C$27+'Incremental_Cost Year 9'!AI65*'1. Standard_Cost'!$D$27+'Incremental_Cost Year 9'!AJ65+'Incremental_Cost Year 9'!AL65+AK65</f>
        <v>0</v>
      </c>
      <c r="AN65" s="108">
        <f>AM65*'1. Standard_Cost'!$C$31</f>
        <v>0</v>
      </c>
      <c r="AO65" s="125" t="s">
        <v>312</v>
      </c>
      <c r="AQ65" s="14">
        <f t="shared" si="84"/>
        <v>0</v>
      </c>
      <c r="AR65" s="14">
        <f t="shared" si="85"/>
        <v>0</v>
      </c>
      <c r="AS65" s="14">
        <f t="shared" si="86"/>
        <v>0</v>
      </c>
      <c r="AT65" s="14">
        <f t="shared" si="88"/>
        <v>0</v>
      </c>
      <c r="AU65" s="234"/>
      <c r="AV65" s="234"/>
      <c r="AW65" s="234"/>
      <c r="AX65" s="234"/>
      <c r="AY65" s="234"/>
      <c r="AZ65" s="234"/>
      <c r="BA65" s="234"/>
      <c r="BB65" s="16">
        <f t="shared" si="87"/>
        <v>0</v>
      </c>
    </row>
    <row r="66" spans="1:54" ht="15.6" outlineLevel="2">
      <c r="A66" s="98"/>
      <c r="B66" s="102"/>
      <c r="C66" s="23"/>
      <c r="D66" s="269"/>
      <c r="E66" s="269"/>
      <c r="F66" s="251"/>
      <c r="G66" s="250"/>
      <c r="H66" s="272"/>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260"/>
      <c r="W66" s="260"/>
      <c r="X66" s="260"/>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83"/>
        <v>0</v>
      </c>
      <c r="AG66" s="260"/>
      <c r="AH66" s="260"/>
      <c r="AI66" s="260"/>
      <c r="AJ66" s="263"/>
      <c r="AK66" s="263"/>
      <c r="AL66" s="263"/>
      <c r="AM66" s="108">
        <f>AG66*'1. Standard_Cost'!$B$27+'Incremental_Cost Year 9'!AH66*'1. Standard_Cost'!$C$27+'Incremental_Cost Year 9'!AI66*'1. Standard_Cost'!$D$27+'Incremental_Cost Year 9'!AJ66+'Incremental_Cost Year 9'!AL66+AK66</f>
        <v>0</v>
      </c>
      <c r="AN66" s="108">
        <f>AM66*'1. Standard_Cost'!$C$31</f>
        <v>0</v>
      </c>
      <c r="AO66" s="125" t="s">
        <v>313</v>
      </c>
      <c r="AQ66" s="14">
        <f t="shared" si="84"/>
        <v>0</v>
      </c>
      <c r="AR66" s="14">
        <f t="shared" si="85"/>
        <v>0</v>
      </c>
      <c r="AS66" s="14">
        <f t="shared" si="86"/>
        <v>0</v>
      </c>
      <c r="AT66" s="14">
        <f t="shared" si="88"/>
        <v>0</v>
      </c>
      <c r="AU66" s="234"/>
      <c r="AV66" s="234"/>
      <c r="AW66" s="234"/>
      <c r="AX66" s="234"/>
      <c r="AY66" s="234"/>
      <c r="AZ66" s="234"/>
      <c r="BA66" s="234"/>
      <c r="BB66" s="16">
        <f t="shared" si="87"/>
        <v>0</v>
      </c>
    </row>
    <row r="67" spans="1:54" ht="15.6" outlineLevel="2">
      <c r="A67" s="98"/>
      <c r="B67" s="102"/>
      <c r="C67" s="23"/>
      <c r="D67" s="269"/>
      <c r="E67" s="269"/>
      <c r="F67" s="251"/>
      <c r="G67" s="173"/>
      <c r="H67" s="272"/>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260"/>
      <c r="W67" s="260"/>
      <c r="X67" s="260"/>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83"/>
        <v>0</v>
      </c>
      <c r="AG67" s="260"/>
      <c r="AH67" s="260"/>
      <c r="AI67" s="260"/>
      <c r="AJ67" s="263"/>
      <c r="AK67" s="263"/>
      <c r="AL67" s="263"/>
      <c r="AM67" s="108">
        <f>AG67*'1. Standard_Cost'!$B$27+'Incremental_Cost Year 9'!AH67*'1. Standard_Cost'!$C$27+'Incremental_Cost Year 9'!AI67*'1. Standard_Cost'!$D$27+'Incremental_Cost Year 9'!AJ67+'Incremental_Cost Year 9'!AL67+AK67</f>
        <v>0</v>
      </c>
      <c r="AN67" s="108">
        <f>AM67*'1. Standard_Cost'!$C$31</f>
        <v>0</v>
      </c>
      <c r="AO67" s="125" t="s">
        <v>313</v>
      </c>
      <c r="AQ67" s="14">
        <f t="shared" si="84"/>
        <v>0</v>
      </c>
      <c r="AR67" s="14">
        <f t="shared" si="85"/>
        <v>0</v>
      </c>
      <c r="AS67" s="14">
        <f t="shared" si="86"/>
        <v>0</v>
      </c>
      <c r="AT67" s="14">
        <f t="shared" si="88"/>
        <v>0</v>
      </c>
      <c r="AU67" s="234"/>
      <c r="AV67" s="234"/>
      <c r="AW67" s="234"/>
      <c r="AX67" s="234"/>
      <c r="AY67" s="234"/>
      <c r="AZ67" s="234"/>
      <c r="BA67" s="234"/>
      <c r="BB67" s="16">
        <f t="shared" si="87"/>
        <v>0</v>
      </c>
    </row>
    <row r="68" spans="1:54" ht="15.6" outlineLevel="2">
      <c r="A68" s="98"/>
      <c r="B68" s="102"/>
      <c r="C68" s="23"/>
      <c r="D68" s="269"/>
      <c r="E68" s="269"/>
      <c r="F68" s="251"/>
      <c r="G68" s="173"/>
      <c r="H68" s="272"/>
      <c r="I68" s="258"/>
      <c r="J68" s="259"/>
      <c r="K68" s="259"/>
      <c r="L68" s="106" t="str">
        <f>IF(I68&lt;&gt;0,((VLOOKUP(I68,'1. Standard_Cost'!$B$4:$D$11,2)+VLOOKUP(I68,'1. Standard_Cost'!$B$4:$D$11,3))*J68*K68),"0")</f>
        <v>0</v>
      </c>
      <c r="M68" s="106">
        <f>L68*'1. Standard_Cost'!$F$4</f>
        <v>0</v>
      </c>
      <c r="N68" s="260"/>
      <c r="O68" s="260"/>
      <c r="P68" s="260"/>
      <c r="Q68" s="260"/>
      <c r="R68" s="108">
        <f>'1. Standard_Cost'!$B$15*N68*P68</f>
        <v>0</v>
      </c>
      <c r="S68" s="108">
        <f>N68*O68*P68*'1. Standard_Cost'!$C$15</f>
        <v>0</v>
      </c>
      <c r="T68" s="108">
        <f>N68*P68*Q68*'1. Standard_Cost'!$D$15</f>
        <v>0</v>
      </c>
      <c r="U68" s="108">
        <f>N68*O68*'1. Standard_Cost'!$E$15</f>
        <v>0</v>
      </c>
      <c r="V68" s="260"/>
      <c r="W68" s="260"/>
      <c r="X68" s="260"/>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83"/>
        <v>0</v>
      </c>
      <c r="AG68" s="260"/>
      <c r="AH68" s="260"/>
      <c r="AI68" s="260"/>
      <c r="AJ68" s="263"/>
      <c r="AK68" s="263"/>
      <c r="AL68" s="263"/>
      <c r="AM68" s="108">
        <f>AG68*'1. Standard_Cost'!$B$27+'Incremental_Cost Year 9'!AH68*'1. Standard_Cost'!$C$27+'Incremental_Cost Year 9'!AI68*'1. Standard_Cost'!$D$27+'Incremental_Cost Year 9'!AJ68+'Incremental_Cost Year 9'!AL68+AK68</f>
        <v>0</v>
      </c>
      <c r="AN68" s="108">
        <f>AM68*'1. Standard_Cost'!$C$31</f>
        <v>0</v>
      </c>
      <c r="AO68" s="125" t="s">
        <v>314</v>
      </c>
      <c r="AQ68" s="14">
        <f t="shared" si="84"/>
        <v>0</v>
      </c>
      <c r="AR68" s="14">
        <f t="shared" si="85"/>
        <v>0</v>
      </c>
      <c r="AS68" s="14">
        <f t="shared" si="86"/>
        <v>0</v>
      </c>
      <c r="AT68" s="14">
        <f t="shared" si="88"/>
        <v>0</v>
      </c>
      <c r="AU68" s="234"/>
      <c r="AV68" s="234"/>
      <c r="AW68" s="234"/>
      <c r="AX68" s="234"/>
      <c r="AY68" s="234"/>
      <c r="AZ68" s="234"/>
      <c r="BA68" s="234"/>
      <c r="BB68" s="16">
        <f t="shared" si="87"/>
        <v>0</v>
      </c>
    </row>
    <row r="69" spans="1:54" ht="27.6" outlineLevel="2">
      <c r="A69" s="98"/>
      <c r="B69" s="102"/>
      <c r="C69" s="23"/>
      <c r="D69" s="269"/>
      <c r="E69" s="269"/>
      <c r="F69" s="251"/>
      <c r="G69" s="250"/>
      <c r="H69" s="272"/>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260"/>
      <c r="W69" s="260"/>
      <c r="X69" s="260"/>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83"/>
        <v>0</v>
      </c>
      <c r="AG69" s="260"/>
      <c r="AH69" s="260"/>
      <c r="AI69" s="260"/>
      <c r="AJ69" s="263"/>
      <c r="AK69" s="263"/>
      <c r="AL69" s="263"/>
      <c r="AM69" s="108">
        <f>AG69*'1. Standard_Cost'!$B$27+'Incremental_Cost Year 9'!AH69*'1. Standard_Cost'!$C$27+'Incremental_Cost Year 9'!AI69*'1. Standard_Cost'!$D$27+'Incremental_Cost Year 9'!AJ69+'Incremental_Cost Year 9'!AL69+AK69</f>
        <v>0</v>
      </c>
      <c r="AN69" s="108">
        <f>AM69*'1. Standard_Cost'!$C$31</f>
        <v>0</v>
      </c>
      <c r="AO69" s="125" t="s">
        <v>315</v>
      </c>
      <c r="AQ69" s="14">
        <f t="shared" si="84"/>
        <v>0</v>
      </c>
      <c r="AR69" s="14">
        <f t="shared" si="85"/>
        <v>0</v>
      </c>
      <c r="AS69" s="14">
        <f t="shared" si="86"/>
        <v>0</v>
      </c>
      <c r="AT69" s="14">
        <f t="shared" si="88"/>
        <v>0</v>
      </c>
      <c r="AU69" s="234"/>
      <c r="AV69" s="234"/>
      <c r="AW69" s="234"/>
      <c r="AX69" s="234"/>
      <c r="AY69" s="234"/>
      <c r="AZ69" s="234"/>
      <c r="BA69" s="234"/>
      <c r="BB69" s="16">
        <f t="shared" si="87"/>
        <v>0</v>
      </c>
    </row>
    <row r="70" spans="1:54" ht="27.6" outlineLevel="2">
      <c r="A70" s="98"/>
      <c r="B70" s="102"/>
      <c r="C70" s="23"/>
      <c r="D70" s="269"/>
      <c r="E70" s="269"/>
      <c r="F70" s="251"/>
      <c r="G70" s="250"/>
      <c r="H70" s="272"/>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260"/>
      <c r="W70" s="260"/>
      <c r="X70" s="260"/>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83"/>
        <v>0</v>
      </c>
      <c r="AG70" s="260"/>
      <c r="AH70" s="260"/>
      <c r="AI70" s="260"/>
      <c r="AJ70" s="263"/>
      <c r="AK70" s="263"/>
      <c r="AL70" s="263"/>
      <c r="AM70" s="108">
        <f>AG70*'1. Standard_Cost'!$B$27+'Incremental_Cost Year 9'!AH70*'1. Standard_Cost'!$C$27+'Incremental_Cost Year 9'!AI70*'1. Standard_Cost'!$D$27+'Incremental_Cost Year 9'!AJ70+'Incremental_Cost Year 9'!AL70+AK70</f>
        <v>0</v>
      </c>
      <c r="AN70" s="108">
        <f>AM70*'1. Standard_Cost'!$C$31</f>
        <v>0</v>
      </c>
      <c r="AO70" s="125" t="s">
        <v>315</v>
      </c>
      <c r="AQ70" s="14">
        <f t="shared" si="84"/>
        <v>0</v>
      </c>
      <c r="AR70" s="14">
        <f t="shared" si="85"/>
        <v>0</v>
      </c>
      <c r="AS70" s="14">
        <f t="shared" si="86"/>
        <v>0</v>
      </c>
      <c r="AT70" s="14">
        <f t="shared" si="88"/>
        <v>0</v>
      </c>
      <c r="AU70" s="234"/>
      <c r="AV70" s="234"/>
      <c r="AW70" s="234"/>
      <c r="AX70" s="234"/>
      <c r="AY70" s="234"/>
      <c r="AZ70" s="234"/>
      <c r="BA70" s="234"/>
      <c r="BB70" s="16">
        <f t="shared" si="87"/>
        <v>0</v>
      </c>
    </row>
    <row r="71" spans="1:54" ht="27.6" outlineLevel="2">
      <c r="A71" s="98"/>
      <c r="B71" s="102"/>
      <c r="C71" s="23"/>
      <c r="D71" s="269"/>
      <c r="E71" s="269"/>
      <c r="F71" s="251"/>
      <c r="G71" s="250"/>
      <c r="H71" s="272"/>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260"/>
      <c r="W71" s="260"/>
      <c r="X71" s="260"/>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83"/>
        <v>0</v>
      </c>
      <c r="AG71" s="260"/>
      <c r="AH71" s="260"/>
      <c r="AI71" s="260"/>
      <c r="AJ71" s="263"/>
      <c r="AK71" s="263"/>
      <c r="AL71" s="263"/>
      <c r="AM71" s="108">
        <f>AG71*'1. Standard_Cost'!$B$27+'Incremental_Cost Year 9'!AH71*'1. Standard_Cost'!$C$27+'Incremental_Cost Year 9'!AI71*'1. Standard_Cost'!$D$27+'Incremental_Cost Year 9'!AJ71+'Incremental_Cost Year 9'!AL71+AK71</f>
        <v>0</v>
      </c>
      <c r="AN71" s="108">
        <f>AM71*'1. Standard_Cost'!$C$31</f>
        <v>0</v>
      </c>
      <c r="AO71" s="125" t="s">
        <v>316</v>
      </c>
      <c r="AQ71" s="14">
        <f t="shared" si="84"/>
        <v>0</v>
      </c>
      <c r="AR71" s="14">
        <f t="shared" si="85"/>
        <v>0</v>
      </c>
      <c r="AS71" s="14">
        <f t="shared" si="86"/>
        <v>0</v>
      </c>
      <c r="AT71" s="14">
        <f t="shared" si="88"/>
        <v>0</v>
      </c>
      <c r="AU71" s="234"/>
      <c r="AV71" s="234"/>
      <c r="AW71" s="234"/>
      <c r="AX71" s="234"/>
      <c r="AY71" s="234"/>
      <c r="AZ71" s="234"/>
      <c r="BA71" s="234"/>
      <c r="BB71" s="16">
        <f t="shared" si="87"/>
        <v>0</v>
      </c>
    </row>
    <row r="72" spans="1:54" ht="15.6" outlineLevel="2">
      <c r="A72" s="98"/>
      <c r="B72" s="102"/>
      <c r="C72" s="23"/>
      <c r="D72" s="269"/>
      <c r="E72" s="269"/>
      <c r="F72" s="251"/>
      <c r="G72" s="250"/>
      <c r="H72" s="272"/>
      <c r="I72" s="258"/>
      <c r="J72" s="259"/>
      <c r="K72" s="259"/>
      <c r="L72" s="106" t="str">
        <f>IF(I72&lt;&gt;0,((VLOOKUP(I72,'1. Standard_Cost'!$B$4:$D$11,2)+VLOOKUP(I72,'1. Standard_Cost'!$B$4:$D$11,3))*J72*K72),"0")</f>
        <v>0</v>
      </c>
      <c r="M72" s="106">
        <f>L72*'1. Standard_Cost'!$F$4</f>
        <v>0</v>
      </c>
      <c r="N72" s="260"/>
      <c r="O72" s="260"/>
      <c r="P72" s="260"/>
      <c r="Q72" s="260"/>
      <c r="R72" s="108">
        <f>'1. Standard_Cost'!$B$15*N72*P72</f>
        <v>0</v>
      </c>
      <c r="S72" s="108">
        <f>N72*O72*P72*'1. Standard_Cost'!$C$15</f>
        <v>0</v>
      </c>
      <c r="T72" s="108">
        <f>N72*P72*Q72*'1. Standard_Cost'!$D$15</f>
        <v>0</v>
      </c>
      <c r="U72" s="108">
        <f>N72*O72*'1. Standard_Cost'!$E$15</f>
        <v>0</v>
      </c>
      <c r="V72" s="260"/>
      <c r="W72" s="260"/>
      <c r="X72" s="260"/>
      <c r="Y72" s="108">
        <f>+V72*((X72*'1. Standard_Cost'!$B$19)+(W72*X72*'1. Standard_Cost'!$C$19))</f>
        <v>0</v>
      </c>
      <c r="Z72" s="260"/>
      <c r="AA72" s="260"/>
      <c r="AB72" s="108">
        <f>+Z72*'1. Standard_Cost'!$B$23+AA72*'1. Standard_Cost'!$C$23</f>
        <v>0</v>
      </c>
      <c r="AC72" s="261"/>
      <c r="AD72" s="262"/>
      <c r="AE72" s="108">
        <f>SUM(AD72,AC72,AB72,Y72,U72,T72,S72,R72)*'1. Standard_Cost'!$B$31</f>
        <v>0</v>
      </c>
      <c r="AF72" s="108">
        <f t="shared" si="83"/>
        <v>0</v>
      </c>
      <c r="AG72" s="260"/>
      <c r="AH72" s="260"/>
      <c r="AI72" s="260"/>
      <c r="AJ72" s="263"/>
      <c r="AK72" s="263"/>
      <c r="AL72" s="263"/>
      <c r="AM72" s="108">
        <f>AG72*'1. Standard_Cost'!$B$27+'Incremental_Cost Year 9'!AH72*'1. Standard_Cost'!$C$27+'Incremental_Cost Year 9'!AI72*'1. Standard_Cost'!$D$27+'Incremental_Cost Year 9'!AJ72+'Incremental_Cost Year 9'!AL72+AK72</f>
        <v>0</v>
      </c>
      <c r="AN72" s="108">
        <f>AM72*'1. Standard_Cost'!$C$31</f>
        <v>0</v>
      </c>
      <c r="AO72" s="125" t="s">
        <v>317</v>
      </c>
      <c r="AQ72" s="14">
        <f t="shared" si="84"/>
        <v>0</v>
      </c>
      <c r="AR72" s="14">
        <f t="shared" si="85"/>
        <v>0</v>
      </c>
      <c r="AS72" s="14">
        <f t="shared" si="86"/>
        <v>0</v>
      </c>
      <c r="AT72" s="14">
        <f t="shared" si="88"/>
        <v>0</v>
      </c>
      <c r="AU72" s="234"/>
      <c r="AV72" s="234"/>
      <c r="AW72" s="234"/>
      <c r="AX72" s="234"/>
      <c r="AY72" s="234"/>
      <c r="AZ72" s="234"/>
      <c r="BA72" s="234"/>
      <c r="BB72" s="16">
        <f t="shared" si="87"/>
        <v>0</v>
      </c>
    </row>
    <row r="73" spans="1:54" ht="27.6" outlineLevel="2">
      <c r="A73" s="98"/>
      <c r="B73" s="102"/>
      <c r="C73" s="23"/>
      <c r="D73" s="251"/>
      <c r="E73" s="251"/>
      <c r="F73" s="251"/>
      <c r="G73" s="173"/>
      <c r="H73" s="272"/>
      <c r="I73" s="258"/>
      <c r="J73" s="259"/>
      <c r="K73" s="259"/>
      <c r="L73" s="106" t="str">
        <f>IF(I73&lt;&gt;0,((VLOOKUP(I73,'1. Standard_Cost'!$B$4:$D$11,2)+VLOOKUP(I73,'1. Standard_Cost'!$B$4:$D$11,3))*J73*K73),"0")</f>
        <v>0</v>
      </c>
      <c r="M73" s="106">
        <f>L73*'1. Standard_Cost'!$F$4</f>
        <v>0</v>
      </c>
      <c r="N73" s="260"/>
      <c r="O73" s="260"/>
      <c r="P73" s="260"/>
      <c r="Q73" s="260"/>
      <c r="R73" s="108">
        <f>'1. Standard_Cost'!$B$15*N73*P73</f>
        <v>0</v>
      </c>
      <c r="S73" s="108">
        <f>N73*O73*P73*'1. Standard_Cost'!$C$15</f>
        <v>0</v>
      </c>
      <c r="T73" s="108">
        <f>N73*P73*Q73*'1. Standard_Cost'!$D$15</f>
        <v>0</v>
      </c>
      <c r="U73" s="108">
        <f>N73*O73*'1. Standard_Cost'!$E$15</f>
        <v>0</v>
      </c>
      <c r="V73" s="260"/>
      <c r="W73" s="260"/>
      <c r="X73" s="260"/>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83"/>
        <v>0</v>
      </c>
      <c r="AG73" s="260"/>
      <c r="AH73" s="260"/>
      <c r="AI73" s="260"/>
      <c r="AJ73" s="263"/>
      <c r="AK73" s="263"/>
      <c r="AL73" s="263"/>
      <c r="AM73" s="108">
        <f>AG73*'1. Standard_Cost'!$B$27+'Incremental_Cost Year 9'!AH73*'1. Standard_Cost'!$C$27+'Incremental_Cost Year 9'!AI73*'1. Standard_Cost'!$D$27+'Incremental_Cost Year 9'!AJ73+'Incremental_Cost Year 9'!AL73+AK73</f>
        <v>0</v>
      </c>
      <c r="AN73" s="108">
        <f>AM73*'1. Standard_Cost'!$C$31</f>
        <v>0</v>
      </c>
      <c r="AO73" s="125" t="s">
        <v>318</v>
      </c>
      <c r="AQ73" s="14">
        <f t="shared" si="84"/>
        <v>0</v>
      </c>
      <c r="AR73" s="14">
        <f t="shared" si="85"/>
        <v>0</v>
      </c>
      <c r="AS73" s="14">
        <f t="shared" si="86"/>
        <v>0</v>
      </c>
      <c r="AT73" s="14">
        <f t="shared" si="88"/>
        <v>0</v>
      </c>
      <c r="AU73" s="234"/>
      <c r="AV73" s="234"/>
      <c r="AW73" s="234"/>
      <c r="AX73" s="234"/>
      <c r="AY73" s="234"/>
      <c r="AZ73" s="234"/>
      <c r="BA73" s="234"/>
      <c r="BB73" s="16">
        <f t="shared" si="87"/>
        <v>0</v>
      </c>
    </row>
    <row r="74" spans="1:54" ht="41.4" outlineLevel="2">
      <c r="A74" s="98"/>
      <c r="B74" s="102"/>
      <c r="C74" s="23"/>
      <c r="D74" s="251"/>
      <c r="E74" s="251"/>
      <c r="F74" s="251"/>
      <c r="G74" s="250"/>
      <c r="H74" s="272"/>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260"/>
      <c r="W74" s="260"/>
      <c r="X74" s="260"/>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83"/>
        <v>0</v>
      </c>
      <c r="AG74" s="260"/>
      <c r="AH74" s="260"/>
      <c r="AI74" s="260"/>
      <c r="AJ74" s="263"/>
      <c r="AK74" s="263"/>
      <c r="AL74" s="263"/>
      <c r="AM74" s="108">
        <f>AG74*'1. Standard_Cost'!$B$27+'Incremental_Cost Year 9'!AH74*'1. Standard_Cost'!$C$27+'Incremental_Cost Year 9'!AI74*'1. Standard_Cost'!$D$27+'Incremental_Cost Year 9'!AJ74+'Incremental_Cost Year 9'!AL74+AK74</f>
        <v>0</v>
      </c>
      <c r="AN74" s="108">
        <f>AM74*'1. Standard_Cost'!$C$31</f>
        <v>0</v>
      </c>
      <c r="AO74" s="125" t="s">
        <v>319</v>
      </c>
      <c r="AQ74" s="14">
        <f t="shared" si="84"/>
        <v>0</v>
      </c>
      <c r="AR74" s="14">
        <f t="shared" si="85"/>
        <v>0</v>
      </c>
      <c r="AS74" s="14">
        <f t="shared" si="86"/>
        <v>0</v>
      </c>
      <c r="AT74" s="14">
        <f t="shared" si="88"/>
        <v>0</v>
      </c>
      <c r="AU74" s="234"/>
      <c r="AV74" s="234"/>
      <c r="AW74" s="234"/>
      <c r="AX74" s="234"/>
      <c r="AY74" s="234"/>
      <c r="AZ74" s="234"/>
      <c r="BA74" s="234"/>
      <c r="BB74" s="16">
        <f t="shared" si="87"/>
        <v>0</v>
      </c>
    </row>
    <row r="75" spans="1:54" ht="15.6" outlineLevel="2">
      <c r="A75" s="98"/>
      <c r="B75" s="102"/>
      <c r="C75" s="23"/>
      <c r="D75" s="251"/>
      <c r="E75" s="251"/>
      <c r="F75" s="251"/>
      <c r="G75" s="250"/>
      <c r="H75" s="272"/>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260"/>
      <c r="W75" s="260"/>
      <c r="X75" s="260"/>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83"/>
        <v>0</v>
      </c>
      <c r="AG75" s="260"/>
      <c r="AH75" s="260"/>
      <c r="AI75" s="260"/>
      <c r="AJ75" s="263"/>
      <c r="AK75" s="263"/>
      <c r="AL75" s="263"/>
      <c r="AM75" s="108">
        <f>AG75*'1. Standard_Cost'!$B$27+'Incremental_Cost Year 9'!AH75*'1. Standard_Cost'!$C$27+'Incremental_Cost Year 9'!AI75*'1. Standard_Cost'!$D$27+'Incremental_Cost Year 9'!AJ75+'Incremental_Cost Year 9'!AL75+AK75</f>
        <v>0</v>
      </c>
      <c r="AN75" s="108">
        <f>AM75*'1. Standard_Cost'!$C$31</f>
        <v>0</v>
      </c>
      <c r="AO75" s="125" t="s">
        <v>320</v>
      </c>
      <c r="AQ75" s="14">
        <f t="shared" si="84"/>
        <v>0</v>
      </c>
      <c r="AR75" s="14">
        <f t="shared" si="85"/>
        <v>0</v>
      </c>
      <c r="AS75" s="14">
        <f t="shared" si="86"/>
        <v>0</v>
      </c>
      <c r="AT75" s="14">
        <f t="shared" si="88"/>
        <v>0</v>
      </c>
      <c r="AU75" s="234"/>
      <c r="AV75" s="234"/>
      <c r="AW75" s="234"/>
      <c r="AX75" s="234"/>
      <c r="AY75" s="234"/>
      <c r="AZ75" s="234"/>
      <c r="BA75" s="234"/>
      <c r="BB75" s="16">
        <f t="shared" si="87"/>
        <v>0</v>
      </c>
    </row>
    <row r="76" spans="1:54" ht="69" outlineLevel="2">
      <c r="A76" s="98"/>
      <c r="B76" s="102"/>
      <c r="C76" s="23"/>
      <c r="D76" s="251"/>
      <c r="E76" s="251"/>
      <c r="F76" s="251"/>
      <c r="G76" s="250"/>
      <c r="H76" s="272"/>
      <c r="I76" s="258"/>
      <c r="J76" s="259"/>
      <c r="K76" s="259"/>
      <c r="L76" s="106" t="str">
        <f>IF(I76&lt;&gt;0,((VLOOKUP(I76,'1. Standard_Cost'!$B$4:$D$11,2)+VLOOKUP(I76,'1. Standard_Cost'!$B$4:$D$11,3))*J76*K76),"0")</f>
        <v>0</v>
      </c>
      <c r="M76" s="106">
        <f>L76*'1. Standard_Cost'!$F$4</f>
        <v>0</v>
      </c>
      <c r="N76" s="260"/>
      <c r="O76" s="260"/>
      <c r="P76" s="260"/>
      <c r="Q76" s="260"/>
      <c r="R76" s="108">
        <f>'1. Standard_Cost'!$B$15*N76*P76</f>
        <v>0</v>
      </c>
      <c r="S76" s="108">
        <f>N76*O76*P76*'1. Standard_Cost'!$C$15</f>
        <v>0</v>
      </c>
      <c r="T76" s="108">
        <f>N76*P76*Q76*'1. Standard_Cost'!$D$15</f>
        <v>0</v>
      </c>
      <c r="U76" s="108">
        <f>N76*O76*'1. Standard_Cost'!$E$15</f>
        <v>0</v>
      </c>
      <c r="V76" s="260"/>
      <c r="W76" s="260"/>
      <c r="X76" s="260"/>
      <c r="Y76" s="108">
        <f>+V76*((X76*'1. Standard_Cost'!$B$19)+(W76*X76*'1. Standard_Cost'!$C$19))</f>
        <v>0</v>
      </c>
      <c r="Z76" s="260"/>
      <c r="AA76" s="260"/>
      <c r="AB76" s="108">
        <f>+Z76*'1. Standard_Cost'!$B$23+AA76*'1. Standard_Cost'!$C$23</f>
        <v>0</v>
      </c>
      <c r="AC76" s="261"/>
      <c r="AD76" s="262"/>
      <c r="AE76" s="108">
        <f>SUM(AD76,AC76,AB76,Y76,U76,T76,S76,R76)*'1. Standard_Cost'!$B$31</f>
        <v>0</v>
      </c>
      <c r="AF76" s="108">
        <f t="shared" si="83"/>
        <v>0</v>
      </c>
      <c r="AG76" s="260"/>
      <c r="AH76" s="260"/>
      <c r="AI76" s="260"/>
      <c r="AJ76" s="263"/>
      <c r="AK76" s="263"/>
      <c r="AL76" s="263"/>
      <c r="AM76" s="108">
        <f>AG76*'1. Standard_Cost'!$B$27+'Incremental_Cost Year 9'!AH76*'1. Standard_Cost'!$C$27+'Incremental_Cost Year 9'!AI76*'1. Standard_Cost'!$D$27+'Incremental_Cost Year 9'!AJ76+'Incremental_Cost Year 9'!AL76+AK76</f>
        <v>0</v>
      </c>
      <c r="AN76" s="108">
        <f>AM76*'1. Standard_Cost'!$C$31</f>
        <v>0</v>
      </c>
      <c r="AO76" s="125" t="s">
        <v>321</v>
      </c>
      <c r="AQ76" s="14">
        <f t="shared" si="84"/>
        <v>0</v>
      </c>
      <c r="AR76" s="14">
        <f t="shared" si="85"/>
        <v>0</v>
      </c>
      <c r="AS76" s="14">
        <f t="shared" si="86"/>
        <v>0</v>
      </c>
      <c r="AT76" s="14">
        <f t="shared" si="88"/>
        <v>0</v>
      </c>
      <c r="AU76" s="234"/>
      <c r="AV76" s="234"/>
      <c r="AW76" s="234"/>
      <c r="AX76" s="234"/>
      <c r="AY76" s="234"/>
      <c r="AZ76" s="234"/>
      <c r="BA76" s="234"/>
      <c r="BB76" s="16">
        <f t="shared" si="87"/>
        <v>0</v>
      </c>
    </row>
    <row r="77" spans="1:54" ht="27.6" outlineLevel="2">
      <c r="A77" s="98"/>
      <c r="B77" s="102"/>
      <c r="C77" s="23"/>
      <c r="D77" s="251"/>
      <c r="E77" s="251"/>
      <c r="F77" s="251"/>
      <c r="G77" s="250"/>
      <c r="H77" s="272"/>
      <c r="I77" s="258"/>
      <c r="J77" s="259"/>
      <c r="K77" s="259"/>
      <c r="L77" s="106" t="str">
        <f>IF(I77&lt;&gt;0,((VLOOKUP(I77,'1. Standard_Cost'!$B$4:$D$11,2)+VLOOKUP(I77,'1. Standard_Cost'!$B$4:$D$11,3))*J77*K77),"0")</f>
        <v>0</v>
      </c>
      <c r="M77" s="106">
        <f>L77*'1. Standard_Cost'!$F$4</f>
        <v>0</v>
      </c>
      <c r="N77" s="260"/>
      <c r="O77" s="260"/>
      <c r="P77" s="260"/>
      <c r="Q77" s="260"/>
      <c r="R77" s="108">
        <f>'1. Standard_Cost'!$B$15*N77*P77</f>
        <v>0</v>
      </c>
      <c r="S77" s="108">
        <f>N77*O77*P77*'1. Standard_Cost'!$C$15</f>
        <v>0</v>
      </c>
      <c r="T77" s="108">
        <f>N77*P77*Q77*'1. Standard_Cost'!$D$15</f>
        <v>0</v>
      </c>
      <c r="U77" s="108">
        <f>N77*O77*'1. Standard_Cost'!$E$15</f>
        <v>0</v>
      </c>
      <c r="V77" s="260"/>
      <c r="W77" s="260"/>
      <c r="X77" s="260"/>
      <c r="Y77" s="108">
        <f>+V77*((X77*'1. Standard_Cost'!$B$19)+(W77*X77*'1. Standard_Cost'!$C$19))</f>
        <v>0</v>
      </c>
      <c r="Z77" s="260"/>
      <c r="AA77" s="260"/>
      <c r="AB77" s="108">
        <f>+Z77*'1. Standard_Cost'!$B$23+AA77*'1. Standard_Cost'!$C$23</f>
        <v>0</v>
      </c>
      <c r="AC77" s="261"/>
      <c r="AD77" s="262"/>
      <c r="AE77" s="108">
        <f>SUM(AD77,AC77,AB77,Y77,U77,T77,S77,R77)*'1. Standard_Cost'!$B$31</f>
        <v>0</v>
      </c>
      <c r="AF77" s="108">
        <f t="shared" si="83"/>
        <v>0</v>
      </c>
      <c r="AG77" s="260"/>
      <c r="AH77" s="260"/>
      <c r="AI77" s="260"/>
      <c r="AJ77" s="263"/>
      <c r="AK77" s="263"/>
      <c r="AL77" s="263"/>
      <c r="AM77" s="108">
        <f>AG77*'1. Standard_Cost'!$B$27+'Incremental_Cost Year 9'!AH77*'1. Standard_Cost'!$C$27+'Incremental_Cost Year 9'!AI77*'1. Standard_Cost'!$D$27+'Incremental_Cost Year 9'!AJ77+'Incremental_Cost Year 9'!AL77+AK77</f>
        <v>0</v>
      </c>
      <c r="AN77" s="108">
        <f>AM77*'1. Standard_Cost'!$C$31</f>
        <v>0</v>
      </c>
      <c r="AO77" s="125" t="s">
        <v>322</v>
      </c>
      <c r="AQ77" s="14">
        <f t="shared" si="84"/>
        <v>0</v>
      </c>
      <c r="AR77" s="14">
        <f t="shared" si="85"/>
        <v>0</v>
      </c>
      <c r="AS77" s="14">
        <f t="shared" si="86"/>
        <v>0</v>
      </c>
      <c r="AT77" s="14">
        <f t="shared" si="88"/>
        <v>0</v>
      </c>
      <c r="AU77" s="234"/>
      <c r="AV77" s="234"/>
      <c r="AW77" s="234"/>
      <c r="AX77" s="234"/>
      <c r="AY77" s="234"/>
      <c r="AZ77" s="234"/>
      <c r="BA77" s="234"/>
      <c r="BB77" s="16">
        <f t="shared" si="87"/>
        <v>0</v>
      </c>
    </row>
    <row r="78" spans="1:54" ht="27.6" outlineLevel="2">
      <c r="A78" s="98"/>
      <c r="B78" s="102"/>
      <c r="C78" s="23"/>
      <c r="D78" s="251"/>
      <c r="E78" s="251"/>
      <c r="F78" s="251"/>
      <c r="G78" s="250"/>
      <c r="H78" s="272"/>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260"/>
      <c r="W78" s="260"/>
      <c r="X78" s="260"/>
      <c r="Y78" s="108">
        <f>+V78*((X78*'1. Standard_Cost'!$B$19)+(W78*X78*'1. Standard_Cost'!$C$19))</f>
        <v>0</v>
      </c>
      <c r="Z78" s="260"/>
      <c r="AA78" s="260"/>
      <c r="AB78" s="108">
        <f>+Z78*'1. Standard_Cost'!$B$23+AA78*'1. Standard_Cost'!$C$23</f>
        <v>0</v>
      </c>
      <c r="AC78" s="261"/>
      <c r="AD78" s="262"/>
      <c r="AE78" s="108">
        <f>SUM(AD78,AC78,AB78,Y78,U78,T78,S78,R78)*'1. Standard_Cost'!$B$31</f>
        <v>0</v>
      </c>
      <c r="AF78" s="108">
        <f t="shared" si="83"/>
        <v>0</v>
      </c>
      <c r="AG78" s="260"/>
      <c r="AH78" s="260"/>
      <c r="AI78" s="260"/>
      <c r="AJ78" s="263"/>
      <c r="AK78" s="263"/>
      <c r="AL78" s="263"/>
      <c r="AM78" s="108">
        <f>AG78*'1. Standard_Cost'!$B$27+'Incremental_Cost Year 9'!AH78*'1. Standard_Cost'!$C$27+'Incremental_Cost Year 9'!AI78*'1. Standard_Cost'!$D$27+'Incremental_Cost Year 9'!AJ78+'Incremental_Cost Year 9'!AL78+AK78</f>
        <v>0</v>
      </c>
      <c r="AN78" s="108">
        <f>AM78*'1. Standard_Cost'!$C$31</f>
        <v>0</v>
      </c>
      <c r="AO78" s="125" t="s">
        <v>323</v>
      </c>
      <c r="AQ78" s="14">
        <f t="shared" si="84"/>
        <v>0</v>
      </c>
      <c r="AR78" s="14">
        <f t="shared" si="85"/>
        <v>0</v>
      </c>
      <c r="AS78" s="14">
        <f t="shared" si="86"/>
        <v>0</v>
      </c>
      <c r="AT78" s="14">
        <f t="shared" si="88"/>
        <v>0</v>
      </c>
      <c r="AU78" s="234"/>
      <c r="AV78" s="234"/>
      <c r="AW78" s="234"/>
      <c r="AX78" s="234"/>
      <c r="AY78" s="234"/>
      <c r="AZ78" s="234"/>
      <c r="BA78" s="234"/>
      <c r="BB78" s="16">
        <f t="shared" si="87"/>
        <v>0</v>
      </c>
    </row>
    <row r="79" spans="1:54" ht="27.6" outlineLevel="1">
      <c r="A79" s="98"/>
      <c r="B79" s="102"/>
      <c r="C79" s="23"/>
      <c r="D79" s="56" t="s">
        <v>47</v>
      </c>
      <c r="E79" s="56" t="s">
        <v>215</v>
      </c>
      <c r="F79" s="253"/>
      <c r="G79" s="254"/>
      <c r="H79" s="277" t="s">
        <v>182</v>
      </c>
      <c r="I79" s="264"/>
      <c r="J79" s="264"/>
      <c r="K79" s="264"/>
      <c r="L79" s="113">
        <f>SUM(L60:L78)</f>
        <v>0</v>
      </c>
      <c r="M79" s="113">
        <f>SUM(M60:M78)</f>
        <v>0</v>
      </c>
      <c r="N79" s="264"/>
      <c r="O79" s="264"/>
      <c r="P79" s="264"/>
      <c r="Q79" s="264"/>
      <c r="R79" s="113">
        <f t="shared" ref="R79:U79" si="89">SUM(R60:R78)</f>
        <v>0</v>
      </c>
      <c r="S79" s="113">
        <f t="shared" si="89"/>
        <v>0</v>
      </c>
      <c r="T79" s="113">
        <f t="shared" si="89"/>
        <v>0</v>
      </c>
      <c r="U79" s="113">
        <f t="shared" si="89"/>
        <v>0</v>
      </c>
      <c r="V79" s="264"/>
      <c r="W79" s="264"/>
      <c r="X79" s="264"/>
      <c r="Y79" s="113">
        <f>SUM(Y60:Y78)</f>
        <v>0</v>
      </c>
      <c r="Z79" s="264"/>
      <c r="AA79" s="264"/>
      <c r="AB79" s="113">
        <f t="shared" ref="AB79:AF79" si="90">SUM(AB60:AB78)</f>
        <v>0</v>
      </c>
      <c r="AC79" s="265">
        <f t="shared" si="90"/>
        <v>0</v>
      </c>
      <c r="AD79" s="265">
        <f t="shared" si="90"/>
        <v>0</v>
      </c>
      <c r="AE79" s="113">
        <f t="shared" si="90"/>
        <v>0</v>
      </c>
      <c r="AF79" s="113">
        <f t="shared" si="90"/>
        <v>0</v>
      </c>
      <c r="AG79" s="264"/>
      <c r="AH79" s="264"/>
      <c r="AI79" s="264"/>
      <c r="AJ79" s="265">
        <f t="shared" ref="AJ79:AL79" si="91">SUM(AJ60:AJ78)</f>
        <v>0</v>
      </c>
      <c r="AK79" s="265">
        <f t="shared" si="91"/>
        <v>0</v>
      </c>
      <c r="AL79" s="265">
        <f t="shared" si="91"/>
        <v>0</v>
      </c>
      <c r="AM79" s="113">
        <f t="shared" ref="AM79:AN79" si="92">SUM(AM60:AM78)</f>
        <v>0</v>
      </c>
      <c r="AN79" s="113">
        <f t="shared" si="92"/>
        <v>0</v>
      </c>
      <c r="AO79" s="131"/>
      <c r="AP79" s="17"/>
      <c r="AQ79" s="113">
        <f>SUM(AQ60:AQ78)</f>
        <v>0</v>
      </c>
      <c r="AR79" s="113">
        <f t="shared" ref="AR79:BB79" si="93">SUM(AR60:AR78)</f>
        <v>0</v>
      </c>
      <c r="AS79" s="113">
        <f t="shared" si="93"/>
        <v>0</v>
      </c>
      <c r="AT79" s="113">
        <f t="shared" si="93"/>
        <v>0</v>
      </c>
      <c r="AU79" s="265">
        <f t="shared" si="93"/>
        <v>0</v>
      </c>
      <c r="AV79" s="265">
        <f t="shared" si="93"/>
        <v>0</v>
      </c>
      <c r="AW79" s="265">
        <f t="shared" si="93"/>
        <v>0</v>
      </c>
      <c r="AX79" s="265">
        <f t="shared" si="93"/>
        <v>0</v>
      </c>
      <c r="AY79" s="265">
        <f t="shared" si="93"/>
        <v>0</v>
      </c>
      <c r="AZ79" s="265">
        <f t="shared" si="93"/>
        <v>0</v>
      </c>
      <c r="BA79" s="265">
        <f t="shared" si="93"/>
        <v>0</v>
      </c>
      <c r="BB79" s="113">
        <f t="shared" si="93"/>
        <v>0</v>
      </c>
    </row>
    <row r="80" spans="1:54" s="24" customFormat="1" ht="13.8" customHeight="1">
      <c r="A80" s="114"/>
      <c r="B80" s="115"/>
      <c r="C80" s="314" t="s">
        <v>216</v>
      </c>
      <c r="D80" s="314"/>
      <c r="E80" s="315"/>
      <c r="F80" s="246"/>
      <c r="G80" s="246"/>
      <c r="H80" s="278" t="s">
        <v>219</v>
      </c>
      <c r="I80" s="266"/>
      <c r="J80" s="266"/>
      <c r="K80" s="266"/>
      <c r="L80" s="117">
        <f>L91</f>
        <v>0</v>
      </c>
      <c r="M80" s="117">
        <f>M91</f>
        <v>0</v>
      </c>
      <c r="N80" s="266"/>
      <c r="O80" s="266"/>
      <c r="P80" s="266"/>
      <c r="Q80" s="266"/>
      <c r="R80" s="117">
        <f t="shared" ref="R80:U80" si="94">R91</f>
        <v>0</v>
      </c>
      <c r="S80" s="117">
        <f t="shared" si="94"/>
        <v>0</v>
      </c>
      <c r="T80" s="117">
        <f t="shared" si="94"/>
        <v>0</v>
      </c>
      <c r="U80" s="117">
        <f t="shared" si="94"/>
        <v>0</v>
      </c>
      <c r="V80" s="266"/>
      <c r="W80" s="266"/>
      <c r="X80" s="266"/>
      <c r="Y80" s="117">
        <f>Y91</f>
        <v>0</v>
      </c>
      <c r="Z80" s="266"/>
      <c r="AA80" s="266"/>
      <c r="AB80" s="117">
        <f t="shared" ref="AB80:AF80" si="95">AB91</f>
        <v>0</v>
      </c>
      <c r="AC80" s="267">
        <f t="shared" si="95"/>
        <v>0</v>
      </c>
      <c r="AD80" s="267">
        <f t="shared" si="95"/>
        <v>0</v>
      </c>
      <c r="AE80" s="117">
        <f t="shared" si="95"/>
        <v>0</v>
      </c>
      <c r="AF80" s="117">
        <f t="shared" si="95"/>
        <v>0</v>
      </c>
      <c r="AG80" s="266"/>
      <c r="AH80" s="266"/>
      <c r="AI80" s="266"/>
      <c r="AJ80" s="267">
        <f t="shared" ref="AJ80:AL80" si="96">AJ91</f>
        <v>0</v>
      </c>
      <c r="AK80" s="267">
        <f t="shared" si="96"/>
        <v>0</v>
      </c>
      <c r="AL80" s="267">
        <f t="shared" si="96"/>
        <v>0</v>
      </c>
      <c r="AM80" s="117">
        <f t="shared" ref="AM80:AN80" si="97">AM91</f>
        <v>0</v>
      </c>
      <c r="AN80" s="117">
        <f t="shared" si="97"/>
        <v>0</v>
      </c>
      <c r="AO80" s="132"/>
      <c r="AP80" s="25"/>
      <c r="AQ80" s="117">
        <f t="shared" ref="AQ80:BB80" si="98">AQ91</f>
        <v>0</v>
      </c>
      <c r="AR80" s="117">
        <f t="shared" si="98"/>
        <v>0</v>
      </c>
      <c r="AS80" s="117">
        <f t="shared" si="98"/>
        <v>0</v>
      </c>
      <c r="AT80" s="117">
        <f t="shared" si="98"/>
        <v>0</v>
      </c>
      <c r="AU80" s="267">
        <f t="shared" si="98"/>
        <v>0</v>
      </c>
      <c r="AV80" s="267">
        <f t="shared" si="98"/>
        <v>0</v>
      </c>
      <c r="AW80" s="267">
        <f t="shared" si="98"/>
        <v>0</v>
      </c>
      <c r="AX80" s="267">
        <f t="shared" si="98"/>
        <v>0</v>
      </c>
      <c r="AY80" s="267">
        <f t="shared" si="98"/>
        <v>0</v>
      </c>
      <c r="AZ80" s="267">
        <f t="shared" si="98"/>
        <v>0</v>
      </c>
      <c r="BA80" s="267">
        <f t="shared" si="98"/>
        <v>0</v>
      </c>
      <c r="BB80" s="117">
        <f t="shared" si="98"/>
        <v>0</v>
      </c>
    </row>
    <row r="81" spans="1:54" ht="15.6" outlineLevel="2">
      <c r="A81" s="98"/>
      <c r="B81" s="102"/>
      <c r="C81" s="23"/>
      <c r="D81" s="257"/>
      <c r="E81" s="257"/>
      <c r="F81" s="252"/>
      <c r="G81" s="249"/>
      <c r="H81" s="272"/>
      <c r="I81" s="282"/>
      <c r="J81" s="259"/>
      <c r="K81" s="259"/>
      <c r="L81" s="106" t="str">
        <f>IF(I81&lt;&gt;0,((VLOOKUP(I81,'1. Standard_Cost'!$B$4:$D$11,2)+VLOOKUP(I81,'1. Standard_Cost'!$B$4:$D$11,3))*J81*K81),"0")</f>
        <v>0</v>
      </c>
      <c r="M81" s="106">
        <f>L81*'1. Standard_Cost'!$F$4</f>
        <v>0</v>
      </c>
      <c r="N81" s="260"/>
      <c r="O81" s="260"/>
      <c r="P81" s="260"/>
      <c r="Q81" s="260"/>
      <c r="R81" s="108">
        <f>'1. Standard_Cost'!$B$15*N81*P81</f>
        <v>0</v>
      </c>
      <c r="S81" s="108">
        <f>N81*O81*P81*'1. Standard_Cost'!$C$15</f>
        <v>0</v>
      </c>
      <c r="T81" s="108">
        <f>N81*P81*Q81*'1. Standard_Cost'!$D$15</f>
        <v>0</v>
      </c>
      <c r="U81" s="108">
        <f>N81*O81*'1. Standard_Cost'!$E$15</f>
        <v>0</v>
      </c>
      <c r="V81" s="260"/>
      <c r="W81" s="260"/>
      <c r="X81" s="260"/>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99">SUM(AE81,AD81,AC81,AB81,Y81,U81,T81,S81,R81)</f>
        <v>0</v>
      </c>
      <c r="AG81" s="260"/>
      <c r="AH81" s="260"/>
      <c r="AI81" s="260"/>
      <c r="AJ81" s="263"/>
      <c r="AK81" s="263"/>
      <c r="AL81" s="263"/>
      <c r="AM81" s="108">
        <f>AG81*'1. Standard_Cost'!$B$27+'Incremental_Cost Year 9'!AH81*'1. Standard_Cost'!$C$27+'Incremental_Cost Year 9'!AI81*'1. Standard_Cost'!$D$27+'Incremental_Cost Year 9'!AJ81+'Incremental_Cost Year 9'!AL81+AK81</f>
        <v>0</v>
      </c>
      <c r="AN81" s="108">
        <f>AM81*'1. Standard_Cost'!$C$31</f>
        <v>0</v>
      </c>
      <c r="AO81" s="125" t="s">
        <v>300</v>
      </c>
      <c r="AQ81" s="14">
        <f t="shared" ref="AQ81:AQ90" si="100">L81+M81</f>
        <v>0</v>
      </c>
      <c r="AR81" s="14">
        <f t="shared" ref="AR81:AR90" si="101">AF81</f>
        <v>0</v>
      </c>
      <c r="AS81" s="14">
        <f t="shared" ref="AS81:AS90" si="102">AM81+AN81</f>
        <v>0</v>
      </c>
      <c r="AT81" s="14">
        <f>SUM(AQ81,AR81,AS81)</f>
        <v>0</v>
      </c>
      <c r="AU81" s="234"/>
      <c r="AV81" s="234"/>
      <c r="AW81" s="234"/>
      <c r="AX81" s="234"/>
      <c r="AY81" s="234"/>
      <c r="AZ81" s="234"/>
      <c r="BA81" s="234"/>
      <c r="BB81" s="16">
        <f t="shared" ref="BB81:BB90" si="103">SUM(AU81:BA81)-AT81</f>
        <v>0</v>
      </c>
    </row>
    <row r="82" spans="1:54" ht="27.6" outlineLevel="2">
      <c r="A82" s="98"/>
      <c r="B82" s="102"/>
      <c r="C82" s="23"/>
      <c r="D82" s="269"/>
      <c r="E82" s="269"/>
      <c r="F82" s="251"/>
      <c r="G82" s="250"/>
      <c r="H82" s="272"/>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260"/>
      <c r="W82" s="260"/>
      <c r="X82" s="260"/>
      <c r="Y82" s="108">
        <f>+V82*((X82*'1. Standard_Cost'!$B$19)+(W82*X82*'1. Standard_Cost'!$C$19))</f>
        <v>0</v>
      </c>
      <c r="Z82" s="260"/>
      <c r="AA82" s="260"/>
      <c r="AB82" s="108">
        <f>+Z82*'1. Standard_Cost'!$B$23+AA82*'1. Standard_Cost'!$C$23</f>
        <v>0</v>
      </c>
      <c r="AC82" s="261"/>
      <c r="AD82" s="262"/>
      <c r="AE82" s="108">
        <f>SUM(AD82,AC82,AB82,Y82,U82,T82,S82,R82)*'1. Standard_Cost'!$B$31</f>
        <v>0</v>
      </c>
      <c r="AF82" s="108">
        <f t="shared" si="99"/>
        <v>0</v>
      </c>
      <c r="AG82" s="260"/>
      <c r="AH82" s="260"/>
      <c r="AI82" s="260"/>
      <c r="AJ82" s="263"/>
      <c r="AK82" s="263"/>
      <c r="AL82" s="263"/>
      <c r="AM82" s="108">
        <f>AG82*'1. Standard_Cost'!$B$27+'Incremental_Cost Year 9'!AH82*'1. Standard_Cost'!$C$27+'Incremental_Cost Year 9'!AI82*'1. Standard_Cost'!$D$27+'Incremental_Cost Year 9'!AJ82+'Incremental_Cost Year 9'!AL82+AK82</f>
        <v>0</v>
      </c>
      <c r="AN82" s="108">
        <f>AM82*'1. Standard_Cost'!$C$31</f>
        <v>0</v>
      </c>
      <c r="AO82" s="125" t="s">
        <v>324</v>
      </c>
      <c r="AQ82" s="14">
        <f t="shared" si="100"/>
        <v>0</v>
      </c>
      <c r="AR82" s="14">
        <f t="shared" si="101"/>
        <v>0</v>
      </c>
      <c r="AS82" s="14">
        <f t="shared" si="102"/>
        <v>0</v>
      </c>
      <c r="AT82" s="14">
        <f t="shared" ref="AT82:AT90" si="104">SUM(AQ82,AR82,AS82)</f>
        <v>0</v>
      </c>
      <c r="AU82" s="234"/>
      <c r="AV82" s="234"/>
      <c r="AW82" s="234"/>
      <c r="AX82" s="234"/>
      <c r="AY82" s="234"/>
      <c r="AZ82" s="234"/>
      <c r="BA82" s="234"/>
      <c r="BB82" s="16">
        <f t="shared" si="103"/>
        <v>0</v>
      </c>
    </row>
    <row r="83" spans="1:54" ht="15.6" outlineLevel="2">
      <c r="A83" s="98"/>
      <c r="B83" s="102"/>
      <c r="C83" s="23"/>
      <c r="D83" s="269"/>
      <c r="E83" s="269"/>
      <c r="F83" s="251"/>
      <c r="G83" s="250"/>
      <c r="H83" s="272"/>
      <c r="I83" s="282"/>
      <c r="J83" s="259"/>
      <c r="K83" s="259"/>
      <c r="L83" s="106" t="str">
        <f>IF(I83&lt;&gt;0,((VLOOKUP(I83,'1. Standard_Cost'!$B$4:$D$11,2)+VLOOKUP(I83,'1. Standard_Cost'!$B$4:$D$11,3))*J83*K83),"0")</f>
        <v>0</v>
      </c>
      <c r="M83" s="106">
        <f>L83*'1. Standard_Cost'!$F$4</f>
        <v>0</v>
      </c>
      <c r="N83" s="260"/>
      <c r="O83" s="260"/>
      <c r="P83" s="260"/>
      <c r="Q83" s="260"/>
      <c r="R83" s="108">
        <f>'1. Standard_Cost'!$B$15*N83*P83</f>
        <v>0</v>
      </c>
      <c r="S83" s="108">
        <f>N83*O83*P83*'1. Standard_Cost'!$C$15</f>
        <v>0</v>
      </c>
      <c r="T83" s="108">
        <f>N83*P83*Q83*'1. Standard_Cost'!$D$15</f>
        <v>0</v>
      </c>
      <c r="U83" s="108">
        <f>N83*O83*'1. Standard_Cost'!$E$15</f>
        <v>0</v>
      </c>
      <c r="V83" s="260"/>
      <c r="W83" s="260"/>
      <c r="X83" s="260"/>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99"/>
        <v>0</v>
      </c>
      <c r="AG83" s="260"/>
      <c r="AH83" s="260"/>
      <c r="AI83" s="260"/>
      <c r="AJ83" s="263"/>
      <c r="AK83" s="263"/>
      <c r="AL83" s="263"/>
      <c r="AM83" s="108">
        <f>AG83*'1. Standard_Cost'!$B$27+'Incremental_Cost Year 9'!AH83*'1. Standard_Cost'!$C$27+'Incremental_Cost Year 9'!AI83*'1. Standard_Cost'!$D$27+'Incremental_Cost Year 9'!AJ83+'Incremental_Cost Year 9'!AL83+AK83</f>
        <v>0</v>
      </c>
      <c r="AN83" s="108">
        <f>AM83*'1. Standard_Cost'!$C$31</f>
        <v>0</v>
      </c>
      <c r="AO83" s="125" t="s">
        <v>325</v>
      </c>
      <c r="AQ83" s="14">
        <f t="shared" si="100"/>
        <v>0</v>
      </c>
      <c r="AR83" s="14">
        <f t="shared" si="101"/>
        <v>0</v>
      </c>
      <c r="AS83" s="14">
        <f t="shared" si="102"/>
        <v>0</v>
      </c>
      <c r="AT83" s="14">
        <f t="shared" si="104"/>
        <v>0</v>
      </c>
      <c r="AU83" s="234"/>
      <c r="AV83" s="234"/>
      <c r="AW83" s="234"/>
      <c r="AX83" s="234"/>
      <c r="AY83" s="234"/>
      <c r="AZ83" s="234"/>
      <c r="BA83" s="234"/>
      <c r="BB83" s="16">
        <f t="shared" si="103"/>
        <v>0</v>
      </c>
    </row>
    <row r="84" spans="1:54" ht="15.6" outlineLevel="2">
      <c r="A84" s="98"/>
      <c r="B84" s="102"/>
      <c r="C84" s="23"/>
      <c r="D84" s="269"/>
      <c r="E84" s="269"/>
      <c r="F84" s="251"/>
      <c r="G84" s="250"/>
      <c r="H84" s="272"/>
      <c r="I84" s="258"/>
      <c r="J84" s="259"/>
      <c r="K84" s="259"/>
      <c r="L84" s="106" t="str">
        <f>IF(I84&lt;&gt;0,((VLOOKUP(I84,'1. Standard_Cost'!$B$4:$D$11,2)+VLOOKUP(I84,'1. Standard_Cost'!$B$4:$D$11,3))*J84*K84),"0")</f>
        <v>0</v>
      </c>
      <c r="M84" s="106">
        <f>L84*'1. Standard_Cost'!$F$4</f>
        <v>0</v>
      </c>
      <c r="N84" s="260"/>
      <c r="O84" s="260"/>
      <c r="P84" s="260"/>
      <c r="Q84" s="260"/>
      <c r="R84" s="108">
        <f>'1. Standard_Cost'!$B$15*N84*P84</f>
        <v>0</v>
      </c>
      <c r="S84" s="108">
        <f>N84*O84*P84*'1. Standard_Cost'!$C$15</f>
        <v>0</v>
      </c>
      <c r="T84" s="108">
        <f>N84*P84*Q84*'1. Standard_Cost'!$D$15</f>
        <v>0</v>
      </c>
      <c r="U84" s="108">
        <f>N84*O84*'1. Standard_Cost'!$E$15</f>
        <v>0</v>
      </c>
      <c r="V84" s="260"/>
      <c r="W84" s="260"/>
      <c r="X84" s="260"/>
      <c r="Y84" s="108">
        <f>+V84*((X84*'1. Standard_Cost'!$B$19)+(W84*X84*'1. Standard_Cost'!$C$19))</f>
        <v>0</v>
      </c>
      <c r="Z84" s="260"/>
      <c r="AA84" s="260"/>
      <c r="AB84" s="108">
        <f>+Z84*'1. Standard_Cost'!$B$23+AA84*'1. Standard_Cost'!$C$23</f>
        <v>0</v>
      </c>
      <c r="AC84" s="261"/>
      <c r="AD84" s="262"/>
      <c r="AE84" s="108">
        <f>SUM(AD84,AC84,AB84,Y84,U84,T84,S84,R84)*'1. Standard_Cost'!$B$31</f>
        <v>0</v>
      </c>
      <c r="AF84" s="108">
        <f t="shared" si="99"/>
        <v>0</v>
      </c>
      <c r="AG84" s="260"/>
      <c r="AH84" s="260"/>
      <c r="AI84" s="260"/>
      <c r="AJ84" s="263"/>
      <c r="AK84" s="263"/>
      <c r="AL84" s="263"/>
      <c r="AM84" s="108">
        <f>AG84*'1. Standard_Cost'!$B$27+'Incremental_Cost Year 9'!AH84*'1. Standard_Cost'!$C$27+'Incremental_Cost Year 9'!AI84*'1. Standard_Cost'!$D$27+'Incremental_Cost Year 9'!AJ84+'Incremental_Cost Year 9'!AL84+AK84</f>
        <v>0</v>
      </c>
      <c r="AN84" s="108">
        <f>AM84*'1. Standard_Cost'!$C$31</f>
        <v>0</v>
      </c>
      <c r="AO84" s="125" t="s">
        <v>326</v>
      </c>
      <c r="AQ84" s="14">
        <f t="shared" si="100"/>
        <v>0</v>
      </c>
      <c r="AR84" s="14">
        <f t="shared" si="101"/>
        <v>0</v>
      </c>
      <c r="AS84" s="14">
        <f t="shared" si="102"/>
        <v>0</v>
      </c>
      <c r="AT84" s="14">
        <f t="shared" si="104"/>
        <v>0</v>
      </c>
      <c r="AU84" s="234"/>
      <c r="AV84" s="234"/>
      <c r="AW84" s="234"/>
      <c r="AX84" s="234"/>
      <c r="AY84" s="234"/>
      <c r="AZ84" s="234"/>
      <c r="BA84" s="234"/>
      <c r="BB84" s="16">
        <f t="shared" si="103"/>
        <v>0</v>
      </c>
    </row>
    <row r="85" spans="1:54" ht="15.6" outlineLevel="2">
      <c r="A85" s="98"/>
      <c r="B85" s="102"/>
      <c r="C85" s="23"/>
      <c r="D85" s="269"/>
      <c r="E85" s="269"/>
      <c r="F85" s="251"/>
      <c r="G85" s="250"/>
      <c r="H85" s="272"/>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260"/>
      <c r="W85" s="260"/>
      <c r="X85" s="260"/>
      <c r="Y85" s="108">
        <f>+V85*((X85*'1. Standard_Cost'!$B$19)+(W85*X85*'1. Standard_Cost'!$C$19))</f>
        <v>0</v>
      </c>
      <c r="Z85" s="260"/>
      <c r="AA85" s="260"/>
      <c r="AB85" s="108">
        <f>+Z85*'1. Standard_Cost'!$B$23+AA85*'1. Standard_Cost'!$C$23</f>
        <v>0</v>
      </c>
      <c r="AC85" s="261"/>
      <c r="AD85" s="262"/>
      <c r="AE85" s="108">
        <f>SUM(AD85,AC85,AB85,Y85,U85,T85,S85,R85)*'1. Standard_Cost'!$B$31</f>
        <v>0</v>
      </c>
      <c r="AF85" s="108">
        <f t="shared" si="99"/>
        <v>0</v>
      </c>
      <c r="AG85" s="260"/>
      <c r="AH85" s="260"/>
      <c r="AI85" s="260"/>
      <c r="AJ85" s="263"/>
      <c r="AK85" s="263"/>
      <c r="AL85" s="263"/>
      <c r="AM85" s="108">
        <f>AG85*'1. Standard_Cost'!$B$27+'Incremental_Cost Year 9'!AH85*'1. Standard_Cost'!$C$27+'Incremental_Cost Year 9'!AI85*'1. Standard_Cost'!$D$27+'Incremental_Cost Year 9'!AJ85+'Incremental_Cost Year 9'!AL85+AK85</f>
        <v>0</v>
      </c>
      <c r="AN85" s="108">
        <f>AM85*'1. Standard_Cost'!$C$31</f>
        <v>0</v>
      </c>
      <c r="AO85" s="125" t="s">
        <v>327</v>
      </c>
      <c r="AQ85" s="14">
        <f t="shared" si="100"/>
        <v>0</v>
      </c>
      <c r="AR85" s="14">
        <f t="shared" si="101"/>
        <v>0</v>
      </c>
      <c r="AS85" s="14">
        <f t="shared" si="102"/>
        <v>0</v>
      </c>
      <c r="AT85" s="14">
        <f t="shared" si="104"/>
        <v>0</v>
      </c>
      <c r="AU85" s="234"/>
      <c r="AV85" s="234"/>
      <c r="AW85" s="234"/>
      <c r="AX85" s="234"/>
      <c r="AY85" s="234"/>
      <c r="AZ85" s="234"/>
      <c r="BA85" s="234"/>
      <c r="BB85" s="16">
        <f t="shared" si="103"/>
        <v>0</v>
      </c>
    </row>
    <row r="86" spans="1:54" ht="15.6" outlineLevel="2">
      <c r="A86" s="98"/>
      <c r="B86" s="102"/>
      <c r="C86" s="23"/>
      <c r="D86" s="269"/>
      <c r="E86" s="269"/>
      <c r="F86" s="251"/>
      <c r="G86" s="250"/>
      <c r="H86" s="272"/>
      <c r="I86" s="258"/>
      <c r="J86" s="259"/>
      <c r="K86" s="259"/>
      <c r="L86" s="106" t="str">
        <f>IF(I86&lt;&gt;0,((VLOOKUP(I86,'1. Standard_Cost'!$B$4:$D$11,2)+VLOOKUP(I86,'1. Standard_Cost'!$B$4:$D$11,3))*J86*K86),"0")</f>
        <v>0</v>
      </c>
      <c r="M86" s="106">
        <f>L86*'1. Standard_Cost'!$F$4</f>
        <v>0</v>
      </c>
      <c r="N86" s="260"/>
      <c r="O86" s="260"/>
      <c r="P86" s="260"/>
      <c r="Q86" s="260"/>
      <c r="R86" s="108">
        <f>'1. Standard_Cost'!$B$15*N86*P86</f>
        <v>0</v>
      </c>
      <c r="S86" s="108">
        <f>N86*O86*P86*'1. Standard_Cost'!$C$15</f>
        <v>0</v>
      </c>
      <c r="T86" s="108">
        <f>N86*P86*Q86*'1. Standard_Cost'!$D$15</f>
        <v>0</v>
      </c>
      <c r="U86" s="108">
        <f>N86*O86*'1. Standard_Cost'!$E$15</f>
        <v>0</v>
      </c>
      <c r="V86" s="260"/>
      <c r="W86" s="260"/>
      <c r="X86" s="260"/>
      <c r="Y86" s="108">
        <f>+V86*((X86*'1. Standard_Cost'!$B$19)+(W86*X86*'1. Standard_Cost'!$C$19))</f>
        <v>0</v>
      </c>
      <c r="Z86" s="260"/>
      <c r="AA86" s="260"/>
      <c r="AB86" s="108">
        <f>+Z86*'1. Standard_Cost'!$B$23+AA86*'1. Standard_Cost'!$C$23</f>
        <v>0</v>
      </c>
      <c r="AC86" s="261"/>
      <c r="AD86" s="262"/>
      <c r="AE86" s="108">
        <f>SUM(AD86,AC86,AB86,Y86,U86,T86,S86,R86)*'1. Standard_Cost'!$B$31</f>
        <v>0</v>
      </c>
      <c r="AF86" s="108">
        <f t="shared" si="99"/>
        <v>0</v>
      </c>
      <c r="AG86" s="260"/>
      <c r="AH86" s="260"/>
      <c r="AI86" s="260"/>
      <c r="AJ86" s="263"/>
      <c r="AK86" s="263"/>
      <c r="AL86" s="263"/>
      <c r="AM86" s="108">
        <f>AG86*'1. Standard_Cost'!$B$27+'Incremental_Cost Year 9'!AH86*'1. Standard_Cost'!$C$27+'Incremental_Cost Year 9'!AI86*'1. Standard_Cost'!$D$27+'Incremental_Cost Year 9'!AJ86+'Incremental_Cost Year 9'!AL86+AK86</f>
        <v>0</v>
      </c>
      <c r="AN86" s="108">
        <f>AM86*'1. Standard_Cost'!$C$31</f>
        <v>0</v>
      </c>
      <c r="AO86" s="125" t="s">
        <v>328</v>
      </c>
      <c r="AQ86" s="14">
        <f t="shared" si="100"/>
        <v>0</v>
      </c>
      <c r="AR86" s="14">
        <f t="shared" si="101"/>
        <v>0</v>
      </c>
      <c r="AS86" s="14">
        <f t="shared" si="102"/>
        <v>0</v>
      </c>
      <c r="AT86" s="14">
        <f t="shared" si="104"/>
        <v>0</v>
      </c>
      <c r="AU86" s="234"/>
      <c r="AV86" s="234"/>
      <c r="AW86" s="234"/>
      <c r="AX86" s="234"/>
      <c r="AY86" s="234"/>
      <c r="AZ86" s="234"/>
      <c r="BA86" s="234"/>
      <c r="BB86" s="16">
        <f t="shared" si="103"/>
        <v>0</v>
      </c>
    </row>
    <row r="87" spans="1:54" ht="15.6" outlineLevel="2">
      <c r="A87" s="98"/>
      <c r="B87" s="102"/>
      <c r="C87" s="23"/>
      <c r="D87" s="269"/>
      <c r="E87" s="269"/>
      <c r="F87" s="251"/>
      <c r="G87" s="250"/>
      <c r="H87" s="272"/>
      <c r="I87" s="258"/>
      <c r="J87" s="259"/>
      <c r="K87" s="259"/>
      <c r="L87" s="106" t="str">
        <f>IF(I87&lt;&gt;0,((VLOOKUP(I87,'1. Standard_Cost'!$B$4:$D$11,2)+VLOOKUP(I87,'1. Standard_Cost'!$B$4:$D$11,3))*J87*K87),"0")</f>
        <v>0</v>
      </c>
      <c r="M87" s="106">
        <f>L87*'1. Standard_Cost'!$F$4</f>
        <v>0</v>
      </c>
      <c r="N87" s="260"/>
      <c r="O87" s="260"/>
      <c r="P87" s="260"/>
      <c r="Q87" s="260"/>
      <c r="R87" s="108">
        <f>'1. Standard_Cost'!$B$15*N87*P87</f>
        <v>0</v>
      </c>
      <c r="S87" s="108">
        <f>N87*O87*P87*'1. Standard_Cost'!$C$15</f>
        <v>0</v>
      </c>
      <c r="T87" s="108">
        <f>N87*P87*Q87*'1. Standard_Cost'!$D$15</f>
        <v>0</v>
      </c>
      <c r="U87" s="108">
        <f>N87*O87*'1. Standard_Cost'!$E$15</f>
        <v>0</v>
      </c>
      <c r="V87" s="260"/>
      <c r="W87" s="260"/>
      <c r="X87" s="260"/>
      <c r="Y87" s="108">
        <f>+V87*((X87*'1. Standard_Cost'!$B$19)+(W87*X87*'1. Standard_Cost'!$C$19))</f>
        <v>0</v>
      </c>
      <c r="Z87" s="260"/>
      <c r="AA87" s="260"/>
      <c r="AB87" s="108">
        <f>+Z87*'1. Standard_Cost'!$B$23+AA87*'1. Standard_Cost'!$C$23</f>
        <v>0</v>
      </c>
      <c r="AC87" s="261"/>
      <c r="AD87" s="262"/>
      <c r="AE87" s="108">
        <f>SUM(AD87,AC87,AB87,Y87,U87,T87,S87,R87)*'1. Standard_Cost'!$B$31</f>
        <v>0</v>
      </c>
      <c r="AF87" s="108">
        <f t="shared" si="99"/>
        <v>0</v>
      </c>
      <c r="AG87" s="260"/>
      <c r="AH87" s="260"/>
      <c r="AI87" s="260"/>
      <c r="AJ87" s="263"/>
      <c r="AK87" s="263"/>
      <c r="AL87" s="263"/>
      <c r="AM87" s="108">
        <f>AG87*'1. Standard_Cost'!$B$27+'Incremental_Cost Year 9'!AH87*'1. Standard_Cost'!$C$27+'Incremental_Cost Year 9'!AI87*'1. Standard_Cost'!$D$27+'Incremental_Cost Year 9'!AJ87+'Incremental_Cost Year 9'!AL87+AK87</f>
        <v>0</v>
      </c>
      <c r="AN87" s="108">
        <f>AM87*'1. Standard_Cost'!$C$31</f>
        <v>0</v>
      </c>
      <c r="AO87" s="125" t="s">
        <v>329</v>
      </c>
      <c r="AQ87" s="14">
        <f t="shared" si="100"/>
        <v>0</v>
      </c>
      <c r="AR87" s="14">
        <f t="shared" si="101"/>
        <v>0</v>
      </c>
      <c r="AS87" s="14">
        <f t="shared" si="102"/>
        <v>0</v>
      </c>
      <c r="AT87" s="14">
        <f t="shared" si="104"/>
        <v>0</v>
      </c>
      <c r="AU87" s="234"/>
      <c r="AV87" s="234"/>
      <c r="AW87" s="234"/>
      <c r="AX87" s="234"/>
      <c r="AY87" s="234"/>
      <c r="AZ87" s="234"/>
      <c r="BA87" s="234"/>
      <c r="BB87" s="16">
        <f t="shared" si="103"/>
        <v>0</v>
      </c>
    </row>
    <row r="88" spans="1:54" ht="27.6" outlineLevel="2">
      <c r="A88" s="98"/>
      <c r="B88" s="102"/>
      <c r="C88" s="23"/>
      <c r="D88" s="269"/>
      <c r="E88" s="269"/>
      <c r="F88" s="251"/>
      <c r="G88" s="250"/>
      <c r="H88" s="272"/>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260"/>
      <c r="W88" s="260"/>
      <c r="X88" s="260"/>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99"/>
        <v>0</v>
      </c>
      <c r="AG88" s="260"/>
      <c r="AH88" s="260"/>
      <c r="AI88" s="260"/>
      <c r="AJ88" s="263"/>
      <c r="AK88" s="263"/>
      <c r="AL88" s="263"/>
      <c r="AM88" s="108">
        <f>AG88*'1. Standard_Cost'!$B$27+'Incremental_Cost Year 9'!AH88*'1. Standard_Cost'!$C$27+'Incremental_Cost Year 9'!AI88*'1. Standard_Cost'!$D$27+'Incremental_Cost Year 9'!AJ88+'Incremental_Cost Year 9'!AL88+AK88</f>
        <v>0</v>
      </c>
      <c r="AN88" s="108">
        <f>AM88*'1. Standard_Cost'!$C$31</f>
        <v>0</v>
      </c>
      <c r="AO88" s="125" t="s">
        <v>330</v>
      </c>
      <c r="AQ88" s="14">
        <f t="shared" si="100"/>
        <v>0</v>
      </c>
      <c r="AR88" s="14">
        <f t="shared" si="101"/>
        <v>0</v>
      </c>
      <c r="AS88" s="14">
        <f t="shared" si="102"/>
        <v>0</v>
      </c>
      <c r="AT88" s="14">
        <f t="shared" si="104"/>
        <v>0</v>
      </c>
      <c r="AU88" s="234"/>
      <c r="AV88" s="234"/>
      <c r="AW88" s="234"/>
      <c r="AX88" s="234"/>
      <c r="AY88" s="234"/>
      <c r="AZ88" s="234"/>
      <c r="BA88" s="234"/>
      <c r="BB88" s="16">
        <f t="shared" si="103"/>
        <v>0</v>
      </c>
    </row>
    <row r="89" spans="1:54" ht="27.6" outlineLevel="2">
      <c r="A89" s="98"/>
      <c r="B89" s="102"/>
      <c r="C89" s="23"/>
      <c r="D89" s="269"/>
      <c r="E89" s="269"/>
      <c r="F89" s="251"/>
      <c r="G89" s="250"/>
      <c r="H89" s="272"/>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260"/>
      <c r="W89" s="260"/>
      <c r="X89" s="260"/>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99"/>
        <v>0</v>
      </c>
      <c r="AG89" s="260"/>
      <c r="AH89" s="260"/>
      <c r="AI89" s="260"/>
      <c r="AJ89" s="263"/>
      <c r="AK89" s="263"/>
      <c r="AL89" s="263"/>
      <c r="AM89" s="108">
        <f>AG89*'1. Standard_Cost'!$B$27+'Incremental_Cost Year 9'!AH89*'1. Standard_Cost'!$C$27+'Incremental_Cost Year 9'!AI89*'1. Standard_Cost'!$D$27+'Incremental_Cost Year 9'!AJ89+'Incremental_Cost Year 9'!AL89+AK89</f>
        <v>0</v>
      </c>
      <c r="AN89" s="108">
        <f>AM89*'1. Standard_Cost'!$C$31</f>
        <v>0</v>
      </c>
      <c r="AO89" s="125" t="s">
        <v>331</v>
      </c>
      <c r="AQ89" s="14">
        <f t="shared" si="100"/>
        <v>0</v>
      </c>
      <c r="AR89" s="14">
        <f t="shared" si="101"/>
        <v>0</v>
      </c>
      <c r="AS89" s="14">
        <f t="shared" si="102"/>
        <v>0</v>
      </c>
      <c r="AT89" s="14">
        <f t="shared" si="104"/>
        <v>0</v>
      </c>
      <c r="AU89" s="234"/>
      <c r="AV89" s="234"/>
      <c r="AW89" s="234"/>
      <c r="AX89" s="234"/>
      <c r="AY89" s="234"/>
      <c r="AZ89" s="234"/>
      <c r="BA89" s="234"/>
      <c r="BB89" s="16">
        <f t="shared" si="103"/>
        <v>0</v>
      </c>
    </row>
    <row r="90" spans="1:54" ht="15.6" outlineLevel="2">
      <c r="A90" s="98"/>
      <c r="B90" s="102"/>
      <c r="C90" s="23"/>
      <c r="D90" s="251"/>
      <c r="E90" s="251"/>
      <c r="F90" s="251"/>
      <c r="G90" s="250"/>
      <c r="H90" s="272"/>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260"/>
      <c r="W90" s="260"/>
      <c r="X90" s="260"/>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99"/>
        <v>0</v>
      </c>
      <c r="AG90" s="260"/>
      <c r="AH90" s="260"/>
      <c r="AI90" s="260"/>
      <c r="AJ90" s="263"/>
      <c r="AK90" s="263"/>
      <c r="AL90" s="263"/>
      <c r="AM90" s="108">
        <f>AG90*'1. Standard_Cost'!$B$27+'Incremental_Cost Year 9'!AH90*'1. Standard_Cost'!$C$27+'Incremental_Cost Year 9'!AI90*'1. Standard_Cost'!$D$27+'Incremental_Cost Year 9'!AJ90+'Incremental_Cost Year 9'!AL90+AK90</f>
        <v>0</v>
      </c>
      <c r="AN90" s="108">
        <f>AM90*'1. Standard_Cost'!$C$31</f>
        <v>0</v>
      </c>
      <c r="AO90" s="125" t="s">
        <v>332</v>
      </c>
      <c r="AQ90" s="14">
        <f t="shared" si="100"/>
        <v>0</v>
      </c>
      <c r="AR90" s="14">
        <f t="shared" si="101"/>
        <v>0</v>
      </c>
      <c r="AS90" s="14">
        <f t="shared" si="102"/>
        <v>0</v>
      </c>
      <c r="AT90" s="14">
        <f t="shared" si="104"/>
        <v>0</v>
      </c>
      <c r="AU90" s="234"/>
      <c r="AV90" s="234"/>
      <c r="AW90" s="234"/>
      <c r="AX90" s="234"/>
      <c r="AY90" s="234"/>
      <c r="AZ90" s="234"/>
      <c r="BA90" s="234"/>
      <c r="BB90" s="16">
        <f t="shared" si="103"/>
        <v>0</v>
      </c>
    </row>
    <row r="91" spans="1:54" ht="27.6" outlineLevel="1">
      <c r="A91" s="98"/>
      <c r="B91" s="102"/>
      <c r="C91" s="23"/>
      <c r="D91" s="56" t="s">
        <v>47</v>
      </c>
      <c r="E91" s="56" t="s">
        <v>217</v>
      </c>
      <c r="F91" s="253">
        <v>2021</v>
      </c>
      <c r="G91" s="254">
        <v>2026</v>
      </c>
      <c r="H91" s="277" t="s">
        <v>218</v>
      </c>
      <c r="I91" s="264"/>
      <c r="J91" s="264"/>
      <c r="K91" s="264"/>
      <c r="L91" s="113">
        <f>SUM(L81:L90)</f>
        <v>0</v>
      </c>
      <c r="M91" s="113">
        <f>SUM(M81:M90)</f>
        <v>0</v>
      </c>
      <c r="N91" s="265"/>
      <c r="O91" s="264"/>
      <c r="P91" s="264"/>
      <c r="Q91" s="264"/>
      <c r="R91" s="113">
        <f t="shared" ref="R91:U91" si="105">SUM(R81:R90)</f>
        <v>0</v>
      </c>
      <c r="S91" s="113">
        <f t="shared" si="105"/>
        <v>0</v>
      </c>
      <c r="T91" s="113">
        <f t="shared" si="105"/>
        <v>0</v>
      </c>
      <c r="U91" s="113">
        <f t="shared" si="105"/>
        <v>0</v>
      </c>
      <c r="V91" s="264"/>
      <c r="W91" s="264"/>
      <c r="X91" s="264"/>
      <c r="Y91" s="113">
        <f>SUM(Y81:Y90)</f>
        <v>0</v>
      </c>
      <c r="Z91" s="264"/>
      <c r="AA91" s="264"/>
      <c r="AB91" s="113">
        <f t="shared" ref="AB91:AF91" si="106">SUM(AB81:AB90)</f>
        <v>0</v>
      </c>
      <c r="AC91" s="265">
        <f t="shared" si="106"/>
        <v>0</v>
      </c>
      <c r="AD91" s="265">
        <f t="shared" si="106"/>
        <v>0</v>
      </c>
      <c r="AE91" s="113">
        <f t="shared" si="106"/>
        <v>0</v>
      </c>
      <c r="AF91" s="113">
        <f t="shared" si="106"/>
        <v>0</v>
      </c>
      <c r="AG91" s="264"/>
      <c r="AH91" s="264"/>
      <c r="AI91" s="264"/>
      <c r="AJ91" s="265">
        <f t="shared" ref="AJ91:AL91" si="107">SUM(AJ81:AJ90)</f>
        <v>0</v>
      </c>
      <c r="AK91" s="265">
        <f t="shared" si="107"/>
        <v>0</v>
      </c>
      <c r="AL91" s="265">
        <f t="shared" si="107"/>
        <v>0</v>
      </c>
      <c r="AM91" s="113">
        <f t="shared" ref="AM91:AN91" si="108">SUM(AM81:AM90)</f>
        <v>0</v>
      </c>
      <c r="AN91" s="113">
        <f t="shared" si="108"/>
        <v>0</v>
      </c>
      <c r="AO91" s="131"/>
      <c r="AP91" s="17"/>
      <c r="AQ91" s="113">
        <f t="shared" ref="AQ91:BB91" si="109">SUM(AQ81:AQ90)</f>
        <v>0</v>
      </c>
      <c r="AR91" s="113">
        <f t="shared" si="109"/>
        <v>0</v>
      </c>
      <c r="AS91" s="113">
        <f t="shared" si="109"/>
        <v>0</v>
      </c>
      <c r="AT91" s="113">
        <f t="shared" si="109"/>
        <v>0</v>
      </c>
      <c r="AU91" s="265">
        <f t="shared" si="109"/>
        <v>0</v>
      </c>
      <c r="AV91" s="265">
        <f t="shared" si="109"/>
        <v>0</v>
      </c>
      <c r="AW91" s="265">
        <f t="shared" si="109"/>
        <v>0</v>
      </c>
      <c r="AX91" s="265">
        <f t="shared" si="109"/>
        <v>0</v>
      </c>
      <c r="AY91" s="265">
        <f t="shared" si="109"/>
        <v>0</v>
      </c>
      <c r="AZ91" s="265">
        <f t="shared" si="109"/>
        <v>0</v>
      </c>
      <c r="BA91" s="265">
        <f t="shared" si="109"/>
        <v>0</v>
      </c>
      <c r="BB91" s="113">
        <f t="shared" si="109"/>
        <v>0</v>
      </c>
    </row>
    <row r="92" spans="1:54" s="13" customFormat="1" ht="13.8" customHeight="1">
      <c r="A92" s="101"/>
      <c r="B92" s="316" t="s">
        <v>220</v>
      </c>
      <c r="C92" s="317"/>
      <c r="D92" s="317"/>
      <c r="E92" s="318"/>
      <c r="F92" s="241"/>
      <c r="G92" s="241"/>
      <c r="H92" s="241" t="s">
        <v>185</v>
      </c>
      <c r="I92" s="242"/>
      <c r="J92" s="242"/>
      <c r="K92" s="242"/>
      <c r="L92" s="41">
        <f>SUM(L93,L143,L179,L202)</f>
        <v>0</v>
      </c>
      <c r="M92" s="41">
        <f>SUM(M93,M143,M179,M202)</f>
        <v>0</v>
      </c>
      <c r="N92" s="242"/>
      <c r="O92" s="242"/>
      <c r="P92" s="242"/>
      <c r="Q92" s="242"/>
      <c r="R92" s="41">
        <f t="shared" ref="R92:U92" si="110">SUM(R93,R143,R179,R202)</f>
        <v>0</v>
      </c>
      <c r="S92" s="41">
        <f t="shared" si="110"/>
        <v>0</v>
      </c>
      <c r="T92" s="41">
        <f t="shared" si="110"/>
        <v>0</v>
      </c>
      <c r="U92" s="41">
        <f t="shared" si="110"/>
        <v>0</v>
      </c>
      <c r="V92" s="242"/>
      <c r="W92" s="242"/>
      <c r="X92" s="242"/>
      <c r="Y92" s="41">
        <f>SUM(Y93,Y143,Y179,Y202)</f>
        <v>0</v>
      </c>
      <c r="Z92" s="243">
        <f>SUM(Z93,Z143,Z179,Z202)</f>
        <v>0</v>
      </c>
      <c r="AA92" s="242"/>
      <c r="AB92" s="41">
        <f>SUM(AB93,AB143,AB179,AB202)</f>
        <v>0</v>
      </c>
      <c r="AC92" s="243">
        <f>SUM(AC93,AC143,AC179,AC202)</f>
        <v>0</v>
      </c>
      <c r="AD92" s="243">
        <f>SUM(AD93,AD143)</f>
        <v>0</v>
      </c>
      <c r="AE92" s="41">
        <f>SUM(AE93,AE143)</f>
        <v>0</v>
      </c>
      <c r="AF92" s="41">
        <f>SUM(AF93,AF143)</f>
        <v>0</v>
      </c>
      <c r="AG92" s="242"/>
      <c r="AH92" s="242"/>
      <c r="AI92" s="242"/>
      <c r="AJ92" s="243">
        <f>SUM(AJ93,AJ143,AJ179,AJ202)</f>
        <v>0</v>
      </c>
      <c r="AK92" s="243">
        <f>SUM(AK93,AK143,AK179,AK202)</f>
        <v>0</v>
      </c>
      <c r="AL92" s="243">
        <f>SUM(AL93,AL143)</f>
        <v>0</v>
      </c>
      <c r="AM92" s="41">
        <f>SUM(AM93,AM143)</f>
        <v>0</v>
      </c>
      <c r="AN92" s="41">
        <f>SUM(AN93,AN143)</f>
        <v>0</v>
      </c>
      <c r="AO92" s="129"/>
      <c r="AQ92" s="41">
        <f t="shared" ref="AQ92:BB92" si="111">SUM(AQ93,AQ143,AQ179,AQ202)</f>
        <v>0</v>
      </c>
      <c r="AR92" s="41">
        <f t="shared" si="111"/>
        <v>0</v>
      </c>
      <c r="AS92" s="41">
        <f t="shared" si="111"/>
        <v>0</v>
      </c>
      <c r="AT92" s="41">
        <f t="shared" si="111"/>
        <v>0</v>
      </c>
      <c r="AU92" s="243">
        <f t="shared" si="111"/>
        <v>0</v>
      </c>
      <c r="AV92" s="243">
        <f t="shared" si="111"/>
        <v>0</v>
      </c>
      <c r="AW92" s="243">
        <f t="shared" si="111"/>
        <v>0</v>
      </c>
      <c r="AX92" s="243">
        <f t="shared" si="111"/>
        <v>0</v>
      </c>
      <c r="AY92" s="243">
        <f t="shared" si="111"/>
        <v>0</v>
      </c>
      <c r="AZ92" s="243">
        <f t="shared" si="111"/>
        <v>0</v>
      </c>
      <c r="BA92" s="243">
        <f t="shared" si="111"/>
        <v>0</v>
      </c>
      <c r="BB92" s="41">
        <f t="shared" si="111"/>
        <v>0</v>
      </c>
    </row>
    <row r="93" spans="1:54" s="24" customFormat="1" ht="13.8" customHeight="1">
      <c r="A93" s="114"/>
      <c r="B93" s="115"/>
      <c r="C93" s="314" t="s">
        <v>221</v>
      </c>
      <c r="D93" s="314"/>
      <c r="E93" s="315"/>
      <c r="F93" s="246"/>
      <c r="G93" s="246"/>
      <c r="H93" s="278" t="s">
        <v>186</v>
      </c>
      <c r="I93" s="266"/>
      <c r="J93" s="266"/>
      <c r="K93" s="266"/>
      <c r="L93" s="117">
        <f>SUM(L101,L113,L136,L139,L142)</f>
        <v>0</v>
      </c>
      <c r="M93" s="117">
        <f>SUM(M101,M113,M136,M139,M142)</f>
        <v>0</v>
      </c>
      <c r="N93" s="266"/>
      <c r="O93" s="266"/>
      <c r="P93" s="266"/>
      <c r="Q93" s="266"/>
      <c r="R93" s="117">
        <f t="shared" ref="R93:U93" si="112">SUM(R101,R113,R136,R139,R142)</f>
        <v>0</v>
      </c>
      <c r="S93" s="117">
        <f t="shared" si="112"/>
        <v>0</v>
      </c>
      <c r="T93" s="117">
        <f t="shared" si="112"/>
        <v>0</v>
      </c>
      <c r="U93" s="117">
        <f t="shared" si="112"/>
        <v>0</v>
      </c>
      <c r="V93" s="266"/>
      <c r="W93" s="266"/>
      <c r="X93" s="266"/>
      <c r="Y93" s="117">
        <f>SUM(Y101,Y113,Y136,Y139,Y142)</f>
        <v>0</v>
      </c>
      <c r="Z93" s="266"/>
      <c r="AA93" s="266"/>
      <c r="AB93" s="117">
        <f t="shared" ref="AB93:AF93" si="113">SUM(AB101,AB113,AB136,AB139,AB142)</f>
        <v>0</v>
      </c>
      <c r="AC93" s="267">
        <f t="shared" si="113"/>
        <v>0</v>
      </c>
      <c r="AD93" s="267">
        <f t="shared" si="113"/>
        <v>0</v>
      </c>
      <c r="AE93" s="117">
        <f t="shared" si="113"/>
        <v>0</v>
      </c>
      <c r="AF93" s="117">
        <f t="shared" si="113"/>
        <v>0</v>
      </c>
      <c r="AG93" s="266"/>
      <c r="AH93" s="266"/>
      <c r="AI93" s="266"/>
      <c r="AJ93" s="267">
        <f t="shared" ref="AJ93:AL93" si="114">SUM(AJ101,AJ113,AJ136,AJ139,AJ142)</f>
        <v>0</v>
      </c>
      <c r="AK93" s="267">
        <f t="shared" si="114"/>
        <v>0</v>
      </c>
      <c r="AL93" s="267">
        <f t="shared" si="114"/>
        <v>0</v>
      </c>
      <c r="AM93" s="117">
        <f t="shared" ref="AM93:AN93" si="115">SUM(AM101,AM113,AM136,AM139,AM142)</f>
        <v>0</v>
      </c>
      <c r="AN93" s="117">
        <f t="shared" si="115"/>
        <v>0</v>
      </c>
      <c r="AO93" s="132"/>
      <c r="AP93" s="25"/>
      <c r="AQ93" s="117">
        <f t="shared" ref="AQ93:BB93" si="116">SUM(AQ101,AQ113,AQ136,AQ139,AQ142)</f>
        <v>0</v>
      </c>
      <c r="AR93" s="117">
        <f t="shared" si="116"/>
        <v>0</v>
      </c>
      <c r="AS93" s="117">
        <f t="shared" si="116"/>
        <v>0</v>
      </c>
      <c r="AT93" s="117">
        <f t="shared" si="116"/>
        <v>0</v>
      </c>
      <c r="AU93" s="267">
        <f t="shared" si="116"/>
        <v>0</v>
      </c>
      <c r="AV93" s="267">
        <f t="shared" si="116"/>
        <v>0</v>
      </c>
      <c r="AW93" s="267">
        <f t="shared" si="116"/>
        <v>0</v>
      </c>
      <c r="AX93" s="267">
        <f t="shared" si="116"/>
        <v>0</v>
      </c>
      <c r="AY93" s="267">
        <f t="shared" si="116"/>
        <v>0</v>
      </c>
      <c r="AZ93" s="267">
        <f t="shared" si="116"/>
        <v>0</v>
      </c>
      <c r="BA93" s="267">
        <f t="shared" si="116"/>
        <v>0</v>
      </c>
      <c r="BB93" s="117">
        <f t="shared" si="116"/>
        <v>0</v>
      </c>
    </row>
    <row r="94" spans="1:54" ht="15.6" outlineLevel="2">
      <c r="A94" s="98"/>
      <c r="B94" s="102"/>
      <c r="C94" s="23"/>
      <c r="D94" s="257"/>
      <c r="E94" s="257"/>
      <c r="F94" s="257"/>
      <c r="G94" s="257"/>
      <c r="H94" s="272"/>
      <c r="I94" s="258"/>
      <c r="J94" s="259"/>
      <c r="K94" s="259"/>
      <c r="L94" s="106" t="str">
        <f>IF(I94&lt;&gt;0,((VLOOKUP(I94,'1. Standard_Cost'!$B$4:$D$11,2)+VLOOKUP(I94,'1. Standard_Cost'!$B$4:$D$11,3))*J94*K94),"0")</f>
        <v>0</v>
      </c>
      <c r="M94" s="106">
        <f>L94*'1. Standard_Cost'!$F$4</f>
        <v>0</v>
      </c>
      <c r="N94" s="260"/>
      <c r="O94" s="260"/>
      <c r="P94" s="260"/>
      <c r="Q94" s="260"/>
      <c r="R94" s="108">
        <f>'1. Standard_Cost'!$B$15*N94*P94</f>
        <v>0</v>
      </c>
      <c r="S94" s="108">
        <f>N94*O94*P94*'1. Standard_Cost'!$C$15</f>
        <v>0</v>
      </c>
      <c r="T94" s="108">
        <f>N94*P94*Q94*'1. Standard_Cost'!$D$15</f>
        <v>0</v>
      </c>
      <c r="U94" s="108">
        <f>N94*O94*'1. Standard_Cost'!$E$15</f>
        <v>0</v>
      </c>
      <c r="V94" s="260"/>
      <c r="W94" s="260"/>
      <c r="X94" s="260"/>
      <c r="Y94" s="108">
        <f>+V94*((X94*'1. Standard_Cost'!$B$19)+(W94*X94*'1. Standard_Cost'!$C$19))</f>
        <v>0</v>
      </c>
      <c r="Z94" s="260"/>
      <c r="AA94" s="260"/>
      <c r="AB94" s="108">
        <f>+Z94*'1. Standard_Cost'!$B$23+AA94*'1. Standard_Cost'!$C$23</f>
        <v>0</v>
      </c>
      <c r="AC94" s="261"/>
      <c r="AD94" s="262"/>
      <c r="AE94" s="108">
        <f>SUM(AD94,AC94,AB94,Y94,U94,T94,S94,R94)*'1. Standard_Cost'!$B$31</f>
        <v>0</v>
      </c>
      <c r="AF94" s="108">
        <f t="shared" ref="AF94:AF100" si="117">SUM(AE94,AD94,AC94,AB94,Y94,U94,T94,S94,R94)</f>
        <v>0</v>
      </c>
      <c r="AG94" s="260"/>
      <c r="AH94" s="260"/>
      <c r="AI94" s="260"/>
      <c r="AJ94" s="263"/>
      <c r="AK94" s="263"/>
      <c r="AL94" s="263"/>
      <c r="AM94" s="108">
        <f>AG94*'1. Standard_Cost'!$B$27+'Incremental_Cost Year 9'!AH94*'1. Standard_Cost'!$C$27+'Incremental_Cost Year 9'!AI94*'1. Standard_Cost'!$D$27+'Incremental_Cost Year 9'!AJ94+'Incremental_Cost Year 9'!AL94+AK94</f>
        <v>0</v>
      </c>
      <c r="AN94" s="108">
        <f>AM94*'1. Standard_Cost'!$C$31</f>
        <v>0</v>
      </c>
      <c r="AO94" s="125" t="s">
        <v>333</v>
      </c>
      <c r="AQ94" s="14">
        <f t="shared" ref="AQ94:AQ100" si="118">L94+M94</f>
        <v>0</v>
      </c>
      <c r="AR94" s="14">
        <f t="shared" ref="AR94:AR100" si="119">AF94</f>
        <v>0</v>
      </c>
      <c r="AS94" s="14">
        <f t="shared" ref="AS94:AS100" si="120">AM94+AN94</f>
        <v>0</v>
      </c>
      <c r="AT94" s="14">
        <f>SUM(AQ94,AR94,AS94)</f>
        <v>0</v>
      </c>
      <c r="AU94" s="234"/>
      <c r="AV94" s="234"/>
      <c r="AW94" s="234"/>
      <c r="AX94" s="234"/>
      <c r="AY94" s="234"/>
      <c r="AZ94" s="234"/>
      <c r="BA94" s="234"/>
      <c r="BB94" s="16">
        <f t="shared" ref="BB94:BB100" si="121">SUM(AU94:BA94)-AT94</f>
        <v>0</v>
      </c>
    </row>
    <row r="95" spans="1:54" ht="15.6" outlineLevel="2">
      <c r="A95" s="98"/>
      <c r="B95" s="102"/>
      <c r="C95" s="23"/>
      <c r="D95" s="269"/>
      <c r="E95" s="269"/>
      <c r="F95" s="269"/>
      <c r="G95" s="269"/>
      <c r="H95" s="272"/>
      <c r="I95" s="258"/>
      <c r="J95" s="259"/>
      <c r="K95" s="259"/>
      <c r="L95" s="106" t="str">
        <f>IF(I95&lt;&gt;0,((VLOOKUP(I95,'1. Standard_Cost'!$B$4:$D$11,2)+VLOOKUP(I95,'1. Standard_Cost'!$B$4:$D$11,3))*J95*K95),"0")</f>
        <v>0</v>
      </c>
      <c r="M95" s="106">
        <f>L95*'1. Standard_Cost'!$F$4</f>
        <v>0</v>
      </c>
      <c r="N95" s="260"/>
      <c r="O95" s="260"/>
      <c r="P95" s="260"/>
      <c r="Q95" s="260"/>
      <c r="R95" s="108">
        <f>'1. Standard_Cost'!$B$15*N95*P95</f>
        <v>0</v>
      </c>
      <c r="S95" s="108">
        <f>N95*O95*P95*'1. Standard_Cost'!$C$15</f>
        <v>0</v>
      </c>
      <c r="T95" s="108">
        <f>N95*P95*Q95*'1. Standard_Cost'!$D$15</f>
        <v>0</v>
      </c>
      <c r="U95" s="108">
        <f>N95*O95*'1. Standard_Cost'!$E$15</f>
        <v>0</v>
      </c>
      <c r="V95" s="260"/>
      <c r="W95" s="260"/>
      <c r="X95" s="260"/>
      <c r="Y95" s="108">
        <f>+V95*((X95*'1. Standard_Cost'!$B$19)+(W95*X95*'1. Standard_Cost'!$C$19))</f>
        <v>0</v>
      </c>
      <c r="Z95" s="260"/>
      <c r="AA95" s="260"/>
      <c r="AB95" s="108">
        <f>+Z95*'1. Standard_Cost'!$B$23+AA95*'1. Standard_Cost'!$C$23</f>
        <v>0</v>
      </c>
      <c r="AC95" s="261"/>
      <c r="AD95" s="262"/>
      <c r="AE95" s="108">
        <f>SUM(AD95,AC95,AB95,Y95,U95,T95,S95,R95)*'1. Standard_Cost'!$B$31</f>
        <v>0</v>
      </c>
      <c r="AF95" s="108">
        <f t="shared" si="117"/>
        <v>0</v>
      </c>
      <c r="AG95" s="260"/>
      <c r="AH95" s="260"/>
      <c r="AI95" s="260"/>
      <c r="AJ95" s="263"/>
      <c r="AK95" s="263"/>
      <c r="AL95" s="263"/>
      <c r="AM95" s="108">
        <f>AG95*'1. Standard_Cost'!$B$27+'Incremental_Cost Year 9'!AH95*'1. Standard_Cost'!$C$27+'Incremental_Cost Year 9'!AI95*'1. Standard_Cost'!$D$27+'Incremental_Cost Year 9'!AJ95+'Incremental_Cost Year 9'!AL95+AK95</f>
        <v>0</v>
      </c>
      <c r="AN95" s="108">
        <f>AM95*'1. Standard_Cost'!$C$31</f>
        <v>0</v>
      </c>
      <c r="AO95" s="125" t="s">
        <v>334</v>
      </c>
      <c r="AQ95" s="14">
        <f t="shared" si="118"/>
        <v>0</v>
      </c>
      <c r="AR95" s="14">
        <f t="shared" si="119"/>
        <v>0</v>
      </c>
      <c r="AS95" s="14">
        <f t="shared" si="120"/>
        <v>0</v>
      </c>
      <c r="AT95" s="14">
        <f t="shared" ref="AT95:AT100" si="122">SUM(AQ95,AR95,AS95)</f>
        <v>0</v>
      </c>
      <c r="AU95" s="234"/>
      <c r="AV95" s="234"/>
      <c r="AW95" s="234"/>
      <c r="AX95" s="234"/>
      <c r="AY95" s="234"/>
      <c r="AZ95" s="234"/>
      <c r="BA95" s="234"/>
      <c r="BB95" s="16">
        <f t="shared" si="121"/>
        <v>0</v>
      </c>
    </row>
    <row r="96" spans="1:54" ht="15.6" outlineLevel="2">
      <c r="A96" s="98"/>
      <c r="B96" s="102"/>
      <c r="C96" s="23"/>
      <c r="D96" s="269"/>
      <c r="E96" s="269"/>
      <c r="F96" s="269"/>
      <c r="G96" s="174"/>
      <c r="H96" s="272"/>
      <c r="I96" s="258"/>
      <c r="J96" s="259"/>
      <c r="K96" s="259"/>
      <c r="L96" s="106" t="str">
        <f>IF(I96&lt;&gt;0,((VLOOKUP(I96,'1. Standard_Cost'!$B$4:$D$11,2)+VLOOKUP(I96,'1. Standard_Cost'!$B$4:$D$11,3))*J96*K96),"0")</f>
        <v>0</v>
      </c>
      <c r="M96" s="106">
        <f>L96*'1. Standard_Cost'!$F$4</f>
        <v>0</v>
      </c>
      <c r="N96" s="260"/>
      <c r="O96" s="260"/>
      <c r="P96" s="260"/>
      <c r="Q96" s="260"/>
      <c r="R96" s="108">
        <f>'1. Standard_Cost'!$B$15*N96*P96</f>
        <v>0</v>
      </c>
      <c r="S96" s="108">
        <f>N96*O96*P96*'1. Standard_Cost'!$C$15</f>
        <v>0</v>
      </c>
      <c r="T96" s="108">
        <f>N96*P96*Q96*'1. Standard_Cost'!$D$15</f>
        <v>0</v>
      </c>
      <c r="U96" s="108">
        <f>N96*O96*'1. Standard_Cost'!$E$15</f>
        <v>0</v>
      </c>
      <c r="V96" s="260"/>
      <c r="W96" s="260"/>
      <c r="X96" s="260"/>
      <c r="Y96" s="108">
        <f>+V96*((X96*'1. Standard_Cost'!$B$19)+(W96*X96*'1. Standard_Cost'!$C$19))</f>
        <v>0</v>
      </c>
      <c r="Z96" s="260"/>
      <c r="AA96" s="260"/>
      <c r="AB96" s="108">
        <f>+Z96*'1. Standard_Cost'!$B$23+AA96*'1. Standard_Cost'!$C$23</f>
        <v>0</v>
      </c>
      <c r="AC96" s="261"/>
      <c r="AD96" s="262"/>
      <c r="AE96" s="108">
        <f>SUM(AD96,AC96,AB96,Y96,U96,T96,S96,R96)*'1. Standard_Cost'!$B$31</f>
        <v>0</v>
      </c>
      <c r="AF96" s="108">
        <f t="shared" si="117"/>
        <v>0</v>
      </c>
      <c r="AG96" s="260"/>
      <c r="AH96" s="260"/>
      <c r="AI96" s="260"/>
      <c r="AJ96" s="263"/>
      <c r="AK96" s="263"/>
      <c r="AL96" s="263"/>
      <c r="AM96" s="108">
        <f>AG96*'1. Standard_Cost'!$B$27+'Incremental_Cost Year 9'!AH96*'1. Standard_Cost'!$C$27+'Incremental_Cost Year 9'!AI96*'1. Standard_Cost'!$D$27+'Incremental_Cost Year 9'!AJ96+'Incremental_Cost Year 9'!AL96+AK96</f>
        <v>0</v>
      </c>
      <c r="AN96" s="108">
        <f>AM96*'1. Standard_Cost'!$C$31</f>
        <v>0</v>
      </c>
      <c r="AO96" s="125" t="s">
        <v>335</v>
      </c>
      <c r="AQ96" s="14">
        <f t="shared" si="118"/>
        <v>0</v>
      </c>
      <c r="AR96" s="14">
        <f t="shared" si="119"/>
        <v>0</v>
      </c>
      <c r="AS96" s="14">
        <f t="shared" si="120"/>
        <v>0</v>
      </c>
      <c r="AT96" s="14">
        <f t="shared" si="122"/>
        <v>0</v>
      </c>
      <c r="AU96" s="234"/>
      <c r="AV96" s="234"/>
      <c r="AW96" s="234"/>
      <c r="AX96" s="234"/>
      <c r="AY96" s="234"/>
      <c r="AZ96" s="234"/>
      <c r="BA96" s="234"/>
      <c r="BB96" s="16">
        <f t="shared" si="121"/>
        <v>0</v>
      </c>
    </row>
    <row r="97" spans="1:54" ht="15.6" outlineLevel="2">
      <c r="A97" s="98"/>
      <c r="B97" s="102"/>
      <c r="C97" s="23"/>
      <c r="D97" s="269"/>
      <c r="E97" s="269"/>
      <c r="F97" s="269"/>
      <c r="G97" s="269"/>
      <c r="H97" s="272"/>
      <c r="I97" s="258"/>
      <c r="J97" s="259"/>
      <c r="K97" s="259"/>
      <c r="L97" s="106" t="str">
        <f>IF(I97&lt;&gt;0,((VLOOKUP(I97,'1. Standard_Cost'!$B$4:$D$11,2)+VLOOKUP(I97,'1. Standard_Cost'!$B$4:$D$11,3))*J97*K97),"0")</f>
        <v>0</v>
      </c>
      <c r="M97" s="106">
        <f>L97*'1. Standard_Cost'!$F$4</f>
        <v>0</v>
      </c>
      <c r="N97" s="260"/>
      <c r="O97" s="260"/>
      <c r="P97" s="260"/>
      <c r="Q97" s="260"/>
      <c r="R97" s="108">
        <f>'1. Standard_Cost'!$B$15*N97*P97</f>
        <v>0</v>
      </c>
      <c r="S97" s="108">
        <f>N97*O97*P97*'1. Standard_Cost'!$C$15</f>
        <v>0</v>
      </c>
      <c r="T97" s="108">
        <f>N97*P97*Q97*'1. Standard_Cost'!$D$15</f>
        <v>0</v>
      </c>
      <c r="U97" s="108">
        <f>N97*O97*'1. Standard_Cost'!$E$15</f>
        <v>0</v>
      </c>
      <c r="V97" s="260"/>
      <c r="W97" s="260"/>
      <c r="X97" s="260"/>
      <c r="Y97" s="108">
        <f>+V97*((X97*'1. Standard_Cost'!$B$19)+(W97*X97*'1. Standard_Cost'!$C$19))</f>
        <v>0</v>
      </c>
      <c r="Z97" s="260"/>
      <c r="AA97" s="260"/>
      <c r="AB97" s="108">
        <f>+Z97*'1. Standard_Cost'!$B$23+AA97*'1. Standard_Cost'!$C$23</f>
        <v>0</v>
      </c>
      <c r="AC97" s="261"/>
      <c r="AD97" s="262"/>
      <c r="AE97" s="108">
        <f>SUM(AD97,AC97,AB97,Y97,U97,T97,S97,R97)*'1. Standard_Cost'!$B$31</f>
        <v>0</v>
      </c>
      <c r="AF97" s="108">
        <f t="shared" si="117"/>
        <v>0</v>
      </c>
      <c r="AG97" s="260"/>
      <c r="AH97" s="260"/>
      <c r="AI97" s="260"/>
      <c r="AJ97" s="263"/>
      <c r="AK97" s="263"/>
      <c r="AL97" s="263"/>
      <c r="AM97" s="108">
        <f>AG97*'1. Standard_Cost'!$B$27+'Incremental_Cost Year 9'!AH97*'1. Standard_Cost'!$C$27+'Incremental_Cost Year 9'!AI97*'1. Standard_Cost'!$D$27+'Incremental_Cost Year 9'!AJ97+'Incremental_Cost Year 9'!AL97+AK97</f>
        <v>0</v>
      </c>
      <c r="AN97" s="108">
        <f>AM97*'1. Standard_Cost'!$C$31</f>
        <v>0</v>
      </c>
      <c r="AO97" s="125" t="s">
        <v>336</v>
      </c>
      <c r="AQ97" s="14">
        <f t="shared" si="118"/>
        <v>0</v>
      </c>
      <c r="AR97" s="14">
        <f t="shared" si="119"/>
        <v>0</v>
      </c>
      <c r="AS97" s="14">
        <f t="shared" si="120"/>
        <v>0</v>
      </c>
      <c r="AT97" s="14">
        <f t="shared" si="122"/>
        <v>0</v>
      </c>
      <c r="AU97" s="234"/>
      <c r="AV97" s="234"/>
      <c r="AW97" s="234"/>
      <c r="AX97" s="234"/>
      <c r="AY97" s="234"/>
      <c r="AZ97" s="234"/>
      <c r="BA97" s="234"/>
      <c r="BB97" s="16">
        <f t="shared" si="121"/>
        <v>0</v>
      </c>
    </row>
    <row r="98" spans="1:54" ht="15.6" outlineLevel="2">
      <c r="A98" s="98"/>
      <c r="B98" s="102"/>
      <c r="C98" s="23"/>
      <c r="D98" s="269"/>
      <c r="E98" s="269"/>
      <c r="F98" s="269"/>
      <c r="G98" s="269"/>
      <c r="H98" s="272"/>
      <c r="I98" s="258"/>
      <c r="J98" s="259"/>
      <c r="K98" s="259"/>
      <c r="L98" s="106" t="str">
        <f>IF(I98&lt;&gt;0,((VLOOKUP(I98,'1. Standard_Cost'!$B$4:$D$11,2)+VLOOKUP(I98,'1. Standard_Cost'!$B$4:$D$11,3))*J98*K98),"0")</f>
        <v>0</v>
      </c>
      <c r="M98" s="106">
        <f>L98*'1. Standard_Cost'!$F$4</f>
        <v>0</v>
      </c>
      <c r="N98" s="260"/>
      <c r="O98" s="260"/>
      <c r="P98" s="260"/>
      <c r="Q98" s="260"/>
      <c r="R98" s="108">
        <f>'1. Standard_Cost'!$B$15*N98*P98</f>
        <v>0</v>
      </c>
      <c r="S98" s="108">
        <f>N98*O98*P98*'1. Standard_Cost'!$C$15</f>
        <v>0</v>
      </c>
      <c r="T98" s="108">
        <f>N98*P98*Q98*'1. Standard_Cost'!$D$15</f>
        <v>0</v>
      </c>
      <c r="U98" s="108">
        <f>N98*O98*'1. Standard_Cost'!$E$15</f>
        <v>0</v>
      </c>
      <c r="V98" s="260"/>
      <c r="W98" s="260"/>
      <c r="X98" s="260"/>
      <c r="Y98" s="108">
        <f>+V98*((X98*'1. Standard_Cost'!$B$19)+(W98*X98*'1. Standard_Cost'!$C$19))</f>
        <v>0</v>
      </c>
      <c r="Z98" s="260"/>
      <c r="AA98" s="260"/>
      <c r="AB98" s="108">
        <f>+Z98*'1. Standard_Cost'!$B$23+AA98*'1. Standard_Cost'!$C$23</f>
        <v>0</v>
      </c>
      <c r="AC98" s="261"/>
      <c r="AD98" s="262"/>
      <c r="AE98" s="108">
        <f>SUM(AD98,AC98,AB98,Y98,U98,T98,S98,R98)*'1. Standard_Cost'!$B$31</f>
        <v>0</v>
      </c>
      <c r="AF98" s="108">
        <f t="shared" si="117"/>
        <v>0</v>
      </c>
      <c r="AG98" s="260"/>
      <c r="AH98" s="260"/>
      <c r="AI98" s="260"/>
      <c r="AJ98" s="263"/>
      <c r="AK98" s="263"/>
      <c r="AL98" s="263"/>
      <c r="AM98" s="108">
        <f>AG98*'1. Standard_Cost'!$B$27+'Incremental_Cost Year 9'!AH98*'1. Standard_Cost'!$C$27+'Incremental_Cost Year 9'!AI98*'1. Standard_Cost'!$D$27+'Incremental_Cost Year 9'!AJ98+'Incremental_Cost Year 9'!AL98+AK98</f>
        <v>0</v>
      </c>
      <c r="AN98" s="108">
        <f>AM98*'1. Standard_Cost'!$C$31</f>
        <v>0</v>
      </c>
      <c r="AO98" s="125" t="s">
        <v>337</v>
      </c>
      <c r="AQ98" s="14">
        <f t="shared" si="118"/>
        <v>0</v>
      </c>
      <c r="AR98" s="14">
        <f t="shared" si="119"/>
        <v>0</v>
      </c>
      <c r="AS98" s="14">
        <f t="shared" si="120"/>
        <v>0</v>
      </c>
      <c r="AT98" s="14">
        <f t="shared" si="122"/>
        <v>0</v>
      </c>
      <c r="AU98" s="234"/>
      <c r="AV98" s="234"/>
      <c r="AW98" s="234"/>
      <c r="AX98" s="234"/>
      <c r="AY98" s="234"/>
      <c r="AZ98" s="234"/>
      <c r="BA98" s="234"/>
      <c r="BB98" s="16">
        <f t="shared" si="121"/>
        <v>0</v>
      </c>
    </row>
    <row r="99" spans="1:54" ht="27.6" outlineLevel="2">
      <c r="A99" s="98"/>
      <c r="B99" s="102"/>
      <c r="C99" s="23"/>
      <c r="D99" s="269"/>
      <c r="E99" s="269"/>
      <c r="F99" s="269"/>
      <c r="G99" s="269"/>
      <c r="H99" s="272"/>
      <c r="I99" s="258"/>
      <c r="J99" s="259"/>
      <c r="K99" s="259"/>
      <c r="L99" s="106" t="str">
        <f>IF(I99&lt;&gt;0,((VLOOKUP(I99,'1. Standard_Cost'!$B$4:$D$11,2)+VLOOKUP(I99,'1. Standard_Cost'!$B$4:$D$11,3))*J99*K99),"0")</f>
        <v>0</v>
      </c>
      <c r="M99" s="106">
        <f>L99*'1. Standard_Cost'!$F$4</f>
        <v>0</v>
      </c>
      <c r="N99" s="260"/>
      <c r="O99" s="260"/>
      <c r="P99" s="260"/>
      <c r="Q99" s="260"/>
      <c r="R99" s="108">
        <f>'1. Standard_Cost'!$B$15*N99*P99</f>
        <v>0</v>
      </c>
      <c r="S99" s="108">
        <f>N99*O99*P99*'1. Standard_Cost'!$C$15</f>
        <v>0</v>
      </c>
      <c r="T99" s="108">
        <f>N99*P99*Q99*'1. Standard_Cost'!$D$15</f>
        <v>0</v>
      </c>
      <c r="U99" s="108">
        <f>N99*O99*'1. Standard_Cost'!$E$15</f>
        <v>0</v>
      </c>
      <c r="V99" s="260"/>
      <c r="W99" s="260"/>
      <c r="X99" s="260"/>
      <c r="Y99" s="108">
        <f>+V99*((X99*'1. Standard_Cost'!$B$19)+(W99*X99*'1. Standard_Cost'!$C$19))</f>
        <v>0</v>
      </c>
      <c r="Z99" s="260"/>
      <c r="AA99" s="260"/>
      <c r="AB99" s="108">
        <f>+Z99*'1. Standard_Cost'!$B$23+AA99*'1. Standard_Cost'!$C$23</f>
        <v>0</v>
      </c>
      <c r="AC99" s="261"/>
      <c r="AD99" s="262"/>
      <c r="AE99" s="108">
        <f>SUM(AD99,AC99,AB99,Y99,U99,T99,S99,R99)*'1. Standard_Cost'!$B$31</f>
        <v>0</v>
      </c>
      <c r="AF99" s="108">
        <f t="shared" si="117"/>
        <v>0</v>
      </c>
      <c r="AG99" s="260"/>
      <c r="AH99" s="260"/>
      <c r="AI99" s="260"/>
      <c r="AJ99" s="263"/>
      <c r="AK99" s="263"/>
      <c r="AL99" s="263"/>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18"/>
        <v>0</v>
      </c>
      <c r="AR99" s="14">
        <f t="shared" si="119"/>
        <v>0</v>
      </c>
      <c r="AS99" s="14">
        <f t="shared" si="120"/>
        <v>0</v>
      </c>
      <c r="AT99" s="14">
        <f t="shared" si="122"/>
        <v>0</v>
      </c>
      <c r="AU99" s="234"/>
      <c r="AV99" s="234"/>
      <c r="AW99" s="234"/>
      <c r="AX99" s="234"/>
      <c r="AY99" s="234"/>
      <c r="AZ99" s="234"/>
      <c r="BA99" s="234"/>
      <c r="BB99" s="16">
        <f t="shared" si="121"/>
        <v>0</v>
      </c>
    </row>
    <row r="100" spans="1:54" ht="27.6" outlineLevel="2">
      <c r="A100" s="98"/>
      <c r="B100" s="102"/>
      <c r="C100" s="23"/>
      <c r="D100" s="269"/>
      <c r="E100" s="269"/>
      <c r="F100" s="251"/>
      <c r="G100" s="254"/>
      <c r="H100" s="272"/>
      <c r="I100" s="258"/>
      <c r="J100" s="259"/>
      <c r="K100" s="259"/>
      <c r="L100" s="106" t="str">
        <f>IF(I100&lt;&gt;0,((VLOOKUP(I100,'1. Standard_Cost'!$B$4:$D$11,2)+VLOOKUP(I100,'1. Standard_Cost'!$B$4:$D$11,3))*J100*K100),"0")</f>
        <v>0</v>
      </c>
      <c r="M100" s="106">
        <f>L100*'1. Standard_Cost'!$F$4</f>
        <v>0</v>
      </c>
      <c r="N100" s="260"/>
      <c r="O100" s="260"/>
      <c r="P100" s="260"/>
      <c r="Q100" s="260"/>
      <c r="R100" s="108">
        <f>'1. Standard_Cost'!$B$15*N100*P100</f>
        <v>0</v>
      </c>
      <c r="S100" s="108">
        <f>N100*O100*P100*'1. Standard_Cost'!$C$15</f>
        <v>0</v>
      </c>
      <c r="T100" s="108">
        <f>N100*P100*Q100*'1. Standard_Cost'!$D$15</f>
        <v>0</v>
      </c>
      <c r="U100" s="108">
        <f>N100*O100*'1. Standard_Cost'!$E$15</f>
        <v>0</v>
      </c>
      <c r="V100" s="260"/>
      <c r="W100" s="260"/>
      <c r="X100" s="260"/>
      <c r="Y100" s="108">
        <f>+V100*((X100*'1. Standard_Cost'!$B$19)+(W100*X100*'1. Standard_Cost'!$C$19))</f>
        <v>0</v>
      </c>
      <c r="Z100" s="260"/>
      <c r="AA100" s="260"/>
      <c r="AB100" s="108">
        <f>+Z100*'1. Standard_Cost'!$B$23+AA100*'1. Standard_Cost'!$C$23</f>
        <v>0</v>
      </c>
      <c r="AC100" s="261"/>
      <c r="AD100" s="262"/>
      <c r="AE100" s="108">
        <f>SUM(AD100,AC100,AB100,Y100,U100,T100,S100,R100)*'1. Standard_Cost'!$B$31</f>
        <v>0</v>
      </c>
      <c r="AF100" s="108">
        <f t="shared" si="117"/>
        <v>0</v>
      </c>
      <c r="AG100" s="260"/>
      <c r="AH100" s="260"/>
      <c r="AI100" s="260"/>
      <c r="AJ100" s="263"/>
      <c r="AK100" s="263"/>
      <c r="AL100" s="263"/>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18"/>
        <v>0</v>
      </c>
      <c r="AR100" s="14">
        <f t="shared" si="119"/>
        <v>0</v>
      </c>
      <c r="AS100" s="14">
        <f t="shared" si="120"/>
        <v>0</v>
      </c>
      <c r="AT100" s="14">
        <f t="shared" si="122"/>
        <v>0</v>
      </c>
      <c r="AU100" s="234"/>
      <c r="AV100" s="234"/>
      <c r="AW100" s="234"/>
      <c r="AX100" s="234"/>
      <c r="AY100" s="234"/>
      <c r="AZ100" s="234"/>
      <c r="BA100" s="234"/>
      <c r="BB100" s="16">
        <f t="shared" si="121"/>
        <v>0</v>
      </c>
    </row>
    <row r="101" spans="1:54" ht="27.6" outlineLevel="1">
      <c r="A101" s="98"/>
      <c r="B101" s="102"/>
      <c r="C101" s="23"/>
      <c r="D101" s="56" t="s">
        <v>47</v>
      </c>
      <c r="E101" s="56" t="s">
        <v>222</v>
      </c>
      <c r="F101" s="253">
        <v>2021</v>
      </c>
      <c r="G101" s="254">
        <v>2026</v>
      </c>
      <c r="H101" s="277" t="s">
        <v>187</v>
      </c>
      <c r="I101" s="264"/>
      <c r="J101" s="264"/>
      <c r="K101" s="264"/>
      <c r="L101" s="113">
        <f>SUM(L94:L100)</f>
        <v>0</v>
      </c>
      <c r="M101" s="113">
        <f>SUM(M94:M100)</f>
        <v>0</v>
      </c>
      <c r="N101" s="264"/>
      <c r="O101" s="264"/>
      <c r="P101" s="264"/>
      <c r="Q101" s="264"/>
      <c r="R101" s="113">
        <f>SUM(R94:R100)</f>
        <v>0</v>
      </c>
      <c r="S101" s="113">
        <f>SUM(S94:S100)</f>
        <v>0</v>
      </c>
      <c r="T101" s="113">
        <f>SUM(T94:T100)</f>
        <v>0</v>
      </c>
      <c r="U101" s="113">
        <f>SUM(U94:U100)</f>
        <v>0</v>
      </c>
      <c r="V101" s="264"/>
      <c r="W101" s="264"/>
      <c r="X101" s="264"/>
      <c r="Y101" s="113">
        <f>SUM(Y94:Y100)</f>
        <v>0</v>
      </c>
      <c r="Z101" s="264"/>
      <c r="AA101" s="264"/>
      <c r="AB101" s="113">
        <f>SUM(AB94:AB100)</f>
        <v>0</v>
      </c>
      <c r="AC101" s="265">
        <f>SUM(AC94:AC100)</f>
        <v>0</v>
      </c>
      <c r="AD101" s="265">
        <f>SUM(AD94:AD100)</f>
        <v>0</v>
      </c>
      <c r="AE101" s="113">
        <f>SUM(AE94:AE100)</f>
        <v>0</v>
      </c>
      <c r="AF101" s="113">
        <f>SUM(AF94:AF100)</f>
        <v>0</v>
      </c>
      <c r="AG101" s="264"/>
      <c r="AH101" s="264"/>
      <c r="AI101" s="264"/>
      <c r="AJ101" s="265">
        <f>SUM(AJ94:AJ100)</f>
        <v>0</v>
      </c>
      <c r="AK101" s="265">
        <f>SUM(AK94:AK100)</f>
        <v>0</v>
      </c>
      <c r="AL101" s="265">
        <f>SUM(AL94:AL100)</f>
        <v>0</v>
      </c>
      <c r="AM101" s="113">
        <f>SUM(AM94:AM100)</f>
        <v>0</v>
      </c>
      <c r="AN101" s="113">
        <f>SUM(AN94:AN100)</f>
        <v>0</v>
      </c>
      <c r="AO101" s="131"/>
      <c r="AP101" s="17"/>
      <c r="AQ101" s="113">
        <f t="shared" ref="AQ101:BB101" si="123">SUM(AQ94:AQ100)</f>
        <v>0</v>
      </c>
      <c r="AR101" s="113">
        <f t="shared" si="123"/>
        <v>0</v>
      </c>
      <c r="AS101" s="113">
        <f t="shared" si="123"/>
        <v>0</v>
      </c>
      <c r="AT101" s="113">
        <f t="shared" si="123"/>
        <v>0</v>
      </c>
      <c r="AU101" s="265">
        <f t="shared" si="123"/>
        <v>0</v>
      </c>
      <c r="AV101" s="265">
        <f t="shared" si="123"/>
        <v>0</v>
      </c>
      <c r="AW101" s="265">
        <f t="shared" si="123"/>
        <v>0</v>
      </c>
      <c r="AX101" s="265">
        <f t="shared" si="123"/>
        <v>0</v>
      </c>
      <c r="AY101" s="265">
        <f t="shared" si="123"/>
        <v>0</v>
      </c>
      <c r="AZ101" s="265">
        <f t="shared" si="123"/>
        <v>0</v>
      </c>
      <c r="BA101" s="265">
        <f t="shared" si="123"/>
        <v>0</v>
      </c>
      <c r="BB101" s="113">
        <f t="shared" si="123"/>
        <v>0</v>
      </c>
    </row>
    <row r="102" spans="1:54" ht="41.4" outlineLevel="2">
      <c r="A102" s="98"/>
      <c r="B102" s="102"/>
      <c r="C102" s="23"/>
      <c r="D102" s="257"/>
      <c r="E102" s="257"/>
      <c r="F102" s="175"/>
      <c r="G102" s="175"/>
      <c r="H102" s="272"/>
      <c r="I102" s="258"/>
      <c r="J102" s="259"/>
      <c r="K102" s="259"/>
      <c r="L102" s="106" t="str">
        <f>IF(I102&lt;&gt;0,((VLOOKUP(I102,'1. Standard_Cost'!$B$4:$D$11,2)+VLOOKUP(I102,'1. Standard_Cost'!$B$4:$D$11,3))*J102*K102),"0")</f>
        <v>0</v>
      </c>
      <c r="M102" s="106">
        <f>L102*'1. Standard_Cost'!$F$4</f>
        <v>0</v>
      </c>
      <c r="N102" s="260"/>
      <c r="O102" s="260"/>
      <c r="P102" s="260"/>
      <c r="Q102" s="260"/>
      <c r="R102" s="108">
        <f>'1. Standard_Cost'!$B$15*N102*P102</f>
        <v>0</v>
      </c>
      <c r="S102" s="108">
        <f>N102*O102*P102*'1. Standard_Cost'!$C$15</f>
        <v>0</v>
      </c>
      <c r="T102" s="108">
        <f>N102*P102*Q102*'1. Standard_Cost'!$D$15</f>
        <v>0</v>
      </c>
      <c r="U102" s="108">
        <f>N102*O102*'1. Standard_Cost'!$E$15</f>
        <v>0</v>
      </c>
      <c r="V102" s="260"/>
      <c r="W102" s="260"/>
      <c r="X102" s="260"/>
      <c r="Y102" s="108">
        <f>+V102*((X102*'1. Standard_Cost'!$B$19)+(W102*X102*'1. Standard_Cost'!$C$19))</f>
        <v>0</v>
      </c>
      <c r="Z102" s="260"/>
      <c r="AA102" s="260"/>
      <c r="AB102" s="108">
        <f>+Z102*'1. Standard_Cost'!$B$23+AA102*'1. Standard_Cost'!$C$23</f>
        <v>0</v>
      </c>
      <c r="AC102" s="261"/>
      <c r="AD102" s="262"/>
      <c r="AE102" s="108">
        <f>SUM(AD102,AC102,AB102,Y102,U102,T102,S102,R102)*'1. Standard_Cost'!$B$31</f>
        <v>0</v>
      </c>
      <c r="AF102" s="108">
        <f t="shared" ref="AF102:AF112" si="124">SUM(AE102,AD102,AC102,AB102,Y102,U102,T102,S102,R102)</f>
        <v>0</v>
      </c>
      <c r="AG102" s="260"/>
      <c r="AH102" s="260"/>
      <c r="AI102" s="260"/>
      <c r="AJ102" s="263"/>
      <c r="AK102" s="263"/>
      <c r="AL102" s="263"/>
      <c r="AM102" s="108">
        <f>AG102*'1. Standard_Cost'!$B$27+'Incremental_Cost Year 9'!AH102*'1. Standard_Cost'!$C$27+'Incremental_Cost Year 9'!AI102*'1. Standard_Cost'!$D$27+'Incremental_Cost Year 9'!AJ102+'Incremental_Cost Year 9'!AL102+AK102</f>
        <v>0</v>
      </c>
      <c r="AN102" s="108">
        <f>AM102*'1. Standard_Cost'!$C$31</f>
        <v>0</v>
      </c>
      <c r="AO102" s="125" t="s">
        <v>340</v>
      </c>
      <c r="AQ102" s="14">
        <f t="shared" ref="AQ102:AQ112" si="125">L102+M102</f>
        <v>0</v>
      </c>
      <c r="AR102" s="14">
        <f t="shared" ref="AR102:AR112" si="126">AF102</f>
        <v>0</v>
      </c>
      <c r="AS102" s="14">
        <f t="shared" ref="AS102:AS112" si="127">AM102+AN102</f>
        <v>0</v>
      </c>
      <c r="AT102" s="14">
        <f>SUM(AQ102,AR102,AS102)</f>
        <v>0</v>
      </c>
      <c r="AU102" s="234"/>
      <c r="AV102" s="234"/>
      <c r="AW102" s="234"/>
      <c r="AX102" s="234"/>
      <c r="AY102" s="234"/>
      <c r="AZ102" s="234"/>
      <c r="BA102" s="234"/>
      <c r="BB102" s="16">
        <f t="shared" ref="BB102:BB112" si="128">SUM(AU102:BA102)-AT102</f>
        <v>0</v>
      </c>
    </row>
    <row r="103" spans="1:54" ht="15.6" outlineLevel="2">
      <c r="A103" s="98"/>
      <c r="B103" s="102"/>
      <c r="C103" s="23"/>
      <c r="D103" s="269"/>
      <c r="E103" s="269"/>
      <c r="F103" s="174"/>
      <c r="G103" s="269"/>
      <c r="H103" s="272"/>
      <c r="I103" s="258"/>
      <c r="J103" s="259"/>
      <c r="K103" s="259"/>
      <c r="L103" s="106" t="str">
        <f>IF(I103&lt;&gt;0,((VLOOKUP(I103,'1. Standard_Cost'!$B$4:$D$11,2)+VLOOKUP(I103,'1. Standard_Cost'!$B$4:$D$11,3))*J103*K103),"0")</f>
        <v>0</v>
      </c>
      <c r="M103" s="106">
        <f>L103*'1. Standard_Cost'!$F$4</f>
        <v>0</v>
      </c>
      <c r="N103" s="260"/>
      <c r="O103" s="260"/>
      <c r="P103" s="260"/>
      <c r="Q103" s="260"/>
      <c r="R103" s="108">
        <f>'1. Standard_Cost'!$B$15*N103*P103</f>
        <v>0</v>
      </c>
      <c r="S103" s="108">
        <f>N103*O103*P103*'1. Standard_Cost'!$C$15</f>
        <v>0</v>
      </c>
      <c r="T103" s="108">
        <f>N103*P103*Q103*'1. Standard_Cost'!$D$15</f>
        <v>0</v>
      </c>
      <c r="U103" s="108">
        <f>N103*O103*'1. Standard_Cost'!$E$15</f>
        <v>0</v>
      </c>
      <c r="V103" s="260"/>
      <c r="W103" s="260"/>
      <c r="X103" s="260"/>
      <c r="Y103" s="108">
        <f>+V103*((X103*'1. Standard_Cost'!$B$19)+(W103*X103*'1. Standard_Cost'!$C$19))</f>
        <v>0</v>
      </c>
      <c r="Z103" s="260"/>
      <c r="AA103" s="260"/>
      <c r="AB103" s="108">
        <f>+Z103*'1. Standard_Cost'!$B$23+AA103*'1. Standard_Cost'!$C$23</f>
        <v>0</v>
      </c>
      <c r="AC103" s="261"/>
      <c r="AD103" s="262"/>
      <c r="AE103" s="108">
        <f>SUM(AD103,AC103,AB103,Y103,U103,T103,S103,R103)*'1. Standard_Cost'!$B$31</f>
        <v>0</v>
      </c>
      <c r="AF103" s="108">
        <f t="shared" si="124"/>
        <v>0</v>
      </c>
      <c r="AG103" s="260"/>
      <c r="AH103" s="260"/>
      <c r="AI103" s="260"/>
      <c r="AJ103" s="263"/>
      <c r="AK103" s="263"/>
      <c r="AL103" s="263"/>
      <c r="AM103" s="108">
        <f>AG103*'1. Standard_Cost'!$B$27+'Incremental_Cost Year 9'!AH103*'1. Standard_Cost'!$C$27+'Incremental_Cost Year 9'!AI103*'1. Standard_Cost'!$D$27+'Incremental_Cost Year 9'!AJ103+'Incremental_Cost Year 9'!AL103+AK103</f>
        <v>0</v>
      </c>
      <c r="AN103" s="108">
        <f>AM103*'1. Standard_Cost'!$C$31</f>
        <v>0</v>
      </c>
      <c r="AO103" s="125" t="s">
        <v>341</v>
      </c>
      <c r="AQ103" s="14">
        <f t="shared" si="125"/>
        <v>0</v>
      </c>
      <c r="AR103" s="14">
        <f t="shared" si="126"/>
        <v>0</v>
      </c>
      <c r="AS103" s="14">
        <f t="shared" si="127"/>
        <v>0</v>
      </c>
      <c r="AT103" s="14">
        <f t="shared" ref="AT103:AT112" si="129">SUM(AQ103,AR103,AS103)</f>
        <v>0</v>
      </c>
      <c r="AU103" s="234"/>
      <c r="AV103" s="234"/>
      <c r="AW103" s="234"/>
      <c r="AX103" s="234"/>
      <c r="AY103" s="234"/>
      <c r="AZ103" s="234"/>
      <c r="BA103" s="234"/>
      <c r="BB103" s="16">
        <f t="shared" si="128"/>
        <v>0</v>
      </c>
    </row>
    <row r="104" spans="1:54" ht="27.6" outlineLevel="2">
      <c r="A104" s="98"/>
      <c r="B104" s="102"/>
      <c r="C104" s="23"/>
      <c r="D104" s="269"/>
      <c r="E104" s="269"/>
      <c r="F104" s="174"/>
      <c r="G104" s="269"/>
      <c r="H104" s="272"/>
      <c r="I104" s="258"/>
      <c r="J104" s="259"/>
      <c r="K104" s="259"/>
      <c r="L104" s="106" t="str">
        <f>IF(I104&lt;&gt;0,((VLOOKUP(I104,'1. Standard_Cost'!$B$4:$D$11,2)+VLOOKUP(I104,'1. Standard_Cost'!$B$4:$D$11,3))*J104*K104),"0")</f>
        <v>0</v>
      </c>
      <c r="M104" s="106">
        <f>L104*'1. Standard_Cost'!$F$4</f>
        <v>0</v>
      </c>
      <c r="N104" s="260"/>
      <c r="O104" s="260"/>
      <c r="P104" s="260"/>
      <c r="Q104" s="260"/>
      <c r="R104" s="108">
        <f>'1. Standard_Cost'!$B$15*N104*P104</f>
        <v>0</v>
      </c>
      <c r="S104" s="108">
        <f>N104*O104*P104*'1. Standard_Cost'!$C$15</f>
        <v>0</v>
      </c>
      <c r="T104" s="108">
        <f>N104*P104*Q104*'1. Standard_Cost'!$D$15</f>
        <v>0</v>
      </c>
      <c r="U104" s="108">
        <f>N104*O104*'1. Standard_Cost'!$E$15</f>
        <v>0</v>
      </c>
      <c r="V104" s="260"/>
      <c r="W104" s="260"/>
      <c r="X104" s="260"/>
      <c r="Y104" s="108">
        <f>+V104*((X104*'1. Standard_Cost'!$B$19)+(W104*X104*'1. Standard_Cost'!$C$19))</f>
        <v>0</v>
      </c>
      <c r="Z104" s="260"/>
      <c r="AA104" s="260"/>
      <c r="AB104" s="108">
        <f>+Z104*'1. Standard_Cost'!$B$23+AA104*'1. Standard_Cost'!$C$23</f>
        <v>0</v>
      </c>
      <c r="AC104" s="261"/>
      <c r="AD104" s="262"/>
      <c r="AE104" s="108">
        <f>SUM(AD104,AC104,AB104,Y104,U104,T104,S104,R104)*'1. Standard_Cost'!$B$31</f>
        <v>0</v>
      </c>
      <c r="AF104" s="108">
        <f t="shared" si="124"/>
        <v>0</v>
      </c>
      <c r="AG104" s="260"/>
      <c r="AH104" s="260"/>
      <c r="AI104" s="260"/>
      <c r="AJ104" s="263"/>
      <c r="AK104" s="263"/>
      <c r="AL104" s="263"/>
      <c r="AM104" s="108">
        <f>AG104*'1. Standard_Cost'!$B$27+'Incremental_Cost Year 9'!AH104*'1. Standard_Cost'!$C$27+'Incremental_Cost Year 9'!AI104*'1. Standard_Cost'!$D$27+'Incremental_Cost Year 9'!AJ104+'Incremental_Cost Year 9'!AL104+AK104</f>
        <v>0</v>
      </c>
      <c r="AN104" s="108">
        <f>AM104*'1. Standard_Cost'!$C$31</f>
        <v>0</v>
      </c>
      <c r="AO104" s="125" t="s">
        <v>342</v>
      </c>
      <c r="AQ104" s="14">
        <f t="shared" si="125"/>
        <v>0</v>
      </c>
      <c r="AR104" s="14">
        <f t="shared" si="126"/>
        <v>0</v>
      </c>
      <c r="AS104" s="14">
        <f t="shared" si="127"/>
        <v>0</v>
      </c>
      <c r="AT104" s="14">
        <f t="shared" si="129"/>
        <v>0</v>
      </c>
      <c r="AU104" s="234"/>
      <c r="AV104" s="234"/>
      <c r="AW104" s="234"/>
      <c r="AX104" s="234"/>
      <c r="AY104" s="234"/>
      <c r="AZ104" s="234"/>
      <c r="BA104" s="234"/>
      <c r="BB104" s="16">
        <f t="shared" si="128"/>
        <v>0</v>
      </c>
    </row>
    <row r="105" spans="1:54" ht="15.6" outlineLevel="2">
      <c r="A105" s="98"/>
      <c r="B105" s="102"/>
      <c r="C105" s="23"/>
      <c r="D105" s="269"/>
      <c r="E105" s="269"/>
      <c r="F105" s="174"/>
      <c r="G105" s="269"/>
      <c r="H105" s="272"/>
      <c r="I105" s="258"/>
      <c r="J105" s="259"/>
      <c r="K105" s="259"/>
      <c r="L105" s="106" t="str">
        <f>IF(I105&lt;&gt;0,((VLOOKUP(I105,'1. Standard_Cost'!$B$4:$D$11,2)+VLOOKUP(I105,'1. Standard_Cost'!$B$4:$D$11,3))*J105*K105),"0")</f>
        <v>0</v>
      </c>
      <c r="M105" s="106">
        <f>L105*'1. Standard_Cost'!$F$4</f>
        <v>0</v>
      </c>
      <c r="N105" s="260"/>
      <c r="O105" s="260"/>
      <c r="P105" s="260"/>
      <c r="Q105" s="260"/>
      <c r="R105" s="108">
        <f>'1. Standard_Cost'!$B$15*N105*P105</f>
        <v>0</v>
      </c>
      <c r="S105" s="108">
        <f>N105*O105*P105*'1. Standard_Cost'!$C$15</f>
        <v>0</v>
      </c>
      <c r="T105" s="108">
        <f>N105*P105*Q105*'1. Standard_Cost'!$D$15</f>
        <v>0</v>
      </c>
      <c r="U105" s="108">
        <f>N105*O105*'1. Standard_Cost'!$E$15</f>
        <v>0</v>
      </c>
      <c r="V105" s="260"/>
      <c r="W105" s="260"/>
      <c r="X105" s="260"/>
      <c r="Y105" s="108">
        <f>+V105*((X105*'1. Standard_Cost'!$B$19)+(W105*X105*'1. Standard_Cost'!$C$19))</f>
        <v>0</v>
      </c>
      <c r="Z105" s="260"/>
      <c r="AA105" s="260"/>
      <c r="AB105" s="108">
        <f>+Z105*'1. Standard_Cost'!$B$23+AA105*'1. Standard_Cost'!$C$23</f>
        <v>0</v>
      </c>
      <c r="AC105" s="261"/>
      <c r="AD105" s="262"/>
      <c r="AE105" s="108">
        <f>SUM(AD105,AC105,AB105,Y105,U105,T105,S105,R105)*'1. Standard_Cost'!$B$31</f>
        <v>0</v>
      </c>
      <c r="AF105" s="108">
        <f t="shared" si="124"/>
        <v>0</v>
      </c>
      <c r="AG105" s="260"/>
      <c r="AH105" s="260"/>
      <c r="AI105" s="260"/>
      <c r="AJ105" s="263"/>
      <c r="AK105" s="263"/>
      <c r="AL105" s="263"/>
      <c r="AM105" s="108">
        <f>AG105*'1. Standard_Cost'!$B$27+'Incremental_Cost Year 9'!AH105*'1. Standard_Cost'!$C$27+'Incremental_Cost Year 9'!AI105*'1. Standard_Cost'!$D$27+'Incremental_Cost Year 9'!AJ105+'Incremental_Cost Year 9'!AL105+AK105</f>
        <v>0</v>
      </c>
      <c r="AN105" s="108">
        <f>AM105*'1. Standard_Cost'!$C$31</f>
        <v>0</v>
      </c>
      <c r="AO105" s="125" t="s">
        <v>343</v>
      </c>
      <c r="AQ105" s="14">
        <f t="shared" si="125"/>
        <v>0</v>
      </c>
      <c r="AR105" s="14">
        <f t="shared" si="126"/>
        <v>0</v>
      </c>
      <c r="AS105" s="14">
        <f t="shared" si="127"/>
        <v>0</v>
      </c>
      <c r="AT105" s="14">
        <f t="shared" si="129"/>
        <v>0</v>
      </c>
      <c r="AU105" s="234"/>
      <c r="AV105" s="234"/>
      <c r="AW105" s="234"/>
      <c r="AX105" s="234"/>
      <c r="AY105" s="234"/>
      <c r="AZ105" s="234"/>
      <c r="BA105" s="234"/>
      <c r="BB105" s="16">
        <f t="shared" si="128"/>
        <v>0</v>
      </c>
    </row>
    <row r="106" spans="1:54" ht="27.6" outlineLevel="2">
      <c r="A106" s="98"/>
      <c r="B106" s="102"/>
      <c r="C106" s="23"/>
      <c r="D106" s="269"/>
      <c r="E106" s="269"/>
      <c r="F106" s="174"/>
      <c r="G106" s="269"/>
      <c r="H106" s="272"/>
      <c r="I106" s="258"/>
      <c r="J106" s="259"/>
      <c r="K106" s="259"/>
      <c r="L106" s="106" t="str">
        <f>IF(I106&lt;&gt;0,((VLOOKUP(I106,'1. Standard_Cost'!$B$4:$D$11,2)+VLOOKUP(I106,'1. Standard_Cost'!$B$4:$D$11,3))*J106*K106),"0")</f>
        <v>0</v>
      </c>
      <c r="M106" s="106">
        <f>L106*'1. Standard_Cost'!$F$4</f>
        <v>0</v>
      </c>
      <c r="N106" s="260"/>
      <c r="O106" s="260"/>
      <c r="P106" s="260"/>
      <c r="Q106" s="260"/>
      <c r="R106" s="108">
        <f>'1. Standard_Cost'!$B$15*N106*P106</f>
        <v>0</v>
      </c>
      <c r="S106" s="108">
        <f>N106*O106*P106*'1. Standard_Cost'!$C$15</f>
        <v>0</v>
      </c>
      <c r="T106" s="108">
        <f>N106*P106*Q106*'1. Standard_Cost'!$D$15</f>
        <v>0</v>
      </c>
      <c r="U106" s="108">
        <f>N106*O106*'1. Standard_Cost'!$E$15</f>
        <v>0</v>
      </c>
      <c r="V106" s="260"/>
      <c r="W106" s="260"/>
      <c r="X106" s="260"/>
      <c r="Y106" s="108">
        <f>+V106*((X106*'1. Standard_Cost'!$B$19)+(W106*X106*'1. Standard_Cost'!$C$19))</f>
        <v>0</v>
      </c>
      <c r="Z106" s="260"/>
      <c r="AA106" s="260"/>
      <c r="AB106" s="108">
        <f>+Z106*'1. Standard_Cost'!$B$23+AA106*'1. Standard_Cost'!$C$23</f>
        <v>0</v>
      </c>
      <c r="AC106" s="261"/>
      <c r="AD106" s="262"/>
      <c r="AE106" s="108">
        <f>SUM(AD106,AC106,AB106,Y106,U106,T106,S106,R106)*'1. Standard_Cost'!$B$31</f>
        <v>0</v>
      </c>
      <c r="AF106" s="108">
        <f t="shared" si="124"/>
        <v>0</v>
      </c>
      <c r="AG106" s="260"/>
      <c r="AH106" s="260"/>
      <c r="AI106" s="260"/>
      <c r="AJ106" s="263"/>
      <c r="AK106" s="263"/>
      <c r="AL106" s="263"/>
      <c r="AM106" s="108">
        <f>AG106*'1. Standard_Cost'!$B$27+'Incremental_Cost Year 9'!AH106*'1. Standard_Cost'!$C$27+'Incremental_Cost Year 9'!AI106*'1. Standard_Cost'!$D$27+'Incremental_Cost Year 9'!AJ106+'Incremental_Cost Year 9'!AL106+AK106</f>
        <v>0</v>
      </c>
      <c r="AN106" s="108">
        <f>AM106*'1. Standard_Cost'!$C$31</f>
        <v>0</v>
      </c>
      <c r="AO106" s="125" t="s">
        <v>344</v>
      </c>
      <c r="AQ106" s="14">
        <f t="shared" si="125"/>
        <v>0</v>
      </c>
      <c r="AR106" s="14">
        <f t="shared" si="126"/>
        <v>0</v>
      </c>
      <c r="AS106" s="14">
        <f t="shared" si="127"/>
        <v>0</v>
      </c>
      <c r="AT106" s="14">
        <f t="shared" si="129"/>
        <v>0</v>
      </c>
      <c r="AU106" s="234"/>
      <c r="AV106" s="234"/>
      <c r="AW106" s="234"/>
      <c r="AX106" s="234"/>
      <c r="AY106" s="234"/>
      <c r="AZ106" s="234"/>
      <c r="BA106" s="234"/>
      <c r="BB106" s="16">
        <f t="shared" si="128"/>
        <v>0</v>
      </c>
    </row>
    <row r="107" spans="1:54" ht="15.6" outlineLevel="2">
      <c r="A107" s="98"/>
      <c r="B107" s="102"/>
      <c r="C107" s="23"/>
      <c r="D107" s="269"/>
      <c r="E107" s="269"/>
      <c r="F107" s="269"/>
      <c r="G107" s="269"/>
      <c r="H107" s="272"/>
      <c r="I107" s="258"/>
      <c r="J107" s="259"/>
      <c r="K107" s="259"/>
      <c r="L107" s="106" t="str">
        <f>IF(I107&lt;&gt;0,((VLOOKUP(I107,'1. Standard_Cost'!$B$4:$D$11,2)+VLOOKUP(I107,'1. Standard_Cost'!$B$4:$D$11,3))*J107*K107),"0")</f>
        <v>0</v>
      </c>
      <c r="M107" s="106">
        <f>L107*'1. Standard_Cost'!$F$4</f>
        <v>0</v>
      </c>
      <c r="N107" s="260"/>
      <c r="O107" s="260"/>
      <c r="P107" s="260"/>
      <c r="Q107" s="260"/>
      <c r="R107" s="108">
        <f>'1. Standard_Cost'!$B$15*N107*P107</f>
        <v>0</v>
      </c>
      <c r="S107" s="108">
        <f>N107*O107*P107*'1. Standard_Cost'!$C$15</f>
        <v>0</v>
      </c>
      <c r="T107" s="108">
        <f>N107*P107*Q107*'1. Standard_Cost'!$D$15</f>
        <v>0</v>
      </c>
      <c r="U107" s="108">
        <f>N107*O107*'1. Standard_Cost'!$E$15</f>
        <v>0</v>
      </c>
      <c r="V107" s="260"/>
      <c r="W107" s="260"/>
      <c r="X107" s="260"/>
      <c r="Y107" s="108">
        <f>+V107*((X107*'1. Standard_Cost'!$B$19)+(W107*X107*'1. Standard_Cost'!$C$19))</f>
        <v>0</v>
      </c>
      <c r="Z107" s="260"/>
      <c r="AA107" s="260"/>
      <c r="AB107" s="108">
        <f>+Z107*'1. Standard_Cost'!$B$23+AA107*'1. Standard_Cost'!$C$23</f>
        <v>0</v>
      </c>
      <c r="AC107" s="261"/>
      <c r="AD107" s="262"/>
      <c r="AE107" s="108">
        <f>SUM(AD107,AC107,AB107,Y107,U107,T107,S107,R107)*'1. Standard_Cost'!$B$31</f>
        <v>0</v>
      </c>
      <c r="AF107" s="108">
        <f t="shared" si="124"/>
        <v>0</v>
      </c>
      <c r="AG107" s="260"/>
      <c r="AH107" s="260"/>
      <c r="AI107" s="260"/>
      <c r="AJ107" s="263"/>
      <c r="AK107" s="263"/>
      <c r="AL107" s="263"/>
      <c r="AM107" s="108">
        <f>AG107*'1. Standard_Cost'!$B$27+'Incremental_Cost Year 9'!AH107*'1. Standard_Cost'!$C$27+'Incremental_Cost Year 9'!AI107*'1. Standard_Cost'!$D$27+'Incremental_Cost Year 9'!AJ107+'Incremental_Cost Year 9'!AL107+AK107</f>
        <v>0</v>
      </c>
      <c r="AN107" s="108">
        <f>AM107*'1. Standard_Cost'!$C$31</f>
        <v>0</v>
      </c>
      <c r="AO107" s="125" t="s">
        <v>345</v>
      </c>
      <c r="AQ107" s="14">
        <f t="shared" si="125"/>
        <v>0</v>
      </c>
      <c r="AR107" s="14">
        <f t="shared" si="126"/>
        <v>0</v>
      </c>
      <c r="AS107" s="14">
        <f t="shared" si="127"/>
        <v>0</v>
      </c>
      <c r="AT107" s="14">
        <f t="shared" si="129"/>
        <v>0</v>
      </c>
      <c r="AU107" s="234"/>
      <c r="AV107" s="234"/>
      <c r="AW107" s="234"/>
      <c r="AX107" s="234"/>
      <c r="AY107" s="234"/>
      <c r="AZ107" s="234"/>
      <c r="BA107" s="234"/>
      <c r="BB107" s="16">
        <f t="shared" si="128"/>
        <v>0</v>
      </c>
    </row>
    <row r="108" spans="1:54" ht="15.6" outlineLevel="2">
      <c r="A108" s="98"/>
      <c r="B108" s="102"/>
      <c r="C108" s="23"/>
      <c r="D108" s="269"/>
      <c r="E108" s="269"/>
      <c r="F108" s="269"/>
      <c r="G108" s="269"/>
      <c r="H108" s="272"/>
      <c r="I108" s="258"/>
      <c r="J108" s="259"/>
      <c r="K108" s="259"/>
      <c r="L108" s="106" t="str">
        <f>IF(I108&lt;&gt;0,((VLOOKUP(I108,'1. Standard_Cost'!$B$4:$D$11,2)+VLOOKUP(I108,'1. Standard_Cost'!$B$4:$D$11,3))*J108*K108),"0")</f>
        <v>0</v>
      </c>
      <c r="M108" s="106">
        <f>L108*'1. Standard_Cost'!$F$4</f>
        <v>0</v>
      </c>
      <c r="N108" s="260"/>
      <c r="O108" s="260"/>
      <c r="P108" s="260"/>
      <c r="Q108" s="260"/>
      <c r="R108" s="108">
        <f>'1. Standard_Cost'!$B$15*N108*P108</f>
        <v>0</v>
      </c>
      <c r="S108" s="108">
        <f>N108*O108*P108*'1. Standard_Cost'!$C$15</f>
        <v>0</v>
      </c>
      <c r="T108" s="108">
        <f>N108*P108*Q108*'1. Standard_Cost'!$D$15</f>
        <v>0</v>
      </c>
      <c r="U108" s="108">
        <f>N108*O108*'1. Standard_Cost'!$E$15</f>
        <v>0</v>
      </c>
      <c r="V108" s="260"/>
      <c r="W108" s="260"/>
      <c r="X108" s="260"/>
      <c r="Y108" s="108">
        <f>+V108*((X108*'1. Standard_Cost'!$B$19)+(W108*X108*'1. Standard_Cost'!$C$19))</f>
        <v>0</v>
      </c>
      <c r="Z108" s="260"/>
      <c r="AA108" s="260"/>
      <c r="AB108" s="108">
        <f>+Z108*'1. Standard_Cost'!$B$23+AA108*'1. Standard_Cost'!$C$23</f>
        <v>0</v>
      </c>
      <c r="AC108" s="261"/>
      <c r="AD108" s="262"/>
      <c r="AE108" s="108">
        <f>SUM(AD108,AC108,AB108,Y108,U108,T108,S108,R108)*'1. Standard_Cost'!$B$31</f>
        <v>0</v>
      </c>
      <c r="AF108" s="108">
        <f t="shared" si="124"/>
        <v>0</v>
      </c>
      <c r="AG108" s="260"/>
      <c r="AH108" s="260"/>
      <c r="AI108" s="260"/>
      <c r="AJ108" s="263"/>
      <c r="AK108" s="263"/>
      <c r="AL108" s="263"/>
      <c r="AM108" s="108">
        <f>AG108*'1. Standard_Cost'!$B$27+'Incremental_Cost Year 9'!AH108*'1. Standard_Cost'!$C$27+'Incremental_Cost Year 9'!AI108*'1. Standard_Cost'!$D$27+'Incremental_Cost Year 9'!AJ108+'Incremental_Cost Year 9'!AL108+AK108</f>
        <v>0</v>
      </c>
      <c r="AN108" s="108">
        <f>AM108*'1. Standard_Cost'!$C$31</f>
        <v>0</v>
      </c>
      <c r="AO108" s="125" t="s">
        <v>346</v>
      </c>
      <c r="AQ108" s="14">
        <f t="shared" si="125"/>
        <v>0</v>
      </c>
      <c r="AR108" s="14">
        <f t="shared" si="126"/>
        <v>0</v>
      </c>
      <c r="AS108" s="14">
        <f t="shared" si="127"/>
        <v>0</v>
      </c>
      <c r="AT108" s="14">
        <f t="shared" si="129"/>
        <v>0</v>
      </c>
      <c r="AU108" s="234"/>
      <c r="AV108" s="234"/>
      <c r="AW108" s="234"/>
      <c r="AX108" s="234"/>
      <c r="AY108" s="234"/>
      <c r="AZ108" s="234"/>
      <c r="BA108" s="234"/>
      <c r="BB108" s="16">
        <f t="shared" si="128"/>
        <v>0</v>
      </c>
    </row>
    <row r="109" spans="1:54" ht="15.6" outlineLevel="2">
      <c r="A109" s="98"/>
      <c r="B109" s="102"/>
      <c r="C109" s="23"/>
      <c r="D109" s="269"/>
      <c r="E109" s="269"/>
      <c r="F109" s="269"/>
      <c r="G109" s="174"/>
      <c r="H109" s="272"/>
      <c r="I109" s="258"/>
      <c r="J109" s="259"/>
      <c r="K109" s="259"/>
      <c r="L109" s="106" t="str">
        <f>IF(I109&lt;&gt;0,((VLOOKUP(I109,'1. Standard_Cost'!$B$4:$D$11,2)+VLOOKUP(I109,'1. Standard_Cost'!$B$4:$D$11,3))*J109*K109),"0")</f>
        <v>0</v>
      </c>
      <c r="M109" s="106">
        <f>L109*'1. Standard_Cost'!$F$4</f>
        <v>0</v>
      </c>
      <c r="N109" s="260"/>
      <c r="O109" s="260"/>
      <c r="P109" s="260"/>
      <c r="Q109" s="260"/>
      <c r="R109" s="108">
        <f>'1. Standard_Cost'!$B$15*N109*P109</f>
        <v>0</v>
      </c>
      <c r="S109" s="108">
        <f>N109*O109*P109*'1. Standard_Cost'!$C$15</f>
        <v>0</v>
      </c>
      <c r="T109" s="108">
        <f>N109*P109*Q109*'1. Standard_Cost'!$D$15</f>
        <v>0</v>
      </c>
      <c r="U109" s="108">
        <f>N109*O109*'1. Standard_Cost'!$E$15</f>
        <v>0</v>
      </c>
      <c r="V109" s="260"/>
      <c r="W109" s="260"/>
      <c r="X109" s="260"/>
      <c r="Y109" s="108">
        <f>+V109*((X109*'1. Standard_Cost'!$B$19)+(W109*X109*'1. Standard_Cost'!$C$19))</f>
        <v>0</v>
      </c>
      <c r="Z109" s="260"/>
      <c r="AA109" s="260"/>
      <c r="AB109" s="108">
        <f>+Z109*'1. Standard_Cost'!$B$23+AA109*'1. Standard_Cost'!$C$23</f>
        <v>0</v>
      </c>
      <c r="AC109" s="261"/>
      <c r="AD109" s="262"/>
      <c r="AE109" s="108">
        <f>SUM(AD109,AC109,AB109,Y109,U109,T109,S109,R109)*'1. Standard_Cost'!$B$31</f>
        <v>0</v>
      </c>
      <c r="AF109" s="108">
        <f t="shared" si="124"/>
        <v>0</v>
      </c>
      <c r="AG109" s="260"/>
      <c r="AH109" s="260"/>
      <c r="AI109" s="260"/>
      <c r="AJ109" s="263"/>
      <c r="AK109" s="263"/>
      <c r="AL109" s="263"/>
      <c r="AM109" s="108">
        <f>AG109*'1. Standard_Cost'!$B$27+'Incremental_Cost Year 9'!AH109*'1. Standard_Cost'!$C$27+'Incremental_Cost Year 9'!AI109*'1. Standard_Cost'!$D$27+'Incremental_Cost Year 9'!AJ109+'Incremental_Cost Year 9'!AL109+AK109</f>
        <v>0</v>
      </c>
      <c r="AN109" s="108">
        <f>AM109*'1. Standard_Cost'!$C$31</f>
        <v>0</v>
      </c>
      <c r="AO109" s="125" t="s">
        <v>347</v>
      </c>
      <c r="AQ109" s="14">
        <f t="shared" si="125"/>
        <v>0</v>
      </c>
      <c r="AR109" s="14">
        <f t="shared" si="126"/>
        <v>0</v>
      </c>
      <c r="AS109" s="14">
        <f t="shared" si="127"/>
        <v>0</v>
      </c>
      <c r="AT109" s="14">
        <f t="shared" si="129"/>
        <v>0</v>
      </c>
      <c r="AU109" s="234"/>
      <c r="AV109" s="234"/>
      <c r="AW109" s="234"/>
      <c r="AX109" s="234"/>
      <c r="AY109" s="234"/>
      <c r="AZ109" s="234"/>
      <c r="BA109" s="234"/>
      <c r="BB109" s="16">
        <f t="shared" si="128"/>
        <v>0</v>
      </c>
    </row>
    <row r="110" spans="1:54" ht="27.6" outlineLevel="2">
      <c r="A110" s="98"/>
      <c r="B110" s="102"/>
      <c r="C110" s="23"/>
      <c r="D110" s="269"/>
      <c r="E110" s="269"/>
      <c r="F110" s="269"/>
      <c r="G110" s="174"/>
      <c r="H110" s="272"/>
      <c r="I110" s="258"/>
      <c r="J110" s="259"/>
      <c r="K110" s="259"/>
      <c r="L110" s="106" t="str">
        <f>IF(I110&lt;&gt;0,((VLOOKUP(I110,'1. Standard_Cost'!$B$4:$D$11,2)+VLOOKUP(I110,'1. Standard_Cost'!$B$4:$D$11,3))*J110*K110),"0")</f>
        <v>0</v>
      </c>
      <c r="M110" s="106">
        <f>L110*'1. Standard_Cost'!$F$4</f>
        <v>0</v>
      </c>
      <c r="N110" s="260"/>
      <c r="O110" s="260"/>
      <c r="P110" s="260"/>
      <c r="Q110" s="260"/>
      <c r="R110" s="108">
        <f>'1. Standard_Cost'!$B$15*N110*P110</f>
        <v>0</v>
      </c>
      <c r="S110" s="108">
        <f>N110*O110*P110*'1. Standard_Cost'!$C$15</f>
        <v>0</v>
      </c>
      <c r="T110" s="108">
        <f>N110*P110*Q110*'1. Standard_Cost'!$D$15</f>
        <v>0</v>
      </c>
      <c r="U110" s="108">
        <f>N110*O110*'1. Standard_Cost'!$E$15</f>
        <v>0</v>
      </c>
      <c r="V110" s="260"/>
      <c r="W110" s="260"/>
      <c r="X110" s="260"/>
      <c r="Y110" s="108">
        <f>+V110*((X110*'1. Standard_Cost'!$B$19)+(W110*X110*'1. Standard_Cost'!$C$19))</f>
        <v>0</v>
      </c>
      <c r="Z110" s="260"/>
      <c r="AA110" s="260"/>
      <c r="AB110" s="108">
        <f>+Z110*'1. Standard_Cost'!$B$23+AA110*'1. Standard_Cost'!$C$23</f>
        <v>0</v>
      </c>
      <c r="AC110" s="261"/>
      <c r="AD110" s="262"/>
      <c r="AE110" s="108">
        <f>SUM(AD110,AC110,AB110,Y110,U110,T110,S110,R110)*'1. Standard_Cost'!$B$31</f>
        <v>0</v>
      </c>
      <c r="AF110" s="108">
        <f t="shared" si="124"/>
        <v>0</v>
      </c>
      <c r="AG110" s="260"/>
      <c r="AH110" s="260"/>
      <c r="AI110" s="260"/>
      <c r="AJ110" s="263"/>
      <c r="AK110" s="263"/>
      <c r="AL110" s="263"/>
      <c r="AM110" s="108">
        <f>AG110*'1. Standard_Cost'!$B$27+'Incremental_Cost Year 9'!AH110*'1. Standard_Cost'!$C$27+'Incremental_Cost Year 9'!AI110*'1. Standard_Cost'!$D$27+'Incremental_Cost Year 9'!AJ110+'Incremental_Cost Year 9'!AL110+AK110</f>
        <v>0</v>
      </c>
      <c r="AN110" s="108">
        <f>AM110*'1. Standard_Cost'!$C$31</f>
        <v>0</v>
      </c>
      <c r="AO110" s="125" t="s">
        <v>348</v>
      </c>
      <c r="AQ110" s="14">
        <f t="shared" si="125"/>
        <v>0</v>
      </c>
      <c r="AR110" s="14">
        <f t="shared" si="126"/>
        <v>0</v>
      </c>
      <c r="AS110" s="14">
        <f t="shared" si="127"/>
        <v>0</v>
      </c>
      <c r="AT110" s="14">
        <f t="shared" si="129"/>
        <v>0</v>
      </c>
      <c r="AU110" s="234"/>
      <c r="AV110" s="234"/>
      <c r="AW110" s="234"/>
      <c r="AX110" s="234"/>
      <c r="AY110" s="234"/>
      <c r="AZ110" s="234"/>
      <c r="BA110" s="234"/>
      <c r="BB110" s="16">
        <f t="shared" si="128"/>
        <v>0</v>
      </c>
    </row>
    <row r="111" spans="1:54" ht="15.6" outlineLevel="2">
      <c r="A111" s="98"/>
      <c r="B111" s="102"/>
      <c r="C111" s="23"/>
      <c r="D111" s="269"/>
      <c r="E111" s="269"/>
      <c r="F111" s="269"/>
      <c r="G111" s="174"/>
      <c r="H111" s="272"/>
      <c r="I111" s="258"/>
      <c r="J111" s="259"/>
      <c r="K111" s="259"/>
      <c r="L111" s="106" t="str">
        <f>IF(I111&lt;&gt;0,((VLOOKUP(I111,'1. Standard_Cost'!$B$4:$D$11,2)+VLOOKUP(I111,'1. Standard_Cost'!$B$4:$D$11,3))*J111*K111),"0")</f>
        <v>0</v>
      </c>
      <c r="M111" s="106">
        <f>L111*'1. Standard_Cost'!$F$4</f>
        <v>0</v>
      </c>
      <c r="N111" s="260"/>
      <c r="O111" s="260"/>
      <c r="P111" s="260"/>
      <c r="Q111" s="260"/>
      <c r="R111" s="108">
        <f>'1. Standard_Cost'!$B$15*N111*P111</f>
        <v>0</v>
      </c>
      <c r="S111" s="108">
        <f>N111*O111*P111*'1. Standard_Cost'!$C$15</f>
        <v>0</v>
      </c>
      <c r="T111" s="108">
        <f>N111*P111*Q111*'1. Standard_Cost'!$D$15</f>
        <v>0</v>
      </c>
      <c r="U111" s="108">
        <f>N111*O111*'1. Standard_Cost'!$E$15</f>
        <v>0</v>
      </c>
      <c r="V111" s="260"/>
      <c r="W111" s="260"/>
      <c r="X111" s="260"/>
      <c r="Y111" s="108">
        <f>+V111*((X111*'1. Standard_Cost'!$B$19)+(W111*X111*'1. Standard_Cost'!$C$19))</f>
        <v>0</v>
      </c>
      <c r="Z111" s="260"/>
      <c r="AA111" s="260"/>
      <c r="AB111" s="108">
        <f>+Z111*'1. Standard_Cost'!$B$23+AA111*'1. Standard_Cost'!$C$23</f>
        <v>0</v>
      </c>
      <c r="AC111" s="261"/>
      <c r="AD111" s="262"/>
      <c r="AE111" s="108">
        <f>SUM(AD111,AC111,AB111,Y111,U111,T111,S111,R111)*'1. Standard_Cost'!$B$31</f>
        <v>0</v>
      </c>
      <c r="AF111" s="108">
        <f t="shared" si="124"/>
        <v>0</v>
      </c>
      <c r="AG111" s="260"/>
      <c r="AH111" s="260"/>
      <c r="AI111" s="260"/>
      <c r="AJ111" s="263"/>
      <c r="AK111" s="263"/>
      <c r="AL111" s="263"/>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25"/>
        <v>0</v>
      </c>
      <c r="AR111" s="14">
        <f t="shared" si="126"/>
        <v>0</v>
      </c>
      <c r="AS111" s="14">
        <f t="shared" si="127"/>
        <v>0</v>
      </c>
      <c r="AT111" s="14">
        <f t="shared" si="129"/>
        <v>0</v>
      </c>
      <c r="AU111" s="234"/>
      <c r="AV111" s="234"/>
      <c r="AW111" s="234"/>
      <c r="AX111" s="234"/>
      <c r="AY111" s="234"/>
      <c r="AZ111" s="234"/>
      <c r="BA111" s="234"/>
      <c r="BB111" s="16">
        <f t="shared" si="128"/>
        <v>0</v>
      </c>
    </row>
    <row r="112" spans="1:54" ht="15.6" outlineLevel="2">
      <c r="A112" s="98"/>
      <c r="B112" s="102"/>
      <c r="C112" s="23"/>
      <c r="D112" s="269"/>
      <c r="E112" s="269"/>
      <c r="F112" s="251"/>
      <c r="G112" s="250"/>
      <c r="H112" s="272"/>
      <c r="I112" s="258"/>
      <c r="J112" s="259"/>
      <c r="K112" s="259"/>
      <c r="L112" s="106" t="str">
        <f>IF(I112&lt;&gt;0,((VLOOKUP(I112,'1. Standard_Cost'!$B$4:$D$11,2)+VLOOKUP(I112,'1. Standard_Cost'!$B$4:$D$11,3))*J112*K112),"0")</f>
        <v>0</v>
      </c>
      <c r="M112" s="106">
        <f>L112*'1. Standard_Cost'!$F$4</f>
        <v>0</v>
      </c>
      <c r="N112" s="260"/>
      <c r="O112" s="260"/>
      <c r="P112" s="260"/>
      <c r="Q112" s="260"/>
      <c r="R112" s="108">
        <f>'1. Standard_Cost'!$B$15*N112*P112</f>
        <v>0</v>
      </c>
      <c r="S112" s="108">
        <f>N112*O112*P112*'1. Standard_Cost'!$C$15</f>
        <v>0</v>
      </c>
      <c r="T112" s="108">
        <f>N112*P112*Q112*'1. Standard_Cost'!$D$15</f>
        <v>0</v>
      </c>
      <c r="U112" s="108">
        <f>N112*O112*'1. Standard_Cost'!$E$15</f>
        <v>0</v>
      </c>
      <c r="V112" s="260"/>
      <c r="W112" s="260"/>
      <c r="X112" s="260"/>
      <c r="Y112" s="108">
        <f>+V112*((X112*'1. Standard_Cost'!$B$19)+(W112*X112*'1. Standard_Cost'!$C$19))</f>
        <v>0</v>
      </c>
      <c r="Z112" s="260"/>
      <c r="AA112" s="260"/>
      <c r="AB112" s="108">
        <f>+Z112*'1. Standard_Cost'!$B$23+AA112*'1. Standard_Cost'!$C$23</f>
        <v>0</v>
      </c>
      <c r="AC112" s="261"/>
      <c r="AD112" s="262"/>
      <c r="AE112" s="108">
        <f>SUM(AD112,AC112,AB112,Y112,U112,T112,S112,R112)*'1. Standard_Cost'!$B$31</f>
        <v>0</v>
      </c>
      <c r="AF112" s="108">
        <f t="shared" si="124"/>
        <v>0</v>
      </c>
      <c r="AG112" s="260"/>
      <c r="AH112" s="260"/>
      <c r="AI112" s="260"/>
      <c r="AJ112" s="263"/>
      <c r="AK112" s="263"/>
      <c r="AL112" s="263"/>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25"/>
        <v>0</v>
      </c>
      <c r="AR112" s="14">
        <f t="shared" si="126"/>
        <v>0</v>
      </c>
      <c r="AS112" s="14">
        <f t="shared" si="127"/>
        <v>0</v>
      </c>
      <c r="AT112" s="14">
        <f t="shared" si="129"/>
        <v>0</v>
      </c>
      <c r="AU112" s="234"/>
      <c r="AV112" s="234"/>
      <c r="AW112" s="234"/>
      <c r="AX112" s="234"/>
      <c r="AY112" s="234"/>
      <c r="AZ112" s="234"/>
      <c r="BA112" s="234"/>
      <c r="BB112" s="16">
        <f t="shared" si="128"/>
        <v>0</v>
      </c>
    </row>
    <row r="113" spans="1:54" ht="27.6" outlineLevel="1">
      <c r="A113" s="98"/>
      <c r="B113" s="102"/>
      <c r="C113" s="23"/>
      <c r="D113" s="56" t="s">
        <v>47</v>
      </c>
      <c r="E113" s="56" t="s">
        <v>223</v>
      </c>
      <c r="F113" s="253">
        <v>2021</v>
      </c>
      <c r="G113" s="254">
        <v>2026</v>
      </c>
      <c r="H113" s="277" t="s">
        <v>226</v>
      </c>
      <c r="I113" s="264"/>
      <c r="J113" s="264"/>
      <c r="K113" s="264"/>
      <c r="L113" s="113">
        <f>SUM(L102:L112)</f>
        <v>0</v>
      </c>
      <c r="M113" s="113">
        <f>SUM(M102:M112)</f>
        <v>0</v>
      </c>
      <c r="N113" s="264"/>
      <c r="O113" s="264"/>
      <c r="P113" s="264"/>
      <c r="Q113" s="264"/>
      <c r="R113" s="113">
        <f>SUM(R102:R112)</f>
        <v>0</v>
      </c>
      <c r="S113" s="113">
        <f>SUM(S102:S112)</f>
        <v>0</v>
      </c>
      <c r="T113" s="113">
        <f>SUM(T102:T112)</f>
        <v>0</v>
      </c>
      <c r="U113" s="113">
        <f>SUM(U102:U112)</f>
        <v>0</v>
      </c>
      <c r="V113" s="264"/>
      <c r="W113" s="264"/>
      <c r="X113" s="264"/>
      <c r="Y113" s="113">
        <f>SUM(Y102:Y112)</f>
        <v>0</v>
      </c>
      <c r="Z113" s="264"/>
      <c r="AA113" s="264"/>
      <c r="AB113" s="113">
        <f>SUM(AB102:AB112)</f>
        <v>0</v>
      </c>
      <c r="AC113" s="265">
        <f>SUM(AC102:AC112)</f>
        <v>0</v>
      </c>
      <c r="AD113" s="265">
        <f>SUM(AD102:AD112)</f>
        <v>0</v>
      </c>
      <c r="AE113" s="113">
        <f>SUM(AE102:AE112)</f>
        <v>0</v>
      </c>
      <c r="AF113" s="113">
        <f>SUM(AF102:AF112)</f>
        <v>0</v>
      </c>
      <c r="AG113" s="264"/>
      <c r="AH113" s="264"/>
      <c r="AI113" s="264"/>
      <c r="AJ113" s="265">
        <f>SUM(AJ102:AJ112)</f>
        <v>0</v>
      </c>
      <c r="AK113" s="265">
        <f>SUM(AK102:AK112)</f>
        <v>0</v>
      </c>
      <c r="AL113" s="265">
        <f>SUM(AL102:AL112)</f>
        <v>0</v>
      </c>
      <c r="AM113" s="113">
        <f>SUM(AM102:AM112)</f>
        <v>0</v>
      </c>
      <c r="AN113" s="113">
        <f>SUM(AN102:AN112)</f>
        <v>0</v>
      </c>
      <c r="AO113" s="131"/>
      <c r="AP113" s="17"/>
      <c r="AQ113" s="113">
        <f t="shared" ref="AQ113:BB113" si="130">SUM(AQ102:AQ112)</f>
        <v>0</v>
      </c>
      <c r="AR113" s="113">
        <f t="shared" si="130"/>
        <v>0</v>
      </c>
      <c r="AS113" s="113">
        <f t="shared" si="130"/>
        <v>0</v>
      </c>
      <c r="AT113" s="113">
        <f t="shared" si="130"/>
        <v>0</v>
      </c>
      <c r="AU113" s="265">
        <f t="shared" si="130"/>
        <v>0</v>
      </c>
      <c r="AV113" s="265">
        <f t="shared" si="130"/>
        <v>0</v>
      </c>
      <c r="AW113" s="265">
        <f t="shared" si="130"/>
        <v>0</v>
      </c>
      <c r="AX113" s="265">
        <f t="shared" si="130"/>
        <v>0</v>
      </c>
      <c r="AY113" s="265">
        <f t="shared" si="130"/>
        <v>0</v>
      </c>
      <c r="AZ113" s="265">
        <f t="shared" si="130"/>
        <v>0</v>
      </c>
      <c r="BA113" s="265">
        <f t="shared" si="130"/>
        <v>0</v>
      </c>
      <c r="BB113" s="113">
        <f t="shared" si="130"/>
        <v>0</v>
      </c>
    </row>
    <row r="114" spans="1:54" ht="15.6" outlineLevel="2">
      <c r="A114" s="98"/>
      <c r="B114" s="102"/>
      <c r="C114" s="23"/>
      <c r="D114" s="257"/>
      <c r="E114" s="257"/>
      <c r="F114" s="257"/>
      <c r="G114" s="257"/>
      <c r="H114" s="272"/>
      <c r="I114" s="258"/>
      <c r="J114" s="259"/>
      <c r="K114" s="259"/>
      <c r="L114" s="106" t="str">
        <f>IF(I114&lt;&gt;0,((VLOOKUP(I114,'1. Standard_Cost'!$B$4:$D$11,2)+VLOOKUP(I114,'1. Standard_Cost'!$B$4:$D$11,3))*J114*K114),"0")</f>
        <v>0</v>
      </c>
      <c r="M114" s="106">
        <f>L114*'1. Standard_Cost'!$F$4</f>
        <v>0</v>
      </c>
      <c r="N114" s="260"/>
      <c r="O114" s="260"/>
      <c r="P114" s="260"/>
      <c r="Q114" s="260"/>
      <c r="R114" s="108">
        <f>'1. Standard_Cost'!$B$15*N114*P114</f>
        <v>0</v>
      </c>
      <c r="S114" s="108">
        <f>N114*O114*P114*'1. Standard_Cost'!$C$15</f>
        <v>0</v>
      </c>
      <c r="T114" s="108">
        <f>N114*P114*Q114*'1. Standard_Cost'!$D$15</f>
        <v>0</v>
      </c>
      <c r="U114" s="108">
        <f>N114*O114*'1. Standard_Cost'!$E$15</f>
        <v>0</v>
      </c>
      <c r="V114" s="260"/>
      <c r="W114" s="260"/>
      <c r="X114" s="260"/>
      <c r="Y114" s="108">
        <f>+V114*((X114*'1. Standard_Cost'!$B$19)+(W114*X114*'1. Standard_Cost'!$C$19))</f>
        <v>0</v>
      </c>
      <c r="Z114" s="260"/>
      <c r="AA114" s="260"/>
      <c r="AB114" s="108">
        <f>+Z114*'1. Standard_Cost'!$B$23+AA114*'1. Standard_Cost'!$C$23</f>
        <v>0</v>
      </c>
      <c r="AC114" s="261"/>
      <c r="AD114" s="262"/>
      <c r="AE114" s="108">
        <f>SUM(AD114,AC114,AB114,Y114,U114,T114,S114,R114)*'1. Standard_Cost'!$B$31</f>
        <v>0</v>
      </c>
      <c r="AF114" s="108">
        <f t="shared" ref="AF114:AF135" si="131">SUM(AE114,AD114,AC114,AB114,Y114,U114,T114,S114,R114)</f>
        <v>0</v>
      </c>
      <c r="AG114" s="260"/>
      <c r="AH114" s="260"/>
      <c r="AI114" s="260"/>
      <c r="AJ114" s="263"/>
      <c r="AK114" s="263"/>
      <c r="AL114" s="263"/>
      <c r="AM114" s="108">
        <f>AG114*'1. Standard_Cost'!$B$27+'Incremental_Cost Year 9'!AH114*'1. Standard_Cost'!$C$27+'Incremental_Cost Year 9'!AI114*'1. Standard_Cost'!$D$27+'Incremental_Cost Year 9'!AJ114+'Incremental_Cost Year 9'!AL114+AK114</f>
        <v>0</v>
      </c>
      <c r="AN114" s="108">
        <f>AM114*'1. Standard_Cost'!$C$31</f>
        <v>0</v>
      </c>
      <c r="AO114" s="125" t="s">
        <v>350</v>
      </c>
      <c r="AQ114" s="14">
        <f t="shared" ref="AQ114:AQ135" si="132">L114+M114</f>
        <v>0</v>
      </c>
      <c r="AR114" s="14">
        <f t="shared" ref="AR114:AR135" si="133">AF114</f>
        <v>0</v>
      </c>
      <c r="AS114" s="14">
        <f t="shared" ref="AS114:AS135" si="134">AM114+AN114</f>
        <v>0</v>
      </c>
      <c r="AT114" s="14">
        <f>SUM(AQ114,AR114,AS114)</f>
        <v>0</v>
      </c>
      <c r="AU114" s="234"/>
      <c r="AV114" s="234"/>
      <c r="AW114" s="234"/>
      <c r="AX114" s="234"/>
      <c r="AY114" s="234"/>
      <c r="AZ114" s="234"/>
      <c r="BA114" s="234"/>
      <c r="BB114" s="16">
        <f t="shared" ref="BB114:BB135" si="135">SUM(AU114:BA114)-AT114</f>
        <v>0</v>
      </c>
    </row>
    <row r="115" spans="1:54" ht="15.6" outlineLevel="2">
      <c r="A115" s="98"/>
      <c r="B115" s="102"/>
      <c r="C115" s="23"/>
      <c r="D115" s="269"/>
      <c r="E115" s="269"/>
      <c r="F115" s="269"/>
      <c r="G115" s="174"/>
      <c r="H115" s="272"/>
      <c r="I115" s="258"/>
      <c r="J115" s="259"/>
      <c r="K115" s="259"/>
      <c r="L115" s="106" t="str">
        <f>IF(I115&lt;&gt;0,((VLOOKUP(I115,'1. Standard_Cost'!$B$4:$D$11,2)+VLOOKUP(I115,'1. Standard_Cost'!$B$4:$D$11,3))*J115*K115),"0")</f>
        <v>0</v>
      </c>
      <c r="M115" s="106">
        <f>L115*'1. Standard_Cost'!$F$4</f>
        <v>0</v>
      </c>
      <c r="N115" s="260"/>
      <c r="O115" s="260"/>
      <c r="P115" s="260"/>
      <c r="Q115" s="260"/>
      <c r="R115" s="108">
        <f>'1. Standard_Cost'!$B$15*N115*P115</f>
        <v>0</v>
      </c>
      <c r="S115" s="108">
        <f>N115*O115*P115*'1. Standard_Cost'!$C$15</f>
        <v>0</v>
      </c>
      <c r="T115" s="108">
        <f>N115*P115*Q115*'1. Standard_Cost'!$D$15</f>
        <v>0</v>
      </c>
      <c r="U115" s="108">
        <f>N115*O115*'1. Standard_Cost'!$E$15</f>
        <v>0</v>
      </c>
      <c r="V115" s="260"/>
      <c r="W115" s="260"/>
      <c r="X115" s="260"/>
      <c r="Y115" s="108">
        <f>+V115*((X115*'1. Standard_Cost'!$B$19)+(W115*X115*'1. Standard_Cost'!$C$19))</f>
        <v>0</v>
      </c>
      <c r="Z115" s="260"/>
      <c r="AA115" s="260"/>
      <c r="AB115" s="108">
        <f>+Z115*'1. Standard_Cost'!$B$23+AA115*'1. Standard_Cost'!$C$23</f>
        <v>0</v>
      </c>
      <c r="AC115" s="261"/>
      <c r="AD115" s="262"/>
      <c r="AE115" s="108">
        <f>SUM(AD115,AC115,AB115,Y115,U115,T115,S115,R115)*'1. Standard_Cost'!$B$31</f>
        <v>0</v>
      </c>
      <c r="AF115" s="108">
        <f t="shared" si="131"/>
        <v>0</v>
      </c>
      <c r="AG115" s="260"/>
      <c r="AH115" s="260"/>
      <c r="AI115" s="260"/>
      <c r="AJ115" s="263"/>
      <c r="AK115" s="263"/>
      <c r="AL115" s="263"/>
      <c r="AM115" s="108">
        <f>AG115*'1. Standard_Cost'!$B$27+'Incremental_Cost Year 9'!AH115*'1. Standard_Cost'!$C$27+'Incremental_Cost Year 9'!AI115*'1. Standard_Cost'!$D$27+'Incremental_Cost Year 9'!AJ115+'Incremental_Cost Year 9'!AL115+AK115</f>
        <v>0</v>
      </c>
      <c r="AN115" s="108">
        <f>AM115*'1. Standard_Cost'!$C$31</f>
        <v>0</v>
      </c>
      <c r="AO115" s="125" t="s">
        <v>349</v>
      </c>
      <c r="AQ115" s="14">
        <f t="shared" si="132"/>
        <v>0</v>
      </c>
      <c r="AR115" s="14">
        <f t="shared" si="133"/>
        <v>0</v>
      </c>
      <c r="AS115" s="14">
        <f t="shared" si="134"/>
        <v>0</v>
      </c>
      <c r="AT115" s="14">
        <f t="shared" ref="AT115:AT135" si="136">SUM(AQ115,AR115,AS115)</f>
        <v>0</v>
      </c>
      <c r="AU115" s="234"/>
      <c r="AV115" s="234"/>
      <c r="AW115" s="234"/>
      <c r="AX115" s="234"/>
      <c r="AY115" s="234"/>
      <c r="AZ115" s="234"/>
      <c r="BA115" s="234"/>
      <c r="BB115" s="16">
        <f t="shared" si="135"/>
        <v>0</v>
      </c>
    </row>
    <row r="116" spans="1:54" ht="15.6" outlineLevel="2">
      <c r="A116" s="98"/>
      <c r="B116" s="102"/>
      <c r="C116" s="23"/>
      <c r="D116" s="269"/>
      <c r="E116" s="269"/>
      <c r="F116" s="269"/>
      <c r="G116" s="269"/>
      <c r="H116" s="272"/>
      <c r="I116" s="258"/>
      <c r="J116" s="259"/>
      <c r="K116" s="259"/>
      <c r="L116" s="106" t="str">
        <f>IF(I116&lt;&gt;0,((VLOOKUP(I116,'1. Standard_Cost'!$B$4:$D$11,2)+VLOOKUP(I116,'1. Standard_Cost'!$B$4:$D$11,3))*J116*K116),"0")</f>
        <v>0</v>
      </c>
      <c r="M116" s="106">
        <f>L116*'1. Standard_Cost'!$F$4</f>
        <v>0</v>
      </c>
      <c r="N116" s="260"/>
      <c r="O116" s="260"/>
      <c r="P116" s="260"/>
      <c r="Q116" s="260"/>
      <c r="R116" s="108">
        <f>'1. Standard_Cost'!$B$15*N116*P116</f>
        <v>0</v>
      </c>
      <c r="S116" s="108">
        <f>N116*O116*P116*'1. Standard_Cost'!$C$15</f>
        <v>0</v>
      </c>
      <c r="T116" s="108">
        <f>N116*P116*Q116*'1. Standard_Cost'!$D$15</f>
        <v>0</v>
      </c>
      <c r="U116" s="108">
        <f>N116*O116*'1. Standard_Cost'!$E$15</f>
        <v>0</v>
      </c>
      <c r="V116" s="260"/>
      <c r="W116" s="260"/>
      <c r="X116" s="260"/>
      <c r="Y116" s="108">
        <f>+V116*((X116*'1. Standard_Cost'!$B$19)+(W116*X116*'1. Standard_Cost'!$C$19))</f>
        <v>0</v>
      </c>
      <c r="Z116" s="260"/>
      <c r="AA116" s="260"/>
      <c r="AB116" s="108">
        <f>+Z116*'1. Standard_Cost'!$B$23+AA116*'1. Standard_Cost'!$C$23</f>
        <v>0</v>
      </c>
      <c r="AC116" s="261"/>
      <c r="AD116" s="262"/>
      <c r="AE116" s="108">
        <f>SUM(AD116,AC116,AB116,Y116,U116,T116,S116,R116)*'1. Standard_Cost'!$B$31</f>
        <v>0</v>
      </c>
      <c r="AF116" s="108">
        <f t="shared" si="131"/>
        <v>0</v>
      </c>
      <c r="AG116" s="260"/>
      <c r="AH116" s="260"/>
      <c r="AI116" s="260"/>
      <c r="AJ116" s="263"/>
      <c r="AK116" s="263"/>
      <c r="AL116" s="263"/>
      <c r="AM116" s="108">
        <f>AG116*'1. Standard_Cost'!$B$27+'Incremental_Cost Year 9'!AH116*'1. Standard_Cost'!$C$27+'Incremental_Cost Year 9'!AI116*'1. Standard_Cost'!$D$27+'Incremental_Cost Year 9'!AJ116+'Incremental_Cost Year 9'!AL116+AK116</f>
        <v>0</v>
      </c>
      <c r="AN116" s="108">
        <f>AM116*'1. Standard_Cost'!$C$31</f>
        <v>0</v>
      </c>
      <c r="AO116" s="125" t="s">
        <v>351</v>
      </c>
      <c r="AQ116" s="14">
        <f t="shared" si="132"/>
        <v>0</v>
      </c>
      <c r="AR116" s="14">
        <f t="shared" si="133"/>
        <v>0</v>
      </c>
      <c r="AS116" s="14">
        <f t="shared" si="134"/>
        <v>0</v>
      </c>
      <c r="AT116" s="14">
        <f t="shared" si="136"/>
        <v>0</v>
      </c>
      <c r="AU116" s="234">
        <f>AQ116</f>
        <v>0</v>
      </c>
      <c r="AV116" s="234"/>
      <c r="AW116" s="234"/>
      <c r="AX116" s="234">
        <f>AT116-AU116</f>
        <v>0</v>
      </c>
      <c r="AY116" s="234"/>
      <c r="AZ116" s="234"/>
      <c r="BA116" s="234"/>
      <c r="BB116" s="16">
        <f t="shared" si="135"/>
        <v>0</v>
      </c>
    </row>
    <row r="117" spans="1:54" ht="15.6" outlineLevel="2">
      <c r="A117" s="98"/>
      <c r="B117" s="102"/>
      <c r="C117" s="23"/>
      <c r="D117" s="269"/>
      <c r="E117" s="269"/>
      <c r="F117" s="269"/>
      <c r="G117" s="269"/>
      <c r="H117" s="272"/>
      <c r="I117" s="258"/>
      <c r="J117" s="259"/>
      <c r="K117" s="259"/>
      <c r="L117" s="106" t="str">
        <f>IF(I117&lt;&gt;0,((VLOOKUP(I117,'1. Standard_Cost'!$B$4:$D$11,2)+VLOOKUP(I117,'1. Standard_Cost'!$B$4:$D$11,3))*J117*K117),"0")</f>
        <v>0</v>
      </c>
      <c r="M117" s="106">
        <f>L117*'1. Standard_Cost'!$F$4</f>
        <v>0</v>
      </c>
      <c r="N117" s="260"/>
      <c r="O117" s="260"/>
      <c r="P117" s="260"/>
      <c r="Q117" s="260"/>
      <c r="R117" s="108">
        <f>'1. Standard_Cost'!$B$15*N117*P117</f>
        <v>0</v>
      </c>
      <c r="S117" s="108">
        <f>N117*O117*P117*'1. Standard_Cost'!$C$15</f>
        <v>0</v>
      </c>
      <c r="T117" s="108">
        <f>N117*P117*Q117*'1. Standard_Cost'!$D$15</f>
        <v>0</v>
      </c>
      <c r="U117" s="108">
        <f>N117*O117*'1. Standard_Cost'!$E$15</f>
        <v>0</v>
      </c>
      <c r="V117" s="260"/>
      <c r="W117" s="260"/>
      <c r="X117" s="260"/>
      <c r="Y117" s="108">
        <f>+V117*((X117*'1. Standard_Cost'!$B$19)+(W117*X117*'1. Standard_Cost'!$C$19))</f>
        <v>0</v>
      </c>
      <c r="Z117" s="260"/>
      <c r="AA117" s="260"/>
      <c r="AB117" s="108">
        <f>+Z117*'1. Standard_Cost'!$B$23+AA117*'1. Standard_Cost'!$C$23</f>
        <v>0</v>
      </c>
      <c r="AC117" s="261"/>
      <c r="AD117" s="262"/>
      <c r="AE117" s="108">
        <f>SUM(AD117,AC117,AB117,Y117,U117,T117,S117,R117)*'1. Standard_Cost'!$B$31</f>
        <v>0</v>
      </c>
      <c r="AF117" s="108">
        <f t="shared" si="131"/>
        <v>0</v>
      </c>
      <c r="AG117" s="260"/>
      <c r="AH117" s="260"/>
      <c r="AI117" s="260"/>
      <c r="AJ117" s="263"/>
      <c r="AK117" s="263"/>
      <c r="AL117" s="263"/>
      <c r="AM117" s="108">
        <f>AG117*'1. Standard_Cost'!$B$27+'Incremental_Cost Year 9'!AH117*'1. Standard_Cost'!$C$27+'Incremental_Cost Year 9'!AI117*'1. Standard_Cost'!$D$27+'Incremental_Cost Year 9'!AJ117+'Incremental_Cost Year 9'!AL117+AK117</f>
        <v>0</v>
      </c>
      <c r="AN117" s="108">
        <f>AM117*'1. Standard_Cost'!$C$31</f>
        <v>0</v>
      </c>
      <c r="AO117" s="125" t="s">
        <v>349</v>
      </c>
      <c r="AQ117" s="14">
        <f t="shared" si="132"/>
        <v>0</v>
      </c>
      <c r="AR117" s="14">
        <f t="shared" si="133"/>
        <v>0</v>
      </c>
      <c r="AS117" s="14">
        <f t="shared" si="134"/>
        <v>0</v>
      </c>
      <c r="AT117" s="14">
        <f t="shared" si="136"/>
        <v>0</v>
      </c>
      <c r="AU117" s="234"/>
      <c r="AV117" s="234"/>
      <c r="AW117" s="234"/>
      <c r="AX117" s="234"/>
      <c r="AY117" s="234"/>
      <c r="AZ117" s="234"/>
      <c r="BA117" s="234"/>
      <c r="BB117" s="16">
        <f t="shared" si="135"/>
        <v>0</v>
      </c>
    </row>
    <row r="118" spans="1:54" ht="15.6" outlineLevel="2">
      <c r="A118" s="98"/>
      <c r="B118" s="102"/>
      <c r="C118" s="23"/>
      <c r="D118" s="269"/>
      <c r="E118" s="269"/>
      <c r="F118" s="269"/>
      <c r="G118" s="269"/>
      <c r="H118" s="272"/>
      <c r="I118" s="258"/>
      <c r="J118" s="259"/>
      <c r="K118" s="259"/>
      <c r="L118" s="106" t="str">
        <f>IF(I118&lt;&gt;0,((VLOOKUP(I118,'1. Standard_Cost'!$B$4:$D$11,2)+VLOOKUP(I118,'1. Standard_Cost'!$B$4:$D$11,3))*J118*K118),"0")</f>
        <v>0</v>
      </c>
      <c r="M118" s="106">
        <f>L118*'1. Standard_Cost'!$F$4</f>
        <v>0</v>
      </c>
      <c r="N118" s="260"/>
      <c r="O118" s="260"/>
      <c r="P118" s="260"/>
      <c r="Q118" s="260"/>
      <c r="R118" s="108">
        <f>'1. Standard_Cost'!$B$15*N118*P118</f>
        <v>0</v>
      </c>
      <c r="S118" s="108">
        <f>N118*O118*P118*'1. Standard_Cost'!$C$15</f>
        <v>0</v>
      </c>
      <c r="T118" s="108">
        <f>N118*P118*Q118*'1. Standard_Cost'!$D$15</f>
        <v>0</v>
      </c>
      <c r="U118" s="108">
        <f>N118*O118*'1. Standard_Cost'!$E$15</f>
        <v>0</v>
      </c>
      <c r="V118" s="260"/>
      <c r="W118" s="260"/>
      <c r="X118" s="260"/>
      <c r="Y118" s="108">
        <f>+V118*((X118*'1. Standard_Cost'!$B$19)+(W118*X118*'1. Standard_Cost'!$C$19))</f>
        <v>0</v>
      </c>
      <c r="Z118" s="260"/>
      <c r="AA118" s="260"/>
      <c r="AB118" s="108">
        <f>+Z118*'1. Standard_Cost'!$B$23+AA118*'1. Standard_Cost'!$C$23</f>
        <v>0</v>
      </c>
      <c r="AC118" s="261"/>
      <c r="AD118" s="262"/>
      <c r="AE118" s="108">
        <f>SUM(AD118,AC118,AB118,Y118,U118,T118,S118,R118)*'1. Standard_Cost'!$B$31</f>
        <v>0</v>
      </c>
      <c r="AF118" s="108">
        <f t="shared" si="131"/>
        <v>0</v>
      </c>
      <c r="AG118" s="260"/>
      <c r="AH118" s="260"/>
      <c r="AI118" s="260"/>
      <c r="AJ118" s="263"/>
      <c r="AK118" s="263"/>
      <c r="AL118" s="263"/>
      <c r="AM118" s="108">
        <f>AG118*'1. Standard_Cost'!$B$27+'Incremental_Cost Year 9'!AH118*'1. Standard_Cost'!$C$27+'Incremental_Cost Year 9'!AI118*'1. Standard_Cost'!$D$27+'Incremental_Cost Year 9'!AJ118+'Incremental_Cost Year 9'!AL118+AK118</f>
        <v>0</v>
      </c>
      <c r="AN118" s="108">
        <f>AM118*'1. Standard_Cost'!$C$31</f>
        <v>0</v>
      </c>
      <c r="AO118" s="125" t="s">
        <v>352</v>
      </c>
      <c r="AQ118" s="14">
        <f t="shared" si="132"/>
        <v>0</v>
      </c>
      <c r="AR118" s="14">
        <f t="shared" si="133"/>
        <v>0</v>
      </c>
      <c r="AS118" s="14">
        <f t="shared" si="134"/>
        <v>0</v>
      </c>
      <c r="AT118" s="14">
        <f t="shared" si="136"/>
        <v>0</v>
      </c>
      <c r="AU118" s="234"/>
      <c r="AV118" s="234"/>
      <c r="AW118" s="234"/>
      <c r="AX118" s="234"/>
      <c r="AY118" s="234"/>
      <c r="AZ118" s="234"/>
      <c r="BA118" s="234"/>
      <c r="BB118" s="16">
        <f t="shared" si="135"/>
        <v>0</v>
      </c>
    </row>
    <row r="119" spans="1:54" ht="15.6" outlineLevel="2">
      <c r="A119" s="98"/>
      <c r="B119" s="102"/>
      <c r="C119" s="23"/>
      <c r="D119" s="269"/>
      <c r="E119" s="269"/>
      <c r="F119" s="269"/>
      <c r="G119" s="269"/>
      <c r="H119" s="272"/>
      <c r="I119" s="258"/>
      <c r="J119" s="259"/>
      <c r="K119" s="259"/>
      <c r="L119" s="106" t="str">
        <f>IF(I119&lt;&gt;0,((VLOOKUP(I119,'1. Standard_Cost'!$B$4:$D$11,2)+VLOOKUP(I119,'1. Standard_Cost'!$B$4:$D$11,3))*J119*K119),"0")</f>
        <v>0</v>
      </c>
      <c r="M119" s="106">
        <f>L119*'1. Standard_Cost'!$F$4</f>
        <v>0</v>
      </c>
      <c r="N119" s="260"/>
      <c r="O119" s="260"/>
      <c r="P119" s="260"/>
      <c r="Q119" s="260"/>
      <c r="R119" s="108">
        <f>'1. Standard_Cost'!$B$15*N119*P119</f>
        <v>0</v>
      </c>
      <c r="S119" s="108">
        <f>N119*O119*P119*'1. Standard_Cost'!$C$15</f>
        <v>0</v>
      </c>
      <c r="T119" s="108">
        <f>N119*P119*Q119*'1. Standard_Cost'!$D$15</f>
        <v>0</v>
      </c>
      <c r="U119" s="108">
        <f>N119*O119*'1. Standard_Cost'!$E$15</f>
        <v>0</v>
      </c>
      <c r="V119" s="260"/>
      <c r="W119" s="260"/>
      <c r="X119" s="260"/>
      <c r="Y119" s="108">
        <f>+V119*((X119*'1. Standard_Cost'!$B$19)+(W119*X119*'1. Standard_Cost'!$C$19))</f>
        <v>0</v>
      </c>
      <c r="Z119" s="260"/>
      <c r="AA119" s="260"/>
      <c r="AB119" s="108">
        <f>+Z119*'1. Standard_Cost'!$B$23+AA119*'1. Standard_Cost'!$C$23</f>
        <v>0</v>
      </c>
      <c r="AC119" s="261"/>
      <c r="AD119" s="262"/>
      <c r="AE119" s="108">
        <f>SUM(AD119,AC119,AB119,Y119,U119,T119,S119,R119)*'1. Standard_Cost'!$B$31</f>
        <v>0</v>
      </c>
      <c r="AF119" s="108">
        <f t="shared" si="131"/>
        <v>0</v>
      </c>
      <c r="AG119" s="260"/>
      <c r="AH119" s="260"/>
      <c r="AI119" s="260"/>
      <c r="AJ119" s="263"/>
      <c r="AK119" s="263"/>
      <c r="AL119" s="263"/>
      <c r="AM119" s="108">
        <f>AG119*'1. Standard_Cost'!$B$27+'Incremental_Cost Year 9'!AH119*'1. Standard_Cost'!$C$27+'Incremental_Cost Year 9'!AI119*'1. Standard_Cost'!$D$27+'Incremental_Cost Year 9'!AJ119+'Incremental_Cost Year 9'!AL119+AK119</f>
        <v>0</v>
      </c>
      <c r="AN119" s="108">
        <f>AM119*'1. Standard_Cost'!$C$31</f>
        <v>0</v>
      </c>
      <c r="AO119" s="125" t="s">
        <v>353</v>
      </c>
      <c r="AQ119" s="14">
        <f t="shared" si="132"/>
        <v>0</v>
      </c>
      <c r="AR119" s="14">
        <f t="shared" si="133"/>
        <v>0</v>
      </c>
      <c r="AS119" s="14">
        <f t="shared" si="134"/>
        <v>0</v>
      </c>
      <c r="AT119" s="14">
        <f t="shared" si="136"/>
        <v>0</v>
      </c>
      <c r="AU119" s="234"/>
      <c r="AV119" s="234"/>
      <c r="AW119" s="234"/>
      <c r="AX119" s="234"/>
      <c r="AY119" s="234"/>
      <c r="AZ119" s="234"/>
      <c r="BA119" s="234"/>
      <c r="BB119" s="16">
        <f t="shared" si="135"/>
        <v>0</v>
      </c>
    </row>
    <row r="120" spans="1:54" ht="27.6" outlineLevel="2">
      <c r="A120" s="98"/>
      <c r="B120" s="102"/>
      <c r="C120" s="23"/>
      <c r="D120" s="269"/>
      <c r="E120" s="269"/>
      <c r="F120" s="269"/>
      <c r="G120" s="269"/>
      <c r="H120" s="272"/>
      <c r="I120" s="258"/>
      <c r="J120" s="259"/>
      <c r="K120" s="259"/>
      <c r="L120" s="106" t="str">
        <f>IF(I120&lt;&gt;0,((VLOOKUP(I120,'1. Standard_Cost'!$B$4:$D$11,2)+VLOOKUP(I120,'1. Standard_Cost'!$B$4:$D$11,3))*J120*K120),"0")</f>
        <v>0</v>
      </c>
      <c r="M120" s="106">
        <f>L120*'1. Standard_Cost'!$F$4</f>
        <v>0</v>
      </c>
      <c r="N120" s="260"/>
      <c r="O120" s="260"/>
      <c r="P120" s="260"/>
      <c r="Q120" s="260"/>
      <c r="R120" s="108">
        <f>'1. Standard_Cost'!$B$15*N120*P120</f>
        <v>0</v>
      </c>
      <c r="S120" s="108">
        <f>N120*O120*P120*'1. Standard_Cost'!$C$15</f>
        <v>0</v>
      </c>
      <c r="T120" s="108">
        <f>N120*P120*Q120*'1. Standard_Cost'!$D$15</f>
        <v>0</v>
      </c>
      <c r="U120" s="108">
        <f>N120*O120*'1. Standard_Cost'!$E$15</f>
        <v>0</v>
      </c>
      <c r="V120" s="260"/>
      <c r="W120" s="260"/>
      <c r="X120" s="260"/>
      <c r="Y120" s="108">
        <f>+V120*((X120*'1. Standard_Cost'!$B$19)+(W120*X120*'1. Standard_Cost'!$C$19))</f>
        <v>0</v>
      </c>
      <c r="Z120" s="260"/>
      <c r="AA120" s="260"/>
      <c r="AB120" s="108">
        <f>+Z120*'1. Standard_Cost'!$B$23+AA120*'1. Standard_Cost'!$C$23</f>
        <v>0</v>
      </c>
      <c r="AC120" s="261"/>
      <c r="AD120" s="262"/>
      <c r="AE120" s="108">
        <f>SUM(AD120,AC120,AB120,Y120,U120,T120,S120,R120)*'1. Standard_Cost'!$B$31</f>
        <v>0</v>
      </c>
      <c r="AF120" s="108">
        <f t="shared" si="131"/>
        <v>0</v>
      </c>
      <c r="AG120" s="260"/>
      <c r="AH120" s="260"/>
      <c r="AI120" s="260"/>
      <c r="AJ120" s="263"/>
      <c r="AK120" s="263"/>
      <c r="AL120" s="263"/>
      <c r="AM120" s="108">
        <f>AG120*'1. Standard_Cost'!$B$27+'Incremental_Cost Year 9'!AH120*'1. Standard_Cost'!$C$27+'Incremental_Cost Year 9'!AI120*'1. Standard_Cost'!$D$27+'Incremental_Cost Year 9'!AJ120+'Incremental_Cost Year 9'!AL120+AK120</f>
        <v>0</v>
      </c>
      <c r="AN120" s="108">
        <f>AM120*'1. Standard_Cost'!$C$31</f>
        <v>0</v>
      </c>
      <c r="AO120" s="125" t="s">
        <v>354</v>
      </c>
      <c r="AQ120" s="14">
        <f t="shared" si="132"/>
        <v>0</v>
      </c>
      <c r="AR120" s="14">
        <f t="shared" si="133"/>
        <v>0</v>
      </c>
      <c r="AS120" s="14">
        <f t="shared" si="134"/>
        <v>0</v>
      </c>
      <c r="AT120" s="14">
        <f t="shared" si="136"/>
        <v>0</v>
      </c>
      <c r="AU120" s="234"/>
      <c r="AV120" s="234"/>
      <c r="AW120" s="234"/>
      <c r="AX120" s="234"/>
      <c r="AY120" s="234"/>
      <c r="AZ120" s="234"/>
      <c r="BA120" s="234"/>
      <c r="BB120" s="16">
        <f t="shared" si="135"/>
        <v>0</v>
      </c>
    </row>
    <row r="121" spans="1:54" ht="15.6" outlineLevel="2">
      <c r="A121" s="98"/>
      <c r="B121" s="102"/>
      <c r="C121" s="23"/>
      <c r="D121" s="269"/>
      <c r="E121" s="269"/>
      <c r="F121" s="174"/>
      <c r="G121" s="174"/>
      <c r="H121" s="272"/>
      <c r="I121" s="258"/>
      <c r="J121" s="259"/>
      <c r="K121" s="259"/>
      <c r="L121" s="106" t="str">
        <f>IF(I121&lt;&gt;0,((VLOOKUP(I121,'1. Standard_Cost'!$B$4:$D$11,2)+VLOOKUP(I121,'1. Standard_Cost'!$B$4:$D$11,3))*J121*K121),"0")</f>
        <v>0</v>
      </c>
      <c r="M121" s="106">
        <f>L121*'1. Standard_Cost'!$F$4</f>
        <v>0</v>
      </c>
      <c r="N121" s="260"/>
      <c r="O121" s="260"/>
      <c r="P121" s="260"/>
      <c r="Q121" s="260"/>
      <c r="R121" s="108">
        <f>'1. Standard_Cost'!$B$15*N121*P121</f>
        <v>0</v>
      </c>
      <c r="S121" s="108">
        <f>N121*O121*P121*'1. Standard_Cost'!$C$15</f>
        <v>0</v>
      </c>
      <c r="T121" s="108">
        <f>N121*P121*Q121*'1. Standard_Cost'!$D$15</f>
        <v>0</v>
      </c>
      <c r="U121" s="108">
        <f>N121*O121*'1. Standard_Cost'!$E$15</f>
        <v>0</v>
      </c>
      <c r="V121" s="260"/>
      <c r="W121" s="260"/>
      <c r="X121" s="260"/>
      <c r="Y121" s="108">
        <f>+V121*((X121*'1. Standard_Cost'!$B$19)+(W121*X121*'1. Standard_Cost'!$C$19))</f>
        <v>0</v>
      </c>
      <c r="Z121" s="260"/>
      <c r="AA121" s="260"/>
      <c r="AB121" s="108">
        <f>+Z121*'1. Standard_Cost'!$B$23+AA121*'1. Standard_Cost'!$C$23</f>
        <v>0</v>
      </c>
      <c r="AC121" s="261"/>
      <c r="AD121" s="262"/>
      <c r="AE121" s="108">
        <f>SUM(AD121,AC121,AB121,Y121,U121,T121,S121,R121)*'1. Standard_Cost'!$B$31</f>
        <v>0</v>
      </c>
      <c r="AF121" s="108">
        <f t="shared" si="131"/>
        <v>0</v>
      </c>
      <c r="AG121" s="260"/>
      <c r="AH121" s="260"/>
      <c r="AI121" s="260"/>
      <c r="AJ121" s="263"/>
      <c r="AK121" s="263"/>
      <c r="AL121" s="263"/>
      <c r="AM121" s="108">
        <f>AG121*'1. Standard_Cost'!$B$27+'Incremental_Cost Year 9'!AH121*'1. Standard_Cost'!$C$27+'Incremental_Cost Year 9'!AI121*'1. Standard_Cost'!$D$27+'Incremental_Cost Year 9'!AJ121+'Incremental_Cost Year 9'!AL121+AK121</f>
        <v>0</v>
      </c>
      <c r="AN121" s="108">
        <f>AM121*'1. Standard_Cost'!$C$31</f>
        <v>0</v>
      </c>
      <c r="AO121" s="125" t="s">
        <v>335</v>
      </c>
      <c r="AQ121" s="14">
        <f t="shared" si="132"/>
        <v>0</v>
      </c>
      <c r="AR121" s="14">
        <f t="shared" si="133"/>
        <v>0</v>
      </c>
      <c r="AS121" s="14">
        <f t="shared" si="134"/>
        <v>0</v>
      </c>
      <c r="AT121" s="14">
        <f t="shared" si="136"/>
        <v>0</v>
      </c>
      <c r="AU121" s="234"/>
      <c r="AV121" s="234"/>
      <c r="AW121" s="234"/>
      <c r="AX121" s="234"/>
      <c r="AY121" s="234"/>
      <c r="AZ121" s="234"/>
      <c r="BA121" s="234"/>
      <c r="BB121" s="16">
        <f t="shared" si="135"/>
        <v>0</v>
      </c>
    </row>
    <row r="122" spans="1:54" ht="41.4" outlineLevel="2">
      <c r="A122" s="98"/>
      <c r="B122" s="102"/>
      <c r="C122" s="23"/>
      <c r="D122" s="269"/>
      <c r="E122" s="269"/>
      <c r="F122" s="269"/>
      <c r="G122" s="269"/>
      <c r="H122" s="272"/>
      <c r="I122" s="258"/>
      <c r="J122" s="259"/>
      <c r="K122" s="259"/>
      <c r="L122" s="106" t="str">
        <f>IF(I122&lt;&gt;0,((VLOOKUP(I122,'1. Standard_Cost'!$B$4:$D$11,2)+VLOOKUP(I122,'1. Standard_Cost'!$B$4:$D$11,3))*J122*K122),"0")</f>
        <v>0</v>
      </c>
      <c r="M122" s="106">
        <f>L122*'1. Standard_Cost'!$F$4</f>
        <v>0</v>
      </c>
      <c r="N122" s="260"/>
      <c r="O122" s="260"/>
      <c r="P122" s="260"/>
      <c r="Q122" s="260"/>
      <c r="R122" s="108">
        <f>'1. Standard_Cost'!$B$15*N122*P122</f>
        <v>0</v>
      </c>
      <c r="S122" s="108">
        <f>N122*O122*P122*'1. Standard_Cost'!$C$15</f>
        <v>0</v>
      </c>
      <c r="T122" s="108">
        <f>N122*P122*Q122*'1. Standard_Cost'!$D$15</f>
        <v>0</v>
      </c>
      <c r="U122" s="108">
        <f>N122*O122*'1. Standard_Cost'!$E$15</f>
        <v>0</v>
      </c>
      <c r="V122" s="260"/>
      <c r="W122" s="260"/>
      <c r="X122" s="260"/>
      <c r="Y122" s="108">
        <f>+V122*((X122*'1. Standard_Cost'!$B$19)+(W122*X122*'1. Standard_Cost'!$C$19))</f>
        <v>0</v>
      </c>
      <c r="Z122" s="260"/>
      <c r="AA122" s="260"/>
      <c r="AB122" s="108">
        <f>+Z122*'1. Standard_Cost'!$B$23+AA122*'1. Standard_Cost'!$C$23</f>
        <v>0</v>
      </c>
      <c r="AC122" s="261"/>
      <c r="AD122" s="262"/>
      <c r="AE122" s="108">
        <f>SUM(AD122,AC122,AB122,Y122,U122,T122,S122,R122)*'1. Standard_Cost'!$B$31</f>
        <v>0</v>
      </c>
      <c r="AF122" s="108">
        <f t="shared" si="131"/>
        <v>0</v>
      </c>
      <c r="AG122" s="260"/>
      <c r="AH122" s="260"/>
      <c r="AI122" s="260"/>
      <c r="AJ122" s="263"/>
      <c r="AK122" s="263"/>
      <c r="AL122" s="263"/>
      <c r="AM122" s="108">
        <f>AG122*'1. Standard_Cost'!$B$27+'Incremental_Cost Year 9'!AH122*'1. Standard_Cost'!$C$27+'Incremental_Cost Year 9'!AI122*'1. Standard_Cost'!$D$27+'Incremental_Cost Year 9'!AJ122+'Incremental_Cost Year 9'!AL122+AK122</f>
        <v>0</v>
      </c>
      <c r="AN122" s="108">
        <f>AM122*'1. Standard_Cost'!$C$31</f>
        <v>0</v>
      </c>
      <c r="AO122" s="125" t="s">
        <v>355</v>
      </c>
      <c r="AQ122" s="14">
        <f t="shared" si="132"/>
        <v>0</v>
      </c>
      <c r="AR122" s="14">
        <f t="shared" si="133"/>
        <v>0</v>
      </c>
      <c r="AS122" s="14">
        <f t="shared" si="134"/>
        <v>0</v>
      </c>
      <c r="AT122" s="14">
        <f t="shared" si="136"/>
        <v>0</v>
      </c>
      <c r="AU122" s="234"/>
      <c r="AV122" s="234"/>
      <c r="AW122" s="234"/>
      <c r="AX122" s="234"/>
      <c r="AY122" s="234"/>
      <c r="AZ122" s="234"/>
      <c r="BA122" s="234"/>
      <c r="BB122" s="16">
        <f t="shared" si="135"/>
        <v>0</v>
      </c>
    </row>
    <row r="123" spans="1:54" ht="27.6" outlineLevel="2">
      <c r="A123" s="98"/>
      <c r="B123" s="102"/>
      <c r="C123" s="23"/>
      <c r="D123" s="269"/>
      <c r="E123" s="269"/>
      <c r="F123" s="269"/>
      <c r="G123" s="174"/>
      <c r="H123" s="272"/>
      <c r="I123" s="258"/>
      <c r="J123" s="259"/>
      <c r="K123" s="259"/>
      <c r="L123" s="106" t="str">
        <f>IF(I123&lt;&gt;0,((VLOOKUP(I123,'1. Standard_Cost'!$B$4:$D$11,2)+VLOOKUP(I123,'1. Standard_Cost'!$B$4:$D$11,3))*J123*K123),"0")</f>
        <v>0</v>
      </c>
      <c r="M123" s="106">
        <f>L123*'1. Standard_Cost'!$F$4</f>
        <v>0</v>
      </c>
      <c r="N123" s="260"/>
      <c r="O123" s="260"/>
      <c r="P123" s="260"/>
      <c r="Q123" s="260"/>
      <c r="R123" s="108">
        <f>'1. Standard_Cost'!$B$15*N123*P123</f>
        <v>0</v>
      </c>
      <c r="S123" s="108">
        <f>N123*O123*P123*'1. Standard_Cost'!$C$15</f>
        <v>0</v>
      </c>
      <c r="T123" s="108">
        <f>N123*P123*Q123*'1. Standard_Cost'!$D$15</f>
        <v>0</v>
      </c>
      <c r="U123" s="108">
        <f>N123*O123*'1. Standard_Cost'!$E$15</f>
        <v>0</v>
      </c>
      <c r="V123" s="260"/>
      <c r="W123" s="260"/>
      <c r="X123" s="260"/>
      <c r="Y123" s="108">
        <f>+V123*((X123*'1. Standard_Cost'!$B$19)+(W123*X123*'1. Standard_Cost'!$C$19))</f>
        <v>0</v>
      </c>
      <c r="Z123" s="260"/>
      <c r="AA123" s="260"/>
      <c r="AB123" s="108">
        <f>+Z123*'1. Standard_Cost'!$B$23+AA123*'1. Standard_Cost'!$C$23</f>
        <v>0</v>
      </c>
      <c r="AC123" s="261"/>
      <c r="AD123" s="262"/>
      <c r="AE123" s="108">
        <f>SUM(AD123,AC123,AB123,Y123,U123,T123,S123,R123)*'1. Standard_Cost'!$B$31</f>
        <v>0</v>
      </c>
      <c r="AF123" s="108">
        <f t="shared" si="131"/>
        <v>0</v>
      </c>
      <c r="AG123" s="260"/>
      <c r="AH123" s="260"/>
      <c r="AI123" s="260"/>
      <c r="AJ123" s="263"/>
      <c r="AK123" s="263"/>
      <c r="AL123" s="263"/>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32"/>
        <v>0</v>
      </c>
      <c r="AR123" s="14">
        <f t="shared" si="133"/>
        <v>0</v>
      </c>
      <c r="AS123" s="14">
        <f t="shared" si="134"/>
        <v>0</v>
      </c>
      <c r="AT123" s="14">
        <f t="shared" si="136"/>
        <v>0</v>
      </c>
      <c r="AU123" s="234"/>
      <c r="AV123" s="234"/>
      <c r="AW123" s="234"/>
      <c r="AX123" s="234"/>
      <c r="AY123" s="234"/>
      <c r="AZ123" s="234"/>
      <c r="BA123" s="234"/>
      <c r="BB123" s="16">
        <f t="shared" si="135"/>
        <v>0</v>
      </c>
    </row>
    <row r="124" spans="1:54" ht="27.6" outlineLevel="2">
      <c r="A124" s="98"/>
      <c r="B124" s="102"/>
      <c r="C124" s="23"/>
      <c r="D124" s="269"/>
      <c r="E124" s="269"/>
      <c r="F124" s="251"/>
      <c r="G124" s="250"/>
      <c r="H124" s="272"/>
      <c r="I124" s="258"/>
      <c r="J124" s="259"/>
      <c r="K124" s="259"/>
      <c r="L124" s="106" t="str">
        <f>IF(I124&lt;&gt;0,((VLOOKUP(I124,'1. Standard_Cost'!$B$4:$D$11,2)+VLOOKUP(I124,'1. Standard_Cost'!$B$4:$D$11,3))*J124*K124),"0")</f>
        <v>0</v>
      </c>
      <c r="M124" s="106">
        <f>L124*'1. Standard_Cost'!$F$4</f>
        <v>0</v>
      </c>
      <c r="N124" s="260"/>
      <c r="O124" s="260"/>
      <c r="P124" s="260"/>
      <c r="Q124" s="260"/>
      <c r="R124" s="108">
        <f>'1. Standard_Cost'!$B$15*N124*P124</f>
        <v>0</v>
      </c>
      <c r="S124" s="108">
        <f>N124*O124*P124*'1. Standard_Cost'!$C$15</f>
        <v>0</v>
      </c>
      <c r="T124" s="108">
        <f>N124*P124*Q124*'1. Standard_Cost'!$D$15</f>
        <v>0</v>
      </c>
      <c r="U124" s="108">
        <f>N124*O124*'1. Standard_Cost'!$E$15</f>
        <v>0</v>
      </c>
      <c r="V124" s="260"/>
      <c r="W124" s="260"/>
      <c r="X124" s="260"/>
      <c r="Y124" s="108">
        <f>+V124*((X124*'1. Standard_Cost'!$B$19)+(W124*X124*'1. Standard_Cost'!$C$19))</f>
        <v>0</v>
      </c>
      <c r="Z124" s="260"/>
      <c r="AA124" s="260"/>
      <c r="AB124" s="108">
        <f>+Z124*'1. Standard_Cost'!$B$23+AA124*'1. Standard_Cost'!$C$23</f>
        <v>0</v>
      </c>
      <c r="AC124" s="261"/>
      <c r="AD124" s="262"/>
      <c r="AE124" s="108">
        <f>SUM(AD124,AC124,AB124,Y124,U124,T124,S124,R124)*'1. Standard_Cost'!$B$31</f>
        <v>0</v>
      </c>
      <c r="AF124" s="108">
        <f t="shared" si="131"/>
        <v>0</v>
      </c>
      <c r="AG124" s="260"/>
      <c r="AH124" s="260"/>
      <c r="AI124" s="260"/>
      <c r="AJ124" s="263"/>
      <c r="AK124" s="263"/>
      <c r="AL124" s="263"/>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32"/>
        <v>0</v>
      </c>
      <c r="AR124" s="14">
        <f t="shared" si="133"/>
        <v>0</v>
      </c>
      <c r="AS124" s="14">
        <f t="shared" si="134"/>
        <v>0</v>
      </c>
      <c r="AT124" s="14">
        <f t="shared" si="136"/>
        <v>0</v>
      </c>
      <c r="AU124" s="234"/>
      <c r="AV124" s="234"/>
      <c r="AW124" s="234"/>
      <c r="AX124" s="234"/>
      <c r="AY124" s="234"/>
      <c r="AZ124" s="234"/>
      <c r="BA124" s="234"/>
      <c r="BB124" s="16">
        <f t="shared" si="135"/>
        <v>0</v>
      </c>
    </row>
    <row r="125" spans="1:54" ht="27.6" outlineLevel="2">
      <c r="A125" s="98"/>
      <c r="B125" s="102"/>
      <c r="C125" s="23"/>
      <c r="D125" s="269"/>
      <c r="E125" s="269"/>
      <c r="F125" s="269"/>
      <c r="G125" s="269"/>
      <c r="H125" s="272"/>
      <c r="I125" s="258"/>
      <c r="J125" s="259"/>
      <c r="K125" s="259"/>
      <c r="L125" s="106" t="str">
        <f>IF(I125&lt;&gt;0,((VLOOKUP(I125,'1. Standard_Cost'!$B$4:$D$11,2)+VLOOKUP(I125,'1. Standard_Cost'!$B$4:$D$11,3))*J125*K125),"0")</f>
        <v>0</v>
      </c>
      <c r="M125" s="106">
        <f>L125*'1. Standard_Cost'!$F$4</f>
        <v>0</v>
      </c>
      <c r="N125" s="260"/>
      <c r="O125" s="260"/>
      <c r="P125" s="260"/>
      <c r="Q125" s="260"/>
      <c r="R125" s="108">
        <f>'1. Standard_Cost'!$B$15*N125*P125</f>
        <v>0</v>
      </c>
      <c r="S125" s="108">
        <f>N125*O125*P125*'1. Standard_Cost'!$C$15</f>
        <v>0</v>
      </c>
      <c r="T125" s="108">
        <f>N125*P125*Q125*'1. Standard_Cost'!$D$15</f>
        <v>0</v>
      </c>
      <c r="U125" s="108">
        <f>N125*O125*'1. Standard_Cost'!$E$15</f>
        <v>0</v>
      </c>
      <c r="V125" s="260"/>
      <c r="W125" s="260"/>
      <c r="X125" s="260"/>
      <c r="Y125" s="108">
        <f>+V125*((X125*'1. Standard_Cost'!$B$19)+(W125*X125*'1. Standard_Cost'!$C$19))</f>
        <v>0</v>
      </c>
      <c r="Z125" s="260"/>
      <c r="AA125" s="260"/>
      <c r="AB125" s="108">
        <f>+Z125*'1. Standard_Cost'!$B$23+AA125*'1. Standard_Cost'!$C$23</f>
        <v>0</v>
      </c>
      <c r="AC125" s="261"/>
      <c r="AD125" s="262"/>
      <c r="AE125" s="108">
        <f>SUM(AD125,AC125,AB125,Y125,U125,T125,S125,R125)*'1. Standard_Cost'!$B$31</f>
        <v>0</v>
      </c>
      <c r="AF125" s="108">
        <f t="shared" si="131"/>
        <v>0</v>
      </c>
      <c r="AG125" s="260"/>
      <c r="AH125" s="260"/>
      <c r="AI125" s="260"/>
      <c r="AJ125" s="263"/>
      <c r="AK125" s="263"/>
      <c r="AL125" s="263"/>
      <c r="AM125" s="108">
        <f>AG125*'1. Standard_Cost'!$B$27+'Incremental_Cost Year 9'!AH125*'1. Standard_Cost'!$C$27+'Incremental_Cost Year 9'!AI125*'1. Standard_Cost'!$D$27+'Incremental_Cost Year 9'!AJ125+'Incremental_Cost Year 9'!AL125+AK125</f>
        <v>0</v>
      </c>
      <c r="AN125" s="108">
        <f>AM125*'1. Standard_Cost'!$C$31</f>
        <v>0</v>
      </c>
      <c r="AO125" s="125" t="s">
        <v>358</v>
      </c>
      <c r="AQ125" s="14">
        <f t="shared" si="132"/>
        <v>0</v>
      </c>
      <c r="AR125" s="14">
        <f t="shared" si="133"/>
        <v>0</v>
      </c>
      <c r="AS125" s="14">
        <f t="shared" si="134"/>
        <v>0</v>
      </c>
      <c r="AT125" s="14">
        <f t="shared" si="136"/>
        <v>0</v>
      </c>
      <c r="AU125" s="234"/>
      <c r="AV125" s="234"/>
      <c r="AW125" s="234"/>
      <c r="AX125" s="234"/>
      <c r="AY125" s="234"/>
      <c r="AZ125" s="234"/>
      <c r="BA125" s="234"/>
      <c r="BB125" s="16">
        <f t="shared" si="135"/>
        <v>0</v>
      </c>
    </row>
    <row r="126" spans="1:54" ht="27.6" outlineLevel="2">
      <c r="A126" s="98"/>
      <c r="B126" s="102"/>
      <c r="C126" s="23"/>
      <c r="D126" s="269"/>
      <c r="E126" s="269"/>
      <c r="F126" s="269"/>
      <c r="G126" s="269"/>
      <c r="H126" s="272"/>
      <c r="I126" s="258"/>
      <c r="J126" s="259"/>
      <c r="K126" s="259"/>
      <c r="L126" s="106" t="str">
        <f>IF(I126&lt;&gt;0,((VLOOKUP(I126,'1. Standard_Cost'!$B$4:$D$11,2)+VLOOKUP(I126,'1. Standard_Cost'!$B$4:$D$11,3))*J126*K126),"0")</f>
        <v>0</v>
      </c>
      <c r="M126" s="106">
        <f>L126*'1. Standard_Cost'!$F$4</f>
        <v>0</v>
      </c>
      <c r="N126" s="260"/>
      <c r="O126" s="260"/>
      <c r="P126" s="260"/>
      <c r="Q126" s="260"/>
      <c r="R126" s="108">
        <f>'1. Standard_Cost'!$B$15*N126*P126</f>
        <v>0</v>
      </c>
      <c r="S126" s="108">
        <f>N126*O126*P126*'1. Standard_Cost'!$C$15</f>
        <v>0</v>
      </c>
      <c r="T126" s="108">
        <f>N126*P126*Q126*'1. Standard_Cost'!$D$15</f>
        <v>0</v>
      </c>
      <c r="U126" s="108">
        <f>N126*O126*'1. Standard_Cost'!$E$15</f>
        <v>0</v>
      </c>
      <c r="V126" s="260"/>
      <c r="W126" s="260"/>
      <c r="X126" s="260"/>
      <c r="Y126" s="108">
        <f>+V126*((X126*'1. Standard_Cost'!$B$19)+(W126*X126*'1. Standard_Cost'!$C$19))</f>
        <v>0</v>
      </c>
      <c r="Z126" s="260"/>
      <c r="AA126" s="260"/>
      <c r="AB126" s="108">
        <f>+Z126*'1. Standard_Cost'!$B$23+AA126*'1. Standard_Cost'!$C$23</f>
        <v>0</v>
      </c>
      <c r="AC126" s="261"/>
      <c r="AD126" s="262"/>
      <c r="AE126" s="108">
        <f>SUM(AD126,AC126,AB126,Y126,U126,T126,S126,R126)*'1. Standard_Cost'!$B$31</f>
        <v>0</v>
      </c>
      <c r="AF126" s="108">
        <f t="shared" si="131"/>
        <v>0</v>
      </c>
      <c r="AG126" s="260"/>
      <c r="AH126" s="260"/>
      <c r="AI126" s="260"/>
      <c r="AJ126" s="263"/>
      <c r="AK126" s="263"/>
      <c r="AL126" s="263"/>
      <c r="AM126" s="108">
        <f>AG126*'1. Standard_Cost'!$B$27+'Incremental_Cost Year 9'!AH126*'1. Standard_Cost'!$C$27+'Incremental_Cost Year 9'!AI126*'1. Standard_Cost'!$D$27+'Incremental_Cost Year 9'!AJ126+'Incremental_Cost Year 9'!AL126+AK126</f>
        <v>0</v>
      </c>
      <c r="AN126" s="108">
        <f>AM126*'1. Standard_Cost'!$C$31</f>
        <v>0</v>
      </c>
      <c r="AO126" s="125" t="s">
        <v>359</v>
      </c>
      <c r="AQ126" s="14">
        <f t="shared" si="132"/>
        <v>0</v>
      </c>
      <c r="AR126" s="14">
        <f t="shared" si="133"/>
        <v>0</v>
      </c>
      <c r="AS126" s="14">
        <f t="shared" si="134"/>
        <v>0</v>
      </c>
      <c r="AT126" s="14">
        <f t="shared" si="136"/>
        <v>0</v>
      </c>
      <c r="AU126" s="234">
        <f>AT126</f>
        <v>0</v>
      </c>
      <c r="AV126" s="234"/>
      <c r="AW126" s="234"/>
      <c r="AX126" s="234"/>
      <c r="AY126" s="234"/>
      <c r="AZ126" s="234"/>
      <c r="BA126" s="234"/>
      <c r="BB126" s="16">
        <f t="shared" si="135"/>
        <v>0</v>
      </c>
    </row>
    <row r="127" spans="1:54" ht="15.6" outlineLevel="2">
      <c r="A127" s="98"/>
      <c r="B127" s="102"/>
      <c r="C127" s="23"/>
      <c r="D127" s="269"/>
      <c r="E127" s="269"/>
      <c r="F127" s="174"/>
      <c r="G127" s="269"/>
      <c r="H127" s="272"/>
      <c r="I127" s="258"/>
      <c r="J127" s="259"/>
      <c r="K127" s="259"/>
      <c r="L127" s="106" t="str">
        <f>IF(I127&lt;&gt;0,((VLOOKUP(I127,'1. Standard_Cost'!$B$4:$D$11,2)+VLOOKUP(I127,'1. Standard_Cost'!$B$4:$D$11,3))*J127*K127),"0")</f>
        <v>0</v>
      </c>
      <c r="M127" s="106">
        <f>L127*'1. Standard_Cost'!$F$4</f>
        <v>0</v>
      </c>
      <c r="N127" s="260"/>
      <c r="O127" s="260"/>
      <c r="P127" s="260"/>
      <c r="Q127" s="260"/>
      <c r="R127" s="108">
        <f>'1. Standard_Cost'!$B$15*N127*P127</f>
        <v>0</v>
      </c>
      <c r="S127" s="108">
        <f>N127*O127*P127*'1. Standard_Cost'!$C$15</f>
        <v>0</v>
      </c>
      <c r="T127" s="108">
        <f>N127*P127*Q127*'1. Standard_Cost'!$D$15</f>
        <v>0</v>
      </c>
      <c r="U127" s="108">
        <f>N127*O127*'1. Standard_Cost'!$E$15</f>
        <v>0</v>
      </c>
      <c r="V127" s="260"/>
      <c r="W127" s="260"/>
      <c r="X127" s="260"/>
      <c r="Y127" s="108">
        <f>+V127*((X127*'1. Standard_Cost'!$B$19)+(W127*X127*'1. Standard_Cost'!$C$19))</f>
        <v>0</v>
      </c>
      <c r="Z127" s="260"/>
      <c r="AA127" s="260"/>
      <c r="AB127" s="108">
        <f>+Z127*'1. Standard_Cost'!$B$23+AA127*'1. Standard_Cost'!$C$23</f>
        <v>0</v>
      </c>
      <c r="AC127" s="261"/>
      <c r="AD127" s="262"/>
      <c r="AE127" s="108">
        <f>SUM(AD127,AC127,AB127,Y127,U127,T127,S127,R127)*'1. Standard_Cost'!$B$31</f>
        <v>0</v>
      </c>
      <c r="AF127" s="108">
        <f t="shared" si="131"/>
        <v>0</v>
      </c>
      <c r="AG127" s="260"/>
      <c r="AH127" s="260"/>
      <c r="AI127" s="260"/>
      <c r="AJ127" s="263"/>
      <c r="AK127" s="263"/>
      <c r="AL127" s="263"/>
      <c r="AM127" s="108">
        <f>AG127*'1. Standard_Cost'!$B$27+'Incremental_Cost Year 9'!AH127*'1. Standard_Cost'!$C$27+'Incremental_Cost Year 9'!AI127*'1. Standard_Cost'!$D$27+'Incremental_Cost Year 9'!AJ127+'Incremental_Cost Year 9'!AL127+AK127</f>
        <v>0</v>
      </c>
      <c r="AN127" s="108">
        <f>AM127*'1. Standard_Cost'!$C$31</f>
        <v>0</v>
      </c>
      <c r="AO127" s="125" t="s">
        <v>349</v>
      </c>
      <c r="AQ127" s="14">
        <f t="shared" si="132"/>
        <v>0</v>
      </c>
      <c r="AR127" s="14">
        <f t="shared" si="133"/>
        <v>0</v>
      </c>
      <c r="AS127" s="14">
        <f t="shared" si="134"/>
        <v>0</v>
      </c>
      <c r="AT127" s="14">
        <f t="shared" si="136"/>
        <v>0</v>
      </c>
      <c r="AU127" s="234">
        <f>AT127</f>
        <v>0</v>
      </c>
      <c r="AV127" s="234"/>
      <c r="AW127" s="234"/>
      <c r="AX127" s="234"/>
      <c r="AY127" s="234"/>
      <c r="AZ127" s="234"/>
      <c r="BA127" s="234"/>
      <c r="BB127" s="16">
        <f t="shared" si="135"/>
        <v>0</v>
      </c>
    </row>
    <row r="128" spans="1:54" ht="15.6" outlineLevel="2">
      <c r="A128" s="98"/>
      <c r="B128" s="102"/>
      <c r="C128" s="23"/>
      <c r="D128" s="269"/>
      <c r="E128" s="269"/>
      <c r="F128" s="174"/>
      <c r="G128" s="174"/>
      <c r="H128" s="272"/>
      <c r="I128" s="258"/>
      <c r="J128" s="259"/>
      <c r="K128" s="259"/>
      <c r="L128" s="106" t="str">
        <f>IF(I128&lt;&gt;0,((VLOOKUP(I128,'1. Standard_Cost'!$B$4:$D$11,2)+VLOOKUP(I128,'1. Standard_Cost'!$B$4:$D$11,3))*J128*K128),"0")</f>
        <v>0</v>
      </c>
      <c r="M128" s="106">
        <f>L128*'1. Standard_Cost'!$F$4</f>
        <v>0</v>
      </c>
      <c r="N128" s="260"/>
      <c r="O128" s="260"/>
      <c r="P128" s="260"/>
      <c r="Q128" s="260"/>
      <c r="R128" s="108">
        <f>'1. Standard_Cost'!$B$15*N128*P128</f>
        <v>0</v>
      </c>
      <c r="S128" s="108">
        <f>N128*O128*P128*'1. Standard_Cost'!$C$15</f>
        <v>0</v>
      </c>
      <c r="T128" s="108">
        <f>N128*P128*Q128*'1. Standard_Cost'!$D$15</f>
        <v>0</v>
      </c>
      <c r="U128" s="108">
        <f>N128*O128*'1. Standard_Cost'!$E$15</f>
        <v>0</v>
      </c>
      <c r="V128" s="260"/>
      <c r="W128" s="260"/>
      <c r="X128" s="260"/>
      <c r="Y128" s="108">
        <f>+V128*((X128*'1. Standard_Cost'!$B$19)+(W128*X128*'1. Standard_Cost'!$C$19))</f>
        <v>0</v>
      </c>
      <c r="Z128" s="260"/>
      <c r="AA128" s="260"/>
      <c r="AB128" s="108">
        <f>+Z128*'1. Standard_Cost'!$B$23+AA128*'1. Standard_Cost'!$C$23</f>
        <v>0</v>
      </c>
      <c r="AC128" s="261"/>
      <c r="AD128" s="262"/>
      <c r="AE128" s="108">
        <f>SUM(AD128,AC128,AB128,Y128,U128,T128,S128,R128)*'1. Standard_Cost'!$B$31</f>
        <v>0</v>
      </c>
      <c r="AF128" s="108">
        <f t="shared" si="131"/>
        <v>0</v>
      </c>
      <c r="AG128" s="260"/>
      <c r="AH128" s="260"/>
      <c r="AI128" s="260"/>
      <c r="AJ128" s="263"/>
      <c r="AK128" s="263"/>
      <c r="AL128" s="263"/>
      <c r="AM128" s="108">
        <f>AG128*'1. Standard_Cost'!$B$27+'Incremental_Cost Year 9'!AH128*'1. Standard_Cost'!$C$27+'Incremental_Cost Year 9'!AI128*'1. Standard_Cost'!$D$27+'Incremental_Cost Year 9'!AJ128+'Incremental_Cost Year 9'!AL128+AK128</f>
        <v>0</v>
      </c>
      <c r="AN128" s="108">
        <f>AM128*'1. Standard_Cost'!$C$31</f>
        <v>0</v>
      </c>
      <c r="AO128" s="125" t="s">
        <v>360</v>
      </c>
      <c r="AQ128" s="14">
        <f t="shared" si="132"/>
        <v>0</v>
      </c>
      <c r="AR128" s="14">
        <f t="shared" si="133"/>
        <v>0</v>
      </c>
      <c r="AS128" s="14">
        <f t="shared" si="134"/>
        <v>0</v>
      </c>
      <c r="AT128" s="14">
        <f t="shared" si="136"/>
        <v>0</v>
      </c>
      <c r="AU128" s="234"/>
      <c r="AV128" s="234"/>
      <c r="AW128" s="234"/>
      <c r="AX128" s="234"/>
      <c r="AY128" s="234"/>
      <c r="AZ128" s="234"/>
      <c r="BA128" s="234"/>
      <c r="BB128" s="16">
        <f t="shared" si="135"/>
        <v>0</v>
      </c>
    </row>
    <row r="129" spans="1:54" ht="55.2" outlineLevel="2">
      <c r="A129" s="98"/>
      <c r="B129" s="102"/>
      <c r="C129" s="23"/>
      <c r="D129" s="269"/>
      <c r="E129" s="269"/>
      <c r="F129" s="269"/>
      <c r="G129" s="269"/>
      <c r="H129" s="272"/>
      <c r="I129" s="258"/>
      <c r="J129" s="259"/>
      <c r="K129" s="259"/>
      <c r="L129" s="106" t="str">
        <f>IF(I129&lt;&gt;0,((VLOOKUP(I129,'1. Standard_Cost'!$B$4:$D$11,2)+VLOOKUP(I129,'1. Standard_Cost'!$B$4:$D$11,3))*J129*K129),"0")</f>
        <v>0</v>
      </c>
      <c r="M129" s="106">
        <f>L129*'1. Standard_Cost'!$F$4</f>
        <v>0</v>
      </c>
      <c r="N129" s="260"/>
      <c r="O129" s="260"/>
      <c r="P129" s="260"/>
      <c r="Q129" s="260"/>
      <c r="R129" s="108">
        <f>'1. Standard_Cost'!$B$15*N129*P129</f>
        <v>0</v>
      </c>
      <c r="S129" s="108">
        <f>N129*O129*P129*'1. Standard_Cost'!$C$15</f>
        <v>0</v>
      </c>
      <c r="T129" s="108">
        <f>N129*P129*Q129*'1. Standard_Cost'!$D$15</f>
        <v>0</v>
      </c>
      <c r="U129" s="108">
        <f>N129*O129*'1. Standard_Cost'!$E$15</f>
        <v>0</v>
      </c>
      <c r="V129" s="260"/>
      <c r="W129" s="260"/>
      <c r="X129" s="260"/>
      <c r="Y129" s="108">
        <f>+V129*((X129*'1. Standard_Cost'!$B$19)+(W129*X129*'1. Standard_Cost'!$C$19))</f>
        <v>0</v>
      </c>
      <c r="Z129" s="260"/>
      <c r="AA129" s="260"/>
      <c r="AB129" s="108">
        <f>+Z129*'1. Standard_Cost'!$B$23+AA129*'1. Standard_Cost'!$C$23</f>
        <v>0</v>
      </c>
      <c r="AC129" s="261"/>
      <c r="AD129" s="262"/>
      <c r="AE129" s="108">
        <f>SUM(AD129,AC129,AB129,Y129,U129,T129,S129,R129)*'1. Standard_Cost'!$B$31</f>
        <v>0</v>
      </c>
      <c r="AF129" s="108">
        <f t="shared" si="131"/>
        <v>0</v>
      </c>
      <c r="AG129" s="260"/>
      <c r="AH129" s="260"/>
      <c r="AI129" s="260"/>
      <c r="AJ129" s="263"/>
      <c r="AK129" s="263"/>
      <c r="AL129" s="263"/>
      <c r="AM129" s="108">
        <f>AG129*'1. Standard_Cost'!$B$27+'Incremental_Cost Year 9'!AH129*'1. Standard_Cost'!$C$27+'Incremental_Cost Year 9'!AI129*'1. Standard_Cost'!$D$27+'Incremental_Cost Year 9'!AJ129+'Incremental_Cost Year 9'!AL129+AK129</f>
        <v>0</v>
      </c>
      <c r="AN129" s="108">
        <f>AM129*'1. Standard_Cost'!$C$31</f>
        <v>0</v>
      </c>
      <c r="AO129" s="125" t="s">
        <v>361</v>
      </c>
      <c r="AQ129" s="14">
        <f t="shared" si="132"/>
        <v>0</v>
      </c>
      <c r="AR129" s="14">
        <f t="shared" si="133"/>
        <v>0</v>
      </c>
      <c r="AS129" s="14">
        <f t="shared" si="134"/>
        <v>0</v>
      </c>
      <c r="AT129" s="14">
        <f t="shared" si="136"/>
        <v>0</v>
      </c>
      <c r="AU129" s="234"/>
      <c r="AV129" s="234"/>
      <c r="AW129" s="234"/>
      <c r="AX129" s="234"/>
      <c r="AY129" s="234"/>
      <c r="AZ129" s="234"/>
      <c r="BA129" s="234"/>
      <c r="BB129" s="16">
        <f t="shared" si="135"/>
        <v>0</v>
      </c>
    </row>
    <row r="130" spans="1:54" ht="27.6" outlineLevel="2">
      <c r="A130" s="98"/>
      <c r="B130" s="102"/>
      <c r="C130" s="23"/>
      <c r="D130" s="269"/>
      <c r="E130" s="269"/>
      <c r="F130" s="174"/>
      <c r="G130" s="174"/>
      <c r="H130" s="272"/>
      <c r="I130" s="258"/>
      <c r="J130" s="259"/>
      <c r="K130" s="259"/>
      <c r="L130" s="106" t="str">
        <f>IF(I130&lt;&gt;0,((VLOOKUP(I130,'1. Standard_Cost'!$B$4:$D$11,2)+VLOOKUP(I130,'1. Standard_Cost'!$B$4:$D$11,3))*J130*K130),"0")</f>
        <v>0</v>
      </c>
      <c r="M130" s="106">
        <f>L130*'1. Standard_Cost'!$F$4</f>
        <v>0</v>
      </c>
      <c r="N130" s="260"/>
      <c r="O130" s="260"/>
      <c r="P130" s="260"/>
      <c r="Q130" s="260"/>
      <c r="R130" s="108">
        <f>'1. Standard_Cost'!$B$15*N130*P130</f>
        <v>0</v>
      </c>
      <c r="S130" s="108">
        <f>N130*O130*P130*'1. Standard_Cost'!$C$15</f>
        <v>0</v>
      </c>
      <c r="T130" s="108">
        <f>N130*P130*Q130*'1. Standard_Cost'!$D$15</f>
        <v>0</v>
      </c>
      <c r="U130" s="108">
        <f>N130*O130*'1. Standard_Cost'!$E$15</f>
        <v>0</v>
      </c>
      <c r="V130" s="260"/>
      <c r="W130" s="260"/>
      <c r="X130" s="260"/>
      <c r="Y130" s="108">
        <f>+V130*((X130*'1. Standard_Cost'!$B$19)+(W130*X130*'1. Standard_Cost'!$C$19))</f>
        <v>0</v>
      </c>
      <c r="Z130" s="260"/>
      <c r="AA130" s="260"/>
      <c r="AB130" s="108">
        <f>+Z130*'1. Standard_Cost'!$B$23+AA130*'1. Standard_Cost'!$C$23</f>
        <v>0</v>
      </c>
      <c r="AC130" s="261"/>
      <c r="AD130" s="262"/>
      <c r="AE130" s="108">
        <f>SUM(AD130,AC130,AB130,Y130,U130,T130,S130,R130)*'1. Standard_Cost'!$B$31</f>
        <v>0</v>
      </c>
      <c r="AF130" s="108">
        <f t="shared" si="131"/>
        <v>0</v>
      </c>
      <c r="AG130" s="260"/>
      <c r="AH130" s="260"/>
      <c r="AI130" s="260"/>
      <c r="AJ130" s="263"/>
      <c r="AK130" s="263"/>
      <c r="AL130" s="263"/>
      <c r="AM130" s="108">
        <f>AG130*'1. Standard_Cost'!$B$27+'Incremental_Cost Year 9'!AH130*'1. Standard_Cost'!$C$27+'Incremental_Cost Year 9'!AI130*'1. Standard_Cost'!$D$27+'Incremental_Cost Year 9'!AJ130+'Incremental_Cost Year 9'!AL130+AK130</f>
        <v>0</v>
      </c>
      <c r="AN130" s="108">
        <f>AM130*'1. Standard_Cost'!$C$31</f>
        <v>0</v>
      </c>
      <c r="AO130" s="125" t="s">
        <v>362</v>
      </c>
      <c r="AQ130" s="14">
        <f t="shared" si="132"/>
        <v>0</v>
      </c>
      <c r="AR130" s="14">
        <f t="shared" si="133"/>
        <v>0</v>
      </c>
      <c r="AS130" s="14">
        <f t="shared" si="134"/>
        <v>0</v>
      </c>
      <c r="AT130" s="14">
        <f t="shared" si="136"/>
        <v>0</v>
      </c>
      <c r="AU130" s="234"/>
      <c r="AV130" s="234"/>
      <c r="AW130" s="234"/>
      <c r="AX130" s="234"/>
      <c r="AY130" s="234"/>
      <c r="AZ130" s="234"/>
      <c r="BA130" s="234"/>
      <c r="BB130" s="16">
        <f t="shared" si="135"/>
        <v>0</v>
      </c>
    </row>
    <row r="131" spans="1:54" ht="113.4" customHeight="1" outlineLevel="2">
      <c r="A131" s="98"/>
      <c r="B131" s="102"/>
      <c r="C131" s="23"/>
      <c r="D131" s="269"/>
      <c r="E131" s="269"/>
      <c r="F131" s="269"/>
      <c r="G131" s="269"/>
      <c r="H131" s="160"/>
      <c r="I131" s="258"/>
      <c r="J131" s="259"/>
      <c r="K131" s="259"/>
      <c r="L131" s="106" t="str">
        <f>IF(I131&lt;&gt;0,((VLOOKUP(I131,'[1]1. Standard_Cost'!$B$4:$D$11,2)+VLOOKUP(I131,'[1]1. Standard_Cost'!$B$4:$D$11,3))*J131*K131),"0")</f>
        <v>0</v>
      </c>
      <c r="M131" s="106">
        <f>L131*'[1]1. Standard_Cost'!$F$4</f>
        <v>0</v>
      </c>
      <c r="N131" s="260"/>
      <c r="O131" s="260"/>
      <c r="P131" s="260"/>
      <c r="Q131" s="260"/>
      <c r="R131" s="108">
        <f>'[1]1. Standard_Cost'!$B$15*N131*P131</f>
        <v>0</v>
      </c>
      <c r="S131" s="108">
        <f>N131*O131*P131*'[1]1. Standard_Cost'!$C$15</f>
        <v>0</v>
      </c>
      <c r="T131" s="108">
        <f>N131*P131*Q131*'[1]1. Standard_Cost'!$D$15</f>
        <v>0</v>
      </c>
      <c r="U131" s="108">
        <f>N131*O131*'[1]1. Standard_Cost'!$E$15</f>
        <v>0</v>
      </c>
      <c r="V131" s="260"/>
      <c r="W131" s="260"/>
      <c r="X131" s="260"/>
      <c r="Y131" s="108">
        <f>+V131*((X131*'[1]1. Standard_Cost'!$B$19)+(W131*X131*'[1]1. Standard_Cost'!$C$19))</f>
        <v>0</v>
      </c>
      <c r="Z131" s="260"/>
      <c r="AA131" s="260"/>
      <c r="AB131" s="108">
        <f>+Z131*'[1]1. Standard_Cost'!$B$23+AA131*'[1]1. Standard_Cost'!$C$23</f>
        <v>0</v>
      </c>
      <c r="AC131" s="261"/>
      <c r="AD131" s="262"/>
      <c r="AE131" s="108">
        <f>SUM(AD131,AC131,AB131,Y131,U131,T131,S131,R131)*'[1]1. Standard_Cost'!$B$31</f>
        <v>0</v>
      </c>
      <c r="AF131" s="108">
        <f t="shared" si="131"/>
        <v>0</v>
      </c>
      <c r="AG131" s="260"/>
      <c r="AH131" s="260"/>
      <c r="AI131" s="260"/>
      <c r="AJ131" s="263"/>
      <c r="AK131" s="263"/>
      <c r="AL131" s="263"/>
      <c r="AM131" s="108">
        <f>AG131*'[1]1. Standard_Cost'!$B$27+'[1]Incremental_Cost Year 9'!AH130*'[1]1. Standard_Cost'!$C$27+'[1]Incremental_Cost Year 9'!AI130*'[1]1. Standard_Cost'!$D$27+'[1]Incremental_Cost Year 9'!AJ130+'[1]Incremental_Cost Year 9'!AL130+AK131</f>
        <v>0</v>
      </c>
      <c r="AN131" s="108">
        <f>AM131*'[1]1. Standard_Cost'!$C$31</f>
        <v>0</v>
      </c>
      <c r="AO131" s="125" t="s">
        <v>443</v>
      </c>
      <c r="AQ131" s="14">
        <f t="shared" si="132"/>
        <v>0</v>
      </c>
      <c r="AR131" s="14">
        <f t="shared" si="133"/>
        <v>0</v>
      </c>
      <c r="AS131" s="14">
        <f t="shared" si="134"/>
        <v>0</v>
      </c>
      <c r="AT131" s="14">
        <f t="shared" si="136"/>
        <v>0</v>
      </c>
      <c r="AU131" s="234"/>
      <c r="AV131" s="234"/>
      <c r="AW131" s="234"/>
      <c r="AX131" s="234"/>
      <c r="AY131" s="234"/>
      <c r="AZ131" s="234"/>
      <c r="BA131" s="234"/>
      <c r="BB131" s="16">
        <f t="shared" si="135"/>
        <v>0</v>
      </c>
    </row>
    <row r="132" spans="1:54" ht="15.6" outlineLevel="2">
      <c r="A132" s="98"/>
      <c r="B132" s="102"/>
      <c r="C132" s="23"/>
      <c r="D132" s="269"/>
      <c r="E132" s="269"/>
      <c r="F132" s="174"/>
      <c r="G132" s="174"/>
      <c r="H132" s="272"/>
      <c r="I132" s="258"/>
      <c r="J132" s="259"/>
      <c r="K132" s="259"/>
      <c r="L132" s="106" t="str">
        <f>IF(I132&lt;&gt;0,((VLOOKUP(I132,'1. Standard_Cost'!$B$4:$D$11,2)+VLOOKUP(I132,'1. Standard_Cost'!$B$4:$D$11,3))*J132*K132),"0")</f>
        <v>0</v>
      </c>
      <c r="M132" s="106">
        <f>L132*'1. Standard_Cost'!$F$4</f>
        <v>0</v>
      </c>
      <c r="N132" s="260"/>
      <c r="O132" s="260"/>
      <c r="P132" s="260"/>
      <c r="Q132" s="260"/>
      <c r="R132" s="108">
        <f>'1. Standard_Cost'!$B$15*N132*P132</f>
        <v>0</v>
      </c>
      <c r="S132" s="108">
        <f>N132*O132*P132*'1. Standard_Cost'!$C$15</f>
        <v>0</v>
      </c>
      <c r="T132" s="108">
        <f>N132*P132*Q132*'1. Standard_Cost'!$D$15</f>
        <v>0</v>
      </c>
      <c r="U132" s="108">
        <f>N132*O132*'1. Standard_Cost'!$E$15</f>
        <v>0</v>
      </c>
      <c r="V132" s="260"/>
      <c r="W132" s="260"/>
      <c r="X132" s="260"/>
      <c r="Y132" s="108">
        <f>+V132*((X132*'1. Standard_Cost'!$B$19)+(W132*X132*'1. Standard_Cost'!$C$19))</f>
        <v>0</v>
      </c>
      <c r="Z132" s="260"/>
      <c r="AA132" s="260"/>
      <c r="AB132" s="108">
        <f>+Z132*'1. Standard_Cost'!$B$23+AA132*'1. Standard_Cost'!$C$23</f>
        <v>0</v>
      </c>
      <c r="AC132" s="261"/>
      <c r="AD132" s="262"/>
      <c r="AE132" s="108">
        <f>SUM(AD132,AC132,AB132,Y132,U132,T132,S132,R132)*'1. Standard_Cost'!$B$31</f>
        <v>0</v>
      </c>
      <c r="AF132" s="108">
        <f t="shared" si="131"/>
        <v>0</v>
      </c>
      <c r="AG132" s="260"/>
      <c r="AH132" s="260"/>
      <c r="AI132" s="260"/>
      <c r="AJ132" s="263"/>
      <c r="AK132" s="263"/>
      <c r="AL132" s="263"/>
      <c r="AM132" s="108">
        <f>AG132*'1. Standard_Cost'!$B$27+'Incremental_Cost Year 9'!AH132*'1. Standard_Cost'!$C$27+'Incremental_Cost Year 9'!AI132*'1. Standard_Cost'!$D$27+'Incremental_Cost Year 9'!AJ132+'Incremental_Cost Year 9'!AL132+AK132</f>
        <v>0</v>
      </c>
      <c r="AN132" s="108">
        <f>AM132*'1. Standard_Cost'!$C$31</f>
        <v>0</v>
      </c>
      <c r="AO132" s="125" t="s">
        <v>363</v>
      </c>
      <c r="AQ132" s="14">
        <f t="shared" si="132"/>
        <v>0</v>
      </c>
      <c r="AR132" s="14">
        <f t="shared" si="133"/>
        <v>0</v>
      </c>
      <c r="AS132" s="14">
        <f t="shared" si="134"/>
        <v>0</v>
      </c>
      <c r="AT132" s="14">
        <f t="shared" si="136"/>
        <v>0</v>
      </c>
      <c r="AU132" s="234"/>
      <c r="AV132" s="234"/>
      <c r="AW132" s="234"/>
      <c r="AX132" s="234"/>
      <c r="AY132" s="234"/>
      <c r="AZ132" s="234"/>
      <c r="BA132" s="234"/>
      <c r="BB132" s="16">
        <f t="shared" si="135"/>
        <v>0</v>
      </c>
    </row>
    <row r="133" spans="1:54" ht="15.6" outlineLevel="2">
      <c r="A133" s="98"/>
      <c r="B133" s="102"/>
      <c r="C133" s="23"/>
      <c r="D133" s="269"/>
      <c r="E133" s="269"/>
      <c r="F133" s="174"/>
      <c r="G133" s="174"/>
      <c r="H133" s="272"/>
      <c r="I133" s="258"/>
      <c r="J133" s="259"/>
      <c r="K133" s="259"/>
      <c r="L133" s="106" t="str">
        <f>IF(I133&lt;&gt;0,((VLOOKUP(I133,'1. Standard_Cost'!$B$4:$D$11,2)+VLOOKUP(I133,'1. Standard_Cost'!$B$4:$D$11,3))*J133*K133),"0")</f>
        <v>0</v>
      </c>
      <c r="M133" s="106">
        <f>L133*'1. Standard_Cost'!$F$4</f>
        <v>0</v>
      </c>
      <c r="N133" s="260"/>
      <c r="O133" s="260"/>
      <c r="P133" s="260"/>
      <c r="Q133" s="260"/>
      <c r="R133" s="108">
        <f>'1. Standard_Cost'!$B$15*N133*P133</f>
        <v>0</v>
      </c>
      <c r="S133" s="108">
        <f>N133*O133*P133*'1. Standard_Cost'!$C$15</f>
        <v>0</v>
      </c>
      <c r="T133" s="108">
        <f>N133*P133*Q133*'1. Standard_Cost'!$D$15</f>
        <v>0</v>
      </c>
      <c r="U133" s="108">
        <f>N133*O133*'1. Standard_Cost'!$E$15</f>
        <v>0</v>
      </c>
      <c r="V133" s="260"/>
      <c r="W133" s="260"/>
      <c r="X133" s="260"/>
      <c r="Y133" s="108">
        <f>+V133*((X133*'1. Standard_Cost'!$B$19)+(W133*X133*'1. Standard_Cost'!$C$19))</f>
        <v>0</v>
      </c>
      <c r="Z133" s="260"/>
      <c r="AA133" s="260"/>
      <c r="AB133" s="108">
        <f>+Z133*'1. Standard_Cost'!$B$23+AA133*'1. Standard_Cost'!$C$23</f>
        <v>0</v>
      </c>
      <c r="AC133" s="261"/>
      <c r="AD133" s="262"/>
      <c r="AE133" s="108">
        <f>SUM(AD133,AC133,AB133,Y133,U133,T133,S133,R133)*'1. Standard_Cost'!$B$31</f>
        <v>0</v>
      </c>
      <c r="AF133" s="108">
        <f t="shared" si="131"/>
        <v>0</v>
      </c>
      <c r="AG133" s="260"/>
      <c r="AH133" s="260"/>
      <c r="AI133" s="260"/>
      <c r="AJ133" s="263"/>
      <c r="AK133" s="263"/>
      <c r="AL133" s="263"/>
      <c r="AM133" s="108">
        <f>AG133*'1. Standard_Cost'!$B$27+'Incremental_Cost Year 9'!AH133*'1. Standard_Cost'!$C$27+'Incremental_Cost Year 9'!AI133*'1. Standard_Cost'!$D$27+'Incremental_Cost Year 9'!AJ133+'Incremental_Cost Year 9'!AL133+AK133</f>
        <v>0</v>
      </c>
      <c r="AN133" s="108">
        <f>AM133*'1. Standard_Cost'!$C$31</f>
        <v>0</v>
      </c>
      <c r="AO133" s="125" t="s">
        <v>364</v>
      </c>
      <c r="AQ133" s="14">
        <f t="shared" si="132"/>
        <v>0</v>
      </c>
      <c r="AR133" s="14">
        <f t="shared" si="133"/>
        <v>0</v>
      </c>
      <c r="AS133" s="14">
        <f t="shared" si="134"/>
        <v>0</v>
      </c>
      <c r="AT133" s="14">
        <f t="shared" si="136"/>
        <v>0</v>
      </c>
      <c r="AU133" s="234"/>
      <c r="AV133" s="234"/>
      <c r="AW133" s="234"/>
      <c r="AX133" s="234"/>
      <c r="AY133" s="234"/>
      <c r="AZ133" s="234"/>
      <c r="BA133" s="234"/>
      <c r="BB133" s="16">
        <f t="shared" si="135"/>
        <v>0</v>
      </c>
    </row>
    <row r="134" spans="1:54" ht="15.6" outlineLevel="2">
      <c r="A134" s="98"/>
      <c r="B134" s="102"/>
      <c r="C134" s="23"/>
      <c r="D134" s="269"/>
      <c r="E134" s="269"/>
      <c r="F134" s="174"/>
      <c r="G134" s="174"/>
      <c r="H134" s="272"/>
      <c r="I134" s="258"/>
      <c r="J134" s="259"/>
      <c r="K134" s="259"/>
      <c r="L134" s="106" t="str">
        <f>IF(I134&lt;&gt;0,((VLOOKUP(I134,'1. Standard_Cost'!$B$4:$D$11,2)+VLOOKUP(I134,'1. Standard_Cost'!$B$4:$D$11,3))*J134*K134),"0")</f>
        <v>0</v>
      </c>
      <c r="M134" s="106">
        <f>L134*'1. Standard_Cost'!$F$4</f>
        <v>0</v>
      </c>
      <c r="N134" s="260"/>
      <c r="O134" s="260"/>
      <c r="P134" s="260"/>
      <c r="Q134" s="260"/>
      <c r="R134" s="108">
        <f>'1. Standard_Cost'!$B$15*N134*P134</f>
        <v>0</v>
      </c>
      <c r="S134" s="108">
        <f>N134*O134*P134*'1. Standard_Cost'!$C$15</f>
        <v>0</v>
      </c>
      <c r="T134" s="108">
        <f>N134*P134*Q134*'1. Standard_Cost'!$D$15</f>
        <v>0</v>
      </c>
      <c r="U134" s="108">
        <f>N134*O134*'1. Standard_Cost'!$E$15</f>
        <v>0</v>
      </c>
      <c r="V134" s="260"/>
      <c r="W134" s="260"/>
      <c r="X134" s="260"/>
      <c r="Y134" s="108">
        <f>+V134*((X134*'1. Standard_Cost'!$B$19)+(W134*X134*'1. Standard_Cost'!$C$19))</f>
        <v>0</v>
      </c>
      <c r="Z134" s="260"/>
      <c r="AA134" s="260"/>
      <c r="AB134" s="108">
        <f>+Z134*'1. Standard_Cost'!$B$23+AA134*'1. Standard_Cost'!$C$23</f>
        <v>0</v>
      </c>
      <c r="AC134" s="261"/>
      <c r="AD134" s="262"/>
      <c r="AE134" s="108">
        <f>SUM(AD134,AC134,AB134,Y134,U134,T134,S134,R134)*'1. Standard_Cost'!$B$31</f>
        <v>0</v>
      </c>
      <c r="AF134" s="108">
        <f t="shared" si="131"/>
        <v>0</v>
      </c>
      <c r="AG134" s="260"/>
      <c r="AH134" s="260"/>
      <c r="AI134" s="260"/>
      <c r="AJ134" s="263"/>
      <c r="AK134" s="263"/>
      <c r="AL134" s="263"/>
      <c r="AM134" s="108">
        <f>AG134*'1. Standard_Cost'!$B$27+'Incremental_Cost Year 2'!AH177*'1. Standard_Cost'!$C$27+'Incremental_Cost Year 2'!AI177*'1. Standard_Cost'!$D$27+'Incremental_Cost Year 2'!AJ177+'Incremental_Cost Year 2'!AL177+AK134</f>
        <v>0</v>
      </c>
      <c r="AN134" s="108">
        <f>AM134*'1. Standard_Cost'!$C$31</f>
        <v>0</v>
      </c>
      <c r="AO134" s="125" t="s">
        <v>365</v>
      </c>
      <c r="AQ134" s="14">
        <f t="shared" si="132"/>
        <v>0</v>
      </c>
      <c r="AR134" s="14">
        <f t="shared" si="133"/>
        <v>0</v>
      </c>
      <c r="AS134" s="14">
        <f t="shared" si="134"/>
        <v>0</v>
      </c>
      <c r="AT134" s="14">
        <f t="shared" si="136"/>
        <v>0</v>
      </c>
      <c r="AU134" s="234"/>
      <c r="AV134" s="234"/>
      <c r="AW134" s="234"/>
      <c r="AX134" s="234"/>
      <c r="AY134" s="234"/>
      <c r="AZ134" s="234"/>
      <c r="BA134" s="234"/>
      <c r="BB134" s="16">
        <f t="shared" si="135"/>
        <v>0</v>
      </c>
    </row>
    <row r="135" spans="1:54" ht="15.6" outlineLevel="2">
      <c r="A135" s="98"/>
      <c r="B135" s="102"/>
      <c r="C135" s="23"/>
      <c r="D135" s="269"/>
      <c r="E135" s="269"/>
      <c r="F135" s="251"/>
      <c r="G135" s="250"/>
      <c r="H135" s="176"/>
      <c r="I135" s="258"/>
      <c r="J135" s="259"/>
      <c r="K135" s="259"/>
      <c r="L135" s="106" t="str">
        <f>IF(I135&lt;&gt;0,((VLOOKUP(I135,'1. Standard_Cost'!$B$4:$D$11,2)+VLOOKUP(I135,'1. Standard_Cost'!$B$4:$D$11,3))*J135*K135),"0")</f>
        <v>0</v>
      </c>
      <c r="M135" s="106">
        <f>L135*'1. Standard_Cost'!$F$4</f>
        <v>0</v>
      </c>
      <c r="N135" s="260"/>
      <c r="O135" s="260"/>
      <c r="P135" s="260"/>
      <c r="Q135" s="260"/>
      <c r="R135" s="108">
        <f>'1. Standard_Cost'!$B$15*N135*P135</f>
        <v>0</v>
      </c>
      <c r="S135" s="108">
        <f>N135*O135*P135*'1. Standard_Cost'!$C$15</f>
        <v>0</v>
      </c>
      <c r="T135" s="108">
        <f>N135*P135*Q135*'1. Standard_Cost'!$D$15</f>
        <v>0</v>
      </c>
      <c r="U135" s="108">
        <f>N135*O135*'1. Standard_Cost'!$E$15</f>
        <v>0</v>
      </c>
      <c r="V135" s="260"/>
      <c r="W135" s="260"/>
      <c r="X135" s="260"/>
      <c r="Y135" s="108">
        <f>+V135*((X135*'1. Standard_Cost'!$B$19)+(W135*X135*'1. Standard_Cost'!$C$19))</f>
        <v>0</v>
      </c>
      <c r="Z135" s="260"/>
      <c r="AA135" s="260"/>
      <c r="AB135" s="108">
        <f>+Z135*'1. Standard_Cost'!$B$23+AA135*'1. Standard_Cost'!$C$23</f>
        <v>0</v>
      </c>
      <c r="AC135" s="261"/>
      <c r="AD135" s="262"/>
      <c r="AE135" s="108">
        <f>SUM(AD135,AC135,AB135,Y135,U135,T135,S135,R135)*'1. Standard_Cost'!$B$31</f>
        <v>0</v>
      </c>
      <c r="AF135" s="108">
        <f t="shared" si="131"/>
        <v>0</v>
      </c>
      <c r="AG135" s="260"/>
      <c r="AH135" s="260"/>
      <c r="AI135" s="260"/>
      <c r="AJ135" s="263"/>
      <c r="AK135" s="263"/>
      <c r="AL135" s="263"/>
      <c r="AM135" s="108">
        <f>AG135*'1. Standard_Cost'!$B$27+'Incremental_Cost Year 2'!AH178*'1. Standard_Cost'!$C$27+'Incremental_Cost Year 2'!AI178*'1. Standard_Cost'!$D$27+'Incremental_Cost Year 2'!AJ178+'Incremental_Cost Year 2'!AL178+AK135</f>
        <v>0</v>
      </c>
      <c r="AN135" s="108">
        <f>AM135*'1. Standard_Cost'!$C$31</f>
        <v>0</v>
      </c>
      <c r="AO135" s="125" t="s">
        <v>366</v>
      </c>
      <c r="AQ135" s="14">
        <f t="shared" si="132"/>
        <v>0</v>
      </c>
      <c r="AR135" s="14">
        <f t="shared" si="133"/>
        <v>0</v>
      </c>
      <c r="AS135" s="14">
        <f t="shared" si="134"/>
        <v>0</v>
      </c>
      <c r="AT135" s="14">
        <f t="shared" si="136"/>
        <v>0</v>
      </c>
      <c r="AU135" s="234"/>
      <c r="AV135" s="234"/>
      <c r="AW135" s="234"/>
      <c r="AX135" s="234"/>
      <c r="AY135" s="234"/>
      <c r="AZ135" s="234"/>
      <c r="BA135" s="234"/>
      <c r="BB135" s="16">
        <f t="shared" si="135"/>
        <v>0</v>
      </c>
    </row>
    <row r="136" spans="1:54" ht="27.6" outlineLevel="1">
      <c r="A136" s="98"/>
      <c r="B136" s="102"/>
      <c r="C136" s="23"/>
      <c r="D136" s="56" t="s">
        <v>47</v>
      </c>
      <c r="E136" s="56" t="s">
        <v>228</v>
      </c>
      <c r="F136" s="253">
        <v>2021</v>
      </c>
      <c r="G136" s="254">
        <v>2026</v>
      </c>
      <c r="H136" s="277" t="s">
        <v>227</v>
      </c>
      <c r="I136" s="264"/>
      <c r="J136" s="264"/>
      <c r="K136" s="264"/>
      <c r="L136" s="113">
        <f>SUM(L114:L135)</f>
        <v>0</v>
      </c>
      <c r="M136" s="113">
        <f>SUM(M114:M135)</f>
        <v>0</v>
      </c>
      <c r="N136" s="264"/>
      <c r="O136" s="264"/>
      <c r="P136" s="264"/>
      <c r="Q136" s="264"/>
      <c r="R136" s="113">
        <f>SUM(R114:R135)</f>
        <v>0</v>
      </c>
      <c r="S136" s="113">
        <f>SUM(S114:S135)</f>
        <v>0</v>
      </c>
      <c r="T136" s="113">
        <f>SUM(T114:T135)</f>
        <v>0</v>
      </c>
      <c r="U136" s="113">
        <f>SUM(U114:U135)</f>
        <v>0</v>
      </c>
      <c r="V136" s="264"/>
      <c r="W136" s="264"/>
      <c r="X136" s="264"/>
      <c r="Y136" s="113">
        <f>SUM(Y114:Y135)</f>
        <v>0</v>
      </c>
      <c r="Z136" s="264"/>
      <c r="AA136" s="264"/>
      <c r="AB136" s="113">
        <f>SUM(AB114:AB135)</f>
        <v>0</v>
      </c>
      <c r="AC136" s="265">
        <f>SUM(AC114:AC135)</f>
        <v>0</v>
      </c>
      <c r="AD136" s="265">
        <f>SUM(AD114:AD135)</f>
        <v>0</v>
      </c>
      <c r="AE136" s="113">
        <f>SUM(AE114:AE135)</f>
        <v>0</v>
      </c>
      <c r="AF136" s="113">
        <f>SUM(AF114:AF135)</f>
        <v>0</v>
      </c>
      <c r="AG136" s="264"/>
      <c r="AH136" s="264"/>
      <c r="AI136" s="264"/>
      <c r="AJ136" s="265">
        <f>SUM(AJ114:AJ135)</f>
        <v>0</v>
      </c>
      <c r="AK136" s="265">
        <f>SUM(AK114:AK135)</f>
        <v>0</v>
      </c>
      <c r="AL136" s="265">
        <f>SUM(AL114:AL135)</f>
        <v>0</v>
      </c>
      <c r="AM136" s="113">
        <f>SUM(AM114:AM135)</f>
        <v>0</v>
      </c>
      <c r="AN136" s="113">
        <f>SUM(AN114:AN135)</f>
        <v>0</v>
      </c>
      <c r="AO136" s="131"/>
      <c r="AP136" s="17"/>
      <c r="AQ136" s="113">
        <f t="shared" ref="AQ136:BB136" si="137">SUM(AQ114:AQ135)</f>
        <v>0</v>
      </c>
      <c r="AR136" s="113">
        <f t="shared" si="137"/>
        <v>0</v>
      </c>
      <c r="AS136" s="113">
        <f t="shared" si="137"/>
        <v>0</v>
      </c>
      <c r="AT136" s="113">
        <f t="shared" si="137"/>
        <v>0</v>
      </c>
      <c r="AU136" s="265">
        <f t="shared" si="137"/>
        <v>0</v>
      </c>
      <c r="AV136" s="265">
        <f t="shared" si="137"/>
        <v>0</v>
      </c>
      <c r="AW136" s="265">
        <f t="shared" si="137"/>
        <v>0</v>
      </c>
      <c r="AX136" s="265">
        <f t="shared" si="137"/>
        <v>0</v>
      </c>
      <c r="AY136" s="265">
        <f t="shared" si="137"/>
        <v>0</v>
      </c>
      <c r="AZ136" s="265">
        <f t="shared" si="137"/>
        <v>0</v>
      </c>
      <c r="BA136" s="265">
        <f t="shared" si="137"/>
        <v>0</v>
      </c>
      <c r="BB136" s="113">
        <f t="shared" si="137"/>
        <v>0</v>
      </c>
    </row>
    <row r="137" spans="1:54" ht="15.6" outlineLevel="2">
      <c r="A137" s="98"/>
      <c r="B137" s="102"/>
      <c r="C137" s="23"/>
      <c r="D137" s="269"/>
      <c r="E137" s="269"/>
      <c r="F137" s="174"/>
      <c r="G137" s="269"/>
      <c r="H137" s="272"/>
      <c r="I137" s="258"/>
      <c r="J137" s="259"/>
      <c r="K137" s="259"/>
      <c r="L137" s="106" t="str">
        <f>IF(I137&lt;&gt;0,((VLOOKUP(I137,'1. Standard_Cost'!$B$4:$D$11,2)+VLOOKUP(I137,'1. Standard_Cost'!$B$4:$D$11,3))*J137*K137),"0")</f>
        <v>0</v>
      </c>
      <c r="M137" s="106">
        <f>L137*'1. Standard_Cost'!$F$4</f>
        <v>0</v>
      </c>
      <c r="N137" s="260"/>
      <c r="O137" s="260"/>
      <c r="P137" s="260"/>
      <c r="Q137" s="260"/>
      <c r="R137" s="108">
        <f>'1. Standard_Cost'!$B$15*N137*P137</f>
        <v>0</v>
      </c>
      <c r="S137" s="108">
        <f>N137*O137*P137*'1. Standard_Cost'!$C$15</f>
        <v>0</v>
      </c>
      <c r="T137" s="108">
        <f>N137*P137*Q137*'1. Standard_Cost'!$D$15</f>
        <v>0</v>
      </c>
      <c r="U137" s="108">
        <f>N137*O137*'1. Standard_Cost'!$E$15</f>
        <v>0</v>
      </c>
      <c r="V137" s="260"/>
      <c r="W137" s="260"/>
      <c r="X137" s="260"/>
      <c r="Y137" s="108">
        <f>+V137*((X137*'1. Standard_Cost'!$B$19)+(W137*X137*'1. Standard_Cost'!$C$19))</f>
        <v>0</v>
      </c>
      <c r="Z137" s="260"/>
      <c r="AA137" s="260"/>
      <c r="AB137" s="108">
        <f>+Z137*'1. Standard_Cost'!$B$23+AA137*'1. Standard_Cost'!$C$23</f>
        <v>0</v>
      </c>
      <c r="AC137" s="261"/>
      <c r="AD137" s="262"/>
      <c r="AE137" s="108"/>
      <c r="AF137" s="108">
        <f t="shared" ref="AF137:AF138" si="138">SUM(AE137,AD137,AC137,AB137,Y137,U137,T137,S137,R137)</f>
        <v>0</v>
      </c>
      <c r="AG137" s="260"/>
      <c r="AH137" s="260"/>
      <c r="AI137" s="260"/>
      <c r="AJ137" s="263"/>
      <c r="AK137" s="263"/>
      <c r="AL137" s="263"/>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39">L137+M137</f>
        <v>0</v>
      </c>
      <c r="AR137" s="14">
        <f t="shared" ref="AR137:AR138" si="140">AF137</f>
        <v>0</v>
      </c>
      <c r="AS137" s="14">
        <f t="shared" ref="AS137:AS138" si="141">AM137+AN137</f>
        <v>0</v>
      </c>
      <c r="AT137" s="14">
        <f t="shared" ref="AT137:AT138" si="142">SUM(AQ137,AR137,AS137)</f>
        <v>0</v>
      </c>
      <c r="AU137" s="234"/>
      <c r="AV137" s="234"/>
      <c r="AW137" s="234"/>
      <c r="AX137" s="234"/>
      <c r="AY137" s="234"/>
      <c r="AZ137" s="234"/>
      <c r="BA137" s="234"/>
      <c r="BB137" s="16">
        <f t="shared" ref="BB137:BB138" si="143">SUM(AU137:BA137)-AT137</f>
        <v>0</v>
      </c>
    </row>
    <row r="138" spans="1:54" ht="15.6" outlineLevel="2">
      <c r="A138" s="98"/>
      <c r="B138" s="102"/>
      <c r="C138" s="23"/>
      <c r="D138" s="269"/>
      <c r="E138" s="269"/>
      <c r="F138" s="174"/>
      <c r="G138" s="174"/>
      <c r="H138" s="272"/>
      <c r="I138" s="258"/>
      <c r="J138" s="259"/>
      <c r="K138" s="259"/>
      <c r="L138" s="106" t="str">
        <f>IF(I138&lt;&gt;0,((VLOOKUP(I138,'1. Standard_Cost'!$B$4:$D$11,2)+VLOOKUP(I138,'1. Standard_Cost'!$B$4:$D$11,3))*J138*K138),"0")</f>
        <v>0</v>
      </c>
      <c r="M138" s="106">
        <f>L138*'1. Standard_Cost'!$F$4</f>
        <v>0</v>
      </c>
      <c r="N138" s="260"/>
      <c r="O138" s="260"/>
      <c r="P138" s="260"/>
      <c r="Q138" s="260"/>
      <c r="R138" s="108">
        <f>'1. Standard_Cost'!$B$15*N138*P138</f>
        <v>0</v>
      </c>
      <c r="S138" s="108">
        <f>N138*O138*P138*'1. Standard_Cost'!$C$15</f>
        <v>0</v>
      </c>
      <c r="T138" s="108">
        <f>N138*P138*Q138*'1. Standard_Cost'!$D$15</f>
        <v>0</v>
      </c>
      <c r="U138" s="108">
        <f>N138*O138*'1. Standard_Cost'!$E$15</f>
        <v>0</v>
      </c>
      <c r="V138" s="260"/>
      <c r="W138" s="260"/>
      <c r="X138" s="260"/>
      <c r="Y138" s="108">
        <f>+V138*((X138*'1. Standard_Cost'!$B$19)+(W138*X138*'1. Standard_Cost'!$C$19))</f>
        <v>0</v>
      </c>
      <c r="Z138" s="260"/>
      <c r="AA138" s="260"/>
      <c r="AB138" s="108">
        <f>+Z138*'1. Standard_Cost'!$B$23+AA138*'1. Standard_Cost'!$C$23</f>
        <v>0</v>
      </c>
      <c r="AC138" s="261"/>
      <c r="AD138" s="262"/>
      <c r="AE138" s="108"/>
      <c r="AF138" s="108">
        <f t="shared" si="138"/>
        <v>0</v>
      </c>
      <c r="AG138" s="260"/>
      <c r="AH138" s="260"/>
      <c r="AI138" s="260"/>
      <c r="AJ138" s="263"/>
      <c r="AK138" s="263"/>
      <c r="AL138" s="263"/>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39"/>
        <v>0</v>
      </c>
      <c r="AR138" s="14">
        <f t="shared" si="140"/>
        <v>0</v>
      </c>
      <c r="AS138" s="14">
        <f t="shared" si="141"/>
        <v>0</v>
      </c>
      <c r="AT138" s="14">
        <f t="shared" si="142"/>
        <v>0</v>
      </c>
      <c r="AU138" s="234"/>
      <c r="AV138" s="234"/>
      <c r="AW138" s="234"/>
      <c r="AX138" s="234"/>
      <c r="AY138" s="234"/>
      <c r="AZ138" s="234"/>
      <c r="BA138" s="234"/>
      <c r="BB138" s="16">
        <f t="shared" si="143"/>
        <v>0</v>
      </c>
    </row>
    <row r="139" spans="1:54" ht="27.6" outlineLevel="1">
      <c r="A139" s="98"/>
      <c r="B139" s="102"/>
      <c r="C139" s="23"/>
      <c r="D139" s="56" t="s">
        <v>47</v>
      </c>
      <c r="E139" s="56" t="s">
        <v>231</v>
      </c>
      <c r="F139" s="253">
        <v>2022</v>
      </c>
      <c r="G139" s="254">
        <v>2023</v>
      </c>
      <c r="H139" s="277" t="s">
        <v>230</v>
      </c>
      <c r="I139" s="264"/>
      <c r="J139" s="264"/>
      <c r="K139" s="264"/>
      <c r="L139" s="113">
        <f>SUM(L137:L138)</f>
        <v>0</v>
      </c>
      <c r="M139" s="113">
        <f>SUM(M137:M138)</f>
        <v>0</v>
      </c>
      <c r="N139" s="264"/>
      <c r="O139" s="264"/>
      <c r="P139" s="264"/>
      <c r="Q139" s="264"/>
      <c r="R139" s="113">
        <f t="shared" ref="R139:U139" si="144">SUM(R137:R138)</f>
        <v>0</v>
      </c>
      <c r="S139" s="113">
        <f t="shared" si="144"/>
        <v>0</v>
      </c>
      <c r="T139" s="113">
        <f t="shared" si="144"/>
        <v>0</v>
      </c>
      <c r="U139" s="113">
        <f t="shared" si="144"/>
        <v>0</v>
      </c>
      <c r="V139" s="264"/>
      <c r="W139" s="264"/>
      <c r="X139" s="264"/>
      <c r="Y139" s="113">
        <f>SUM(Y137:Y138)</f>
        <v>0</v>
      </c>
      <c r="Z139" s="264"/>
      <c r="AA139" s="264"/>
      <c r="AB139" s="113">
        <f t="shared" ref="AB139:AF139" si="145">SUM(AB137:AB138)</f>
        <v>0</v>
      </c>
      <c r="AC139" s="265">
        <f t="shared" si="145"/>
        <v>0</v>
      </c>
      <c r="AD139" s="265">
        <f t="shared" si="145"/>
        <v>0</v>
      </c>
      <c r="AE139" s="113">
        <f t="shared" si="145"/>
        <v>0</v>
      </c>
      <c r="AF139" s="113">
        <f t="shared" si="145"/>
        <v>0</v>
      </c>
      <c r="AG139" s="264"/>
      <c r="AH139" s="264"/>
      <c r="AI139" s="264"/>
      <c r="AJ139" s="265">
        <f t="shared" ref="AJ139:AL139" si="146">SUM(AJ137:AJ138)</f>
        <v>0</v>
      </c>
      <c r="AK139" s="265">
        <f t="shared" si="146"/>
        <v>0</v>
      </c>
      <c r="AL139" s="265">
        <f t="shared" si="146"/>
        <v>0</v>
      </c>
      <c r="AM139" s="113">
        <f t="shared" ref="AM139:AN139" si="147">SUM(AM137:AM138)</f>
        <v>0</v>
      </c>
      <c r="AN139" s="113">
        <f t="shared" si="147"/>
        <v>0</v>
      </c>
      <c r="AO139" s="131"/>
      <c r="AP139" s="17"/>
      <c r="AQ139" s="113">
        <f t="shared" ref="AQ139:BB139" si="148">SUM(AQ137:AQ138)</f>
        <v>0</v>
      </c>
      <c r="AR139" s="113">
        <f t="shared" si="148"/>
        <v>0</v>
      </c>
      <c r="AS139" s="113">
        <f t="shared" si="148"/>
        <v>0</v>
      </c>
      <c r="AT139" s="113">
        <f t="shared" si="148"/>
        <v>0</v>
      </c>
      <c r="AU139" s="265">
        <f t="shared" si="148"/>
        <v>0</v>
      </c>
      <c r="AV139" s="265">
        <f t="shared" si="148"/>
        <v>0</v>
      </c>
      <c r="AW139" s="265">
        <f t="shared" si="148"/>
        <v>0</v>
      </c>
      <c r="AX139" s="265">
        <f t="shared" si="148"/>
        <v>0</v>
      </c>
      <c r="AY139" s="265">
        <f t="shared" si="148"/>
        <v>0</v>
      </c>
      <c r="AZ139" s="265">
        <f t="shared" si="148"/>
        <v>0</v>
      </c>
      <c r="BA139" s="265">
        <f t="shared" si="148"/>
        <v>0</v>
      </c>
      <c r="BB139" s="113">
        <f t="shared" si="148"/>
        <v>0</v>
      </c>
    </row>
    <row r="140" spans="1:54" ht="15.6" outlineLevel="2">
      <c r="A140" s="98"/>
      <c r="B140" s="102"/>
      <c r="C140" s="23"/>
      <c r="D140" s="269"/>
      <c r="E140" s="269"/>
      <c r="F140" s="269"/>
      <c r="G140" s="269"/>
      <c r="H140" s="272"/>
      <c r="I140" s="258"/>
      <c r="J140" s="259"/>
      <c r="K140" s="259"/>
      <c r="L140" s="106" t="str">
        <f>IF(I140&lt;&gt;0,((VLOOKUP(I140,'1. Standard_Cost'!$B$4:$D$11,2)+VLOOKUP(I140,'1. Standard_Cost'!$B$4:$D$11,3))*J140*K140),"0")</f>
        <v>0</v>
      </c>
      <c r="M140" s="106">
        <f>L140*'1. Standard_Cost'!$F$4</f>
        <v>0</v>
      </c>
      <c r="N140" s="260"/>
      <c r="O140" s="260"/>
      <c r="P140" s="260"/>
      <c r="Q140" s="260"/>
      <c r="R140" s="108">
        <f>'1. Standard_Cost'!$B$15*N140*P140</f>
        <v>0</v>
      </c>
      <c r="S140" s="108">
        <f>N140*O140*P140*'1. Standard_Cost'!$C$15</f>
        <v>0</v>
      </c>
      <c r="T140" s="108">
        <f>N140*P140*Q140*'1. Standard_Cost'!$D$15</f>
        <v>0</v>
      </c>
      <c r="U140" s="108">
        <f>N140*O140*'1. Standard_Cost'!$E$15</f>
        <v>0</v>
      </c>
      <c r="V140" s="260"/>
      <c r="W140" s="260"/>
      <c r="X140" s="260"/>
      <c r="Y140" s="108">
        <f>+V140*((X140*'1. Standard_Cost'!$B$19)+(W140*X140*'1. Standard_Cost'!$C$19))</f>
        <v>0</v>
      </c>
      <c r="Z140" s="260"/>
      <c r="AA140" s="260"/>
      <c r="AB140" s="108">
        <f>+Z140*'1. Standard_Cost'!$B$23+AA140*'1. Standard_Cost'!$C$23</f>
        <v>0</v>
      </c>
      <c r="AC140" s="261"/>
      <c r="AD140" s="262"/>
      <c r="AE140" s="108">
        <f>SUM(AD140,AC140,AB140,Y140,U140,T140,S140,R140)*'1. Standard_Cost'!$B$31</f>
        <v>0</v>
      </c>
      <c r="AF140" s="108">
        <f t="shared" ref="AF140:AF141" si="149">SUM(AE140,AD140,AC140,AB140,Y140,U140,T140,S140,R140)</f>
        <v>0</v>
      </c>
      <c r="AG140" s="260"/>
      <c r="AH140" s="260"/>
      <c r="AI140" s="260"/>
      <c r="AJ140" s="263"/>
      <c r="AK140" s="263"/>
      <c r="AL140" s="263"/>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50">L140+M140</f>
        <v>0</v>
      </c>
      <c r="AR140" s="14">
        <f t="shared" ref="AR140:AR141" si="151">AF140</f>
        <v>0</v>
      </c>
      <c r="AS140" s="14">
        <f t="shared" ref="AS140:AS141" si="152">AM140+AN140</f>
        <v>0</v>
      </c>
      <c r="AT140" s="14">
        <f t="shared" ref="AT140:AT141" si="153">SUM(AQ140,AR140,AS140)</f>
        <v>0</v>
      </c>
      <c r="AU140" s="234"/>
      <c r="AV140" s="234"/>
      <c r="AW140" s="234"/>
      <c r="AX140" s="234"/>
      <c r="AY140" s="234"/>
      <c r="AZ140" s="234"/>
      <c r="BA140" s="234"/>
      <c r="BB140" s="16">
        <f t="shared" ref="BB140:BB141" si="154">SUM(AU140:BA140)-AT140</f>
        <v>0</v>
      </c>
    </row>
    <row r="141" spans="1:54" ht="15.6" outlineLevel="2">
      <c r="A141" s="98"/>
      <c r="B141" s="102"/>
      <c r="C141" s="23"/>
      <c r="D141" s="269"/>
      <c r="E141" s="269"/>
      <c r="F141" s="172"/>
      <c r="G141" s="173"/>
      <c r="H141" s="272"/>
      <c r="I141" s="258"/>
      <c r="J141" s="259"/>
      <c r="K141" s="259"/>
      <c r="L141" s="106" t="str">
        <f>IF(I141&lt;&gt;0,((VLOOKUP(I141,'1. Standard_Cost'!$B$4:$D$11,2)+VLOOKUP(I141,'1. Standard_Cost'!$B$4:$D$11,3))*J141*K141),"0")</f>
        <v>0</v>
      </c>
      <c r="M141" s="106">
        <f>L141*'1. Standard_Cost'!$F$4</f>
        <v>0</v>
      </c>
      <c r="N141" s="260"/>
      <c r="O141" s="260"/>
      <c r="P141" s="260"/>
      <c r="Q141" s="260"/>
      <c r="R141" s="108">
        <f>'1. Standard_Cost'!$B$15*N141*P141</f>
        <v>0</v>
      </c>
      <c r="S141" s="108">
        <f>N141*O141*P141*'1. Standard_Cost'!$C$15</f>
        <v>0</v>
      </c>
      <c r="T141" s="108">
        <f>N141*P141*Q141*'1. Standard_Cost'!$D$15</f>
        <v>0</v>
      </c>
      <c r="U141" s="108">
        <f>N141*O141*'1. Standard_Cost'!$E$15</f>
        <v>0</v>
      </c>
      <c r="V141" s="260"/>
      <c r="W141" s="260"/>
      <c r="X141" s="260"/>
      <c r="Y141" s="108">
        <f>+V141*((X141*'1. Standard_Cost'!$B$19)+(W141*X141*'1. Standard_Cost'!$C$19))</f>
        <v>0</v>
      </c>
      <c r="Z141" s="260"/>
      <c r="AA141" s="260"/>
      <c r="AB141" s="108">
        <f>+Z141*'1. Standard_Cost'!$B$23+AA141*'1. Standard_Cost'!$C$23</f>
        <v>0</v>
      </c>
      <c r="AC141" s="261"/>
      <c r="AD141" s="262"/>
      <c r="AE141" s="108">
        <f>SUM(AD141,AC141,AB141,Y141,U141,T141,S141,R141)*'1. Standard_Cost'!$B$31</f>
        <v>0</v>
      </c>
      <c r="AF141" s="108">
        <f t="shared" si="149"/>
        <v>0</v>
      </c>
      <c r="AG141" s="260"/>
      <c r="AH141" s="260"/>
      <c r="AI141" s="260"/>
      <c r="AJ141" s="263"/>
      <c r="AK141" s="263"/>
      <c r="AL141" s="263"/>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50"/>
        <v>0</v>
      </c>
      <c r="AR141" s="14">
        <f t="shared" si="151"/>
        <v>0</v>
      </c>
      <c r="AS141" s="14">
        <f t="shared" si="152"/>
        <v>0</v>
      </c>
      <c r="AT141" s="14">
        <f t="shared" si="153"/>
        <v>0</v>
      </c>
      <c r="AU141" s="234"/>
      <c r="AV141" s="234"/>
      <c r="AW141" s="234"/>
      <c r="AX141" s="234"/>
      <c r="AY141" s="234"/>
      <c r="AZ141" s="234"/>
      <c r="BA141" s="234"/>
      <c r="BB141" s="16">
        <f t="shared" si="154"/>
        <v>0</v>
      </c>
    </row>
    <row r="142" spans="1:54" ht="28.5" customHeight="1" outlineLevel="1">
      <c r="A142" s="98"/>
      <c r="B142" s="102"/>
      <c r="C142" s="23"/>
      <c r="D142" s="56" t="s">
        <v>47</v>
      </c>
      <c r="E142" s="56" t="s">
        <v>232</v>
      </c>
      <c r="F142" s="253">
        <v>2022</v>
      </c>
      <c r="G142" s="254">
        <v>2023</v>
      </c>
      <c r="H142" s="277" t="s">
        <v>230</v>
      </c>
      <c r="I142" s="264"/>
      <c r="J142" s="264"/>
      <c r="K142" s="264"/>
      <c r="L142" s="113">
        <f>SUM(L140:L141)</f>
        <v>0</v>
      </c>
      <c r="M142" s="113">
        <f>SUM(M140:M141)</f>
        <v>0</v>
      </c>
      <c r="N142" s="264"/>
      <c r="O142" s="264"/>
      <c r="P142" s="264"/>
      <c r="Q142" s="264"/>
      <c r="R142" s="113">
        <f t="shared" ref="R142:U142" si="155">SUM(R140:R141)</f>
        <v>0</v>
      </c>
      <c r="S142" s="113">
        <f t="shared" si="155"/>
        <v>0</v>
      </c>
      <c r="T142" s="113">
        <f t="shared" si="155"/>
        <v>0</v>
      </c>
      <c r="U142" s="113">
        <f t="shared" si="155"/>
        <v>0</v>
      </c>
      <c r="V142" s="264"/>
      <c r="W142" s="264"/>
      <c r="X142" s="264"/>
      <c r="Y142" s="113">
        <f>SUM(Y140:Y141)</f>
        <v>0</v>
      </c>
      <c r="Z142" s="264"/>
      <c r="AA142" s="264"/>
      <c r="AB142" s="113">
        <f t="shared" ref="AB142:AF142" si="156">SUM(AB140:AB141)</f>
        <v>0</v>
      </c>
      <c r="AC142" s="265">
        <f t="shared" si="156"/>
        <v>0</v>
      </c>
      <c r="AD142" s="265">
        <f t="shared" si="156"/>
        <v>0</v>
      </c>
      <c r="AE142" s="113">
        <f t="shared" si="156"/>
        <v>0</v>
      </c>
      <c r="AF142" s="113">
        <f t="shared" si="156"/>
        <v>0</v>
      </c>
      <c r="AG142" s="264"/>
      <c r="AH142" s="264"/>
      <c r="AI142" s="264"/>
      <c r="AJ142" s="265">
        <f t="shared" ref="AJ142:AL142" si="157">SUM(AJ140:AJ141)</f>
        <v>0</v>
      </c>
      <c r="AK142" s="265">
        <f t="shared" si="157"/>
        <v>0</v>
      </c>
      <c r="AL142" s="265">
        <f t="shared" si="157"/>
        <v>0</v>
      </c>
      <c r="AM142" s="113">
        <f t="shared" ref="AM142:AN142" si="158">SUM(AM140:AM141)</f>
        <v>0</v>
      </c>
      <c r="AN142" s="113">
        <f t="shared" si="158"/>
        <v>0</v>
      </c>
      <c r="AO142" s="131"/>
      <c r="AP142" s="17"/>
      <c r="AQ142" s="113">
        <f t="shared" ref="AQ142:BB142" si="159">SUM(AQ140:AQ141)</f>
        <v>0</v>
      </c>
      <c r="AR142" s="113">
        <f t="shared" si="159"/>
        <v>0</v>
      </c>
      <c r="AS142" s="113">
        <f t="shared" si="159"/>
        <v>0</v>
      </c>
      <c r="AT142" s="113">
        <f t="shared" si="159"/>
        <v>0</v>
      </c>
      <c r="AU142" s="265">
        <f t="shared" si="159"/>
        <v>0</v>
      </c>
      <c r="AV142" s="265">
        <f t="shared" si="159"/>
        <v>0</v>
      </c>
      <c r="AW142" s="265">
        <f t="shared" si="159"/>
        <v>0</v>
      </c>
      <c r="AX142" s="265">
        <f t="shared" si="159"/>
        <v>0</v>
      </c>
      <c r="AY142" s="265">
        <f t="shared" si="159"/>
        <v>0</v>
      </c>
      <c r="AZ142" s="265">
        <f t="shared" si="159"/>
        <v>0</v>
      </c>
      <c r="BA142" s="265">
        <f t="shared" si="159"/>
        <v>0</v>
      </c>
      <c r="BB142" s="113">
        <f t="shared" si="159"/>
        <v>0</v>
      </c>
    </row>
    <row r="143" spans="1:54" s="24" customFormat="1" ht="13.8" customHeight="1">
      <c r="A143" s="114"/>
      <c r="B143" s="115"/>
      <c r="C143" s="314" t="s">
        <v>233</v>
      </c>
      <c r="D143" s="314"/>
      <c r="E143" s="315"/>
      <c r="F143" s="246"/>
      <c r="G143" s="246"/>
      <c r="H143" s="278" t="s">
        <v>188</v>
      </c>
      <c r="I143" s="266"/>
      <c r="J143" s="266"/>
      <c r="K143" s="266"/>
      <c r="L143" s="117">
        <f>SUM(L168,L178)</f>
        <v>0</v>
      </c>
      <c r="M143" s="117">
        <f>SUM(M168,M178)</f>
        <v>0</v>
      </c>
      <c r="N143" s="266"/>
      <c r="O143" s="266"/>
      <c r="P143" s="266"/>
      <c r="Q143" s="266"/>
      <c r="R143" s="117">
        <f t="shared" ref="R143:U143" si="160">SUM(R168,R178)</f>
        <v>0</v>
      </c>
      <c r="S143" s="117">
        <f t="shared" si="160"/>
        <v>0</v>
      </c>
      <c r="T143" s="117">
        <f t="shared" si="160"/>
        <v>0</v>
      </c>
      <c r="U143" s="117">
        <f t="shared" si="160"/>
        <v>0</v>
      </c>
      <c r="V143" s="266"/>
      <c r="W143" s="266"/>
      <c r="X143" s="266"/>
      <c r="Y143" s="117">
        <f>SUM(Y168,Y178)</f>
        <v>0</v>
      </c>
      <c r="Z143" s="267"/>
      <c r="AA143" s="267"/>
      <c r="AB143" s="117">
        <f t="shared" ref="AB143:AF143" si="161">SUM(AB168,AB178)</f>
        <v>0</v>
      </c>
      <c r="AC143" s="267">
        <f t="shared" si="161"/>
        <v>0</v>
      </c>
      <c r="AD143" s="267">
        <f t="shared" si="161"/>
        <v>0</v>
      </c>
      <c r="AE143" s="117">
        <f t="shared" si="161"/>
        <v>0</v>
      </c>
      <c r="AF143" s="117">
        <f t="shared" si="161"/>
        <v>0</v>
      </c>
      <c r="AG143" s="266"/>
      <c r="AH143" s="266"/>
      <c r="AI143" s="266"/>
      <c r="AJ143" s="267">
        <f t="shared" ref="AJ143:AL143" si="162">SUM(AJ168,AJ178)</f>
        <v>0</v>
      </c>
      <c r="AK143" s="267">
        <f t="shared" si="162"/>
        <v>0</v>
      </c>
      <c r="AL143" s="267">
        <f t="shared" si="162"/>
        <v>0</v>
      </c>
      <c r="AM143" s="117">
        <f t="shared" ref="AM143:AN143" si="163">SUM(AM168,AM178)</f>
        <v>0</v>
      </c>
      <c r="AN143" s="117">
        <f t="shared" si="163"/>
        <v>0</v>
      </c>
      <c r="AO143" s="132"/>
      <c r="AP143" s="25"/>
      <c r="AQ143" s="117">
        <f t="shared" ref="AQ143:BB143" si="164">SUM(AQ168,AQ178)</f>
        <v>0</v>
      </c>
      <c r="AR143" s="117">
        <f t="shared" si="164"/>
        <v>0</v>
      </c>
      <c r="AS143" s="117">
        <f t="shared" si="164"/>
        <v>0</v>
      </c>
      <c r="AT143" s="117">
        <f t="shared" si="164"/>
        <v>0</v>
      </c>
      <c r="AU143" s="267">
        <f t="shared" si="164"/>
        <v>0</v>
      </c>
      <c r="AV143" s="267">
        <f t="shared" si="164"/>
        <v>0</v>
      </c>
      <c r="AW143" s="267">
        <f t="shared" si="164"/>
        <v>0</v>
      </c>
      <c r="AX143" s="267">
        <f t="shared" si="164"/>
        <v>0</v>
      </c>
      <c r="AY143" s="267">
        <f t="shared" si="164"/>
        <v>0</v>
      </c>
      <c r="AZ143" s="267">
        <f t="shared" si="164"/>
        <v>0</v>
      </c>
      <c r="BA143" s="267">
        <f t="shared" si="164"/>
        <v>0</v>
      </c>
      <c r="BB143" s="117">
        <f t="shared" si="164"/>
        <v>0</v>
      </c>
    </row>
    <row r="144" spans="1:54" ht="27.6" outlineLevel="2">
      <c r="A144" s="98"/>
      <c r="B144" s="102"/>
      <c r="C144" s="23"/>
      <c r="D144" s="257"/>
      <c r="E144" s="123"/>
      <c r="F144" s="249"/>
      <c r="G144" s="283"/>
      <c r="H144" s="272"/>
      <c r="I144" s="258"/>
      <c r="J144" s="259"/>
      <c r="K144" s="259"/>
      <c r="L144" s="106" t="str">
        <f>IF(I144&lt;&gt;0,((VLOOKUP(I144,'1. Standard_Cost'!$B$4:$D$11,2)+VLOOKUP(I144,'1. Standard_Cost'!$B$4:$D$11,3))*J144*K144),"0")</f>
        <v>0</v>
      </c>
      <c r="M144" s="106">
        <f>L144*'1. Standard_Cost'!$F$4</f>
        <v>0</v>
      </c>
      <c r="N144" s="260"/>
      <c r="O144" s="260"/>
      <c r="P144" s="260"/>
      <c r="Q144" s="162"/>
      <c r="R144" s="108">
        <f>'1. Standard_Cost'!$B$15*N144*P144</f>
        <v>0</v>
      </c>
      <c r="S144" s="108">
        <f>N144*O144*P144*'1. Standard_Cost'!$C$15</f>
        <v>0</v>
      </c>
      <c r="T144" s="108">
        <f>N144*P144*Q144*'1. Standard_Cost'!$D$15</f>
        <v>0</v>
      </c>
      <c r="U144" s="108">
        <f>N144*O144*'1. Standard_Cost'!$E$15</f>
        <v>0</v>
      </c>
      <c r="V144" s="260"/>
      <c r="W144" s="260"/>
      <c r="X144" s="260"/>
      <c r="Y144" s="108">
        <f>+V144*((X144*'1. Standard_Cost'!$B$19)+(W144*X144*'1. Standard_Cost'!$C$19))</f>
        <v>0</v>
      </c>
      <c r="Z144" s="260"/>
      <c r="AA144" s="260"/>
      <c r="AB144" s="108">
        <f>+Z144*'1. Standard_Cost'!$B$23+AA144*'1. Standard_Cost'!$C$23</f>
        <v>0</v>
      </c>
      <c r="AC144" s="261"/>
      <c r="AD144" s="262"/>
      <c r="AE144" s="108">
        <f>SUM(AD144,AC144,AB144,Y144,U144,T144,S144,R144)*'1. Standard_Cost'!$B$31</f>
        <v>0</v>
      </c>
      <c r="AF144" s="108">
        <f t="shared" ref="AF144:AF167" si="165">SUM(AE144,AD144,AC144,AB144,Y144,U144,T144,S144,R144)</f>
        <v>0</v>
      </c>
      <c r="AG144" s="260"/>
      <c r="AH144" s="260"/>
      <c r="AI144" s="260"/>
      <c r="AJ144" s="263"/>
      <c r="AK144" s="263"/>
      <c r="AL144" s="263"/>
      <c r="AM144" s="108">
        <f>AG144*'1. Standard_Cost'!$B$27+'Incremental_Cost Year 9'!AH144*'1. Standard_Cost'!$C$27+'Incremental_Cost Year 9'!AI144*'1. Standard_Cost'!$D$27+'Incremental_Cost Year 9'!AJ144+'Incremental_Cost Year 9'!AL144+AK144</f>
        <v>0</v>
      </c>
      <c r="AN144" s="108">
        <f>AM144*'1. Standard_Cost'!$C$31</f>
        <v>0</v>
      </c>
      <c r="AO144" s="125" t="s">
        <v>370</v>
      </c>
      <c r="AQ144" s="14">
        <f t="shared" ref="AQ144:AQ167" si="166">L144+M144</f>
        <v>0</v>
      </c>
      <c r="AR144" s="14">
        <f t="shared" ref="AR144:AR167" si="167">AF144</f>
        <v>0</v>
      </c>
      <c r="AS144" s="14">
        <f t="shared" ref="AS144:AS167" si="168">AM144+AN144</f>
        <v>0</v>
      </c>
      <c r="AT144" s="14">
        <f>SUM(AQ144,AR144,AS144)</f>
        <v>0</v>
      </c>
      <c r="AU144" s="234"/>
      <c r="AV144" s="234"/>
      <c r="AW144" s="234"/>
      <c r="AX144" s="234"/>
      <c r="AY144" s="234"/>
      <c r="AZ144" s="234"/>
      <c r="BA144" s="234"/>
      <c r="BB144" s="16">
        <f t="shared" ref="BB144:BB167" si="169">SUM(AU144:BA144)-AT144</f>
        <v>0</v>
      </c>
    </row>
    <row r="145" spans="1:54" ht="21.6" customHeight="1" outlineLevel="2">
      <c r="A145" s="98"/>
      <c r="B145" s="102"/>
      <c r="C145" s="23"/>
      <c r="D145" s="269"/>
      <c r="E145" s="271"/>
      <c r="F145" s="161"/>
      <c r="G145" s="161"/>
      <c r="H145" s="160"/>
      <c r="I145" s="258"/>
      <c r="J145" s="259"/>
      <c r="K145" s="259"/>
      <c r="L145" s="106" t="str">
        <f>IF(I145&lt;&gt;0,((VLOOKUP(I145,'1. Standard_Cost'!$B$4:$D$11,2)+VLOOKUP(I145,'1. Standard_Cost'!$B$4:$D$11,3))*J145*K145),"0")</f>
        <v>0</v>
      </c>
      <c r="M145" s="106">
        <f>L145*'1. Standard_Cost'!$F$4</f>
        <v>0</v>
      </c>
      <c r="N145" s="260"/>
      <c r="O145" s="260"/>
      <c r="P145" s="260"/>
      <c r="Q145" s="162"/>
      <c r="R145" s="108">
        <f>'[1]1. Standard_Cost'!$B$15*N145*P145</f>
        <v>0</v>
      </c>
      <c r="S145" s="108">
        <f>N145*O145*P145*'[1]1. Standard_Cost'!$C$15</f>
        <v>0</v>
      </c>
      <c r="T145" s="108">
        <f>N145*P145*Q145*'[1]1. Standard_Cost'!$D$15</f>
        <v>0</v>
      </c>
      <c r="U145" s="108">
        <f>N145*O145*'[1]1. Standard_Cost'!$E$15</f>
        <v>0</v>
      </c>
      <c r="V145" s="260"/>
      <c r="W145" s="260"/>
      <c r="X145" s="260"/>
      <c r="Y145" s="108">
        <f>+V145*((X145*'[1]1. Standard_Cost'!$B$19)+(W145*X145*'[1]1. Standard_Cost'!$C$19))</f>
        <v>0</v>
      </c>
      <c r="Z145" s="260"/>
      <c r="AA145" s="260"/>
      <c r="AB145" s="108">
        <f>+Z145*'[1]1. Standard_Cost'!$B$23+AA145*'[1]1. Standard_Cost'!$C$23</f>
        <v>0</v>
      </c>
      <c r="AC145" s="261"/>
      <c r="AD145" s="262"/>
      <c r="AE145" s="108">
        <f>SUM(AD145,AC145,AB145,Y145,U145,T145,S145,R145)*'[1]1. Standard_Cost'!$B$31</f>
        <v>0</v>
      </c>
      <c r="AF145" s="108">
        <f t="shared" si="165"/>
        <v>0</v>
      </c>
      <c r="AG145" s="260"/>
      <c r="AH145" s="260"/>
      <c r="AI145" s="260"/>
      <c r="AJ145" s="263"/>
      <c r="AK145" s="263"/>
      <c r="AL145" s="263"/>
      <c r="AM145" s="108">
        <f>AG145*'[1]1. Standard_Cost'!$B$27+'[1]Incremental_Cost Year 9'!AH145*'[1]1. Standard_Cost'!$C$27+'[1]Incremental_Cost Year 9'!AI145*'[1]1. Standard_Cost'!$D$27+'[1]Incremental_Cost Year 9'!AJ145+'[1]Incremental_Cost Year 9'!AL145+AK145</f>
        <v>0</v>
      </c>
      <c r="AN145" s="108">
        <f>AM145*'[1]1. Standard_Cost'!$C$31</f>
        <v>0</v>
      </c>
      <c r="AO145" s="125"/>
      <c r="AQ145" s="14">
        <f t="shared" si="166"/>
        <v>0</v>
      </c>
      <c r="AR145" s="14">
        <f t="shared" si="167"/>
        <v>0</v>
      </c>
      <c r="AS145" s="14">
        <f t="shared" si="168"/>
        <v>0</v>
      </c>
      <c r="AT145" s="14">
        <f>SUM(AQ145,AR145,AS145)</f>
        <v>0</v>
      </c>
      <c r="AU145" s="234"/>
      <c r="AV145" s="234"/>
      <c r="AW145" s="234"/>
      <c r="AX145" s="234"/>
      <c r="AY145" s="234"/>
      <c r="AZ145" s="234"/>
      <c r="BA145" s="234"/>
      <c r="BB145" s="16">
        <f t="shared" si="169"/>
        <v>0</v>
      </c>
    </row>
    <row r="146" spans="1:54" ht="19.95" customHeight="1" outlineLevel="2">
      <c r="A146" s="98"/>
      <c r="B146" s="102"/>
      <c r="C146" s="23"/>
      <c r="D146" s="269"/>
      <c r="E146" s="271"/>
      <c r="F146" s="161"/>
      <c r="G146" s="161"/>
      <c r="H146" s="160"/>
      <c r="I146" s="258"/>
      <c r="J146" s="259"/>
      <c r="K146" s="259"/>
      <c r="L146" s="106" t="str">
        <f>IF(I146&lt;&gt;0,((VLOOKUP(I146,'1. Standard_Cost'!$B$4:$D$11,2)+VLOOKUP(I146,'1. Standard_Cost'!$B$4:$D$11,3))*J146*K146),"0")</f>
        <v>0</v>
      </c>
      <c r="M146" s="106">
        <f>L146*'1. Standard_Cost'!$F$4</f>
        <v>0</v>
      </c>
      <c r="N146" s="260"/>
      <c r="O146" s="260"/>
      <c r="P146" s="260"/>
      <c r="Q146" s="162"/>
      <c r="R146" s="108">
        <f>'[1]1. Standard_Cost'!$B$15*N146*P146</f>
        <v>0</v>
      </c>
      <c r="S146" s="108">
        <f>N146*O146*P146*'[1]1. Standard_Cost'!$C$15</f>
        <v>0</v>
      </c>
      <c r="T146" s="108">
        <f>N146*P146*Q146*'[1]1. Standard_Cost'!$D$15</f>
        <v>0</v>
      </c>
      <c r="U146" s="108">
        <f>N146*O146*'[1]1. Standard_Cost'!$E$15</f>
        <v>0</v>
      </c>
      <c r="V146" s="260"/>
      <c r="W146" s="260"/>
      <c r="X146" s="260"/>
      <c r="Y146" s="108">
        <f>+V146*((X146*'[1]1. Standard_Cost'!$B$19)+(W146*X146*'[1]1. Standard_Cost'!$C$19))</f>
        <v>0</v>
      </c>
      <c r="Z146" s="260"/>
      <c r="AA146" s="260"/>
      <c r="AB146" s="108">
        <f>+Z146*'[1]1. Standard_Cost'!$B$23+AA146*'[1]1. Standard_Cost'!$C$23</f>
        <v>0</v>
      </c>
      <c r="AC146" s="261"/>
      <c r="AD146" s="262"/>
      <c r="AE146" s="108">
        <f>SUM(AD146,AC146,AB146,Y146,U146,T146,S146,R146)*'[1]1. Standard_Cost'!$B$31</f>
        <v>0</v>
      </c>
      <c r="AF146" s="108">
        <f t="shared" si="165"/>
        <v>0</v>
      </c>
      <c r="AG146" s="260"/>
      <c r="AH146" s="260"/>
      <c r="AI146" s="260"/>
      <c r="AJ146" s="263"/>
      <c r="AK146" s="263"/>
      <c r="AL146" s="263"/>
      <c r="AM146" s="108">
        <f>AG146*'[1]1. Standard_Cost'!$B$27+'[1]Incremental_Cost Year 9'!AH146*'[1]1. Standard_Cost'!$C$27+'[1]Incremental_Cost Year 9'!AI146*'[1]1. Standard_Cost'!$D$27+'[1]Incremental_Cost Year 9'!AJ146+'[1]Incremental_Cost Year 9'!AL146+AK146</f>
        <v>0</v>
      </c>
      <c r="AN146" s="108">
        <f>AM146*'[1]1. Standard_Cost'!$C$31</f>
        <v>0</v>
      </c>
      <c r="AO146" s="125"/>
      <c r="AQ146" s="14">
        <f t="shared" si="166"/>
        <v>0</v>
      </c>
      <c r="AR146" s="14">
        <f t="shared" si="167"/>
        <v>0</v>
      </c>
      <c r="AS146" s="14">
        <f t="shared" si="168"/>
        <v>0</v>
      </c>
      <c r="AT146" s="14">
        <f>SUM(AQ146,AR146,AS146)</f>
        <v>0</v>
      </c>
      <c r="AU146" s="234"/>
      <c r="AV146" s="234"/>
      <c r="AW146" s="234"/>
      <c r="AX146" s="234"/>
      <c r="AY146" s="234"/>
      <c r="AZ146" s="234"/>
      <c r="BA146" s="234"/>
      <c r="BB146" s="16">
        <f t="shared" si="169"/>
        <v>0</v>
      </c>
    </row>
    <row r="147" spans="1:54" ht="27.6" outlineLevel="2">
      <c r="A147" s="98"/>
      <c r="B147" s="102"/>
      <c r="C147" s="23"/>
      <c r="D147" s="269"/>
      <c r="E147" s="271"/>
      <c r="F147" s="250"/>
      <c r="G147" s="255"/>
      <c r="H147" s="272"/>
      <c r="I147" s="258"/>
      <c r="J147" s="259"/>
      <c r="K147" s="259"/>
      <c r="L147" s="106" t="str">
        <f>IF(I147&lt;&gt;0,((VLOOKUP(I147,'1. Standard_Cost'!$B$4:$D$11,2)+VLOOKUP(I147,'1. Standard_Cost'!$B$4:$D$11,3))*J147*K147),"0")</f>
        <v>0</v>
      </c>
      <c r="M147" s="106">
        <f>L147*'1. Standard_Cost'!$F$4</f>
        <v>0</v>
      </c>
      <c r="N147" s="260"/>
      <c r="O147" s="260"/>
      <c r="P147" s="260"/>
      <c r="Q147" s="260"/>
      <c r="R147" s="108">
        <f>'1. Standard_Cost'!$B$15*N147*P147</f>
        <v>0</v>
      </c>
      <c r="S147" s="108">
        <f>N147*O147*P147*'1. Standard_Cost'!$C$15</f>
        <v>0</v>
      </c>
      <c r="T147" s="108">
        <f>N147*P147*Q147*'1. Standard_Cost'!$D$15</f>
        <v>0</v>
      </c>
      <c r="U147" s="108">
        <f>N147*O147*'1. Standard_Cost'!$E$15</f>
        <v>0</v>
      </c>
      <c r="V147" s="260"/>
      <c r="W147" s="260"/>
      <c r="X147" s="260"/>
      <c r="Y147" s="108">
        <f>+V147*((X147*'1. Standard_Cost'!$B$19)+(W147*X147*'1. Standard_Cost'!$C$19))</f>
        <v>0</v>
      </c>
      <c r="Z147" s="260"/>
      <c r="AA147" s="260"/>
      <c r="AB147" s="108">
        <f>+Z147*'1. Standard_Cost'!$B$23+AA147*'1. Standard_Cost'!$C$23</f>
        <v>0</v>
      </c>
      <c r="AC147" s="261"/>
      <c r="AD147" s="262"/>
      <c r="AE147" s="108">
        <f>SUM(AD147,AC147,AB147,Y147,U147,T147,S147,R147)*'1. Standard_Cost'!$B$31</f>
        <v>0</v>
      </c>
      <c r="AF147" s="108">
        <f t="shared" si="165"/>
        <v>0</v>
      </c>
      <c r="AG147" s="260"/>
      <c r="AH147" s="260"/>
      <c r="AI147" s="260"/>
      <c r="AJ147" s="263"/>
      <c r="AK147" s="263"/>
      <c r="AL147" s="263"/>
      <c r="AM147" s="108">
        <f>AG147*'1. Standard_Cost'!$B$27+'Incremental_Cost Year 9'!AH147*'1. Standard_Cost'!$C$27+'Incremental_Cost Year 9'!AI147*'1. Standard_Cost'!$D$27+'Incremental_Cost Year 9'!AJ147+'Incremental_Cost Year 9'!AL147+AK147</f>
        <v>0</v>
      </c>
      <c r="AN147" s="108">
        <f>AM147*'1. Standard_Cost'!$C$31</f>
        <v>0</v>
      </c>
      <c r="AO147" s="125" t="s">
        <v>371</v>
      </c>
      <c r="AQ147" s="14">
        <f t="shared" si="166"/>
        <v>0</v>
      </c>
      <c r="AR147" s="14">
        <f t="shared" si="167"/>
        <v>0</v>
      </c>
      <c r="AS147" s="14">
        <f t="shared" si="168"/>
        <v>0</v>
      </c>
      <c r="AT147" s="14">
        <f t="shared" ref="AT147:AT167" si="170">SUM(AQ147,AR147,AS147)</f>
        <v>0</v>
      </c>
      <c r="AU147" s="234"/>
      <c r="AV147" s="234"/>
      <c r="AW147" s="234"/>
      <c r="AX147" s="234"/>
      <c r="AY147" s="234"/>
      <c r="AZ147" s="234"/>
      <c r="BA147" s="234"/>
      <c r="BB147" s="16">
        <f t="shared" si="169"/>
        <v>0</v>
      </c>
    </row>
    <row r="148" spans="1:54" ht="124.2" customHeight="1" outlineLevel="2">
      <c r="A148" s="98"/>
      <c r="B148" s="102"/>
      <c r="C148" s="23"/>
      <c r="D148" s="269"/>
      <c r="E148" s="271"/>
      <c r="F148" s="161"/>
      <c r="G148" s="161"/>
      <c r="H148" s="202"/>
      <c r="I148" s="258"/>
      <c r="J148" s="259"/>
      <c r="K148" s="259"/>
      <c r="L148" s="106" t="str">
        <f>IF(I148&lt;&gt;0,((VLOOKUP(I148,'1. Standard_Cost'!$B$4:$D$11,2)+VLOOKUP(I148,'1. Standard_Cost'!$B$4:$D$11,3))*J148*K148),"0")</f>
        <v>0</v>
      </c>
      <c r="M148" s="106">
        <f>L148*'1. Standard_Cost'!$F$4</f>
        <v>0</v>
      </c>
      <c r="N148" s="260"/>
      <c r="O148" s="260"/>
      <c r="P148" s="260"/>
      <c r="Q148" s="260"/>
      <c r="R148" s="108">
        <f>'[1]1. Standard_Cost'!$B$15*N148*P148</f>
        <v>0</v>
      </c>
      <c r="S148" s="108">
        <f>N148*O148*P148*'[1]1. Standard_Cost'!$C$15</f>
        <v>0</v>
      </c>
      <c r="T148" s="108">
        <f>N148*P148*Q148*'[1]1. Standard_Cost'!$D$15</f>
        <v>0</v>
      </c>
      <c r="U148" s="108">
        <f>N148*O148*'[1]1. Standard_Cost'!$E$15</f>
        <v>0</v>
      </c>
      <c r="V148" s="260"/>
      <c r="W148" s="260"/>
      <c r="X148" s="260"/>
      <c r="Y148" s="108">
        <f>+V148*((X148*'[1]1. Standard_Cost'!$B$19)+(W148*X148*'[1]1. Standard_Cost'!$C$19))</f>
        <v>0</v>
      </c>
      <c r="Z148" s="260"/>
      <c r="AA148" s="260"/>
      <c r="AB148" s="108">
        <f>+Z148*'[1]1. Standard_Cost'!$B$23+AA148*'[1]1. Standard_Cost'!$C$23</f>
        <v>0</v>
      </c>
      <c r="AC148" s="261"/>
      <c r="AD148" s="262"/>
      <c r="AE148" s="108">
        <v>0</v>
      </c>
      <c r="AF148" s="108">
        <f t="shared" si="165"/>
        <v>0</v>
      </c>
      <c r="AG148" s="260"/>
      <c r="AH148" s="260"/>
      <c r="AI148" s="260"/>
      <c r="AJ148" s="263"/>
      <c r="AK148" s="263"/>
      <c r="AL148" s="263"/>
      <c r="AM148" s="108">
        <f>AG148*'[1]1. Standard_Cost'!$B$27+'[1]Incremental_Cost Year 9'!AH148*'[1]1. Standard_Cost'!$C$27+'[1]Incremental_Cost Year 9'!AI148*'[1]1. Standard_Cost'!$D$27+'[1]Incremental_Cost Year 9'!AJ148+'[1]Incremental_Cost Year 9'!AL148+AK148</f>
        <v>0</v>
      </c>
      <c r="AN148" s="108">
        <f>AM148*'[1]1. Standard_Cost'!$C$31</f>
        <v>0</v>
      </c>
      <c r="AO148" s="163" t="s">
        <v>487</v>
      </c>
      <c r="AQ148" s="14">
        <f t="shared" si="166"/>
        <v>0</v>
      </c>
      <c r="AR148" s="14">
        <f t="shared" si="167"/>
        <v>0</v>
      </c>
      <c r="AS148" s="14">
        <f t="shared" si="168"/>
        <v>0</v>
      </c>
      <c r="AT148" s="14">
        <f t="shared" si="170"/>
        <v>0</v>
      </c>
      <c r="AU148" s="234"/>
      <c r="AV148" s="234"/>
      <c r="AW148" s="234"/>
      <c r="AX148" s="234"/>
      <c r="AY148" s="234"/>
      <c r="AZ148" s="234"/>
      <c r="BA148" s="234"/>
      <c r="BB148" s="16">
        <f t="shared" si="169"/>
        <v>0</v>
      </c>
    </row>
    <row r="149" spans="1:54" ht="27.6" outlineLevel="2">
      <c r="A149" s="98"/>
      <c r="B149" s="102"/>
      <c r="C149" s="23"/>
      <c r="D149" s="269"/>
      <c r="E149" s="271"/>
      <c r="F149" s="250"/>
      <c r="G149" s="255"/>
      <c r="H149" s="272"/>
      <c r="I149" s="258"/>
      <c r="J149" s="259"/>
      <c r="K149" s="259"/>
      <c r="L149" s="106" t="str">
        <f>IF(I149&lt;&gt;0,((VLOOKUP(I149,'1. Standard_Cost'!$B$4:$D$11,2)+VLOOKUP(I149,'1. Standard_Cost'!$B$4:$D$11,3))*J149*K149),"0")</f>
        <v>0</v>
      </c>
      <c r="M149" s="106">
        <f>L149*'1. Standard_Cost'!$F$4</f>
        <v>0</v>
      </c>
      <c r="N149" s="260"/>
      <c r="O149" s="260"/>
      <c r="P149" s="260"/>
      <c r="Q149" s="260"/>
      <c r="R149" s="108">
        <f>'1. Standard_Cost'!$B$15*N149*P149</f>
        <v>0</v>
      </c>
      <c r="S149" s="108">
        <f>N149*O149*P149*'1. Standard_Cost'!$C$15</f>
        <v>0</v>
      </c>
      <c r="T149" s="108">
        <f>N149*P149*Q149*'1. Standard_Cost'!$D$15</f>
        <v>0</v>
      </c>
      <c r="U149" s="108">
        <f>N149*O149*'1. Standard_Cost'!$E$15</f>
        <v>0</v>
      </c>
      <c r="V149" s="260"/>
      <c r="W149" s="260"/>
      <c r="X149" s="260"/>
      <c r="Y149" s="108">
        <f>+V149*((X149*'1. Standard_Cost'!$B$19)+(W149*X149*'1. Standard_Cost'!$C$19))</f>
        <v>0</v>
      </c>
      <c r="Z149" s="260"/>
      <c r="AA149" s="260"/>
      <c r="AB149" s="108">
        <f>+Z149*'1. Standard_Cost'!$B$23+AA149*'1. Standard_Cost'!$C$23</f>
        <v>0</v>
      </c>
      <c r="AC149" s="261"/>
      <c r="AD149" s="262"/>
      <c r="AE149" s="108">
        <f>SUM(AD149,AC149,AB149,Y149,U149,T149,S149,R149)*'1. Standard_Cost'!$B$31</f>
        <v>0</v>
      </c>
      <c r="AF149" s="108">
        <f t="shared" si="165"/>
        <v>0</v>
      </c>
      <c r="AG149" s="260"/>
      <c r="AH149" s="260"/>
      <c r="AI149" s="260"/>
      <c r="AJ149" s="263"/>
      <c r="AK149" s="263"/>
      <c r="AL149" s="263"/>
      <c r="AM149" s="108">
        <f>AG149*'1. Standard_Cost'!$B$27+'Incremental_Cost Year 9'!AH149*'1. Standard_Cost'!$C$27+'Incremental_Cost Year 9'!AI149*'1. Standard_Cost'!$D$27+'Incremental_Cost Year 9'!AJ149+'Incremental_Cost Year 9'!AL149+AK149</f>
        <v>0</v>
      </c>
      <c r="AN149" s="108">
        <f>AM149*'1. Standard_Cost'!$C$31</f>
        <v>0</v>
      </c>
      <c r="AO149" s="125" t="s">
        <v>372</v>
      </c>
      <c r="AQ149" s="14">
        <f t="shared" si="166"/>
        <v>0</v>
      </c>
      <c r="AR149" s="14">
        <f t="shared" si="167"/>
        <v>0</v>
      </c>
      <c r="AS149" s="14">
        <f t="shared" si="168"/>
        <v>0</v>
      </c>
      <c r="AT149" s="14">
        <f t="shared" si="170"/>
        <v>0</v>
      </c>
      <c r="AU149" s="234"/>
      <c r="AV149" s="234"/>
      <c r="AW149" s="234"/>
      <c r="AX149" s="234"/>
      <c r="AY149" s="234"/>
      <c r="AZ149" s="234"/>
      <c r="BA149" s="234"/>
      <c r="BB149" s="16">
        <f t="shared" si="169"/>
        <v>0</v>
      </c>
    </row>
    <row r="150" spans="1:54" ht="15.6" outlineLevel="2">
      <c r="A150" s="98"/>
      <c r="B150" s="102"/>
      <c r="C150" s="23"/>
      <c r="D150" s="269"/>
      <c r="E150" s="271"/>
      <c r="F150" s="250"/>
      <c r="G150" s="255"/>
      <c r="H150" s="272"/>
      <c r="I150" s="258"/>
      <c r="J150" s="259"/>
      <c r="K150" s="259"/>
      <c r="L150" s="106" t="str">
        <f>IF(I150&lt;&gt;0,((VLOOKUP(I150,'1. Standard_Cost'!$B$4:$D$11,2)+VLOOKUP(I150,'1. Standard_Cost'!$B$4:$D$11,3))*J150*K150),"0")</f>
        <v>0</v>
      </c>
      <c r="M150" s="106">
        <f>L150*'1. Standard_Cost'!$F$4</f>
        <v>0</v>
      </c>
      <c r="N150" s="260"/>
      <c r="O150" s="260"/>
      <c r="P150" s="260"/>
      <c r="Q150" s="260"/>
      <c r="R150" s="108">
        <f>'1. Standard_Cost'!$B$15*N150*P150</f>
        <v>0</v>
      </c>
      <c r="S150" s="108">
        <f>N150*O150*P150*'1. Standard_Cost'!$C$15</f>
        <v>0</v>
      </c>
      <c r="T150" s="108">
        <f>N150*P150*Q150*'1. Standard_Cost'!$D$15</f>
        <v>0</v>
      </c>
      <c r="U150" s="108">
        <f>N150*O150*'1. Standard_Cost'!$E$15</f>
        <v>0</v>
      </c>
      <c r="V150" s="260"/>
      <c r="W150" s="260"/>
      <c r="X150" s="260"/>
      <c r="Y150" s="108">
        <f>+V150*((X150*'1. Standard_Cost'!$B$19)+(W150*X150*'1. Standard_Cost'!$C$19))</f>
        <v>0</v>
      </c>
      <c r="Z150" s="260"/>
      <c r="AA150" s="260"/>
      <c r="AB150" s="108">
        <f>+Z150*'1. Standard_Cost'!$B$23+AA150*'1. Standard_Cost'!$C$23</f>
        <v>0</v>
      </c>
      <c r="AC150" s="261"/>
      <c r="AD150" s="262"/>
      <c r="AE150" s="108"/>
      <c r="AF150" s="108">
        <f t="shared" si="165"/>
        <v>0</v>
      </c>
      <c r="AG150" s="260"/>
      <c r="AH150" s="260"/>
      <c r="AI150" s="260"/>
      <c r="AJ150" s="263"/>
      <c r="AK150" s="263"/>
      <c r="AL150" s="263"/>
      <c r="AM150" s="108">
        <f>AG150*'1. Standard_Cost'!$B$27+'Incremental_Cost Year 9'!AH150*'1. Standard_Cost'!$C$27+'Incremental_Cost Year 9'!AI150*'1. Standard_Cost'!$D$27+'Incremental_Cost Year 9'!AJ150+'Incremental_Cost Year 9'!AL150+AK150</f>
        <v>0</v>
      </c>
      <c r="AN150" s="108">
        <f>AM150*'1. Standard_Cost'!$C$31</f>
        <v>0</v>
      </c>
      <c r="AO150" s="125" t="s">
        <v>373</v>
      </c>
      <c r="AQ150" s="14">
        <f t="shared" si="166"/>
        <v>0</v>
      </c>
      <c r="AR150" s="14">
        <f t="shared" si="167"/>
        <v>0</v>
      </c>
      <c r="AS150" s="14">
        <f t="shared" si="168"/>
        <v>0</v>
      </c>
      <c r="AT150" s="14">
        <f t="shared" si="170"/>
        <v>0</v>
      </c>
      <c r="AU150" s="234"/>
      <c r="AV150" s="234"/>
      <c r="AW150" s="234"/>
      <c r="AX150" s="234"/>
      <c r="AY150" s="234"/>
      <c r="AZ150" s="234"/>
      <c r="BA150" s="234"/>
      <c r="BB150" s="16">
        <f t="shared" si="169"/>
        <v>0</v>
      </c>
    </row>
    <row r="151" spans="1:54" ht="15.6" outlineLevel="2">
      <c r="A151" s="98"/>
      <c r="B151" s="102"/>
      <c r="C151" s="23"/>
      <c r="D151" s="269"/>
      <c r="E151" s="271"/>
      <c r="F151" s="250"/>
      <c r="G151" s="177"/>
      <c r="H151" s="272"/>
      <c r="I151" s="258"/>
      <c r="J151" s="259"/>
      <c r="K151" s="259"/>
      <c r="L151" s="106" t="str">
        <f>IF(I151&lt;&gt;0,((VLOOKUP(I151,'1. Standard_Cost'!$B$4:$D$11,2)+VLOOKUP(I151,'1. Standard_Cost'!$B$4:$D$11,3))*J151*K151),"0")</f>
        <v>0</v>
      </c>
      <c r="M151" s="106">
        <f>L151*'1. Standard_Cost'!$F$4</f>
        <v>0</v>
      </c>
      <c r="N151" s="260"/>
      <c r="O151" s="260"/>
      <c r="P151" s="260"/>
      <c r="Q151" s="260"/>
      <c r="R151" s="108">
        <f>'1. Standard_Cost'!$B$15*N151*P151</f>
        <v>0</v>
      </c>
      <c r="S151" s="108">
        <f>N151*O151*P151*'1. Standard_Cost'!$C$15</f>
        <v>0</v>
      </c>
      <c r="T151" s="108">
        <f>N151*P151*Q151*'1. Standard_Cost'!$D$15</f>
        <v>0</v>
      </c>
      <c r="U151" s="108">
        <f>N151*O151*'1. Standard_Cost'!$E$15</f>
        <v>0</v>
      </c>
      <c r="V151" s="260"/>
      <c r="W151" s="260"/>
      <c r="X151" s="260"/>
      <c r="Y151" s="108">
        <f>+V151*((X151*'1. Standard_Cost'!$B$19)+(W151*X151*'1. Standard_Cost'!$C$19))</f>
        <v>0</v>
      </c>
      <c r="Z151" s="260"/>
      <c r="AA151" s="260"/>
      <c r="AB151" s="108">
        <f>+Z151*'1. Standard_Cost'!$B$23+AA151*'1. Standard_Cost'!$C$23</f>
        <v>0</v>
      </c>
      <c r="AC151" s="261"/>
      <c r="AD151" s="262"/>
      <c r="AE151" s="108">
        <f>SUM(AD151,AC151,AB151,Y151,U151,T151,S151,R151)*'1. Standard_Cost'!$B$31</f>
        <v>0</v>
      </c>
      <c r="AF151" s="108">
        <f t="shared" si="165"/>
        <v>0</v>
      </c>
      <c r="AG151" s="260"/>
      <c r="AH151" s="260"/>
      <c r="AI151" s="260"/>
      <c r="AJ151" s="263"/>
      <c r="AK151" s="263"/>
      <c r="AL151" s="263"/>
      <c r="AM151" s="108">
        <f>AG151*'1. Standard_Cost'!$B$27+'Incremental_Cost Year 9'!AH151*'1. Standard_Cost'!$C$27+'Incremental_Cost Year 9'!AI151*'1. Standard_Cost'!$D$27+'Incremental_Cost Year 9'!AJ151+'Incremental_Cost Year 9'!AL151+AK151</f>
        <v>0</v>
      </c>
      <c r="AN151" s="108">
        <f>AM151*'1. Standard_Cost'!$C$31</f>
        <v>0</v>
      </c>
      <c r="AO151" s="125" t="s">
        <v>374</v>
      </c>
      <c r="AQ151" s="14">
        <f t="shared" si="166"/>
        <v>0</v>
      </c>
      <c r="AR151" s="14">
        <f t="shared" si="167"/>
        <v>0</v>
      </c>
      <c r="AS151" s="14">
        <f t="shared" si="168"/>
        <v>0</v>
      </c>
      <c r="AT151" s="14">
        <f t="shared" si="170"/>
        <v>0</v>
      </c>
      <c r="AU151" s="234"/>
      <c r="AV151" s="234"/>
      <c r="AW151" s="234"/>
      <c r="AX151" s="234"/>
      <c r="AY151" s="234"/>
      <c r="AZ151" s="234"/>
      <c r="BA151" s="234"/>
      <c r="BB151" s="16">
        <f t="shared" si="169"/>
        <v>0</v>
      </c>
    </row>
    <row r="152" spans="1:54" ht="41.4" customHeight="1" outlineLevel="2">
      <c r="A152" s="98"/>
      <c r="B152" s="102"/>
      <c r="C152" s="23"/>
      <c r="D152" s="269"/>
      <c r="E152" s="271"/>
      <c r="F152" s="161"/>
      <c r="G152" s="161"/>
      <c r="H152" s="164"/>
      <c r="I152" s="258"/>
      <c r="J152" s="259"/>
      <c r="K152" s="259"/>
      <c r="L152" s="106" t="str">
        <f>IF(I152&lt;&gt;0,((VLOOKUP(I152,'1. Standard_Cost'!$B$4:$D$11,2)+VLOOKUP(I152,'1. Standard_Cost'!$B$4:$D$11,3))*J152*K152),"0")</f>
        <v>0</v>
      </c>
      <c r="M152" s="106">
        <f>L152*'1. Standard_Cost'!$F$4</f>
        <v>0</v>
      </c>
      <c r="N152" s="260"/>
      <c r="O152" s="260"/>
      <c r="P152" s="260"/>
      <c r="Q152" s="260"/>
      <c r="R152" s="108">
        <f>'[1]1. Standard_Cost'!$B$15*N152*P152</f>
        <v>0</v>
      </c>
      <c r="S152" s="108">
        <f>N152*O152*P152*'[1]1. Standard_Cost'!$C$15</f>
        <v>0</v>
      </c>
      <c r="T152" s="108">
        <f>N152*P152*Q152*'[1]1. Standard_Cost'!$D$15</f>
        <v>0</v>
      </c>
      <c r="U152" s="108">
        <f>N152*O152*'[1]1. Standard_Cost'!$E$15</f>
        <v>0</v>
      </c>
      <c r="V152" s="260"/>
      <c r="W152" s="260"/>
      <c r="X152" s="260"/>
      <c r="Y152" s="108">
        <f>+V152*((X152*'[1]1. Standard_Cost'!$B$19)+(W152*X152*'[1]1. Standard_Cost'!$C$19))</f>
        <v>0</v>
      </c>
      <c r="Z152" s="260"/>
      <c r="AA152" s="260"/>
      <c r="AB152" s="108">
        <f>+Z152*'[1]1. Standard_Cost'!$B$23+AA152*'[1]1. Standard_Cost'!$C$23</f>
        <v>0</v>
      </c>
      <c r="AC152" s="261"/>
      <c r="AD152" s="262"/>
      <c r="AE152" s="108">
        <f>SUM(AD152,AC152,AB152,Y152,U152,T152,S152,R152)*'[1]1. Standard_Cost'!$B$31</f>
        <v>0</v>
      </c>
      <c r="AF152" s="108">
        <f t="shared" si="165"/>
        <v>0</v>
      </c>
      <c r="AG152" s="260"/>
      <c r="AH152" s="260"/>
      <c r="AI152" s="260"/>
      <c r="AJ152" s="263"/>
      <c r="AK152" s="263"/>
      <c r="AL152" s="263"/>
      <c r="AM152" s="108">
        <f>AG152*'[1]1. Standard_Cost'!$B$27+'[1]Incremental_Cost Year 9'!AH152*'[1]1. Standard_Cost'!$C$27+'[1]Incremental_Cost Year 9'!AI152*'[1]1. Standard_Cost'!$D$27+'[1]Incremental_Cost Year 9'!AJ152+'[1]Incremental_Cost Year 9'!AL152+AK152</f>
        <v>0</v>
      </c>
      <c r="AN152" s="108">
        <f>AM152*'[1]1. Standard_Cost'!$C$31</f>
        <v>0</v>
      </c>
      <c r="AO152" s="125" t="s">
        <v>374</v>
      </c>
      <c r="AQ152" s="14">
        <f t="shared" si="166"/>
        <v>0</v>
      </c>
      <c r="AR152" s="14">
        <f t="shared" si="167"/>
        <v>0</v>
      </c>
      <c r="AS152" s="14">
        <f t="shared" si="168"/>
        <v>0</v>
      </c>
      <c r="AT152" s="14">
        <f t="shared" si="170"/>
        <v>0</v>
      </c>
      <c r="AU152" s="234"/>
      <c r="AV152" s="234"/>
      <c r="AW152" s="234"/>
      <c r="AX152" s="234"/>
      <c r="AY152" s="234"/>
      <c r="AZ152" s="234"/>
      <c r="BA152" s="234"/>
      <c r="BB152" s="16">
        <f t="shared" si="169"/>
        <v>0</v>
      </c>
    </row>
    <row r="153" spans="1:54" ht="15.6" outlineLevel="2">
      <c r="A153" s="98"/>
      <c r="B153" s="102"/>
      <c r="C153" s="23"/>
      <c r="D153" s="269"/>
      <c r="E153" s="271"/>
      <c r="F153" s="250"/>
      <c r="G153" s="255"/>
      <c r="H153" s="272"/>
      <c r="I153" s="258"/>
      <c r="J153" s="259"/>
      <c r="K153" s="259"/>
      <c r="L153" s="106" t="str">
        <f>IF(I153&lt;&gt;0,((VLOOKUP(I153,'1. Standard_Cost'!$B$4:$D$11,2)+VLOOKUP(I153,'1. Standard_Cost'!$B$4:$D$11,3))*J153*K153),"0")</f>
        <v>0</v>
      </c>
      <c r="M153" s="106">
        <f>L153*'1. Standard_Cost'!$F$4</f>
        <v>0</v>
      </c>
      <c r="N153" s="260"/>
      <c r="O153" s="260"/>
      <c r="P153" s="260"/>
      <c r="Q153" s="260"/>
      <c r="R153" s="108">
        <f>'1. Standard_Cost'!$B$15*N153*P153</f>
        <v>0</v>
      </c>
      <c r="S153" s="108">
        <f>N153*O153*P153*'1. Standard_Cost'!$C$15</f>
        <v>0</v>
      </c>
      <c r="T153" s="108">
        <f>N153*P153*Q153*'1. Standard_Cost'!$D$15</f>
        <v>0</v>
      </c>
      <c r="U153" s="108">
        <f>N153*O153*'1. Standard_Cost'!$E$15</f>
        <v>0</v>
      </c>
      <c r="V153" s="260"/>
      <c r="W153" s="260"/>
      <c r="X153" s="260"/>
      <c r="Y153" s="108">
        <f>+V153*((X153*'1. Standard_Cost'!$B$19)+(W153*X153*'1. Standard_Cost'!$C$19))</f>
        <v>0</v>
      </c>
      <c r="Z153" s="260"/>
      <c r="AA153" s="260"/>
      <c r="AB153" s="108">
        <f>+Z153*'1. Standard_Cost'!$B$23+AA153*'1. Standard_Cost'!$C$23</f>
        <v>0</v>
      </c>
      <c r="AC153" s="261"/>
      <c r="AD153" s="262"/>
      <c r="AE153" s="108">
        <f>SUM(AD153,AC153,AB153,Y153,U153,T153,S153,R153)*'1. Standard_Cost'!$B$31</f>
        <v>0</v>
      </c>
      <c r="AF153" s="108">
        <f t="shared" si="165"/>
        <v>0</v>
      </c>
      <c r="AG153" s="260"/>
      <c r="AH153" s="260"/>
      <c r="AI153" s="260"/>
      <c r="AJ153" s="263"/>
      <c r="AK153" s="263"/>
      <c r="AL153" s="263"/>
      <c r="AM153" s="108">
        <f>AG153*'1. Standard_Cost'!$B$27+'Incremental_Cost Year 9'!AH153*'1. Standard_Cost'!$C$27+'Incremental_Cost Year 9'!AI153*'1. Standard_Cost'!$D$27+'Incremental_Cost Year 9'!AJ153+'Incremental_Cost Year 9'!AL153+AK153</f>
        <v>0</v>
      </c>
      <c r="AN153" s="108">
        <f>AM153*'1. Standard_Cost'!$C$31</f>
        <v>0</v>
      </c>
      <c r="AO153" s="125" t="s">
        <v>313</v>
      </c>
      <c r="AQ153" s="14">
        <f t="shared" si="166"/>
        <v>0</v>
      </c>
      <c r="AR153" s="14">
        <f t="shared" si="167"/>
        <v>0</v>
      </c>
      <c r="AS153" s="14">
        <f t="shared" si="168"/>
        <v>0</v>
      </c>
      <c r="AT153" s="14">
        <f t="shared" si="170"/>
        <v>0</v>
      </c>
      <c r="AU153" s="234"/>
      <c r="AV153" s="234"/>
      <c r="AW153" s="234"/>
      <c r="AX153" s="234"/>
      <c r="AY153" s="234"/>
      <c r="AZ153" s="234"/>
      <c r="BA153" s="234"/>
      <c r="BB153" s="16">
        <f t="shared" si="169"/>
        <v>0</v>
      </c>
    </row>
    <row r="154" spans="1:54" ht="15.6" outlineLevel="2">
      <c r="A154" s="98"/>
      <c r="B154" s="102"/>
      <c r="C154" s="23"/>
      <c r="D154" s="269"/>
      <c r="E154" s="271"/>
      <c r="F154" s="250"/>
      <c r="G154" s="255"/>
      <c r="H154" s="272"/>
      <c r="I154" s="258"/>
      <c r="J154" s="259"/>
      <c r="K154" s="259"/>
      <c r="L154" s="106" t="str">
        <f>IF(I154&lt;&gt;0,((VLOOKUP(I154,'1. Standard_Cost'!$B$4:$D$11,2)+VLOOKUP(I154,'1. Standard_Cost'!$B$4:$D$11,3))*J154*K154),"0")</f>
        <v>0</v>
      </c>
      <c r="M154" s="106">
        <f>L154*'1. Standard_Cost'!$F$4</f>
        <v>0</v>
      </c>
      <c r="N154" s="260"/>
      <c r="O154" s="260"/>
      <c r="P154" s="260"/>
      <c r="Q154" s="260"/>
      <c r="R154" s="108">
        <f>'1. Standard_Cost'!$B$15*N154*P154</f>
        <v>0</v>
      </c>
      <c r="S154" s="108">
        <f>N154*O154*P154*'1. Standard_Cost'!$C$15</f>
        <v>0</v>
      </c>
      <c r="T154" s="108">
        <f>N154*P154*Q154*'1. Standard_Cost'!$D$15</f>
        <v>0</v>
      </c>
      <c r="U154" s="108">
        <f>N154*O154*'1. Standard_Cost'!$E$15</f>
        <v>0</v>
      </c>
      <c r="V154" s="260"/>
      <c r="W154" s="260"/>
      <c r="X154" s="260"/>
      <c r="Y154" s="108">
        <f>+V154*((X154*'1. Standard_Cost'!$B$19)+(W154*X154*'1. Standard_Cost'!$C$19))</f>
        <v>0</v>
      </c>
      <c r="Z154" s="260"/>
      <c r="AA154" s="260"/>
      <c r="AB154" s="108">
        <f>+Z154*'1. Standard_Cost'!$B$23+AA154*'1. Standard_Cost'!$C$23</f>
        <v>0</v>
      </c>
      <c r="AC154" s="261"/>
      <c r="AD154" s="262"/>
      <c r="AE154" s="108">
        <f>SUM(AD154,AC154,AB154,Y154,U154,T154,S154,R154)*'1. Standard_Cost'!$B$31</f>
        <v>0</v>
      </c>
      <c r="AF154" s="108">
        <f t="shared" si="165"/>
        <v>0</v>
      </c>
      <c r="AG154" s="260"/>
      <c r="AH154" s="260"/>
      <c r="AI154" s="260"/>
      <c r="AJ154" s="263"/>
      <c r="AK154" s="263"/>
      <c r="AL154" s="263"/>
      <c r="AM154" s="108">
        <f>AG154*'1. Standard_Cost'!$B$27+'Incremental_Cost Year 9'!AH154*'1. Standard_Cost'!$C$27+'Incremental_Cost Year 9'!AI154*'1. Standard_Cost'!$D$27+'Incremental_Cost Year 9'!AJ154+'Incremental_Cost Year 9'!AL154+AK154</f>
        <v>0</v>
      </c>
      <c r="AN154" s="108">
        <f>AM154*'1. Standard_Cost'!$C$31</f>
        <v>0</v>
      </c>
      <c r="AO154" s="125" t="s">
        <v>375</v>
      </c>
      <c r="AQ154" s="14">
        <f t="shared" si="166"/>
        <v>0</v>
      </c>
      <c r="AR154" s="14">
        <f t="shared" si="167"/>
        <v>0</v>
      </c>
      <c r="AS154" s="14">
        <f t="shared" si="168"/>
        <v>0</v>
      </c>
      <c r="AT154" s="14">
        <f t="shared" si="170"/>
        <v>0</v>
      </c>
      <c r="AU154" s="234"/>
      <c r="AV154" s="234"/>
      <c r="AW154" s="234"/>
      <c r="AX154" s="234"/>
      <c r="AY154" s="234"/>
      <c r="AZ154" s="234"/>
      <c r="BA154" s="234"/>
      <c r="BB154" s="16">
        <f t="shared" si="169"/>
        <v>0</v>
      </c>
    </row>
    <row r="155" spans="1:54" ht="15.6" outlineLevel="2">
      <c r="A155" s="98"/>
      <c r="B155" s="102"/>
      <c r="C155" s="23"/>
      <c r="D155" s="269"/>
      <c r="E155" s="271"/>
      <c r="F155" s="250"/>
      <c r="G155" s="255"/>
      <c r="H155" s="165"/>
      <c r="I155" s="258"/>
      <c r="J155" s="259"/>
      <c r="K155" s="259"/>
      <c r="L155" s="106" t="str">
        <f>IF(I155&lt;&gt;0,((VLOOKUP(I155,'1. Standard_Cost'!$B$4:$D$11,2)+VLOOKUP(I155,'1. Standard_Cost'!$B$4:$D$11,3))*J155*K155),"0")</f>
        <v>0</v>
      </c>
      <c r="M155" s="106">
        <f>L155*'1. Standard_Cost'!$F$4</f>
        <v>0</v>
      </c>
      <c r="N155" s="260"/>
      <c r="O155" s="260"/>
      <c r="P155" s="260"/>
      <c r="Q155" s="260"/>
      <c r="R155" s="108">
        <f>'[1]1. Standard_Cost'!$B$15*N155*P155</f>
        <v>0</v>
      </c>
      <c r="S155" s="108">
        <f>N155*O155*P155*'[1]1. Standard_Cost'!$C$15</f>
        <v>0</v>
      </c>
      <c r="T155" s="108">
        <f>N155*P155*Q155*'[1]1. Standard_Cost'!$D$15</f>
        <v>0</v>
      </c>
      <c r="U155" s="108">
        <f>N155*O155*'[1]1. Standard_Cost'!$E$15</f>
        <v>0</v>
      </c>
      <c r="V155" s="260"/>
      <c r="W155" s="260"/>
      <c r="X155" s="260"/>
      <c r="Y155" s="108">
        <f>+V155*((X155*'[1]1. Standard_Cost'!$B$19)+(W155*X155*'[1]1. Standard_Cost'!$C$19))</f>
        <v>0</v>
      </c>
      <c r="Z155" s="260"/>
      <c r="AA155" s="260"/>
      <c r="AB155" s="108">
        <f>+Z155*'[1]1. Standard_Cost'!$B$23+AA155*'[1]1. Standard_Cost'!$C$23</f>
        <v>0</v>
      </c>
      <c r="AC155" s="261"/>
      <c r="AD155" s="262"/>
      <c r="AE155" s="108">
        <f>SUM(AD155,AC155,AB155,Y155,U155,T155,S155,R155)*'[1]1. Standard_Cost'!$B$31</f>
        <v>0</v>
      </c>
      <c r="AF155" s="108">
        <f t="shared" si="165"/>
        <v>0</v>
      </c>
      <c r="AG155" s="260"/>
      <c r="AH155" s="260"/>
      <c r="AI155" s="260"/>
      <c r="AJ155" s="263"/>
      <c r="AK155" s="263"/>
      <c r="AL155" s="263"/>
      <c r="AM155" s="108">
        <f>AG155*'[1]1. Standard_Cost'!$B$27+'[1]Incremental_Cost Year 9'!AH155*'[1]1. Standard_Cost'!$C$27+'[1]Incremental_Cost Year 9'!AI155*'[1]1. Standard_Cost'!$D$27+'[1]Incremental_Cost Year 9'!AJ155+'[1]Incremental_Cost Year 9'!AL155+AK155</f>
        <v>0</v>
      </c>
      <c r="AN155" s="108">
        <f>AM155*'[1]1. Standard_Cost'!$C$31</f>
        <v>0</v>
      </c>
      <c r="AO155" s="125" t="s">
        <v>376</v>
      </c>
      <c r="AQ155" s="14">
        <f t="shared" si="166"/>
        <v>0</v>
      </c>
      <c r="AR155" s="14">
        <f t="shared" si="167"/>
        <v>0</v>
      </c>
      <c r="AS155" s="14">
        <f t="shared" si="168"/>
        <v>0</v>
      </c>
      <c r="AT155" s="14">
        <f t="shared" si="170"/>
        <v>0</v>
      </c>
      <c r="AU155" s="234"/>
      <c r="AV155" s="234"/>
      <c r="AW155" s="234"/>
      <c r="AX155" s="234"/>
      <c r="AY155" s="234"/>
      <c r="AZ155" s="234"/>
      <c r="BA155" s="234"/>
      <c r="BB155" s="16">
        <f t="shared" si="169"/>
        <v>0</v>
      </c>
    </row>
    <row r="156" spans="1:54" ht="27.6" outlineLevel="2">
      <c r="A156" s="98"/>
      <c r="B156" s="102"/>
      <c r="C156" s="23"/>
      <c r="D156" s="269"/>
      <c r="E156" s="271"/>
      <c r="F156" s="250"/>
      <c r="G156" s="255"/>
      <c r="H156" s="272"/>
      <c r="I156" s="258"/>
      <c r="J156" s="259"/>
      <c r="K156" s="259"/>
      <c r="L156" s="106" t="str">
        <f>IF(I156&lt;&gt;0,((VLOOKUP(I156,'1. Standard_Cost'!$B$4:$D$11,2)+VLOOKUP(I156,'1. Standard_Cost'!$B$4:$D$11,3))*J156*K156),"0")</f>
        <v>0</v>
      </c>
      <c r="M156" s="106">
        <f>L156*'1. Standard_Cost'!$F$4</f>
        <v>0</v>
      </c>
      <c r="N156" s="260"/>
      <c r="O156" s="260"/>
      <c r="P156" s="260"/>
      <c r="Q156" s="260"/>
      <c r="R156" s="108">
        <f>'1. Standard_Cost'!$B$15*N156*P156</f>
        <v>0</v>
      </c>
      <c r="S156" s="108">
        <f>N156*O156*P156*'1. Standard_Cost'!$C$15</f>
        <v>0</v>
      </c>
      <c r="T156" s="108">
        <f>N156*P156*Q156*'1. Standard_Cost'!$D$15</f>
        <v>0</v>
      </c>
      <c r="U156" s="108">
        <f>N156*O156*'1. Standard_Cost'!$E$15</f>
        <v>0</v>
      </c>
      <c r="V156" s="260"/>
      <c r="W156" s="260"/>
      <c r="X156" s="260"/>
      <c r="Y156" s="108">
        <f>+V156*((X156*'1. Standard_Cost'!$B$19)+(W156*X156*'1. Standard_Cost'!$C$19))</f>
        <v>0</v>
      </c>
      <c r="Z156" s="260"/>
      <c r="AA156" s="260"/>
      <c r="AB156" s="108">
        <f>+Z156*'1. Standard_Cost'!$B$23+AA156*'1. Standard_Cost'!$C$23</f>
        <v>0</v>
      </c>
      <c r="AC156" s="261"/>
      <c r="AD156" s="262"/>
      <c r="AE156" s="108">
        <f>SUM(AD156,AC156,AB156,Y156,U156,T156,S156,R156)*'1. Standard_Cost'!$B$31</f>
        <v>0</v>
      </c>
      <c r="AF156" s="108">
        <f t="shared" si="165"/>
        <v>0</v>
      </c>
      <c r="AG156" s="260"/>
      <c r="AH156" s="260"/>
      <c r="AI156" s="260"/>
      <c r="AJ156" s="263"/>
      <c r="AK156" s="263"/>
      <c r="AL156" s="263"/>
      <c r="AM156" s="108">
        <f>AG156*'1. Standard_Cost'!$B$27+'Incremental_Cost Year 9'!AH156*'1. Standard_Cost'!$C$27+'Incremental_Cost Year 9'!AI156*'1. Standard_Cost'!$D$27+'Incremental_Cost Year 9'!AJ156+'Incremental_Cost Year 9'!AL156+AK156</f>
        <v>0</v>
      </c>
      <c r="AN156" s="108">
        <f>AM156*'1. Standard_Cost'!$C$31</f>
        <v>0</v>
      </c>
      <c r="AO156" s="125" t="s">
        <v>377</v>
      </c>
      <c r="AQ156" s="14">
        <f t="shared" si="166"/>
        <v>0</v>
      </c>
      <c r="AR156" s="14">
        <f t="shared" si="167"/>
        <v>0</v>
      </c>
      <c r="AS156" s="14">
        <f t="shared" si="168"/>
        <v>0</v>
      </c>
      <c r="AT156" s="14">
        <f t="shared" si="170"/>
        <v>0</v>
      </c>
      <c r="AU156" s="234"/>
      <c r="AV156" s="234"/>
      <c r="AW156" s="234"/>
      <c r="AX156" s="234"/>
      <c r="AY156" s="234"/>
      <c r="AZ156" s="234"/>
      <c r="BA156" s="234"/>
      <c r="BB156" s="16">
        <f t="shared" si="169"/>
        <v>0</v>
      </c>
    </row>
    <row r="157" spans="1:54" ht="15.6" outlineLevel="2">
      <c r="A157" s="98"/>
      <c r="B157" s="102"/>
      <c r="C157" s="23"/>
      <c r="D157" s="269"/>
      <c r="E157" s="271"/>
      <c r="F157" s="250"/>
      <c r="G157" s="255"/>
      <c r="H157" s="272"/>
      <c r="I157" s="258"/>
      <c r="J157" s="259"/>
      <c r="K157" s="259"/>
      <c r="L157" s="106" t="str">
        <f>IF(I157&lt;&gt;0,((VLOOKUP(I157,'1. Standard_Cost'!$B$4:$D$11,2)+VLOOKUP(I157,'1. Standard_Cost'!$B$4:$D$11,3))*J157*K157),"0")</f>
        <v>0</v>
      </c>
      <c r="M157" s="106">
        <f>L157*'1. Standard_Cost'!$F$4</f>
        <v>0</v>
      </c>
      <c r="N157" s="260"/>
      <c r="O157" s="260"/>
      <c r="P157" s="260"/>
      <c r="Q157" s="260"/>
      <c r="R157" s="108">
        <f>'1. Standard_Cost'!$B$15*N157*P157</f>
        <v>0</v>
      </c>
      <c r="S157" s="108">
        <f>N157*O157*P157*'1. Standard_Cost'!$C$15</f>
        <v>0</v>
      </c>
      <c r="T157" s="108">
        <f>N157*P157*Q157*'1. Standard_Cost'!$D$15</f>
        <v>0</v>
      </c>
      <c r="U157" s="108">
        <f>N157*O157*'1. Standard_Cost'!$E$15</f>
        <v>0</v>
      </c>
      <c r="V157" s="260"/>
      <c r="W157" s="260"/>
      <c r="X157" s="260"/>
      <c r="Y157" s="108">
        <f>+V157*((X157*'1. Standard_Cost'!$B$19)+(W157*X157*'1. Standard_Cost'!$C$19))</f>
        <v>0</v>
      </c>
      <c r="Z157" s="260"/>
      <c r="AA157" s="260"/>
      <c r="AB157" s="108">
        <f>+Z157*'1. Standard_Cost'!$B$23+AA157*'1. Standard_Cost'!$C$23</f>
        <v>0</v>
      </c>
      <c r="AC157" s="261"/>
      <c r="AD157" s="262"/>
      <c r="AE157" s="108">
        <f>SUM(AD157,AC157,AB157,Y157,U157,T157,S157,R157)*'1. Standard_Cost'!$B$31</f>
        <v>0</v>
      </c>
      <c r="AF157" s="108">
        <f t="shared" si="165"/>
        <v>0</v>
      </c>
      <c r="AG157" s="260"/>
      <c r="AH157" s="260"/>
      <c r="AI157" s="260"/>
      <c r="AJ157" s="263"/>
      <c r="AK157" s="263"/>
      <c r="AL157" s="263"/>
      <c r="AM157" s="108">
        <f>AG157*'1. Standard_Cost'!$B$27+'Incremental_Cost Year 9'!AH157*'1. Standard_Cost'!$C$27+'Incremental_Cost Year 9'!AI157*'1. Standard_Cost'!$D$27+'Incremental_Cost Year 9'!AJ157+'Incremental_Cost Year 9'!AL157+AK157</f>
        <v>0</v>
      </c>
      <c r="AN157" s="108">
        <f>AM157*'1. Standard_Cost'!$C$31</f>
        <v>0</v>
      </c>
      <c r="AO157" s="125" t="s">
        <v>378</v>
      </c>
      <c r="AQ157" s="14">
        <f t="shared" si="166"/>
        <v>0</v>
      </c>
      <c r="AR157" s="14">
        <f t="shared" si="167"/>
        <v>0</v>
      </c>
      <c r="AS157" s="14">
        <f t="shared" si="168"/>
        <v>0</v>
      </c>
      <c r="AT157" s="14">
        <f t="shared" si="170"/>
        <v>0</v>
      </c>
      <c r="AU157" s="234"/>
      <c r="AV157" s="234"/>
      <c r="AW157" s="234"/>
      <c r="AX157" s="234"/>
      <c r="AY157" s="234"/>
      <c r="AZ157" s="234"/>
      <c r="BA157" s="234"/>
      <c r="BB157" s="16">
        <f t="shared" si="169"/>
        <v>0</v>
      </c>
    </row>
    <row r="158" spans="1:54" ht="15.6" outlineLevel="2">
      <c r="A158" s="98"/>
      <c r="B158" s="102"/>
      <c r="C158" s="23"/>
      <c r="D158" s="269"/>
      <c r="E158" s="271"/>
      <c r="F158" s="250"/>
      <c r="G158" s="255"/>
      <c r="H158" s="272"/>
      <c r="I158" s="258"/>
      <c r="J158" s="259"/>
      <c r="K158" s="259"/>
      <c r="L158" s="106" t="str">
        <f>IF(I158&lt;&gt;0,((VLOOKUP(I158,'1. Standard_Cost'!$B$4:$D$11,2)+VLOOKUP(I158,'1. Standard_Cost'!$B$4:$D$11,3))*J158*K158),"0")</f>
        <v>0</v>
      </c>
      <c r="M158" s="106">
        <f>L158*'1. Standard_Cost'!$F$4</f>
        <v>0</v>
      </c>
      <c r="N158" s="260"/>
      <c r="O158" s="260"/>
      <c r="P158" s="260"/>
      <c r="Q158" s="260"/>
      <c r="R158" s="108">
        <f>'1. Standard_Cost'!$B$15*N158*P158</f>
        <v>0</v>
      </c>
      <c r="S158" s="108">
        <f>N158*O158*P158*'1. Standard_Cost'!$C$15</f>
        <v>0</v>
      </c>
      <c r="T158" s="108">
        <f>N158*P158*Q158*'1. Standard_Cost'!$D$15</f>
        <v>0</v>
      </c>
      <c r="U158" s="108">
        <f>N158*O158*'1. Standard_Cost'!$E$15</f>
        <v>0</v>
      </c>
      <c r="V158" s="260"/>
      <c r="W158" s="260"/>
      <c r="X158" s="260"/>
      <c r="Y158" s="108">
        <f>+V158*((X158*'1. Standard_Cost'!$B$19)+(W158*X158*'1. Standard_Cost'!$C$19))</f>
        <v>0</v>
      </c>
      <c r="Z158" s="260"/>
      <c r="AA158" s="260"/>
      <c r="AB158" s="108">
        <f>+Z158*'1. Standard_Cost'!$B$23+AA158*'1. Standard_Cost'!$C$23</f>
        <v>0</v>
      </c>
      <c r="AC158" s="261"/>
      <c r="AD158" s="262"/>
      <c r="AE158" s="108">
        <f>SUM(AD158,AC158,AB158,Y158,U158,T158,S158,R158)*'1. Standard_Cost'!$B$31</f>
        <v>0</v>
      </c>
      <c r="AF158" s="108">
        <f t="shared" si="165"/>
        <v>0</v>
      </c>
      <c r="AG158" s="260"/>
      <c r="AH158" s="260"/>
      <c r="AI158" s="260"/>
      <c r="AJ158" s="263"/>
      <c r="AK158" s="263"/>
      <c r="AL158" s="263"/>
      <c r="AM158" s="108">
        <f>AG158*'1. Standard_Cost'!$B$27+'Incremental_Cost Year 9'!AH158*'1. Standard_Cost'!$C$27+'Incremental_Cost Year 9'!AI158*'1. Standard_Cost'!$D$27+'Incremental_Cost Year 9'!AJ158+'Incremental_Cost Year 9'!AL158+AK158</f>
        <v>0</v>
      </c>
      <c r="AN158" s="108">
        <f>AM158*'1. Standard_Cost'!$C$31</f>
        <v>0</v>
      </c>
      <c r="AO158" s="125" t="s">
        <v>379</v>
      </c>
      <c r="AQ158" s="14">
        <f t="shared" si="166"/>
        <v>0</v>
      </c>
      <c r="AR158" s="14">
        <f t="shared" si="167"/>
        <v>0</v>
      </c>
      <c r="AS158" s="14">
        <f t="shared" si="168"/>
        <v>0</v>
      </c>
      <c r="AT158" s="14">
        <f t="shared" si="170"/>
        <v>0</v>
      </c>
      <c r="AU158" s="234"/>
      <c r="AV158" s="234"/>
      <c r="AW158" s="234"/>
      <c r="AX158" s="234"/>
      <c r="AY158" s="234"/>
      <c r="AZ158" s="234"/>
      <c r="BA158" s="234"/>
      <c r="BB158" s="16">
        <f t="shared" si="169"/>
        <v>0</v>
      </c>
    </row>
    <row r="159" spans="1:54" ht="15.6" outlineLevel="2">
      <c r="A159" s="98"/>
      <c r="B159" s="102"/>
      <c r="C159" s="23"/>
      <c r="D159" s="269"/>
      <c r="E159" s="271"/>
      <c r="F159" s="250"/>
      <c r="G159" s="255"/>
      <c r="H159" s="272"/>
      <c r="I159" s="258"/>
      <c r="J159" s="259"/>
      <c r="K159" s="259"/>
      <c r="L159" s="106" t="str">
        <f>IF(I159&lt;&gt;0,((VLOOKUP(I159,'1. Standard_Cost'!$B$4:$D$11,2)+VLOOKUP(I159,'1. Standard_Cost'!$B$4:$D$11,3))*J159*K159),"0")</f>
        <v>0</v>
      </c>
      <c r="M159" s="106">
        <f>L159*'1. Standard_Cost'!$F$4</f>
        <v>0</v>
      </c>
      <c r="N159" s="260"/>
      <c r="O159" s="260"/>
      <c r="P159" s="260"/>
      <c r="Q159" s="260"/>
      <c r="R159" s="108">
        <f>'1. Standard_Cost'!$B$15*N159*P159</f>
        <v>0</v>
      </c>
      <c r="S159" s="108">
        <f>N159*O159*P159*'1. Standard_Cost'!$C$15</f>
        <v>0</v>
      </c>
      <c r="T159" s="108">
        <f>N159*P159*Q159*'1. Standard_Cost'!$D$15</f>
        <v>0</v>
      </c>
      <c r="U159" s="108">
        <f>N159*O159*'1. Standard_Cost'!$E$15</f>
        <v>0</v>
      </c>
      <c r="V159" s="260"/>
      <c r="W159" s="260"/>
      <c r="X159" s="260"/>
      <c r="Y159" s="108">
        <f>+V159*((X159*'1. Standard_Cost'!$B$19)+(W159*X159*'1. Standard_Cost'!$C$19))</f>
        <v>0</v>
      </c>
      <c r="Z159" s="260"/>
      <c r="AA159" s="260"/>
      <c r="AB159" s="108">
        <f>+Z159*'1. Standard_Cost'!$B$23+AA159*'1. Standard_Cost'!$C$23</f>
        <v>0</v>
      </c>
      <c r="AC159" s="261"/>
      <c r="AD159" s="262"/>
      <c r="AE159" s="108">
        <f>SUM(AD159,AC159,AB159,Y159,U159,T159,S159,R159)*'1. Standard_Cost'!$B$31</f>
        <v>0</v>
      </c>
      <c r="AF159" s="108">
        <f t="shared" si="165"/>
        <v>0</v>
      </c>
      <c r="AG159" s="260"/>
      <c r="AH159" s="260"/>
      <c r="AI159" s="260"/>
      <c r="AJ159" s="263"/>
      <c r="AK159" s="263"/>
      <c r="AL159" s="263"/>
      <c r="AM159" s="108">
        <f>AG159*'1. Standard_Cost'!$B$27+'Incremental_Cost Year 9'!AH159*'1. Standard_Cost'!$C$27+'Incremental_Cost Year 9'!AI159*'1. Standard_Cost'!$D$27+'Incremental_Cost Year 9'!AJ159+'Incremental_Cost Year 9'!AL159+AK159</f>
        <v>0</v>
      </c>
      <c r="AN159" s="108">
        <f>AM159*'1. Standard_Cost'!$C$31</f>
        <v>0</v>
      </c>
      <c r="AO159" s="125" t="s">
        <v>380</v>
      </c>
      <c r="AQ159" s="14">
        <f t="shared" si="166"/>
        <v>0</v>
      </c>
      <c r="AR159" s="14">
        <f t="shared" si="167"/>
        <v>0</v>
      </c>
      <c r="AS159" s="14">
        <f t="shared" si="168"/>
        <v>0</v>
      </c>
      <c r="AT159" s="14">
        <f t="shared" si="170"/>
        <v>0</v>
      </c>
      <c r="AU159" s="234"/>
      <c r="AV159" s="234"/>
      <c r="AW159" s="234"/>
      <c r="AX159" s="234"/>
      <c r="AY159" s="234"/>
      <c r="AZ159" s="234"/>
      <c r="BA159" s="234"/>
      <c r="BB159" s="16">
        <f t="shared" si="169"/>
        <v>0</v>
      </c>
    </row>
    <row r="160" spans="1:54" ht="15.6" outlineLevel="2">
      <c r="A160" s="98"/>
      <c r="B160" s="102"/>
      <c r="C160" s="23"/>
      <c r="D160" s="269"/>
      <c r="E160" s="271"/>
      <c r="F160" s="250"/>
      <c r="G160" s="177"/>
      <c r="H160" s="272"/>
      <c r="I160" s="258"/>
      <c r="J160" s="259"/>
      <c r="K160" s="259"/>
      <c r="L160" s="106" t="str">
        <f>IF(I160&lt;&gt;0,((VLOOKUP(I160,'1. Standard_Cost'!$B$4:$D$11,2)+VLOOKUP(I160,'1. Standard_Cost'!$B$4:$D$11,3))*J160*K160),"0")</f>
        <v>0</v>
      </c>
      <c r="M160" s="106">
        <f>L160*'1. Standard_Cost'!$F$4</f>
        <v>0</v>
      </c>
      <c r="N160" s="260"/>
      <c r="O160" s="260"/>
      <c r="P160" s="260"/>
      <c r="Q160" s="260"/>
      <c r="R160" s="108">
        <f>'1. Standard_Cost'!$B$15*N160*P160</f>
        <v>0</v>
      </c>
      <c r="S160" s="108">
        <f>N160*O160*P160*'1. Standard_Cost'!$C$15</f>
        <v>0</v>
      </c>
      <c r="T160" s="108">
        <f>N160*P160*Q160*'1. Standard_Cost'!$D$15</f>
        <v>0</v>
      </c>
      <c r="U160" s="108">
        <f>N160*O160*'1. Standard_Cost'!$E$15</f>
        <v>0</v>
      </c>
      <c r="V160" s="260"/>
      <c r="W160" s="260"/>
      <c r="X160" s="260"/>
      <c r="Y160" s="108">
        <f>+V160*((X160*'1. Standard_Cost'!$B$19)+(W160*X160*'1. Standard_Cost'!$C$19))</f>
        <v>0</v>
      </c>
      <c r="Z160" s="260"/>
      <c r="AA160" s="260"/>
      <c r="AB160" s="108">
        <f>+Z160*'1. Standard_Cost'!$B$23+AA160*'1. Standard_Cost'!$C$23</f>
        <v>0</v>
      </c>
      <c r="AC160" s="261"/>
      <c r="AD160" s="262"/>
      <c r="AE160" s="108">
        <f>SUM(AD160,AC160,AB160,Y160,U160,T160,S160,R160)*'1. Standard_Cost'!$B$31</f>
        <v>0</v>
      </c>
      <c r="AF160" s="108">
        <f t="shared" si="165"/>
        <v>0</v>
      </c>
      <c r="AG160" s="260"/>
      <c r="AH160" s="260"/>
      <c r="AI160" s="260"/>
      <c r="AJ160" s="263"/>
      <c r="AK160" s="263"/>
      <c r="AL160" s="263"/>
      <c r="AM160" s="108">
        <f>AG160*'1. Standard_Cost'!$B$27+'Incremental_Cost Year 9'!AH160*'1. Standard_Cost'!$C$27+'Incremental_Cost Year 9'!AI160*'1. Standard_Cost'!$D$27+'Incremental_Cost Year 9'!AJ160+'Incremental_Cost Year 9'!AL160+AK160</f>
        <v>0</v>
      </c>
      <c r="AN160" s="108">
        <f>AM160*'1. Standard_Cost'!$C$31</f>
        <v>0</v>
      </c>
      <c r="AO160" s="125" t="s">
        <v>381</v>
      </c>
      <c r="AQ160" s="14">
        <f t="shared" si="166"/>
        <v>0</v>
      </c>
      <c r="AR160" s="14">
        <f t="shared" si="167"/>
        <v>0</v>
      </c>
      <c r="AS160" s="14">
        <f t="shared" si="168"/>
        <v>0</v>
      </c>
      <c r="AT160" s="14">
        <f t="shared" si="170"/>
        <v>0</v>
      </c>
      <c r="AU160" s="234"/>
      <c r="AV160" s="234"/>
      <c r="AW160" s="234"/>
      <c r="AX160" s="234"/>
      <c r="AY160" s="234"/>
      <c r="AZ160" s="234"/>
      <c r="BA160" s="234"/>
      <c r="BB160" s="16">
        <f t="shared" si="169"/>
        <v>0</v>
      </c>
    </row>
    <row r="161" spans="1:54" ht="15.6" outlineLevel="2">
      <c r="A161" s="98"/>
      <c r="B161" s="102"/>
      <c r="C161" s="23"/>
      <c r="D161" s="269"/>
      <c r="E161" s="271"/>
      <c r="F161" s="250"/>
      <c r="G161" s="255"/>
      <c r="H161" s="272"/>
      <c r="I161" s="258"/>
      <c r="J161" s="259"/>
      <c r="K161" s="259"/>
      <c r="L161" s="106" t="str">
        <f>IF(I161&lt;&gt;0,((VLOOKUP(I161,'1. Standard_Cost'!$B$4:$D$11,2)+VLOOKUP(I161,'1. Standard_Cost'!$B$4:$D$11,3))*J161*K161),"0")</f>
        <v>0</v>
      </c>
      <c r="M161" s="106">
        <f>L161*'1. Standard_Cost'!$F$4</f>
        <v>0</v>
      </c>
      <c r="N161" s="260"/>
      <c r="O161" s="260"/>
      <c r="P161" s="260"/>
      <c r="Q161" s="260"/>
      <c r="R161" s="108">
        <f>'1. Standard_Cost'!$B$15*N161*P161</f>
        <v>0</v>
      </c>
      <c r="S161" s="108">
        <f>N161*O161*P161*'1. Standard_Cost'!$C$15</f>
        <v>0</v>
      </c>
      <c r="T161" s="108">
        <f>N161*P161*Q161*'1. Standard_Cost'!$D$15</f>
        <v>0</v>
      </c>
      <c r="U161" s="108">
        <f>N161*O161*'1. Standard_Cost'!$E$15</f>
        <v>0</v>
      </c>
      <c r="V161" s="260"/>
      <c r="W161" s="260"/>
      <c r="X161" s="260"/>
      <c r="Y161" s="108">
        <f>+V161*((X161*'1. Standard_Cost'!$B$19)+(W161*X161*'1. Standard_Cost'!$C$19))</f>
        <v>0</v>
      </c>
      <c r="Z161" s="260"/>
      <c r="AA161" s="260"/>
      <c r="AB161" s="108">
        <f>+Z161*'1. Standard_Cost'!$B$23+AA161*'1. Standard_Cost'!$C$23</f>
        <v>0</v>
      </c>
      <c r="AC161" s="261"/>
      <c r="AD161" s="262"/>
      <c r="AE161" s="108">
        <f>SUM(AD161,AC161,AB161,Y161,U161,T161,S161,R161)*'1. Standard_Cost'!$B$31</f>
        <v>0</v>
      </c>
      <c r="AF161" s="108">
        <f t="shared" si="165"/>
        <v>0</v>
      </c>
      <c r="AG161" s="260"/>
      <c r="AH161" s="260"/>
      <c r="AI161" s="260"/>
      <c r="AJ161" s="263"/>
      <c r="AK161" s="263"/>
      <c r="AL161" s="263"/>
      <c r="AM161" s="108">
        <f>AG161*'1. Standard_Cost'!$B$27+'Incremental_Cost Year 9'!AH161*'1. Standard_Cost'!$C$27+'Incremental_Cost Year 9'!AI161*'1. Standard_Cost'!$D$27+'Incremental_Cost Year 9'!AJ161+'Incremental_Cost Year 9'!AL161+AK161</f>
        <v>0</v>
      </c>
      <c r="AN161" s="108">
        <f>AM161*'1. Standard_Cost'!$C$31</f>
        <v>0</v>
      </c>
      <c r="AO161" s="125" t="s">
        <v>277</v>
      </c>
      <c r="AQ161" s="14">
        <f t="shared" si="166"/>
        <v>0</v>
      </c>
      <c r="AR161" s="14">
        <f t="shared" si="167"/>
        <v>0</v>
      </c>
      <c r="AS161" s="14">
        <f t="shared" si="168"/>
        <v>0</v>
      </c>
      <c r="AT161" s="14">
        <f t="shared" si="170"/>
        <v>0</v>
      </c>
      <c r="AU161" s="234"/>
      <c r="AV161" s="234"/>
      <c r="AW161" s="234"/>
      <c r="AX161" s="234"/>
      <c r="AY161" s="234"/>
      <c r="AZ161" s="234"/>
      <c r="BA161" s="234"/>
      <c r="BB161" s="16">
        <f t="shared" si="169"/>
        <v>0</v>
      </c>
    </row>
    <row r="162" spans="1:54" ht="15.6" outlineLevel="2">
      <c r="A162" s="98"/>
      <c r="B162" s="102"/>
      <c r="C162" s="23"/>
      <c r="D162" s="251"/>
      <c r="E162" s="251"/>
      <c r="F162" s="251"/>
      <c r="G162" s="250"/>
      <c r="H162" s="272"/>
      <c r="I162" s="258"/>
      <c r="J162" s="259"/>
      <c r="K162" s="259"/>
      <c r="L162" s="106" t="str">
        <f>IF(I162&lt;&gt;0,((VLOOKUP(I162,'1. Standard_Cost'!$B$4:$D$11,2)+VLOOKUP(I162,'1. Standard_Cost'!$B$4:$D$11,3))*J162*K162),"0")</f>
        <v>0</v>
      </c>
      <c r="M162" s="106">
        <f>L162*'1. Standard_Cost'!$F$4</f>
        <v>0</v>
      </c>
      <c r="N162" s="260"/>
      <c r="O162" s="260"/>
      <c r="P162" s="260"/>
      <c r="Q162" s="260"/>
      <c r="R162" s="108">
        <f>'1. Standard_Cost'!$B$15*N162*P162</f>
        <v>0</v>
      </c>
      <c r="S162" s="108">
        <f>N162*O162*P162*'1. Standard_Cost'!$C$15</f>
        <v>0</v>
      </c>
      <c r="T162" s="108">
        <f>N162*P162*Q162*'1. Standard_Cost'!$D$15</f>
        <v>0</v>
      </c>
      <c r="U162" s="108">
        <f>N162*O162*'1. Standard_Cost'!$E$15</f>
        <v>0</v>
      </c>
      <c r="V162" s="260"/>
      <c r="W162" s="260"/>
      <c r="X162" s="260"/>
      <c r="Y162" s="108">
        <f>+V162*((X162*'1. Standard_Cost'!$B$19)+(W162*X162*'1. Standard_Cost'!$C$19))</f>
        <v>0</v>
      </c>
      <c r="Z162" s="260"/>
      <c r="AA162" s="260"/>
      <c r="AB162" s="108">
        <f>+Z162*'1. Standard_Cost'!$B$23+AA162*'1. Standard_Cost'!$C$23</f>
        <v>0</v>
      </c>
      <c r="AC162" s="261"/>
      <c r="AD162" s="262"/>
      <c r="AE162" s="108">
        <f>SUM(AD162,AC162,AB162,Y162,U162,T162,S162,R162)*'1. Standard_Cost'!$B$31</f>
        <v>0</v>
      </c>
      <c r="AF162" s="108">
        <f t="shared" si="165"/>
        <v>0</v>
      </c>
      <c r="AG162" s="260"/>
      <c r="AH162" s="260"/>
      <c r="AI162" s="260"/>
      <c r="AJ162" s="263"/>
      <c r="AK162" s="263"/>
      <c r="AL162" s="263"/>
      <c r="AM162" s="108">
        <f>AG162*'1. Standard_Cost'!$B$27+'Incremental_Cost Year 9'!AH162*'1. Standard_Cost'!$C$27+'Incremental_Cost Year 9'!AI162*'1. Standard_Cost'!$D$27+'Incremental_Cost Year 9'!AJ162+'Incremental_Cost Year 9'!AL162+AK162</f>
        <v>0</v>
      </c>
      <c r="AN162" s="108">
        <f>AM162*'1. Standard_Cost'!$C$31</f>
        <v>0</v>
      </c>
      <c r="AO162" s="125" t="s">
        <v>382</v>
      </c>
      <c r="AQ162" s="14">
        <f t="shared" si="166"/>
        <v>0</v>
      </c>
      <c r="AR162" s="14">
        <f t="shared" si="167"/>
        <v>0</v>
      </c>
      <c r="AS162" s="14">
        <f t="shared" si="168"/>
        <v>0</v>
      </c>
      <c r="AT162" s="14">
        <f t="shared" si="170"/>
        <v>0</v>
      </c>
      <c r="AU162" s="234"/>
      <c r="AV162" s="234"/>
      <c r="AW162" s="234"/>
      <c r="AX162" s="234"/>
      <c r="AY162" s="234"/>
      <c r="AZ162" s="234"/>
      <c r="BA162" s="234"/>
      <c r="BB162" s="16">
        <f t="shared" si="169"/>
        <v>0</v>
      </c>
    </row>
    <row r="163" spans="1:54" ht="32.25" customHeight="1" outlineLevel="2">
      <c r="A163" s="98"/>
      <c r="B163" s="102"/>
      <c r="C163" s="23"/>
      <c r="D163" s="251"/>
      <c r="E163" s="251"/>
      <c r="F163" s="251"/>
      <c r="G163" s="250"/>
      <c r="H163" s="272"/>
      <c r="I163" s="258"/>
      <c r="J163" s="259"/>
      <c r="K163" s="259"/>
      <c r="L163" s="106" t="str">
        <f>IF(I163&lt;&gt;0,((VLOOKUP(I163,'1. Standard_Cost'!$B$4:$D$11,2)+VLOOKUP(I163,'1. Standard_Cost'!$B$4:$D$11,3))*J163*K163),"0")</f>
        <v>0</v>
      </c>
      <c r="M163" s="106">
        <f>L163*'1. Standard_Cost'!$F$4</f>
        <v>0</v>
      </c>
      <c r="N163" s="260"/>
      <c r="O163" s="260"/>
      <c r="P163" s="260"/>
      <c r="Q163" s="260"/>
      <c r="R163" s="108">
        <f>'1. Standard_Cost'!$B$15*N163*P163</f>
        <v>0</v>
      </c>
      <c r="S163" s="108">
        <f>N163*O163*P163*'1. Standard_Cost'!$C$15</f>
        <v>0</v>
      </c>
      <c r="T163" s="108">
        <f>N163*P163*Q163*'1. Standard_Cost'!$D$15</f>
        <v>0</v>
      </c>
      <c r="U163" s="108">
        <f>N163*O163*'1. Standard_Cost'!$E$15</f>
        <v>0</v>
      </c>
      <c r="V163" s="260"/>
      <c r="W163" s="260"/>
      <c r="X163" s="260"/>
      <c r="Y163" s="108">
        <f>+V163*((X163*'1. Standard_Cost'!$B$19)+(W163*X163*'1. Standard_Cost'!$C$19))</f>
        <v>0</v>
      </c>
      <c r="Z163" s="260"/>
      <c r="AA163" s="260"/>
      <c r="AB163" s="108">
        <f>+Z163*'1. Standard_Cost'!$B$23+AA163*'1. Standard_Cost'!$C$23</f>
        <v>0</v>
      </c>
      <c r="AC163" s="261"/>
      <c r="AD163" s="262"/>
      <c r="AE163" s="108">
        <f>SUM(AD163,AC163,AB163,Y163,U163,T163,S163,R163)*'1. Standard_Cost'!$B$31</f>
        <v>0</v>
      </c>
      <c r="AF163" s="108">
        <f t="shared" si="165"/>
        <v>0</v>
      </c>
      <c r="AG163" s="260"/>
      <c r="AH163" s="260"/>
      <c r="AI163" s="260"/>
      <c r="AJ163" s="263"/>
      <c r="AK163" s="263"/>
      <c r="AL163" s="263"/>
      <c r="AM163" s="108">
        <f>AG163*'1. Standard_Cost'!$B$27+'Incremental_Cost Year 9'!AH163*'1. Standard_Cost'!$C$27+'Incremental_Cost Year 9'!AI163*'1. Standard_Cost'!$D$27+'Incremental_Cost Year 9'!AJ163+'Incremental_Cost Year 9'!AL163+AK163</f>
        <v>0</v>
      </c>
      <c r="AN163" s="108">
        <f>AM163*'1. Standard_Cost'!$C$31</f>
        <v>0</v>
      </c>
      <c r="AO163" s="125" t="s">
        <v>383</v>
      </c>
      <c r="AQ163" s="14">
        <f t="shared" si="166"/>
        <v>0</v>
      </c>
      <c r="AR163" s="14">
        <f t="shared" si="167"/>
        <v>0</v>
      </c>
      <c r="AS163" s="14">
        <f t="shared" si="168"/>
        <v>0</v>
      </c>
      <c r="AT163" s="14">
        <f t="shared" si="170"/>
        <v>0</v>
      </c>
      <c r="AU163" s="234"/>
      <c r="AV163" s="234"/>
      <c r="AW163" s="234"/>
      <c r="AX163" s="234"/>
      <c r="AY163" s="234"/>
      <c r="AZ163" s="234"/>
      <c r="BA163" s="234"/>
      <c r="BB163" s="16">
        <f t="shared" si="169"/>
        <v>0</v>
      </c>
    </row>
    <row r="164" spans="1:54" ht="45" customHeight="1" outlineLevel="2">
      <c r="A164" s="98"/>
      <c r="B164" s="102"/>
      <c r="C164" s="23"/>
      <c r="D164" s="251"/>
      <c r="E164" s="251"/>
      <c r="F164" s="251"/>
      <c r="G164" s="250"/>
      <c r="H164" s="272"/>
      <c r="I164" s="258"/>
      <c r="J164" s="259"/>
      <c r="K164" s="259"/>
      <c r="L164" s="106" t="str">
        <f>IF(I164&lt;&gt;0,((VLOOKUP(I164,'1. Standard_Cost'!$B$4:$D$11,2)+VLOOKUP(I164,'1. Standard_Cost'!$B$4:$D$11,3))*J164*K164),"0")</f>
        <v>0</v>
      </c>
      <c r="M164" s="106">
        <f>L164*'1. Standard_Cost'!$F$4</f>
        <v>0</v>
      </c>
      <c r="N164" s="260"/>
      <c r="O164" s="260"/>
      <c r="P164" s="260"/>
      <c r="Q164" s="260"/>
      <c r="R164" s="108">
        <f>'1. Standard_Cost'!$B$15*N164*P164</f>
        <v>0</v>
      </c>
      <c r="S164" s="108">
        <f>N164*O164*P164*'1. Standard_Cost'!$C$15</f>
        <v>0</v>
      </c>
      <c r="T164" s="108">
        <f>N164*P164*Q164*'1. Standard_Cost'!$D$15</f>
        <v>0</v>
      </c>
      <c r="U164" s="108">
        <f>N164*O164*'1. Standard_Cost'!$E$15</f>
        <v>0</v>
      </c>
      <c r="V164" s="260"/>
      <c r="W164" s="260"/>
      <c r="X164" s="260"/>
      <c r="Y164" s="108">
        <f>+V164*((X164*'1. Standard_Cost'!$B$19)+(W164*X164*'1. Standard_Cost'!$C$19))</f>
        <v>0</v>
      </c>
      <c r="Z164" s="260"/>
      <c r="AA164" s="260"/>
      <c r="AB164" s="108">
        <f>+Z164*'1. Standard_Cost'!$B$23+AA164*'1. Standard_Cost'!$C$23</f>
        <v>0</v>
      </c>
      <c r="AC164" s="261"/>
      <c r="AD164" s="262"/>
      <c r="AE164" s="108">
        <f>SUM(AD164,AC164,AB164,Y164,U164,T164,S164,R164)*'1. Standard_Cost'!$B$31</f>
        <v>0</v>
      </c>
      <c r="AF164" s="108">
        <f t="shared" si="165"/>
        <v>0</v>
      </c>
      <c r="AG164" s="260"/>
      <c r="AH164" s="260"/>
      <c r="AI164" s="260"/>
      <c r="AJ164" s="263"/>
      <c r="AK164" s="263"/>
      <c r="AL164" s="263"/>
      <c r="AM164" s="108">
        <f>AG164*'1. Standard_Cost'!$B$27+'Incremental_Cost Year 9'!AH164*'1. Standard_Cost'!$C$27+'Incremental_Cost Year 9'!AI164*'1. Standard_Cost'!$D$27+'Incremental_Cost Year 9'!AJ164+'Incremental_Cost Year 9'!AL164+AK164</f>
        <v>0</v>
      </c>
      <c r="AN164" s="108">
        <f>AM164*'1. Standard_Cost'!$C$31</f>
        <v>0</v>
      </c>
      <c r="AO164" s="125" t="s">
        <v>384</v>
      </c>
      <c r="AQ164" s="14">
        <f t="shared" si="166"/>
        <v>0</v>
      </c>
      <c r="AR164" s="14">
        <f t="shared" si="167"/>
        <v>0</v>
      </c>
      <c r="AS164" s="14">
        <f t="shared" si="168"/>
        <v>0</v>
      </c>
      <c r="AT164" s="14">
        <f t="shared" si="170"/>
        <v>0</v>
      </c>
      <c r="AU164" s="234"/>
      <c r="AV164" s="234"/>
      <c r="AW164" s="234"/>
      <c r="AX164" s="234"/>
      <c r="AY164" s="234"/>
      <c r="AZ164" s="234"/>
      <c r="BA164" s="234"/>
      <c r="BB164" s="16">
        <f t="shared" si="169"/>
        <v>0</v>
      </c>
    </row>
    <row r="165" spans="1:54" ht="41.4" outlineLevel="2">
      <c r="A165" s="98"/>
      <c r="B165" s="102"/>
      <c r="C165" s="23"/>
      <c r="D165" s="251"/>
      <c r="E165" s="251"/>
      <c r="F165" s="251"/>
      <c r="G165" s="250"/>
      <c r="H165" s="272"/>
      <c r="I165" s="258"/>
      <c r="J165" s="259"/>
      <c r="K165" s="259"/>
      <c r="L165" s="106" t="str">
        <f>IF(I165&lt;&gt;0,((VLOOKUP(I165,'1. Standard_Cost'!$B$4:$D$11,2)+VLOOKUP(I165,'1. Standard_Cost'!$B$4:$D$11,3))*J165*K165),"0")</f>
        <v>0</v>
      </c>
      <c r="M165" s="106">
        <f>L165*'1. Standard_Cost'!$F$4</f>
        <v>0</v>
      </c>
      <c r="N165" s="260"/>
      <c r="O165" s="260"/>
      <c r="P165" s="260"/>
      <c r="Q165" s="260"/>
      <c r="R165" s="108">
        <f>'1. Standard_Cost'!$B$15*N165*P165</f>
        <v>0</v>
      </c>
      <c r="S165" s="108">
        <f>N165*O165*P165*'1. Standard_Cost'!$C$15</f>
        <v>0</v>
      </c>
      <c r="T165" s="108">
        <f>N165*P165*Q165*'1. Standard_Cost'!$D$15</f>
        <v>0</v>
      </c>
      <c r="U165" s="108">
        <f>N165*O165*'1. Standard_Cost'!$E$15</f>
        <v>0</v>
      </c>
      <c r="V165" s="260"/>
      <c r="W165" s="260"/>
      <c r="X165" s="260"/>
      <c r="Y165" s="108">
        <f>+V165*((X165*'1. Standard_Cost'!$B$19)+(W165*X165*'1. Standard_Cost'!$C$19))</f>
        <v>0</v>
      </c>
      <c r="Z165" s="260"/>
      <c r="AA165" s="260"/>
      <c r="AB165" s="108">
        <f>+Z165*'1. Standard_Cost'!$B$23+AA165*'1. Standard_Cost'!$C$23</f>
        <v>0</v>
      </c>
      <c r="AC165" s="261"/>
      <c r="AD165" s="262"/>
      <c r="AE165" s="108">
        <f>SUM(AD165,AC165,AB165,Y165,U165,T165,S165,R165)*'1. Standard_Cost'!$B$31</f>
        <v>0</v>
      </c>
      <c r="AF165" s="108">
        <f t="shared" si="165"/>
        <v>0</v>
      </c>
      <c r="AG165" s="260"/>
      <c r="AH165" s="260"/>
      <c r="AI165" s="260"/>
      <c r="AJ165" s="263"/>
      <c r="AK165" s="263"/>
      <c r="AL165" s="263"/>
      <c r="AM165" s="108">
        <f>AG165*'1. Standard_Cost'!$B$27+'Incremental_Cost Year 9'!AH165*'1. Standard_Cost'!$C$27+'Incremental_Cost Year 9'!AI165*'1. Standard_Cost'!$D$27+'Incremental_Cost Year 9'!AJ165+'Incremental_Cost Year 9'!AL165+AK165</f>
        <v>0</v>
      </c>
      <c r="AN165" s="108">
        <f>AM165*'1. Standard_Cost'!$C$31</f>
        <v>0</v>
      </c>
      <c r="AO165" s="125" t="s">
        <v>385</v>
      </c>
      <c r="AQ165" s="14">
        <f t="shared" si="166"/>
        <v>0</v>
      </c>
      <c r="AR165" s="14">
        <f t="shared" si="167"/>
        <v>0</v>
      </c>
      <c r="AS165" s="14">
        <f t="shared" si="168"/>
        <v>0</v>
      </c>
      <c r="AT165" s="14">
        <f t="shared" si="170"/>
        <v>0</v>
      </c>
      <c r="AU165" s="234"/>
      <c r="AV165" s="234"/>
      <c r="AW165" s="234"/>
      <c r="AX165" s="234"/>
      <c r="AY165" s="234"/>
      <c r="AZ165" s="234"/>
      <c r="BA165" s="234"/>
      <c r="BB165" s="16">
        <f t="shared" si="169"/>
        <v>0</v>
      </c>
    </row>
    <row r="166" spans="1:54" ht="161.4" customHeight="1" outlineLevel="2">
      <c r="A166" s="98"/>
      <c r="B166" s="102"/>
      <c r="C166" s="23"/>
      <c r="D166" s="251"/>
      <c r="E166" s="251"/>
      <c r="F166" s="161"/>
      <c r="G166" s="161"/>
      <c r="H166" s="166"/>
      <c r="I166" s="258"/>
      <c r="J166" s="259"/>
      <c r="K166" s="259"/>
      <c r="L166" s="106" t="str">
        <f>IF(I166&lt;&gt;0,((VLOOKUP(I166,'1. Standard_Cost'!$B$4:$D$11,2)+VLOOKUP(I166,'1. Standard_Cost'!$B$4:$D$11,3))*J166*K166),"0")</f>
        <v>0</v>
      </c>
      <c r="M166" s="106">
        <f>L166*'1. Standard_Cost'!$F$4</f>
        <v>0</v>
      </c>
      <c r="N166" s="260"/>
      <c r="O166" s="260"/>
      <c r="P166" s="260"/>
      <c r="Q166" s="260"/>
      <c r="R166" s="108">
        <f>'[1]1. Standard_Cost'!$B$15*N166*P166</f>
        <v>0</v>
      </c>
      <c r="S166" s="108">
        <f>N166*O166*P166*'[1]1. Standard_Cost'!$C$15</f>
        <v>0</v>
      </c>
      <c r="T166" s="108">
        <f>N166*P166*Q166*'[1]1. Standard_Cost'!$D$15</f>
        <v>0</v>
      </c>
      <c r="U166" s="108">
        <f>N166*O166*'[1]1. Standard_Cost'!$E$15</f>
        <v>0</v>
      </c>
      <c r="V166" s="260"/>
      <c r="W166" s="260"/>
      <c r="X166" s="260"/>
      <c r="Y166" s="108">
        <f>+V166*((X166*'[1]1. Standard_Cost'!$B$19)+(W166*X166*'[1]1. Standard_Cost'!$C$19))</f>
        <v>0</v>
      </c>
      <c r="Z166" s="260"/>
      <c r="AA166" s="260"/>
      <c r="AB166" s="108">
        <f>+Z166*'[1]1. Standard_Cost'!$B$23+AA166*'[1]1. Standard_Cost'!$C$23</f>
        <v>0</v>
      </c>
      <c r="AC166" s="261"/>
      <c r="AD166" s="262"/>
      <c r="AE166" s="108">
        <f>SUM(AD166,AC166,AB166,Y166,U166,T166,S166,R166)*'[1]1. Standard_Cost'!$B$31</f>
        <v>0</v>
      </c>
      <c r="AF166" s="108">
        <f t="shared" si="165"/>
        <v>0</v>
      </c>
      <c r="AG166" s="260"/>
      <c r="AH166" s="260"/>
      <c r="AI166" s="260"/>
      <c r="AJ166" s="263"/>
      <c r="AK166" s="263"/>
      <c r="AL166" s="263"/>
      <c r="AM166" s="108">
        <f>AG166*'[1]1. Standard_Cost'!$B$27+'[1]Incremental_Cost Year 9'!AH166*'[1]1. Standard_Cost'!$C$27+'[1]Incremental_Cost Year 9'!AI166*'[1]1. Standard_Cost'!$D$27+'[1]Incremental_Cost Year 9'!AJ166+'[1]Incremental_Cost Year 9'!AL166+AK166</f>
        <v>0</v>
      </c>
      <c r="AN166" s="108">
        <f>AM166*'[1]1. Standard_Cost'!$C$31</f>
        <v>0</v>
      </c>
      <c r="AO166" s="163" t="s">
        <v>509</v>
      </c>
      <c r="AQ166" s="14">
        <f t="shared" si="166"/>
        <v>0</v>
      </c>
      <c r="AR166" s="14">
        <f t="shared" si="167"/>
        <v>0</v>
      </c>
      <c r="AS166" s="14">
        <f t="shared" si="168"/>
        <v>0</v>
      </c>
      <c r="AT166" s="14">
        <f t="shared" si="170"/>
        <v>0</v>
      </c>
      <c r="AU166" s="234"/>
      <c r="AV166" s="234"/>
      <c r="AW166" s="234"/>
      <c r="AX166" s="234"/>
      <c r="AY166" s="234"/>
      <c r="AZ166" s="234"/>
      <c r="BA166" s="234"/>
      <c r="BB166" s="16">
        <f t="shared" si="169"/>
        <v>0</v>
      </c>
    </row>
    <row r="167" spans="1:54" ht="32.25" customHeight="1" outlineLevel="2">
      <c r="A167" s="98"/>
      <c r="B167" s="102"/>
      <c r="C167" s="23"/>
      <c r="D167" s="251"/>
      <c r="E167" s="251"/>
      <c r="F167" s="251"/>
      <c r="G167" s="250"/>
      <c r="H167" s="272"/>
      <c r="I167" s="258"/>
      <c r="J167" s="259"/>
      <c r="K167" s="259"/>
      <c r="L167" s="106" t="str">
        <f>IF(I167&lt;&gt;0,((VLOOKUP(I167,'1. Standard_Cost'!$B$4:$D$11,2)+VLOOKUP(I167,'1. Standard_Cost'!$B$4:$D$11,3))*J167*K167),"0")</f>
        <v>0</v>
      </c>
      <c r="M167" s="106">
        <f>L167*'1. Standard_Cost'!$F$4</f>
        <v>0</v>
      </c>
      <c r="N167" s="260"/>
      <c r="O167" s="260"/>
      <c r="P167" s="260"/>
      <c r="Q167" s="260"/>
      <c r="R167" s="108">
        <f>'1. Standard_Cost'!$B$15*N167*P167</f>
        <v>0</v>
      </c>
      <c r="S167" s="108">
        <f>N167*O167*P167*'1. Standard_Cost'!$C$15</f>
        <v>0</v>
      </c>
      <c r="T167" s="108">
        <f>N167*P167*Q167*'1. Standard_Cost'!$D$15</f>
        <v>0</v>
      </c>
      <c r="U167" s="108">
        <f>N167*O167*'1. Standard_Cost'!$E$15</f>
        <v>0</v>
      </c>
      <c r="V167" s="260"/>
      <c r="W167" s="260"/>
      <c r="X167" s="260"/>
      <c r="Y167" s="108">
        <f>+V167*((X167*'1. Standard_Cost'!$B$19)+(W167*X167*'1. Standard_Cost'!$C$19))</f>
        <v>0</v>
      </c>
      <c r="Z167" s="260"/>
      <c r="AA167" s="260"/>
      <c r="AB167" s="108">
        <f>+Z167*'1. Standard_Cost'!$B$23+AA167*'1. Standard_Cost'!$C$23</f>
        <v>0</v>
      </c>
      <c r="AC167" s="261"/>
      <c r="AD167" s="262"/>
      <c r="AE167" s="108">
        <f>SUM(AD167,AC167,AB167,Y167,U167,T167,S167,R167)*'1. Standard_Cost'!$B$31</f>
        <v>0</v>
      </c>
      <c r="AF167" s="108">
        <f t="shared" si="165"/>
        <v>0</v>
      </c>
      <c r="AG167" s="260"/>
      <c r="AH167" s="260"/>
      <c r="AI167" s="260"/>
      <c r="AJ167" s="263"/>
      <c r="AK167" s="263"/>
      <c r="AL167" s="263"/>
      <c r="AM167" s="108">
        <f>AG167*'1. Standard_Cost'!$B$27+'Incremental_Cost Year 9'!AH167*'1. Standard_Cost'!$C$27+'Incremental_Cost Year 9'!AI167*'1. Standard_Cost'!$D$27+'Incremental_Cost Year 9'!AJ167+'Incremental_Cost Year 9'!AL167+AK167</f>
        <v>0</v>
      </c>
      <c r="AN167" s="108">
        <f>AM167*'1. Standard_Cost'!$C$31</f>
        <v>0</v>
      </c>
      <c r="AO167" s="137" t="s">
        <v>386</v>
      </c>
      <c r="AQ167" s="14">
        <f t="shared" si="166"/>
        <v>0</v>
      </c>
      <c r="AR167" s="14">
        <f t="shared" si="167"/>
        <v>0</v>
      </c>
      <c r="AS167" s="14">
        <f t="shared" si="168"/>
        <v>0</v>
      </c>
      <c r="AT167" s="14">
        <f t="shared" si="170"/>
        <v>0</v>
      </c>
      <c r="AU167" s="234"/>
      <c r="AV167" s="234"/>
      <c r="AW167" s="234"/>
      <c r="AX167" s="234"/>
      <c r="AY167" s="234"/>
      <c r="AZ167" s="234"/>
      <c r="BA167" s="234"/>
      <c r="BB167" s="16">
        <f t="shared" si="169"/>
        <v>0</v>
      </c>
    </row>
    <row r="168" spans="1:54" ht="27.6" outlineLevel="1">
      <c r="A168" s="98"/>
      <c r="B168" s="102"/>
      <c r="C168" s="23"/>
      <c r="D168" s="56" t="s">
        <v>47</v>
      </c>
      <c r="E168" s="56" t="s">
        <v>234</v>
      </c>
      <c r="F168" s="253">
        <v>2021</v>
      </c>
      <c r="G168" s="254">
        <v>2026</v>
      </c>
      <c r="H168" s="279" t="s">
        <v>189</v>
      </c>
      <c r="I168" s="264"/>
      <c r="J168" s="264"/>
      <c r="K168" s="264"/>
      <c r="L168" s="113">
        <f>SUM(L144:L167)</f>
        <v>0</v>
      </c>
      <c r="M168" s="113">
        <f>SUM(M144:M167)</f>
        <v>0</v>
      </c>
      <c r="N168" s="264"/>
      <c r="O168" s="264"/>
      <c r="P168" s="264"/>
      <c r="Q168" s="264"/>
      <c r="R168" s="113">
        <f t="shared" ref="R168:U168" si="171">SUM(R144:R167)</f>
        <v>0</v>
      </c>
      <c r="S168" s="113">
        <f t="shared" si="171"/>
        <v>0</v>
      </c>
      <c r="T168" s="113">
        <f t="shared" si="171"/>
        <v>0</v>
      </c>
      <c r="U168" s="113">
        <f t="shared" si="171"/>
        <v>0</v>
      </c>
      <c r="V168" s="264"/>
      <c r="W168" s="264"/>
      <c r="X168" s="264"/>
      <c r="Y168" s="113">
        <f>SUM(Y144:Y167)</f>
        <v>0</v>
      </c>
      <c r="Z168" s="265"/>
      <c r="AA168" s="264"/>
      <c r="AB168" s="113">
        <f t="shared" ref="AB168:AF168" si="172">SUM(AB144:AB167)</f>
        <v>0</v>
      </c>
      <c r="AC168" s="265">
        <f t="shared" si="172"/>
        <v>0</v>
      </c>
      <c r="AD168" s="265">
        <f t="shared" si="172"/>
        <v>0</v>
      </c>
      <c r="AE168" s="113">
        <f t="shared" si="172"/>
        <v>0</v>
      </c>
      <c r="AF168" s="113">
        <f t="shared" si="172"/>
        <v>0</v>
      </c>
      <c r="AG168" s="264"/>
      <c r="AH168" s="264"/>
      <c r="AI168" s="264"/>
      <c r="AJ168" s="265">
        <f t="shared" ref="AJ168:AL168" si="173">SUM(AJ144:AJ167)</f>
        <v>0</v>
      </c>
      <c r="AK168" s="265">
        <f t="shared" si="173"/>
        <v>0</v>
      </c>
      <c r="AL168" s="265">
        <f t="shared" si="173"/>
        <v>0</v>
      </c>
      <c r="AM168" s="113">
        <f t="shared" ref="AM168:AN168" si="174">SUM(AM144:AM167)</f>
        <v>0</v>
      </c>
      <c r="AN168" s="113">
        <f t="shared" si="174"/>
        <v>0</v>
      </c>
      <c r="AO168" s="131"/>
      <c r="AP168" s="17"/>
      <c r="AQ168" s="113">
        <f t="shared" ref="AQ168:BB168" si="175">SUM(AQ144:AQ167)</f>
        <v>0</v>
      </c>
      <c r="AR168" s="113">
        <f t="shared" si="175"/>
        <v>0</v>
      </c>
      <c r="AS168" s="113">
        <f t="shared" si="175"/>
        <v>0</v>
      </c>
      <c r="AT168" s="113">
        <f t="shared" si="175"/>
        <v>0</v>
      </c>
      <c r="AU168" s="265">
        <f t="shared" si="175"/>
        <v>0</v>
      </c>
      <c r="AV168" s="265">
        <f t="shared" si="175"/>
        <v>0</v>
      </c>
      <c r="AW168" s="265">
        <f t="shared" si="175"/>
        <v>0</v>
      </c>
      <c r="AX168" s="265">
        <f t="shared" si="175"/>
        <v>0</v>
      </c>
      <c r="AY168" s="265">
        <f t="shared" si="175"/>
        <v>0</v>
      </c>
      <c r="AZ168" s="265">
        <f t="shared" si="175"/>
        <v>0</v>
      </c>
      <c r="BA168" s="265">
        <f t="shared" si="175"/>
        <v>0</v>
      </c>
      <c r="BB168" s="113">
        <f t="shared" si="175"/>
        <v>0</v>
      </c>
    </row>
    <row r="169" spans="1:54" ht="15.6" outlineLevel="2">
      <c r="A169" s="98"/>
      <c r="B169" s="102"/>
      <c r="C169" s="23"/>
      <c r="D169" s="257"/>
      <c r="E169" s="123"/>
      <c r="F169" s="249"/>
      <c r="G169" s="283"/>
      <c r="H169" s="272"/>
      <c r="I169" s="258"/>
      <c r="J169" s="259"/>
      <c r="K169" s="259"/>
      <c r="L169" s="106" t="str">
        <f>IF(I169&lt;&gt;0,((VLOOKUP(I169,'1. Standard_Cost'!$B$4:$D$11,2)+VLOOKUP(I169,'1. Standard_Cost'!$B$4:$D$11,3))*J169*K169),"0")</f>
        <v>0</v>
      </c>
      <c r="M169" s="106">
        <f>L169*'1. Standard_Cost'!$F$4</f>
        <v>0</v>
      </c>
      <c r="N169" s="260"/>
      <c r="O169" s="260"/>
      <c r="P169" s="260"/>
      <c r="Q169" s="260"/>
      <c r="R169" s="108">
        <f>'1. Standard_Cost'!$B$15*N169*P169</f>
        <v>0</v>
      </c>
      <c r="S169" s="108">
        <f>N169*O169*P169*'1. Standard_Cost'!$C$15</f>
        <v>0</v>
      </c>
      <c r="T169" s="108">
        <f>N169*P169*Q169*'1. Standard_Cost'!$D$15</f>
        <v>0</v>
      </c>
      <c r="U169" s="108">
        <f>N169*O169*'1. Standard_Cost'!$E$15</f>
        <v>0</v>
      </c>
      <c r="V169" s="260"/>
      <c r="W169" s="260"/>
      <c r="X169" s="260"/>
      <c r="Y169" s="108">
        <f>+V169*((X169*'1. Standard_Cost'!$B$19)+(W169*X169*'1. Standard_Cost'!$C$19))</f>
        <v>0</v>
      </c>
      <c r="Z169" s="260"/>
      <c r="AA169" s="260"/>
      <c r="AB169" s="108">
        <f>+Z169*'1. Standard_Cost'!$B$23+AA169*'1. Standard_Cost'!$C$23</f>
        <v>0</v>
      </c>
      <c r="AC169" s="261"/>
      <c r="AD169" s="262"/>
      <c r="AE169" s="108">
        <f>SUM(AD169,AC169,AB169,Y169,U169,T169,S169,R169)*'1. Standard_Cost'!$B$31</f>
        <v>0</v>
      </c>
      <c r="AF169" s="108">
        <f t="shared" ref="AF169:AF177" si="176">SUM(AE169,AD169,AC169,AB169,Y169,U169,T169,S169,R169)</f>
        <v>0</v>
      </c>
      <c r="AG169" s="260"/>
      <c r="AH169" s="260"/>
      <c r="AI169" s="260"/>
      <c r="AJ169" s="263"/>
      <c r="AK169" s="263"/>
      <c r="AL169" s="263"/>
      <c r="AM169" s="108">
        <f>AG169*'1. Standard_Cost'!$B$27+'Incremental_Cost Year 9'!AH169*'1. Standard_Cost'!$C$27+'Incremental_Cost Year 9'!AI169*'1. Standard_Cost'!$D$27+'Incremental_Cost Year 9'!AJ169+'Incremental_Cost Year 9'!AL169+AK169</f>
        <v>0</v>
      </c>
      <c r="AN169" s="108">
        <f>AM169*'1. Standard_Cost'!$C$31</f>
        <v>0</v>
      </c>
      <c r="AO169" s="125" t="s">
        <v>387</v>
      </c>
      <c r="AQ169" s="14">
        <f t="shared" ref="AQ169:AQ177" si="177">L169+M169</f>
        <v>0</v>
      </c>
      <c r="AR169" s="14">
        <f t="shared" ref="AR169:AR177" si="178">AF169</f>
        <v>0</v>
      </c>
      <c r="AS169" s="14">
        <f t="shared" ref="AS169:AS177" si="179">AM169+AN169</f>
        <v>0</v>
      </c>
      <c r="AT169" s="14">
        <f>SUM(AQ169,AR169,AS169)</f>
        <v>0</v>
      </c>
      <c r="AU169" s="234"/>
      <c r="AV169" s="234"/>
      <c r="AW169" s="234"/>
      <c r="AX169" s="234"/>
      <c r="AY169" s="234"/>
      <c r="AZ169" s="234"/>
      <c r="BA169" s="234"/>
      <c r="BB169" s="16">
        <f t="shared" ref="BB169:BB177" si="180">SUM(AU169:BA169)-AT169</f>
        <v>0</v>
      </c>
    </row>
    <row r="170" spans="1:54" ht="15.6" outlineLevel="2">
      <c r="A170" s="98"/>
      <c r="B170" s="102"/>
      <c r="C170" s="23"/>
      <c r="D170" s="269"/>
      <c r="E170" s="271"/>
      <c r="F170" s="250"/>
      <c r="G170" s="255"/>
      <c r="H170" s="272"/>
      <c r="I170" s="258"/>
      <c r="J170" s="259"/>
      <c r="K170" s="259"/>
      <c r="L170" s="106" t="str">
        <f>IF(I170&lt;&gt;0,((VLOOKUP(I170,'1. Standard_Cost'!$B$4:$D$11,2)+VLOOKUP(I170,'1. Standard_Cost'!$B$4:$D$11,3))*J170*K170),"0")</f>
        <v>0</v>
      </c>
      <c r="M170" s="106">
        <f>L170*'1. Standard_Cost'!$F$4</f>
        <v>0</v>
      </c>
      <c r="N170" s="260"/>
      <c r="O170" s="260"/>
      <c r="P170" s="260"/>
      <c r="Q170" s="260"/>
      <c r="R170" s="108">
        <f>'1. Standard_Cost'!$B$15*N170*P170</f>
        <v>0</v>
      </c>
      <c r="S170" s="108">
        <f>N170*O170*P170*'1. Standard_Cost'!$C$15</f>
        <v>0</v>
      </c>
      <c r="T170" s="108">
        <f>N170*P170*Q170*'1. Standard_Cost'!$D$15</f>
        <v>0</v>
      </c>
      <c r="U170" s="108">
        <f>N170*O170*'1. Standard_Cost'!$E$15</f>
        <v>0</v>
      </c>
      <c r="V170" s="260"/>
      <c r="W170" s="260"/>
      <c r="X170" s="260"/>
      <c r="Y170" s="108">
        <f>+V170*((X170*'1. Standard_Cost'!$B$19)+(W170*X170*'1. Standard_Cost'!$C$19))</f>
        <v>0</v>
      </c>
      <c r="Z170" s="260"/>
      <c r="AA170" s="260"/>
      <c r="AB170" s="108">
        <f>+Z170*'1. Standard_Cost'!$B$23+AA170*'1. Standard_Cost'!$C$23</f>
        <v>0</v>
      </c>
      <c r="AC170" s="261"/>
      <c r="AD170" s="262"/>
      <c r="AE170" s="108">
        <f>SUM(AD170,AC170,AB170,Y170,U170,T170,S170,R170)*'1. Standard_Cost'!$B$31</f>
        <v>0</v>
      </c>
      <c r="AF170" s="108">
        <f t="shared" si="176"/>
        <v>0</v>
      </c>
      <c r="AG170" s="260"/>
      <c r="AH170" s="260"/>
      <c r="AI170" s="260"/>
      <c r="AJ170" s="263"/>
      <c r="AK170" s="263"/>
      <c r="AL170" s="263"/>
      <c r="AM170" s="108">
        <f>AG170*'1. Standard_Cost'!$B$27+'Incremental_Cost Year 9'!AH170*'1. Standard_Cost'!$C$27+'Incremental_Cost Year 9'!AI170*'1. Standard_Cost'!$D$27+'Incremental_Cost Year 9'!AJ170+'Incremental_Cost Year 9'!AL170+AK170</f>
        <v>0</v>
      </c>
      <c r="AN170" s="108">
        <f>AM170*'1. Standard_Cost'!$C$31</f>
        <v>0</v>
      </c>
      <c r="AO170" s="125" t="s">
        <v>388</v>
      </c>
      <c r="AQ170" s="14">
        <f t="shared" si="177"/>
        <v>0</v>
      </c>
      <c r="AR170" s="14">
        <f t="shared" si="178"/>
        <v>0</v>
      </c>
      <c r="AS170" s="14">
        <f t="shared" si="179"/>
        <v>0</v>
      </c>
      <c r="AT170" s="14">
        <f t="shared" ref="AT170:AT177" si="181">SUM(AQ170,AR170,AS170)</f>
        <v>0</v>
      </c>
      <c r="AU170" s="234"/>
      <c r="AV170" s="234"/>
      <c r="AW170" s="234"/>
      <c r="AX170" s="234"/>
      <c r="AY170" s="234"/>
      <c r="AZ170" s="234"/>
      <c r="BA170" s="234"/>
      <c r="BB170" s="16">
        <f t="shared" si="180"/>
        <v>0</v>
      </c>
    </row>
    <row r="171" spans="1:54" ht="27.6" outlineLevel="2">
      <c r="A171" s="98"/>
      <c r="B171" s="102"/>
      <c r="C171" s="23"/>
      <c r="D171" s="269"/>
      <c r="E171" s="271"/>
      <c r="F171" s="250"/>
      <c r="G171" s="255"/>
      <c r="H171" s="272"/>
      <c r="I171" s="258"/>
      <c r="J171" s="259"/>
      <c r="K171" s="259"/>
      <c r="L171" s="106" t="str">
        <f>IF(I171&lt;&gt;0,((VLOOKUP(I171,'1. Standard_Cost'!$B$4:$D$11,2)+VLOOKUP(I171,'1. Standard_Cost'!$B$4:$D$11,3))*J171*K171),"0")</f>
        <v>0</v>
      </c>
      <c r="M171" s="106">
        <f>L171*'1. Standard_Cost'!$F$4</f>
        <v>0</v>
      </c>
      <c r="N171" s="260"/>
      <c r="O171" s="260"/>
      <c r="P171" s="260"/>
      <c r="Q171" s="260"/>
      <c r="R171" s="108">
        <f>'1. Standard_Cost'!$B$15*N171*P171</f>
        <v>0</v>
      </c>
      <c r="S171" s="108">
        <f>N171*O171*P171*'1. Standard_Cost'!$C$15</f>
        <v>0</v>
      </c>
      <c r="T171" s="108">
        <f>N171*P171*Q171*'1. Standard_Cost'!$D$15</f>
        <v>0</v>
      </c>
      <c r="U171" s="108">
        <f>N171*O171*'1. Standard_Cost'!$E$15</f>
        <v>0</v>
      </c>
      <c r="V171" s="260"/>
      <c r="W171" s="260"/>
      <c r="X171" s="260"/>
      <c r="Y171" s="108">
        <f>+V171*((X171*'1. Standard_Cost'!$B$19)+(W171*X171*'1. Standard_Cost'!$C$19))</f>
        <v>0</v>
      </c>
      <c r="Z171" s="260"/>
      <c r="AA171" s="260"/>
      <c r="AB171" s="108">
        <f>+Z171*'1. Standard_Cost'!$B$23+AA171*'1. Standard_Cost'!$C$23</f>
        <v>0</v>
      </c>
      <c r="AC171" s="261"/>
      <c r="AD171" s="262"/>
      <c r="AE171" s="108">
        <f>SUM(AD171,AC171,AB171,Y171,U171,T171,S171,R171)*'1. Standard_Cost'!$B$31</f>
        <v>0</v>
      </c>
      <c r="AF171" s="108">
        <f t="shared" si="176"/>
        <v>0</v>
      </c>
      <c r="AG171" s="260"/>
      <c r="AH171" s="260"/>
      <c r="AI171" s="260"/>
      <c r="AJ171" s="263"/>
      <c r="AK171" s="263"/>
      <c r="AL171" s="263"/>
      <c r="AM171" s="108">
        <f>AG171*'1. Standard_Cost'!$B$27+'Incremental_Cost Year 9'!AH171*'1. Standard_Cost'!$C$27+'Incremental_Cost Year 9'!AI171*'1. Standard_Cost'!$D$27+'Incremental_Cost Year 9'!AJ171+'Incremental_Cost Year 9'!AL171+AK171</f>
        <v>0</v>
      </c>
      <c r="AN171" s="108">
        <f>AM171*'1. Standard_Cost'!$C$31</f>
        <v>0</v>
      </c>
      <c r="AO171" s="125" t="s">
        <v>389</v>
      </c>
      <c r="AQ171" s="14">
        <f t="shared" si="177"/>
        <v>0</v>
      </c>
      <c r="AR171" s="14">
        <f t="shared" si="178"/>
        <v>0</v>
      </c>
      <c r="AS171" s="14">
        <f t="shared" si="179"/>
        <v>0</v>
      </c>
      <c r="AT171" s="14">
        <f t="shared" si="181"/>
        <v>0</v>
      </c>
      <c r="AU171" s="234"/>
      <c r="AV171" s="234"/>
      <c r="AW171" s="234"/>
      <c r="AX171" s="234"/>
      <c r="AY171" s="234"/>
      <c r="AZ171" s="234"/>
      <c r="BA171" s="234"/>
      <c r="BB171" s="16">
        <f t="shared" si="180"/>
        <v>0</v>
      </c>
    </row>
    <row r="172" spans="1:54" ht="15.6" outlineLevel="2">
      <c r="A172" s="98"/>
      <c r="B172" s="102"/>
      <c r="C172" s="23"/>
      <c r="D172" s="269"/>
      <c r="E172" s="271"/>
      <c r="F172" s="250"/>
      <c r="G172" s="255"/>
      <c r="H172" s="272"/>
      <c r="I172" s="258"/>
      <c r="J172" s="259"/>
      <c r="K172" s="259"/>
      <c r="L172" s="106" t="str">
        <f>IF(I172&lt;&gt;0,((VLOOKUP(I172,'1. Standard_Cost'!$B$4:$D$11,2)+VLOOKUP(I172,'1. Standard_Cost'!$B$4:$D$11,3))*J172*K172),"0")</f>
        <v>0</v>
      </c>
      <c r="M172" s="106">
        <f>L172*'1. Standard_Cost'!$F$4</f>
        <v>0</v>
      </c>
      <c r="N172" s="260"/>
      <c r="O172" s="260"/>
      <c r="P172" s="260"/>
      <c r="Q172" s="260"/>
      <c r="R172" s="108">
        <f>'1. Standard_Cost'!$B$15*N172*P172</f>
        <v>0</v>
      </c>
      <c r="S172" s="108">
        <f>N172*O172*P172*'1. Standard_Cost'!$C$15</f>
        <v>0</v>
      </c>
      <c r="T172" s="108">
        <f>N172*P172*Q172*'1. Standard_Cost'!$D$15</f>
        <v>0</v>
      </c>
      <c r="U172" s="108">
        <f>N172*O172*'1. Standard_Cost'!$E$15</f>
        <v>0</v>
      </c>
      <c r="V172" s="260"/>
      <c r="W172" s="260"/>
      <c r="X172" s="260"/>
      <c r="Y172" s="108">
        <f>+V172*((X172*'1. Standard_Cost'!$B$19)+(W172*X172*'1. Standard_Cost'!$C$19))</f>
        <v>0</v>
      </c>
      <c r="Z172" s="260"/>
      <c r="AA172" s="260"/>
      <c r="AB172" s="108">
        <f>+Z172*'1. Standard_Cost'!$B$23+AA172*'1. Standard_Cost'!$C$23</f>
        <v>0</v>
      </c>
      <c r="AC172" s="261"/>
      <c r="AD172" s="262"/>
      <c r="AE172" s="108">
        <f>SUM(AD172,AC172,AB172,Y172,U172,T172,S172,R172)*'1. Standard_Cost'!$B$31</f>
        <v>0</v>
      </c>
      <c r="AF172" s="108">
        <f t="shared" si="176"/>
        <v>0</v>
      </c>
      <c r="AG172" s="260"/>
      <c r="AH172" s="260"/>
      <c r="AI172" s="260"/>
      <c r="AJ172" s="263"/>
      <c r="AK172" s="263"/>
      <c r="AL172" s="263"/>
      <c r="AM172" s="108">
        <f>AG172*'1. Standard_Cost'!$B$27+'Incremental_Cost Year 9'!AH172*'1. Standard_Cost'!$C$27+'Incremental_Cost Year 9'!AI172*'1. Standard_Cost'!$D$27+'Incremental_Cost Year 9'!AJ172+'Incremental_Cost Year 9'!AL172+AK172</f>
        <v>0</v>
      </c>
      <c r="AN172" s="108">
        <f>AM172*'1. Standard_Cost'!$C$31</f>
        <v>0</v>
      </c>
      <c r="AO172" s="125" t="s">
        <v>390</v>
      </c>
      <c r="AQ172" s="14">
        <f t="shared" si="177"/>
        <v>0</v>
      </c>
      <c r="AR172" s="14">
        <f t="shared" si="178"/>
        <v>0</v>
      </c>
      <c r="AS172" s="14">
        <f t="shared" si="179"/>
        <v>0</v>
      </c>
      <c r="AT172" s="14">
        <f t="shared" si="181"/>
        <v>0</v>
      </c>
      <c r="AU172" s="234"/>
      <c r="AV172" s="234"/>
      <c r="AW172" s="234"/>
      <c r="AX172" s="234"/>
      <c r="AY172" s="234"/>
      <c r="AZ172" s="234"/>
      <c r="BA172" s="234"/>
      <c r="BB172" s="16">
        <f t="shared" si="180"/>
        <v>0</v>
      </c>
    </row>
    <row r="173" spans="1:54" ht="15.6" outlineLevel="2">
      <c r="A173" s="98"/>
      <c r="B173" s="102"/>
      <c r="C173" s="23"/>
      <c r="D173" s="269"/>
      <c r="E173" s="271"/>
      <c r="F173" s="250"/>
      <c r="G173" s="255"/>
      <c r="H173" s="272"/>
      <c r="I173" s="258"/>
      <c r="J173" s="259"/>
      <c r="K173" s="259"/>
      <c r="L173" s="106" t="str">
        <f>IF(I173&lt;&gt;0,((VLOOKUP(I173,'1. Standard_Cost'!$B$4:$D$11,2)+VLOOKUP(I173,'1. Standard_Cost'!$B$4:$D$11,3))*J173*K173),"0")</f>
        <v>0</v>
      </c>
      <c r="M173" s="106">
        <f>L173*'1. Standard_Cost'!$F$4</f>
        <v>0</v>
      </c>
      <c r="N173" s="260"/>
      <c r="O173" s="260"/>
      <c r="P173" s="260"/>
      <c r="Q173" s="260"/>
      <c r="R173" s="108">
        <f>'1. Standard_Cost'!$B$15*N173*P173</f>
        <v>0</v>
      </c>
      <c r="S173" s="108">
        <f>N173*O173*P173*'1. Standard_Cost'!$C$15</f>
        <v>0</v>
      </c>
      <c r="T173" s="108">
        <f>N173*P173*Q173*'1. Standard_Cost'!$D$15</f>
        <v>0</v>
      </c>
      <c r="U173" s="108">
        <f>N173*O173*'1. Standard_Cost'!$E$15</f>
        <v>0</v>
      </c>
      <c r="V173" s="260"/>
      <c r="W173" s="260"/>
      <c r="X173" s="260"/>
      <c r="Y173" s="108">
        <f>+V173*((X173*'1. Standard_Cost'!$B$19)+(W173*X173*'1. Standard_Cost'!$C$19))</f>
        <v>0</v>
      </c>
      <c r="Z173" s="260"/>
      <c r="AA173" s="260"/>
      <c r="AB173" s="108">
        <f>+Z173*'1. Standard_Cost'!$B$23+AA173*'1. Standard_Cost'!$C$23</f>
        <v>0</v>
      </c>
      <c r="AC173" s="261"/>
      <c r="AD173" s="262"/>
      <c r="AE173" s="108">
        <f>SUM(AD173,AC173,AB173,Y173,U173,T173,S173,R173)*'1. Standard_Cost'!$B$31</f>
        <v>0</v>
      </c>
      <c r="AF173" s="108">
        <f t="shared" si="176"/>
        <v>0</v>
      </c>
      <c r="AG173" s="260"/>
      <c r="AH173" s="260"/>
      <c r="AI173" s="260"/>
      <c r="AJ173" s="263"/>
      <c r="AK173" s="263"/>
      <c r="AL173" s="263"/>
      <c r="AM173" s="108">
        <f>AG173*'1. Standard_Cost'!$B$27+'Incremental_Cost Year 9'!AH173*'1. Standard_Cost'!$C$27+'Incremental_Cost Year 9'!AI173*'1. Standard_Cost'!$D$27+'Incremental_Cost Year 9'!AJ173+'Incremental_Cost Year 9'!AL173+AK173</f>
        <v>0</v>
      </c>
      <c r="AN173" s="108">
        <f>AM173*'1. Standard_Cost'!$C$31</f>
        <v>0</v>
      </c>
      <c r="AO173" s="125" t="s">
        <v>391</v>
      </c>
      <c r="AQ173" s="14">
        <f t="shared" si="177"/>
        <v>0</v>
      </c>
      <c r="AR173" s="14">
        <f t="shared" si="178"/>
        <v>0</v>
      </c>
      <c r="AS173" s="14">
        <f t="shared" si="179"/>
        <v>0</v>
      </c>
      <c r="AT173" s="14">
        <f t="shared" si="181"/>
        <v>0</v>
      </c>
      <c r="AU173" s="234"/>
      <c r="AV173" s="234"/>
      <c r="AW173" s="234"/>
      <c r="AX173" s="234"/>
      <c r="AY173" s="234"/>
      <c r="AZ173" s="234"/>
      <c r="BA173" s="234"/>
      <c r="BB173" s="16">
        <f t="shared" si="180"/>
        <v>0</v>
      </c>
    </row>
    <row r="174" spans="1:54" ht="15.6" outlineLevel="2">
      <c r="A174" s="98"/>
      <c r="B174" s="102"/>
      <c r="C174" s="23"/>
      <c r="D174" s="269"/>
      <c r="E174" s="271"/>
      <c r="F174" s="250"/>
      <c r="G174" s="255"/>
      <c r="H174" s="272"/>
      <c r="I174" s="258"/>
      <c r="J174" s="259"/>
      <c r="K174" s="259"/>
      <c r="L174" s="106" t="str">
        <f>IF(I174&lt;&gt;0,((VLOOKUP(I174,'1. Standard_Cost'!$B$4:$D$11,2)+VLOOKUP(I174,'1. Standard_Cost'!$B$4:$D$11,3))*J174*K174),"0")</f>
        <v>0</v>
      </c>
      <c r="M174" s="106">
        <f>L174*'1. Standard_Cost'!$F$4</f>
        <v>0</v>
      </c>
      <c r="N174" s="260"/>
      <c r="O174" s="260"/>
      <c r="P174" s="260"/>
      <c r="Q174" s="260"/>
      <c r="R174" s="108">
        <f>'1. Standard_Cost'!$B$15*N174*P174</f>
        <v>0</v>
      </c>
      <c r="S174" s="108">
        <f>N174*O174*P174*'1. Standard_Cost'!$C$15</f>
        <v>0</v>
      </c>
      <c r="T174" s="108">
        <f>N174*P174*Q174*'1. Standard_Cost'!$D$15</f>
        <v>0</v>
      </c>
      <c r="U174" s="108">
        <f>N174*O174*'1. Standard_Cost'!$E$15</f>
        <v>0</v>
      </c>
      <c r="V174" s="260"/>
      <c r="W174" s="260"/>
      <c r="X174" s="260"/>
      <c r="Y174" s="108">
        <f>+V174*((X174*'1. Standard_Cost'!$B$19)+(W174*X174*'1. Standard_Cost'!$C$19))</f>
        <v>0</v>
      </c>
      <c r="Z174" s="260"/>
      <c r="AA174" s="260"/>
      <c r="AB174" s="108">
        <f>+Z174*'1. Standard_Cost'!$B$23+AA174*'1. Standard_Cost'!$C$23</f>
        <v>0</v>
      </c>
      <c r="AC174" s="261"/>
      <c r="AD174" s="262"/>
      <c r="AE174" s="108">
        <f>SUM(AD174,AC174,AB174,Y174,U174,T174,S174,R174)*'1. Standard_Cost'!$B$31</f>
        <v>0</v>
      </c>
      <c r="AF174" s="108">
        <f t="shared" si="176"/>
        <v>0</v>
      </c>
      <c r="AG174" s="260"/>
      <c r="AH174" s="260"/>
      <c r="AI174" s="260"/>
      <c r="AJ174" s="263"/>
      <c r="AK174" s="263"/>
      <c r="AL174" s="263"/>
      <c r="AM174" s="108">
        <f>AG174*'1. Standard_Cost'!$B$27+'Incremental_Cost Year 9'!AH174*'1. Standard_Cost'!$C$27+'Incremental_Cost Year 9'!AI174*'1. Standard_Cost'!$D$27+'Incremental_Cost Year 9'!AJ174+'Incremental_Cost Year 9'!AL174+AK174</f>
        <v>0</v>
      </c>
      <c r="AN174" s="108">
        <f>AM174*'1. Standard_Cost'!$C$31</f>
        <v>0</v>
      </c>
      <c r="AO174" s="125" t="s">
        <v>392</v>
      </c>
      <c r="AQ174" s="14">
        <f t="shared" si="177"/>
        <v>0</v>
      </c>
      <c r="AR174" s="14">
        <f t="shared" si="178"/>
        <v>0</v>
      </c>
      <c r="AS174" s="14">
        <f t="shared" si="179"/>
        <v>0</v>
      </c>
      <c r="AT174" s="14">
        <f t="shared" si="181"/>
        <v>0</v>
      </c>
      <c r="AU174" s="234"/>
      <c r="AV174" s="234"/>
      <c r="AW174" s="234"/>
      <c r="AX174" s="234"/>
      <c r="AY174" s="234"/>
      <c r="AZ174" s="234"/>
      <c r="BA174" s="234"/>
      <c r="BB174" s="16">
        <f t="shared" si="180"/>
        <v>0</v>
      </c>
    </row>
    <row r="175" spans="1:54" ht="27.6" outlineLevel="2">
      <c r="A175" s="98"/>
      <c r="B175" s="102"/>
      <c r="C175" s="23"/>
      <c r="D175" s="269"/>
      <c r="E175" s="271"/>
      <c r="F175" s="250"/>
      <c r="G175" s="255"/>
      <c r="H175" s="272"/>
      <c r="I175" s="258"/>
      <c r="J175" s="259"/>
      <c r="K175" s="259"/>
      <c r="L175" s="106" t="str">
        <f>IF(I175&lt;&gt;0,((VLOOKUP(I175,'1. Standard_Cost'!$B$4:$D$11,2)+VLOOKUP(I175,'1. Standard_Cost'!$B$4:$D$11,3))*J175*K175),"0")</f>
        <v>0</v>
      </c>
      <c r="M175" s="106">
        <f>L175*'1. Standard_Cost'!$F$4</f>
        <v>0</v>
      </c>
      <c r="N175" s="260"/>
      <c r="O175" s="260"/>
      <c r="P175" s="260"/>
      <c r="Q175" s="260"/>
      <c r="R175" s="108">
        <f>'1. Standard_Cost'!$B$15*N175*P175</f>
        <v>0</v>
      </c>
      <c r="S175" s="108">
        <f>N175*O175*P175*'1. Standard_Cost'!$C$15</f>
        <v>0</v>
      </c>
      <c r="T175" s="108">
        <f>N175*P175*Q175*'1. Standard_Cost'!$D$15</f>
        <v>0</v>
      </c>
      <c r="U175" s="108">
        <f>N175*O175*'1. Standard_Cost'!$E$15</f>
        <v>0</v>
      </c>
      <c r="V175" s="260"/>
      <c r="W175" s="260"/>
      <c r="X175" s="260"/>
      <c r="Y175" s="108">
        <f>+V175*((X175*'1. Standard_Cost'!$B$19)+(W175*X175*'1. Standard_Cost'!$C$19))</f>
        <v>0</v>
      </c>
      <c r="Z175" s="260"/>
      <c r="AA175" s="260"/>
      <c r="AB175" s="108">
        <f>+Z175*'1. Standard_Cost'!$B$23+AA175*'1. Standard_Cost'!$C$23</f>
        <v>0</v>
      </c>
      <c r="AC175" s="261"/>
      <c r="AD175" s="262"/>
      <c r="AE175" s="108">
        <f>SUM(AD175,AC175,AB175,Y175,U175,T175,S175,R175)*'1. Standard_Cost'!$B$31</f>
        <v>0</v>
      </c>
      <c r="AF175" s="108">
        <f t="shared" si="176"/>
        <v>0</v>
      </c>
      <c r="AG175" s="260"/>
      <c r="AH175" s="260"/>
      <c r="AI175" s="260"/>
      <c r="AJ175" s="263"/>
      <c r="AK175" s="263"/>
      <c r="AL175" s="263"/>
      <c r="AM175" s="108">
        <f>AG175*'1. Standard_Cost'!$B$27+'Incremental_Cost Year 9'!AH175*'1. Standard_Cost'!$C$27+'Incremental_Cost Year 9'!AI175*'1. Standard_Cost'!$D$27+'Incremental_Cost Year 9'!AJ175+'Incremental_Cost Year 9'!AL175+AK175</f>
        <v>0</v>
      </c>
      <c r="AN175" s="108">
        <f>AM175*'1. Standard_Cost'!$C$31</f>
        <v>0</v>
      </c>
      <c r="AO175" s="125" t="s">
        <v>393</v>
      </c>
      <c r="AQ175" s="14">
        <f t="shared" si="177"/>
        <v>0</v>
      </c>
      <c r="AR175" s="14">
        <f t="shared" si="178"/>
        <v>0</v>
      </c>
      <c r="AS175" s="14">
        <f t="shared" si="179"/>
        <v>0</v>
      </c>
      <c r="AT175" s="14">
        <f t="shared" si="181"/>
        <v>0</v>
      </c>
      <c r="AU175" s="234"/>
      <c r="AV175" s="234"/>
      <c r="AW175" s="234"/>
      <c r="AX175" s="234"/>
      <c r="AY175" s="234"/>
      <c r="AZ175" s="234"/>
      <c r="BA175" s="234"/>
      <c r="BB175" s="16">
        <f t="shared" si="180"/>
        <v>0</v>
      </c>
    </row>
    <row r="176" spans="1:54" ht="25.2" customHeight="1" outlineLevel="2">
      <c r="A176" s="98"/>
      <c r="B176" s="102"/>
      <c r="C176" s="23"/>
      <c r="D176" s="269"/>
      <c r="E176" s="271"/>
      <c r="F176" s="271"/>
      <c r="G176" s="167"/>
      <c r="H176" s="272"/>
      <c r="I176" s="258"/>
      <c r="J176" s="259"/>
      <c r="K176" s="259"/>
      <c r="L176" s="106" t="str">
        <f>IF(I176&lt;&gt;0,((VLOOKUP(I176,'[1]1. Standard_Cost'!$B$4:$D$11,2)+VLOOKUP(I176,'[1]1. Standard_Cost'!$B$4:$D$11,3))*J176*K176),"0")</f>
        <v>0</v>
      </c>
      <c r="M176" s="106">
        <f>L176*'[1]1. Standard_Cost'!$F$4</f>
        <v>0</v>
      </c>
      <c r="N176" s="260"/>
      <c r="O176" s="260"/>
      <c r="P176" s="260"/>
      <c r="Q176" s="260"/>
      <c r="R176" s="108">
        <f>'[1]1. Standard_Cost'!$B$15*N176*P176</f>
        <v>0</v>
      </c>
      <c r="S176" s="108">
        <f>N176*O176*P176*'[1]1. Standard_Cost'!$C$15</f>
        <v>0</v>
      </c>
      <c r="T176" s="108">
        <f>N176*P176*Q176*'[1]1. Standard_Cost'!$D$15</f>
        <v>0</v>
      </c>
      <c r="U176" s="108">
        <f>N176*O176*'[1]1. Standard_Cost'!$E$15</f>
        <v>0</v>
      </c>
      <c r="V176" s="260"/>
      <c r="W176" s="260"/>
      <c r="X176" s="260"/>
      <c r="Y176" s="108">
        <f>+V176*((X176*'[1]1. Standard_Cost'!$B$19)+(W176*X176*'[1]1. Standard_Cost'!$C$19))</f>
        <v>0</v>
      </c>
      <c r="Z176" s="260"/>
      <c r="AA176" s="260"/>
      <c r="AB176" s="108">
        <f>+Z176*'[1]1. Standard_Cost'!$B$23+AA176*'[1]1. Standard_Cost'!$C$23</f>
        <v>0</v>
      </c>
      <c r="AC176" s="261"/>
      <c r="AD176" s="262"/>
      <c r="AE176" s="108">
        <f>SUM(AD176,AC176,AB176,Y176,U176,T176,S176,R176)*'[1]1. Standard_Cost'!$B$31</f>
        <v>0</v>
      </c>
      <c r="AF176" s="108">
        <f t="shared" si="176"/>
        <v>0</v>
      </c>
      <c r="AG176" s="260"/>
      <c r="AH176" s="260"/>
      <c r="AI176" s="260"/>
      <c r="AJ176" s="263"/>
      <c r="AK176" s="263"/>
      <c r="AL176" s="263"/>
      <c r="AM176" s="108">
        <f>AG176*'[1]1. Standard_Cost'!$B$27+'[1]Incremental_Cost Year 9'!AH176*'[1]1. Standard_Cost'!$C$27+'[1]Incremental_Cost Year 9'!AI176*'[1]1. Standard_Cost'!$D$27+'[1]Incremental_Cost Year 9'!AJ176+'[1]Incremental_Cost Year 9'!AL176+AK176</f>
        <v>0</v>
      </c>
      <c r="AN176" s="108">
        <f>AM176*'[1]1. Standard_Cost'!$C$31</f>
        <v>0</v>
      </c>
      <c r="AO176" s="125" t="s">
        <v>393</v>
      </c>
      <c r="AQ176" s="14">
        <f t="shared" si="177"/>
        <v>0</v>
      </c>
      <c r="AR176" s="14">
        <f t="shared" si="178"/>
        <v>0</v>
      </c>
      <c r="AS176" s="14">
        <f t="shared" si="179"/>
        <v>0</v>
      </c>
      <c r="AT176" s="14">
        <f t="shared" si="181"/>
        <v>0</v>
      </c>
      <c r="AU176" s="234"/>
      <c r="AV176" s="234"/>
      <c r="AW176" s="234"/>
      <c r="AX176" s="234"/>
      <c r="AY176" s="234"/>
      <c r="AZ176" s="234"/>
      <c r="BA176" s="234"/>
      <c r="BB176" s="16">
        <f t="shared" si="180"/>
        <v>0</v>
      </c>
    </row>
    <row r="177" spans="1:54" ht="27.6" outlineLevel="2">
      <c r="A177" s="98"/>
      <c r="B177" s="102"/>
      <c r="C177" s="23"/>
      <c r="D177" s="269"/>
      <c r="E177" s="271"/>
      <c r="F177" s="250"/>
      <c r="G177" s="255"/>
      <c r="H177" s="272"/>
      <c r="I177" s="258"/>
      <c r="J177" s="259"/>
      <c r="K177" s="259"/>
      <c r="L177" s="106" t="str">
        <f>IF(I177&lt;&gt;0,((VLOOKUP(I177,'1. Standard_Cost'!$B$4:$D$11,2)+VLOOKUP(I177,'1. Standard_Cost'!$B$4:$D$11,3))*J177*K177),"0")</f>
        <v>0</v>
      </c>
      <c r="M177" s="106">
        <f>L177*'1. Standard_Cost'!$F$4</f>
        <v>0</v>
      </c>
      <c r="N177" s="260"/>
      <c r="O177" s="260"/>
      <c r="P177" s="260"/>
      <c r="Q177" s="260"/>
      <c r="R177" s="108">
        <f>'1. Standard_Cost'!$B$15*N177*P177</f>
        <v>0</v>
      </c>
      <c r="S177" s="108">
        <f>N177*O177*P177*'1. Standard_Cost'!$C$15</f>
        <v>0</v>
      </c>
      <c r="T177" s="108">
        <f>N177*P177*Q177*'1. Standard_Cost'!$D$15</f>
        <v>0</v>
      </c>
      <c r="U177" s="108">
        <f>N177*O177*'1. Standard_Cost'!$E$15</f>
        <v>0</v>
      </c>
      <c r="V177" s="260"/>
      <c r="W177" s="260"/>
      <c r="X177" s="260"/>
      <c r="Y177" s="108">
        <f>+V177*((X177*'1. Standard_Cost'!$B$19)+(W177*X177*'1. Standard_Cost'!$C$19))</f>
        <v>0</v>
      </c>
      <c r="Z177" s="260"/>
      <c r="AA177" s="260"/>
      <c r="AB177" s="108">
        <f>+Z177*'1. Standard_Cost'!$B$23+AA177*'1. Standard_Cost'!$C$23</f>
        <v>0</v>
      </c>
      <c r="AC177" s="261"/>
      <c r="AD177" s="262"/>
      <c r="AE177" s="108">
        <f>SUM(AD177,AC177,AB177,Y177,U177,T177,S177,R177)*'1. Standard_Cost'!$B$31</f>
        <v>0</v>
      </c>
      <c r="AF177" s="108">
        <f t="shared" si="176"/>
        <v>0</v>
      </c>
      <c r="AG177" s="260"/>
      <c r="AH177" s="260"/>
      <c r="AI177" s="260"/>
      <c r="AJ177" s="263"/>
      <c r="AK177" s="263"/>
      <c r="AL177" s="263"/>
      <c r="AM177" s="108">
        <f>AG177*'1. Standard_Cost'!$B$27+'Incremental_Cost Year 9'!AH177*'1. Standard_Cost'!$C$27+'Incremental_Cost Year 9'!AI177*'1. Standard_Cost'!$D$27+'Incremental_Cost Year 9'!AJ177+'Incremental_Cost Year 9'!AL177+AK177</f>
        <v>0</v>
      </c>
      <c r="AN177" s="108">
        <f>AM177*'1. Standard_Cost'!$C$31</f>
        <v>0</v>
      </c>
      <c r="AO177" s="125" t="s">
        <v>394</v>
      </c>
      <c r="AQ177" s="14">
        <f t="shared" si="177"/>
        <v>0</v>
      </c>
      <c r="AR177" s="14">
        <f t="shared" si="178"/>
        <v>0</v>
      </c>
      <c r="AS177" s="14">
        <f t="shared" si="179"/>
        <v>0</v>
      </c>
      <c r="AT177" s="14">
        <f t="shared" si="181"/>
        <v>0</v>
      </c>
      <c r="AU177" s="234"/>
      <c r="AV177" s="234"/>
      <c r="AW177" s="234"/>
      <c r="AX177" s="234"/>
      <c r="AY177" s="234"/>
      <c r="AZ177" s="234"/>
      <c r="BA177" s="234"/>
      <c r="BB177" s="16">
        <f t="shared" si="180"/>
        <v>0</v>
      </c>
    </row>
    <row r="178" spans="1:54" ht="27.6" outlineLevel="1">
      <c r="A178" s="98"/>
      <c r="B178" s="102"/>
      <c r="C178" s="23"/>
      <c r="D178" s="56" t="s">
        <v>47</v>
      </c>
      <c r="E178" s="56" t="s">
        <v>239</v>
      </c>
      <c r="F178" s="253">
        <v>2021</v>
      </c>
      <c r="G178" s="254">
        <v>2026</v>
      </c>
      <c r="H178" s="279" t="s">
        <v>240</v>
      </c>
      <c r="I178" s="264"/>
      <c r="J178" s="264"/>
      <c r="K178" s="264"/>
      <c r="L178" s="113">
        <f>SUM(L169:L177)</f>
        <v>0</v>
      </c>
      <c r="M178" s="113">
        <f>SUM(M169:M177)</f>
        <v>0</v>
      </c>
      <c r="N178" s="264"/>
      <c r="O178" s="264"/>
      <c r="P178" s="264"/>
      <c r="Q178" s="264"/>
      <c r="R178" s="113">
        <f>SUM(R169:R177)</f>
        <v>0</v>
      </c>
      <c r="S178" s="113">
        <f>SUM(S169:S177)</f>
        <v>0</v>
      </c>
      <c r="T178" s="113">
        <f>SUM(T169:T177)</f>
        <v>0</v>
      </c>
      <c r="U178" s="113">
        <f>SUM(U169:U177)</f>
        <v>0</v>
      </c>
      <c r="V178" s="264"/>
      <c r="W178" s="264"/>
      <c r="X178" s="264"/>
      <c r="Y178" s="113">
        <f>SUM(Y169:Y177)</f>
        <v>0</v>
      </c>
      <c r="Z178" s="265"/>
      <c r="AA178" s="264"/>
      <c r="AB178" s="113">
        <f>SUM(AB169:AB177)</f>
        <v>0</v>
      </c>
      <c r="AC178" s="265">
        <f>SUM(AC169:AC177)</f>
        <v>0</v>
      </c>
      <c r="AD178" s="265">
        <f>SUM(AD169:AD177)</f>
        <v>0</v>
      </c>
      <c r="AE178" s="113">
        <f>SUM(AE169:AE177)</f>
        <v>0</v>
      </c>
      <c r="AF178" s="113">
        <f>SUM(AF169:AF177)</f>
        <v>0</v>
      </c>
      <c r="AG178" s="264"/>
      <c r="AH178" s="264"/>
      <c r="AI178" s="264"/>
      <c r="AJ178" s="265">
        <f>SUM(AJ169:AJ177)</f>
        <v>0</v>
      </c>
      <c r="AK178" s="265">
        <f>SUM(AK169:AK177)</f>
        <v>0</v>
      </c>
      <c r="AL178" s="265">
        <f>SUM(AL169:AL177)</f>
        <v>0</v>
      </c>
      <c r="AM178" s="113">
        <f>SUM(AM169:AM177)</f>
        <v>0</v>
      </c>
      <c r="AN178" s="113">
        <f>SUM(AN169:AN177)</f>
        <v>0</v>
      </c>
      <c r="AO178" s="131"/>
      <c r="AP178" s="17"/>
      <c r="AQ178" s="113">
        <f t="shared" ref="AQ178:BB178" si="182">SUM(AQ169:AQ177)</f>
        <v>0</v>
      </c>
      <c r="AR178" s="113">
        <f t="shared" si="182"/>
        <v>0</v>
      </c>
      <c r="AS178" s="113">
        <f t="shared" si="182"/>
        <v>0</v>
      </c>
      <c r="AT178" s="113">
        <f t="shared" si="182"/>
        <v>0</v>
      </c>
      <c r="AU178" s="265">
        <f t="shared" si="182"/>
        <v>0</v>
      </c>
      <c r="AV178" s="265">
        <f t="shared" si="182"/>
        <v>0</v>
      </c>
      <c r="AW178" s="265">
        <f t="shared" si="182"/>
        <v>0</v>
      </c>
      <c r="AX178" s="265">
        <f t="shared" si="182"/>
        <v>0</v>
      </c>
      <c r="AY178" s="265">
        <f t="shared" si="182"/>
        <v>0</v>
      </c>
      <c r="AZ178" s="265">
        <f t="shared" si="182"/>
        <v>0</v>
      </c>
      <c r="BA178" s="265">
        <f t="shared" si="182"/>
        <v>0</v>
      </c>
      <c r="BB178" s="113">
        <f t="shared" si="182"/>
        <v>0</v>
      </c>
    </row>
    <row r="179" spans="1:54" s="24" customFormat="1" ht="13.8" customHeight="1">
      <c r="A179" s="114"/>
      <c r="B179" s="115"/>
      <c r="C179" s="314" t="s">
        <v>241</v>
      </c>
      <c r="D179" s="314"/>
      <c r="E179" s="315"/>
      <c r="F179" s="246"/>
      <c r="G179" s="246"/>
      <c r="H179" s="278" t="s">
        <v>242</v>
      </c>
      <c r="I179" s="266"/>
      <c r="J179" s="266"/>
      <c r="K179" s="266"/>
      <c r="L179" s="117">
        <f>SUM(L201)</f>
        <v>0</v>
      </c>
      <c r="M179" s="117">
        <f>SUM(M201)</f>
        <v>0</v>
      </c>
      <c r="N179" s="266"/>
      <c r="O179" s="266"/>
      <c r="P179" s="266"/>
      <c r="Q179" s="266"/>
      <c r="R179" s="117">
        <f t="shared" ref="R179:U179" si="183">SUM(R201)</f>
        <v>0</v>
      </c>
      <c r="S179" s="117">
        <f t="shared" si="183"/>
        <v>0</v>
      </c>
      <c r="T179" s="117">
        <f t="shared" si="183"/>
        <v>0</v>
      </c>
      <c r="U179" s="117">
        <f t="shared" si="183"/>
        <v>0</v>
      </c>
      <c r="V179" s="266"/>
      <c r="W179" s="266"/>
      <c r="X179" s="266"/>
      <c r="Y179" s="117">
        <f>SUM(Y201)</f>
        <v>0</v>
      </c>
      <c r="Z179" s="267"/>
      <c r="AA179" s="267"/>
      <c r="AB179" s="117">
        <f t="shared" ref="AB179:AF179" si="184">SUM(AB201)</f>
        <v>0</v>
      </c>
      <c r="AC179" s="267">
        <f t="shared" ref="AC179:AD179" si="185">SUM(AC201)</f>
        <v>0</v>
      </c>
      <c r="AD179" s="267">
        <f t="shared" si="185"/>
        <v>0</v>
      </c>
      <c r="AE179" s="117">
        <f t="shared" si="184"/>
        <v>0</v>
      </c>
      <c r="AF179" s="117">
        <f t="shared" si="184"/>
        <v>0</v>
      </c>
      <c r="AG179" s="266"/>
      <c r="AH179" s="266"/>
      <c r="AI179" s="266"/>
      <c r="AJ179" s="267">
        <f t="shared" ref="AJ179:AL179" si="186">SUM(AJ201)</f>
        <v>0</v>
      </c>
      <c r="AK179" s="267">
        <f t="shared" si="186"/>
        <v>0</v>
      </c>
      <c r="AL179" s="267">
        <f t="shared" si="186"/>
        <v>0</v>
      </c>
      <c r="AM179" s="117">
        <f t="shared" ref="AM179:AN179" si="187">SUM(AM201)</f>
        <v>0</v>
      </c>
      <c r="AN179" s="117">
        <f t="shared" si="187"/>
        <v>0</v>
      </c>
      <c r="AO179" s="132"/>
      <c r="AP179" s="25"/>
      <c r="AQ179" s="117">
        <f t="shared" ref="AQ179:BB179" si="188">SUM(AQ201)</f>
        <v>0</v>
      </c>
      <c r="AR179" s="117">
        <f t="shared" si="188"/>
        <v>0</v>
      </c>
      <c r="AS179" s="117">
        <f t="shared" si="188"/>
        <v>0</v>
      </c>
      <c r="AT179" s="117">
        <f t="shared" si="188"/>
        <v>0</v>
      </c>
      <c r="AU179" s="267">
        <f t="shared" ref="AU179:BA179" si="189">SUM(AU201)</f>
        <v>0</v>
      </c>
      <c r="AV179" s="267">
        <f t="shared" si="189"/>
        <v>0</v>
      </c>
      <c r="AW179" s="267">
        <f t="shared" si="189"/>
        <v>0</v>
      </c>
      <c r="AX179" s="267">
        <f t="shared" si="189"/>
        <v>0</v>
      </c>
      <c r="AY179" s="267">
        <f t="shared" si="189"/>
        <v>0</v>
      </c>
      <c r="AZ179" s="267">
        <f t="shared" si="189"/>
        <v>0</v>
      </c>
      <c r="BA179" s="267">
        <f t="shared" si="189"/>
        <v>0</v>
      </c>
      <c r="BB179" s="117">
        <f t="shared" si="188"/>
        <v>0</v>
      </c>
    </row>
    <row r="180" spans="1:54" ht="15.6" outlineLevel="2">
      <c r="A180" s="98"/>
      <c r="B180" s="102"/>
      <c r="C180" s="23"/>
      <c r="D180" s="257"/>
      <c r="E180" s="123"/>
      <c r="F180" s="249"/>
      <c r="G180" s="283"/>
      <c r="H180" s="272"/>
      <c r="I180" s="258"/>
      <c r="J180" s="259"/>
      <c r="K180" s="259"/>
      <c r="L180" s="106" t="str">
        <f>IF(I180&lt;&gt;0,((VLOOKUP(I180,'1. Standard_Cost'!$B$4:$D$11,2)+VLOOKUP(I180,'1. Standard_Cost'!$B$4:$D$11,3))*J180*K180),"0")</f>
        <v>0</v>
      </c>
      <c r="M180" s="106">
        <f>L180*'1. Standard_Cost'!$F$4</f>
        <v>0</v>
      </c>
      <c r="N180" s="260"/>
      <c r="O180" s="260"/>
      <c r="P180" s="260"/>
      <c r="Q180" s="260"/>
      <c r="R180" s="108">
        <f>'1. Standard_Cost'!$B$15*N180*P180</f>
        <v>0</v>
      </c>
      <c r="S180" s="108">
        <f>N180*O180*P180*'1. Standard_Cost'!$C$15</f>
        <v>0</v>
      </c>
      <c r="T180" s="108">
        <f>N180*P180*Q180*'1. Standard_Cost'!$D$15</f>
        <v>0</v>
      </c>
      <c r="U180" s="108">
        <f>N180*O180*'1. Standard_Cost'!$E$15</f>
        <v>0</v>
      </c>
      <c r="V180" s="260"/>
      <c r="W180" s="260"/>
      <c r="X180" s="260"/>
      <c r="Y180" s="108">
        <f>+V180*((X180*'1. Standard_Cost'!$B$19)+(W180*X180*'1. Standard_Cost'!$C$19))</f>
        <v>0</v>
      </c>
      <c r="Z180" s="260"/>
      <c r="AA180" s="260"/>
      <c r="AB180" s="108">
        <f>+Z180*'1. Standard_Cost'!$B$23+AA180*'1. Standard_Cost'!$C$23</f>
        <v>0</v>
      </c>
      <c r="AC180" s="261"/>
      <c r="AD180" s="262"/>
      <c r="AE180" s="108">
        <f>SUM(AD180,AC180,AB180,Y180,U180,T180,S180,R180)*'1. Standard_Cost'!$B$31</f>
        <v>0</v>
      </c>
      <c r="AF180" s="108">
        <f t="shared" ref="AF180:AF200" si="190">SUM(AE180,AD180,AC180,AB180,Y180,U180,T180,S180,R180)</f>
        <v>0</v>
      </c>
      <c r="AG180" s="260"/>
      <c r="AH180" s="260"/>
      <c r="AI180" s="260"/>
      <c r="AJ180" s="263"/>
      <c r="AK180" s="263"/>
      <c r="AL180" s="263"/>
      <c r="AM180" s="108">
        <f>AG180*'1. Standard_Cost'!$B$27+'Incremental_Cost Year 9'!AH180*'1. Standard_Cost'!$C$27+'Incremental_Cost Year 9'!AI180*'1. Standard_Cost'!$D$27+'Incremental_Cost Year 9'!AJ180+'Incremental_Cost Year 9'!AL180+AK180</f>
        <v>0</v>
      </c>
      <c r="AN180" s="108">
        <f>AM180*'1. Standard_Cost'!$C$31</f>
        <v>0</v>
      </c>
      <c r="AO180" s="125" t="s">
        <v>395</v>
      </c>
      <c r="AQ180" s="14">
        <f t="shared" ref="AQ180:AQ200" si="191">L180+M180</f>
        <v>0</v>
      </c>
      <c r="AR180" s="14">
        <f t="shared" ref="AR180:AR200" si="192">AF180</f>
        <v>0</v>
      </c>
      <c r="AS180" s="14">
        <f t="shared" ref="AS180:AS200" si="193">AM180+AN180</f>
        <v>0</v>
      </c>
      <c r="AT180" s="14">
        <f>SUM(AQ180,AR180,AS180)</f>
        <v>0</v>
      </c>
      <c r="AU180" s="234"/>
      <c r="AV180" s="234"/>
      <c r="AW180" s="234"/>
      <c r="AX180" s="234"/>
      <c r="AY180" s="234"/>
      <c r="AZ180" s="234"/>
      <c r="BA180" s="234"/>
      <c r="BB180" s="16">
        <f t="shared" ref="BB180:BB200" si="194">SUM(AU180:BA180)-AT180</f>
        <v>0</v>
      </c>
    </row>
    <row r="181" spans="1:54" ht="27.6" outlineLevel="2">
      <c r="A181" s="98"/>
      <c r="B181" s="102"/>
      <c r="C181" s="23"/>
      <c r="D181" s="269"/>
      <c r="E181" s="271"/>
      <c r="F181" s="250"/>
      <c r="G181" s="255"/>
      <c r="H181" s="272"/>
      <c r="I181" s="258"/>
      <c r="J181" s="259"/>
      <c r="K181" s="259"/>
      <c r="L181" s="106" t="str">
        <f>IF(I181&lt;&gt;0,((VLOOKUP(I181,'1. Standard_Cost'!$B$4:$D$11,2)+VLOOKUP(I181,'1. Standard_Cost'!$B$4:$D$11,3))*J181*K181),"0")</f>
        <v>0</v>
      </c>
      <c r="M181" s="106">
        <f>L181*'1. Standard_Cost'!$F$4</f>
        <v>0</v>
      </c>
      <c r="N181" s="260"/>
      <c r="O181" s="260"/>
      <c r="P181" s="260"/>
      <c r="Q181" s="260"/>
      <c r="R181" s="108">
        <f>'1. Standard_Cost'!$B$15*N181*P181</f>
        <v>0</v>
      </c>
      <c r="S181" s="108">
        <f>N181*O181*P181*'1. Standard_Cost'!$C$15</f>
        <v>0</v>
      </c>
      <c r="T181" s="108">
        <f>N181*P181*Q181*'1. Standard_Cost'!$D$15</f>
        <v>0</v>
      </c>
      <c r="U181" s="108">
        <f>N181*O181*'1. Standard_Cost'!$E$15</f>
        <v>0</v>
      </c>
      <c r="V181" s="260"/>
      <c r="W181" s="260"/>
      <c r="X181" s="260"/>
      <c r="Y181" s="108">
        <f>+V181*((X181*'1. Standard_Cost'!$B$19)+(W181*X181*'1. Standard_Cost'!$C$19))</f>
        <v>0</v>
      </c>
      <c r="Z181" s="260"/>
      <c r="AA181" s="260"/>
      <c r="AB181" s="108">
        <f>+Z181*'1. Standard_Cost'!$B$23+AA181*'1. Standard_Cost'!$C$23</f>
        <v>0</v>
      </c>
      <c r="AC181" s="261"/>
      <c r="AD181" s="262"/>
      <c r="AE181" s="108">
        <f>SUM(AD181,AC181,AB181,Y181,U181,T181,S181,R181)*'1. Standard_Cost'!$B$31</f>
        <v>0</v>
      </c>
      <c r="AF181" s="108">
        <f t="shared" si="190"/>
        <v>0</v>
      </c>
      <c r="AG181" s="260"/>
      <c r="AH181" s="260"/>
      <c r="AI181" s="260"/>
      <c r="AJ181" s="263"/>
      <c r="AK181" s="263"/>
      <c r="AL181" s="263"/>
      <c r="AM181" s="108">
        <f>AG181*'1. Standard_Cost'!$B$27+'Incremental_Cost Year 9'!AH181*'1. Standard_Cost'!$C$27+'Incremental_Cost Year 9'!AI181*'1. Standard_Cost'!$D$27+'Incremental_Cost Year 9'!AJ181+'Incremental_Cost Year 9'!AL181+AK181</f>
        <v>0</v>
      </c>
      <c r="AN181" s="108">
        <f>AM181*'1. Standard_Cost'!$C$31</f>
        <v>0</v>
      </c>
      <c r="AO181" s="125" t="s">
        <v>396</v>
      </c>
      <c r="AQ181" s="14">
        <f t="shared" si="191"/>
        <v>0</v>
      </c>
      <c r="AR181" s="14">
        <f t="shared" si="192"/>
        <v>0</v>
      </c>
      <c r="AS181" s="14">
        <f t="shared" si="193"/>
        <v>0</v>
      </c>
      <c r="AT181" s="14">
        <f t="shared" ref="AT181:AT200" si="195">SUM(AQ181,AR181,AS181)</f>
        <v>0</v>
      </c>
      <c r="AU181" s="234"/>
      <c r="AV181" s="234"/>
      <c r="AW181" s="234"/>
      <c r="AX181" s="234"/>
      <c r="AY181" s="234"/>
      <c r="AZ181" s="234"/>
      <c r="BA181" s="234"/>
      <c r="BB181" s="16">
        <f t="shared" si="194"/>
        <v>0</v>
      </c>
    </row>
    <row r="182" spans="1:54" ht="15.6" outlineLevel="2">
      <c r="A182" s="98"/>
      <c r="B182" s="102"/>
      <c r="C182" s="23"/>
      <c r="D182" s="269"/>
      <c r="E182" s="271"/>
      <c r="F182" s="250"/>
      <c r="G182" s="255"/>
      <c r="H182" s="272"/>
      <c r="I182" s="258"/>
      <c r="J182" s="259"/>
      <c r="K182" s="259"/>
      <c r="L182" s="106" t="str">
        <f>IF(I182&lt;&gt;0,((VLOOKUP(I182,'1. Standard_Cost'!$B$4:$D$11,2)+VLOOKUP(I182,'1. Standard_Cost'!$B$4:$D$11,3))*J182*K182),"0")</f>
        <v>0</v>
      </c>
      <c r="M182" s="106">
        <f>L182*'1. Standard_Cost'!$F$4</f>
        <v>0</v>
      </c>
      <c r="N182" s="260"/>
      <c r="O182" s="260"/>
      <c r="P182" s="260"/>
      <c r="Q182" s="260"/>
      <c r="R182" s="108">
        <f>'1. Standard_Cost'!$B$15*N182*P182</f>
        <v>0</v>
      </c>
      <c r="S182" s="108">
        <f>N182*O182*P182*'1. Standard_Cost'!$C$15</f>
        <v>0</v>
      </c>
      <c r="T182" s="108">
        <f>N182*P182*Q182*'1. Standard_Cost'!$D$15</f>
        <v>0</v>
      </c>
      <c r="U182" s="108">
        <f>N182*O182*'1. Standard_Cost'!$E$15</f>
        <v>0</v>
      </c>
      <c r="V182" s="260"/>
      <c r="W182" s="260"/>
      <c r="X182" s="260"/>
      <c r="Y182" s="108">
        <f>+V182*((X182*'1. Standard_Cost'!$B$19)+(W182*X182*'1. Standard_Cost'!$C$19))</f>
        <v>0</v>
      </c>
      <c r="Z182" s="260"/>
      <c r="AA182" s="260"/>
      <c r="AB182" s="108">
        <f>+Z182*'1. Standard_Cost'!$B$23+AA182*'1. Standard_Cost'!$C$23</f>
        <v>0</v>
      </c>
      <c r="AC182" s="261"/>
      <c r="AD182" s="262"/>
      <c r="AE182" s="108">
        <f>SUM(AD182,AC182,AB182,Y182,U182,T182,S182,R182)*'1. Standard_Cost'!$B$31</f>
        <v>0</v>
      </c>
      <c r="AF182" s="108">
        <f t="shared" si="190"/>
        <v>0</v>
      </c>
      <c r="AG182" s="260"/>
      <c r="AH182" s="260"/>
      <c r="AI182" s="260"/>
      <c r="AJ182" s="263"/>
      <c r="AK182" s="263"/>
      <c r="AL182" s="263"/>
      <c r="AM182" s="108">
        <f>AG182*'1. Standard_Cost'!$B$27+'Incremental_Cost Year 9'!AH182*'1. Standard_Cost'!$C$27+'Incremental_Cost Year 9'!AI182*'1. Standard_Cost'!$D$27+'Incremental_Cost Year 9'!AJ182+'Incremental_Cost Year 9'!AL182+AK182</f>
        <v>0</v>
      </c>
      <c r="AN182" s="108">
        <f>AM182*'1. Standard_Cost'!$C$31</f>
        <v>0</v>
      </c>
      <c r="AO182" s="125" t="s">
        <v>397</v>
      </c>
      <c r="AQ182" s="14">
        <f t="shared" si="191"/>
        <v>0</v>
      </c>
      <c r="AR182" s="14">
        <f t="shared" si="192"/>
        <v>0</v>
      </c>
      <c r="AS182" s="14">
        <f t="shared" si="193"/>
        <v>0</v>
      </c>
      <c r="AT182" s="14">
        <f t="shared" si="195"/>
        <v>0</v>
      </c>
      <c r="AU182" s="234"/>
      <c r="AV182" s="234"/>
      <c r="AW182" s="234"/>
      <c r="AX182" s="234"/>
      <c r="AY182" s="234"/>
      <c r="AZ182" s="234"/>
      <c r="BA182" s="234"/>
      <c r="BB182" s="16">
        <f t="shared" si="194"/>
        <v>0</v>
      </c>
    </row>
    <row r="183" spans="1:54" ht="15.6" outlineLevel="2">
      <c r="A183" s="98"/>
      <c r="B183" s="102"/>
      <c r="C183" s="23"/>
      <c r="D183" s="269"/>
      <c r="E183" s="271"/>
      <c r="F183" s="250"/>
      <c r="G183" s="255"/>
      <c r="H183" s="272"/>
      <c r="I183" s="258"/>
      <c r="J183" s="259"/>
      <c r="K183" s="259"/>
      <c r="L183" s="106" t="str">
        <f>IF(I183&lt;&gt;0,((VLOOKUP(I183,'1. Standard_Cost'!$B$4:$D$11,2)+VLOOKUP(I183,'1. Standard_Cost'!$B$4:$D$11,3))*J183*K183),"0")</f>
        <v>0</v>
      </c>
      <c r="M183" s="106">
        <f>L183*'1. Standard_Cost'!$F$4</f>
        <v>0</v>
      </c>
      <c r="N183" s="260"/>
      <c r="O183" s="260"/>
      <c r="P183" s="260"/>
      <c r="Q183" s="260"/>
      <c r="R183" s="108">
        <f>'1. Standard_Cost'!$B$15*N183*P183</f>
        <v>0</v>
      </c>
      <c r="S183" s="108">
        <f>N183*O183*P183*'1. Standard_Cost'!$C$15</f>
        <v>0</v>
      </c>
      <c r="T183" s="108">
        <f>N183*P183*Q183*'1. Standard_Cost'!$D$15</f>
        <v>0</v>
      </c>
      <c r="U183" s="108">
        <f>N183*O183*'1. Standard_Cost'!$E$15</f>
        <v>0</v>
      </c>
      <c r="V183" s="260"/>
      <c r="W183" s="260"/>
      <c r="X183" s="260"/>
      <c r="Y183" s="108">
        <f>+V183*((X183*'1. Standard_Cost'!$B$19)+(W183*X183*'1. Standard_Cost'!$C$19))</f>
        <v>0</v>
      </c>
      <c r="Z183" s="260"/>
      <c r="AA183" s="260"/>
      <c r="AB183" s="108">
        <f>+Z183*'1. Standard_Cost'!$B$23+AA183*'1. Standard_Cost'!$C$23</f>
        <v>0</v>
      </c>
      <c r="AC183" s="261"/>
      <c r="AD183" s="262"/>
      <c r="AE183" s="108">
        <f>SUM(AD183,AC183,AB183,Y183,U183,T183,S183,R183)*'1. Standard_Cost'!$B$31</f>
        <v>0</v>
      </c>
      <c r="AF183" s="108">
        <f t="shared" si="190"/>
        <v>0</v>
      </c>
      <c r="AG183" s="260"/>
      <c r="AH183" s="260"/>
      <c r="AI183" s="260"/>
      <c r="AJ183" s="263"/>
      <c r="AK183" s="263"/>
      <c r="AL183" s="263"/>
      <c r="AM183" s="108">
        <f>AG183*'1. Standard_Cost'!$B$27+'Incremental_Cost Year 9'!AH183*'1. Standard_Cost'!$C$27+'Incremental_Cost Year 9'!AI183*'1. Standard_Cost'!$D$27+'Incremental_Cost Year 9'!AJ183+'Incremental_Cost Year 9'!AL183+AK183</f>
        <v>0</v>
      </c>
      <c r="AN183" s="108">
        <f>AM183*'1. Standard_Cost'!$C$31</f>
        <v>0</v>
      </c>
      <c r="AO183" s="125" t="s">
        <v>398</v>
      </c>
      <c r="AQ183" s="14">
        <f t="shared" si="191"/>
        <v>0</v>
      </c>
      <c r="AR183" s="14">
        <f t="shared" si="192"/>
        <v>0</v>
      </c>
      <c r="AS183" s="14">
        <f t="shared" si="193"/>
        <v>0</v>
      </c>
      <c r="AT183" s="14">
        <f t="shared" si="195"/>
        <v>0</v>
      </c>
      <c r="AU183" s="234"/>
      <c r="AV183" s="234"/>
      <c r="AW183" s="234"/>
      <c r="AX183" s="234"/>
      <c r="AY183" s="234"/>
      <c r="AZ183" s="234"/>
      <c r="BA183" s="234"/>
      <c r="BB183" s="16">
        <f t="shared" si="194"/>
        <v>0</v>
      </c>
    </row>
    <row r="184" spans="1:54" ht="15.6" outlineLevel="2">
      <c r="A184" s="98"/>
      <c r="B184" s="102"/>
      <c r="C184" s="23"/>
      <c r="D184" s="269"/>
      <c r="E184" s="271"/>
      <c r="F184" s="250"/>
      <c r="G184" s="255"/>
      <c r="H184" s="272"/>
      <c r="I184" s="258"/>
      <c r="J184" s="259"/>
      <c r="K184" s="259"/>
      <c r="L184" s="106" t="str">
        <f>IF(I184&lt;&gt;0,((VLOOKUP(I184,'1. Standard_Cost'!$B$4:$D$11,2)+VLOOKUP(I184,'1. Standard_Cost'!$B$4:$D$11,3))*J184*K184),"0")</f>
        <v>0</v>
      </c>
      <c r="M184" s="106">
        <f>L184*'1. Standard_Cost'!$F$4</f>
        <v>0</v>
      </c>
      <c r="N184" s="260"/>
      <c r="O184" s="260"/>
      <c r="P184" s="260"/>
      <c r="Q184" s="260"/>
      <c r="R184" s="108">
        <f>'1. Standard_Cost'!$B$15*N184*P184</f>
        <v>0</v>
      </c>
      <c r="S184" s="108">
        <f>N184*O184*P184*'1. Standard_Cost'!$C$15</f>
        <v>0</v>
      </c>
      <c r="T184" s="108">
        <f>N184*P184*Q184*'1. Standard_Cost'!$D$15</f>
        <v>0</v>
      </c>
      <c r="U184" s="108">
        <f>N184*O184*'1. Standard_Cost'!$E$15</f>
        <v>0</v>
      </c>
      <c r="V184" s="260"/>
      <c r="W184" s="260"/>
      <c r="X184" s="260"/>
      <c r="Y184" s="108">
        <f>+V184*((X184*'1. Standard_Cost'!$B$19)+(W184*X184*'1. Standard_Cost'!$C$19))</f>
        <v>0</v>
      </c>
      <c r="Z184" s="260"/>
      <c r="AA184" s="260"/>
      <c r="AB184" s="108">
        <f>+Z184*'1. Standard_Cost'!$B$23+AA184*'1. Standard_Cost'!$C$23</f>
        <v>0</v>
      </c>
      <c r="AC184" s="261"/>
      <c r="AD184" s="262"/>
      <c r="AE184" s="108">
        <f>SUM(AD184,AC184,AB184,Y184,U184,T184,S184,R184)*'1. Standard_Cost'!$B$31</f>
        <v>0</v>
      </c>
      <c r="AF184" s="108">
        <f t="shared" si="190"/>
        <v>0</v>
      </c>
      <c r="AG184" s="260"/>
      <c r="AH184" s="260"/>
      <c r="AI184" s="260"/>
      <c r="AJ184" s="263"/>
      <c r="AK184" s="263"/>
      <c r="AL184" s="263"/>
      <c r="AM184" s="108">
        <f>AG184*'1. Standard_Cost'!$B$27+'Incremental_Cost Year 9'!AH184*'1. Standard_Cost'!$C$27+'Incremental_Cost Year 9'!AI184*'1. Standard_Cost'!$D$27+'Incremental_Cost Year 9'!AJ184+'Incremental_Cost Year 9'!AL184+AK184</f>
        <v>0</v>
      </c>
      <c r="AN184" s="108">
        <f>AM184*'1. Standard_Cost'!$C$31</f>
        <v>0</v>
      </c>
      <c r="AO184" s="125" t="s">
        <v>399</v>
      </c>
      <c r="AQ184" s="14">
        <f t="shared" si="191"/>
        <v>0</v>
      </c>
      <c r="AR184" s="14">
        <f t="shared" si="192"/>
        <v>0</v>
      </c>
      <c r="AS184" s="14">
        <f t="shared" si="193"/>
        <v>0</v>
      </c>
      <c r="AT184" s="14">
        <f t="shared" si="195"/>
        <v>0</v>
      </c>
      <c r="AU184" s="234"/>
      <c r="AV184" s="234"/>
      <c r="AW184" s="234"/>
      <c r="AX184" s="234"/>
      <c r="AY184" s="234"/>
      <c r="AZ184" s="234"/>
      <c r="BA184" s="234"/>
      <c r="BB184" s="16">
        <f t="shared" si="194"/>
        <v>0</v>
      </c>
    </row>
    <row r="185" spans="1:54" ht="15.6" outlineLevel="2">
      <c r="A185" s="98"/>
      <c r="B185" s="102"/>
      <c r="C185" s="23"/>
      <c r="D185" s="269"/>
      <c r="E185" s="271"/>
      <c r="F185" s="250"/>
      <c r="G185" s="255"/>
      <c r="H185" s="272"/>
      <c r="I185" s="258"/>
      <c r="J185" s="259"/>
      <c r="K185" s="259"/>
      <c r="L185" s="106" t="str">
        <f>IF(I185&lt;&gt;0,((VLOOKUP(I185,'1. Standard_Cost'!$B$4:$D$11,2)+VLOOKUP(I185,'1. Standard_Cost'!$B$4:$D$11,3))*J185*K185),"0")</f>
        <v>0</v>
      </c>
      <c r="M185" s="106">
        <f>L185*'1. Standard_Cost'!$F$4</f>
        <v>0</v>
      </c>
      <c r="N185" s="260"/>
      <c r="O185" s="260"/>
      <c r="P185" s="260"/>
      <c r="Q185" s="260"/>
      <c r="R185" s="108">
        <f>'1. Standard_Cost'!$B$15*N185*P185</f>
        <v>0</v>
      </c>
      <c r="S185" s="108">
        <f>N185*O185*P185*'1. Standard_Cost'!$C$15</f>
        <v>0</v>
      </c>
      <c r="T185" s="108">
        <f>N185*P185*Q185*'1. Standard_Cost'!$D$15</f>
        <v>0</v>
      </c>
      <c r="U185" s="108">
        <f>N185*O185*'1. Standard_Cost'!$E$15</f>
        <v>0</v>
      </c>
      <c r="V185" s="260"/>
      <c r="W185" s="260"/>
      <c r="X185" s="260"/>
      <c r="Y185" s="108">
        <f>+V185*((X185*'1. Standard_Cost'!$B$19)+(W185*X185*'1. Standard_Cost'!$C$19))</f>
        <v>0</v>
      </c>
      <c r="Z185" s="260"/>
      <c r="AA185" s="260"/>
      <c r="AB185" s="108">
        <f>+Z185*'1. Standard_Cost'!$B$23+AA185*'1. Standard_Cost'!$C$23</f>
        <v>0</v>
      </c>
      <c r="AC185" s="261"/>
      <c r="AD185" s="262"/>
      <c r="AE185" s="108">
        <f>SUM(AD185,AC185,AB185,Y185,U185,T185,S185,R185)*'1. Standard_Cost'!$B$31</f>
        <v>0</v>
      </c>
      <c r="AF185" s="108">
        <f t="shared" si="190"/>
        <v>0</v>
      </c>
      <c r="AG185" s="260"/>
      <c r="AH185" s="260"/>
      <c r="AI185" s="260"/>
      <c r="AJ185" s="263"/>
      <c r="AK185" s="263"/>
      <c r="AL185" s="263"/>
      <c r="AM185" s="108">
        <f>AG185*'1. Standard_Cost'!$B$27+'Incremental_Cost Year 9'!AH185*'1. Standard_Cost'!$C$27+'Incremental_Cost Year 9'!AI185*'1. Standard_Cost'!$D$27+'Incremental_Cost Year 9'!AJ185+'Incremental_Cost Year 9'!AL185+AK185</f>
        <v>0</v>
      </c>
      <c r="AN185" s="108">
        <f>AM185*'1. Standard_Cost'!$C$31</f>
        <v>0</v>
      </c>
      <c r="AO185" s="125" t="s">
        <v>400</v>
      </c>
      <c r="AQ185" s="14">
        <f t="shared" si="191"/>
        <v>0</v>
      </c>
      <c r="AR185" s="14">
        <f t="shared" si="192"/>
        <v>0</v>
      </c>
      <c r="AS185" s="14">
        <f t="shared" si="193"/>
        <v>0</v>
      </c>
      <c r="AT185" s="14">
        <f t="shared" si="195"/>
        <v>0</v>
      </c>
      <c r="AU185" s="234"/>
      <c r="AV185" s="234"/>
      <c r="AW185" s="234"/>
      <c r="AX185" s="234"/>
      <c r="AY185" s="234"/>
      <c r="AZ185" s="234"/>
      <c r="BA185" s="234"/>
      <c r="BB185" s="16">
        <f t="shared" si="194"/>
        <v>0</v>
      </c>
    </row>
    <row r="186" spans="1:54" ht="15.6" outlineLevel="2">
      <c r="A186" s="98"/>
      <c r="B186" s="102"/>
      <c r="C186" s="23"/>
      <c r="D186" s="269"/>
      <c r="E186" s="271"/>
      <c r="F186" s="250"/>
      <c r="G186" s="255"/>
      <c r="H186" s="272"/>
      <c r="I186" s="258"/>
      <c r="J186" s="259"/>
      <c r="K186" s="259"/>
      <c r="L186" s="106" t="str">
        <f>IF(I186&lt;&gt;0,((VLOOKUP(I186,'1. Standard_Cost'!$B$4:$D$11,2)+VLOOKUP(I186,'1. Standard_Cost'!$B$4:$D$11,3))*J186*K186),"0")</f>
        <v>0</v>
      </c>
      <c r="M186" s="106">
        <f>L186*'1. Standard_Cost'!$F$4</f>
        <v>0</v>
      </c>
      <c r="N186" s="260"/>
      <c r="O186" s="260"/>
      <c r="P186" s="260"/>
      <c r="Q186" s="260"/>
      <c r="R186" s="108">
        <f>'1. Standard_Cost'!$B$15*N186*P186</f>
        <v>0</v>
      </c>
      <c r="S186" s="108">
        <f>N186*O186*P186*'1. Standard_Cost'!$C$15</f>
        <v>0</v>
      </c>
      <c r="T186" s="108">
        <f>N186*P186*Q186*'1. Standard_Cost'!$D$15</f>
        <v>0</v>
      </c>
      <c r="U186" s="108">
        <f>N186*O186*'1. Standard_Cost'!$E$15</f>
        <v>0</v>
      </c>
      <c r="V186" s="260"/>
      <c r="W186" s="260"/>
      <c r="X186" s="260"/>
      <c r="Y186" s="108">
        <f>+V186*((X186*'1. Standard_Cost'!$B$19)+(W186*X186*'1. Standard_Cost'!$C$19))</f>
        <v>0</v>
      </c>
      <c r="Z186" s="260"/>
      <c r="AA186" s="260"/>
      <c r="AB186" s="108">
        <f>+Z186*'1. Standard_Cost'!$B$23+AA186*'1. Standard_Cost'!$C$23</f>
        <v>0</v>
      </c>
      <c r="AC186" s="261"/>
      <c r="AD186" s="262"/>
      <c r="AE186" s="108">
        <f>SUM(AD186,AC186,AB186,Y186,U186,T186,S186,R186)*'1. Standard_Cost'!$B$31</f>
        <v>0</v>
      </c>
      <c r="AF186" s="108">
        <f t="shared" si="190"/>
        <v>0</v>
      </c>
      <c r="AG186" s="260"/>
      <c r="AH186" s="260"/>
      <c r="AI186" s="260"/>
      <c r="AJ186" s="263"/>
      <c r="AK186" s="263"/>
      <c r="AL186" s="263"/>
      <c r="AM186" s="108">
        <f>AG186*'1. Standard_Cost'!$B$27+'Incremental_Cost Year 9'!AH186*'1. Standard_Cost'!$C$27+'Incremental_Cost Year 9'!AI186*'1. Standard_Cost'!$D$27+'Incremental_Cost Year 9'!AJ186+'Incremental_Cost Year 9'!AL186+AK186</f>
        <v>0</v>
      </c>
      <c r="AN186" s="108">
        <f>AM186*'1. Standard_Cost'!$C$31</f>
        <v>0</v>
      </c>
      <c r="AO186" s="125" t="s">
        <v>401</v>
      </c>
      <c r="AQ186" s="14">
        <f t="shared" si="191"/>
        <v>0</v>
      </c>
      <c r="AR186" s="14">
        <f t="shared" si="192"/>
        <v>0</v>
      </c>
      <c r="AS186" s="14">
        <f t="shared" si="193"/>
        <v>0</v>
      </c>
      <c r="AT186" s="14">
        <f t="shared" si="195"/>
        <v>0</v>
      </c>
      <c r="AU186" s="234"/>
      <c r="AV186" s="234"/>
      <c r="AW186" s="234"/>
      <c r="AX186" s="234"/>
      <c r="AY186" s="234"/>
      <c r="AZ186" s="234"/>
      <c r="BA186" s="234"/>
      <c r="BB186" s="16">
        <f t="shared" si="194"/>
        <v>0</v>
      </c>
    </row>
    <row r="187" spans="1:54" ht="15.6" outlineLevel="2">
      <c r="A187" s="98"/>
      <c r="B187" s="102"/>
      <c r="C187" s="23"/>
      <c r="D187" s="269"/>
      <c r="E187" s="271"/>
      <c r="F187" s="250"/>
      <c r="G187" s="255"/>
      <c r="H187" s="272"/>
      <c r="I187" s="258"/>
      <c r="J187" s="259"/>
      <c r="K187" s="259"/>
      <c r="L187" s="106" t="str">
        <f>IF(I187&lt;&gt;0,((VLOOKUP(I187,'1. Standard_Cost'!$B$4:$D$11,2)+VLOOKUP(I187,'1. Standard_Cost'!$B$4:$D$11,3))*J187*K187),"0")</f>
        <v>0</v>
      </c>
      <c r="M187" s="106">
        <f>L187*'1. Standard_Cost'!$F$4</f>
        <v>0</v>
      </c>
      <c r="N187" s="260"/>
      <c r="O187" s="260"/>
      <c r="P187" s="260"/>
      <c r="Q187" s="260"/>
      <c r="R187" s="108">
        <f>'1. Standard_Cost'!$B$15*N187*P187</f>
        <v>0</v>
      </c>
      <c r="S187" s="108">
        <f>N187*O187*P187*'1. Standard_Cost'!$C$15</f>
        <v>0</v>
      </c>
      <c r="T187" s="108">
        <f>N187*P187*Q187*'1. Standard_Cost'!$D$15</f>
        <v>0</v>
      </c>
      <c r="U187" s="108">
        <f>N187*O187*'1. Standard_Cost'!$E$15</f>
        <v>0</v>
      </c>
      <c r="V187" s="260"/>
      <c r="W187" s="260"/>
      <c r="X187" s="260"/>
      <c r="Y187" s="108">
        <f>+V187*((X187*'1. Standard_Cost'!$B$19)+(W187*X187*'1. Standard_Cost'!$C$19))</f>
        <v>0</v>
      </c>
      <c r="Z187" s="260"/>
      <c r="AA187" s="260"/>
      <c r="AB187" s="108">
        <f>+Z187*'1. Standard_Cost'!$B$23+AA187*'1. Standard_Cost'!$C$23</f>
        <v>0</v>
      </c>
      <c r="AC187" s="261"/>
      <c r="AD187" s="262"/>
      <c r="AE187" s="108">
        <f>SUM(AD187,AC187,AB187,Y187,U187,T187,S187,R187)*'1. Standard_Cost'!$B$31</f>
        <v>0</v>
      </c>
      <c r="AF187" s="108">
        <f t="shared" si="190"/>
        <v>0</v>
      </c>
      <c r="AG187" s="260"/>
      <c r="AH187" s="260"/>
      <c r="AI187" s="260"/>
      <c r="AJ187" s="263"/>
      <c r="AK187" s="263"/>
      <c r="AL187" s="263"/>
      <c r="AM187" s="108">
        <f>AG187*'1. Standard_Cost'!$B$27+'Incremental_Cost Year 9'!AH187*'1. Standard_Cost'!$C$27+'Incremental_Cost Year 9'!AI187*'1. Standard_Cost'!$D$27+'Incremental_Cost Year 9'!AJ187+'Incremental_Cost Year 9'!AL187+AK187</f>
        <v>0</v>
      </c>
      <c r="AN187" s="108">
        <f>AM187*'1. Standard_Cost'!$C$31</f>
        <v>0</v>
      </c>
      <c r="AO187" s="125" t="s">
        <v>402</v>
      </c>
      <c r="AQ187" s="14">
        <f t="shared" si="191"/>
        <v>0</v>
      </c>
      <c r="AR187" s="14">
        <f t="shared" si="192"/>
        <v>0</v>
      </c>
      <c r="AS187" s="14">
        <f t="shared" si="193"/>
        <v>0</v>
      </c>
      <c r="AT187" s="14">
        <f t="shared" si="195"/>
        <v>0</v>
      </c>
      <c r="AU187" s="234"/>
      <c r="AV187" s="234"/>
      <c r="AW187" s="234"/>
      <c r="AX187" s="234"/>
      <c r="AY187" s="234"/>
      <c r="AZ187" s="234"/>
      <c r="BA187" s="234"/>
      <c r="BB187" s="16">
        <f t="shared" si="194"/>
        <v>0</v>
      </c>
    </row>
    <row r="188" spans="1:54" ht="15.6" outlineLevel="2">
      <c r="A188" s="98"/>
      <c r="B188" s="102"/>
      <c r="C188" s="23"/>
      <c r="D188" s="269"/>
      <c r="E188" s="271"/>
      <c r="F188" s="250"/>
      <c r="G188" s="177"/>
      <c r="H188" s="272"/>
      <c r="I188" s="258"/>
      <c r="J188" s="259"/>
      <c r="K188" s="259"/>
      <c r="L188" s="106" t="str">
        <f>IF(I188&lt;&gt;0,((VLOOKUP(I188,'1. Standard_Cost'!$B$4:$D$11,2)+VLOOKUP(I188,'1. Standard_Cost'!$B$4:$D$11,3))*J188*K188),"0")</f>
        <v>0</v>
      </c>
      <c r="M188" s="106">
        <f>L188*'1. Standard_Cost'!$F$4</f>
        <v>0</v>
      </c>
      <c r="N188" s="260"/>
      <c r="O188" s="260"/>
      <c r="P188" s="260"/>
      <c r="Q188" s="260"/>
      <c r="R188" s="108">
        <f>'1. Standard_Cost'!$B$15*N188*P188</f>
        <v>0</v>
      </c>
      <c r="S188" s="108">
        <f>N188*O188*P188*'1. Standard_Cost'!$C$15</f>
        <v>0</v>
      </c>
      <c r="T188" s="108">
        <f>N188*P188*Q188*'1. Standard_Cost'!$D$15</f>
        <v>0</v>
      </c>
      <c r="U188" s="108">
        <f>N188*O188*'1. Standard_Cost'!$E$15</f>
        <v>0</v>
      </c>
      <c r="V188" s="260"/>
      <c r="W188" s="260"/>
      <c r="X188" s="260"/>
      <c r="Y188" s="108">
        <f>+V188*((X188*'1. Standard_Cost'!$B$19)+(W188*X188*'1. Standard_Cost'!$C$19))</f>
        <v>0</v>
      </c>
      <c r="Z188" s="260"/>
      <c r="AA188" s="260"/>
      <c r="AB188" s="108">
        <f>+Z188*'1. Standard_Cost'!$B$23+AA188*'1. Standard_Cost'!$C$23</f>
        <v>0</v>
      </c>
      <c r="AC188" s="261"/>
      <c r="AD188" s="262"/>
      <c r="AE188" s="108">
        <f>SUM(AD188,AC188,AB188,Y188,U188,T188,S188,R188)*'1. Standard_Cost'!$B$31</f>
        <v>0</v>
      </c>
      <c r="AF188" s="108">
        <f t="shared" si="190"/>
        <v>0</v>
      </c>
      <c r="AG188" s="260"/>
      <c r="AH188" s="260"/>
      <c r="AI188" s="260"/>
      <c r="AJ188" s="263"/>
      <c r="AK188" s="263"/>
      <c r="AL188" s="263"/>
      <c r="AM188" s="108">
        <f>AG188*'1. Standard_Cost'!$B$27+'Incremental_Cost Year 9'!AH188*'1. Standard_Cost'!$C$27+'Incremental_Cost Year 9'!AI188*'1. Standard_Cost'!$D$27+'Incremental_Cost Year 9'!AJ188+'Incremental_Cost Year 9'!AL188+AK188</f>
        <v>0</v>
      </c>
      <c r="AN188" s="108">
        <f>AM188*'1. Standard_Cost'!$C$31</f>
        <v>0</v>
      </c>
      <c r="AO188" s="125" t="s">
        <v>335</v>
      </c>
      <c r="AQ188" s="14">
        <f t="shared" si="191"/>
        <v>0</v>
      </c>
      <c r="AR188" s="14">
        <f t="shared" si="192"/>
        <v>0</v>
      </c>
      <c r="AS188" s="14">
        <f t="shared" si="193"/>
        <v>0</v>
      </c>
      <c r="AT188" s="14">
        <f t="shared" si="195"/>
        <v>0</v>
      </c>
      <c r="AU188" s="234"/>
      <c r="AV188" s="234"/>
      <c r="AW188" s="234"/>
      <c r="AX188" s="234"/>
      <c r="AY188" s="234"/>
      <c r="AZ188" s="234"/>
      <c r="BA188" s="234"/>
      <c r="BB188" s="16">
        <f t="shared" si="194"/>
        <v>0</v>
      </c>
    </row>
    <row r="189" spans="1:54" ht="15.6" outlineLevel="2">
      <c r="A189" s="98"/>
      <c r="B189" s="102"/>
      <c r="C189" s="23"/>
      <c r="D189" s="269"/>
      <c r="E189" s="271"/>
      <c r="F189" s="250"/>
      <c r="G189" s="177"/>
      <c r="H189" s="272"/>
      <c r="I189" s="258"/>
      <c r="J189" s="259"/>
      <c r="K189" s="259"/>
      <c r="L189" s="106" t="str">
        <f>IF(I189&lt;&gt;0,((VLOOKUP(I189,'1. Standard_Cost'!$B$4:$D$11,2)+VLOOKUP(I189,'1. Standard_Cost'!$B$4:$D$11,3))*J189*K189),"0")</f>
        <v>0</v>
      </c>
      <c r="M189" s="106">
        <f>L189*'1. Standard_Cost'!$F$4</f>
        <v>0</v>
      </c>
      <c r="N189" s="260"/>
      <c r="O189" s="260"/>
      <c r="P189" s="260"/>
      <c r="Q189" s="260"/>
      <c r="R189" s="108">
        <f>'1. Standard_Cost'!$B$15*N189*P189</f>
        <v>0</v>
      </c>
      <c r="S189" s="108">
        <f>N189*O189*P189*'1. Standard_Cost'!$C$15</f>
        <v>0</v>
      </c>
      <c r="T189" s="108">
        <f>N189*P189*Q189*'1. Standard_Cost'!$D$15</f>
        <v>0</v>
      </c>
      <c r="U189" s="108">
        <f>N189*O189*'1. Standard_Cost'!$E$15</f>
        <v>0</v>
      </c>
      <c r="V189" s="260"/>
      <c r="W189" s="260"/>
      <c r="X189" s="260"/>
      <c r="Y189" s="108">
        <f>+V189*((X189*'1. Standard_Cost'!$B$19)+(W189*X189*'1. Standard_Cost'!$C$19))</f>
        <v>0</v>
      </c>
      <c r="Z189" s="260"/>
      <c r="AA189" s="260"/>
      <c r="AB189" s="108">
        <f>+Z189*'1. Standard_Cost'!$B$23+AA189*'1. Standard_Cost'!$C$23</f>
        <v>0</v>
      </c>
      <c r="AC189" s="261"/>
      <c r="AD189" s="262"/>
      <c r="AE189" s="108">
        <f>SUM(AD189,AC189,AB189,Y189,U189,T189,S189,R189)*'1. Standard_Cost'!$B$31</f>
        <v>0</v>
      </c>
      <c r="AF189" s="108">
        <f t="shared" si="190"/>
        <v>0</v>
      </c>
      <c r="AG189" s="260"/>
      <c r="AH189" s="260"/>
      <c r="AI189" s="260"/>
      <c r="AJ189" s="263"/>
      <c r="AK189" s="263"/>
      <c r="AL189" s="263"/>
      <c r="AM189" s="108">
        <f>AG189*'1. Standard_Cost'!$B$27+'Incremental_Cost Year 9'!AH189*'1. Standard_Cost'!$C$27+'Incremental_Cost Year 9'!AI189*'1. Standard_Cost'!$D$27+'Incremental_Cost Year 9'!AJ189+'Incremental_Cost Year 9'!AL189+AK189</f>
        <v>0</v>
      </c>
      <c r="AN189" s="108">
        <f>AM189*'1. Standard_Cost'!$C$31</f>
        <v>0</v>
      </c>
      <c r="AO189" s="125" t="s">
        <v>403</v>
      </c>
      <c r="AQ189" s="14">
        <f t="shared" si="191"/>
        <v>0</v>
      </c>
      <c r="AR189" s="14">
        <f t="shared" si="192"/>
        <v>0</v>
      </c>
      <c r="AS189" s="14">
        <f t="shared" si="193"/>
        <v>0</v>
      </c>
      <c r="AT189" s="14">
        <f t="shared" si="195"/>
        <v>0</v>
      </c>
      <c r="AU189" s="234"/>
      <c r="AV189" s="234"/>
      <c r="AW189" s="234"/>
      <c r="AX189" s="234"/>
      <c r="AY189" s="234"/>
      <c r="AZ189" s="234"/>
      <c r="BA189" s="234"/>
      <c r="BB189" s="16">
        <f t="shared" si="194"/>
        <v>0</v>
      </c>
    </row>
    <row r="190" spans="1:54" ht="27.6" outlineLevel="2">
      <c r="A190" s="98"/>
      <c r="B190" s="102"/>
      <c r="C190" s="23"/>
      <c r="D190" s="269"/>
      <c r="E190" s="271"/>
      <c r="F190" s="250"/>
      <c r="G190" s="255"/>
      <c r="H190" s="272"/>
      <c r="I190" s="258"/>
      <c r="J190" s="259"/>
      <c r="K190" s="259"/>
      <c r="L190" s="106" t="str">
        <f>IF(I190&lt;&gt;0,((VLOOKUP(I190,'1. Standard_Cost'!$B$4:$D$11,2)+VLOOKUP(I190,'1. Standard_Cost'!$B$4:$D$11,3))*J190*K190),"0")</f>
        <v>0</v>
      </c>
      <c r="M190" s="106">
        <f>L190*'1. Standard_Cost'!$F$4</f>
        <v>0</v>
      </c>
      <c r="N190" s="260"/>
      <c r="O190" s="260"/>
      <c r="P190" s="260"/>
      <c r="Q190" s="260"/>
      <c r="R190" s="108">
        <f>'1. Standard_Cost'!$B$15*N190*P190</f>
        <v>0</v>
      </c>
      <c r="S190" s="108">
        <f>N190*O190*P190*'1. Standard_Cost'!$C$15</f>
        <v>0</v>
      </c>
      <c r="T190" s="108">
        <f>N190*P190*Q190*'1. Standard_Cost'!$D$15</f>
        <v>0</v>
      </c>
      <c r="U190" s="108">
        <f>N190*O190*'1. Standard_Cost'!$E$15</f>
        <v>0</v>
      </c>
      <c r="V190" s="260"/>
      <c r="W190" s="260"/>
      <c r="X190" s="260"/>
      <c r="Y190" s="108">
        <f>+V190*((X190*'1. Standard_Cost'!$B$19)+(W190*X190*'1. Standard_Cost'!$C$19))</f>
        <v>0</v>
      </c>
      <c r="Z190" s="260"/>
      <c r="AA190" s="260"/>
      <c r="AB190" s="108">
        <f>+Z190*'1. Standard_Cost'!$B$23+AA190*'1. Standard_Cost'!$C$23</f>
        <v>0</v>
      </c>
      <c r="AC190" s="261"/>
      <c r="AD190" s="262"/>
      <c r="AE190" s="108">
        <f>SUM(AD190,AC190,AB190,Y190,U190,T190,S190,R190)*'1. Standard_Cost'!$B$31</f>
        <v>0</v>
      </c>
      <c r="AF190" s="108">
        <f t="shared" si="190"/>
        <v>0</v>
      </c>
      <c r="AG190" s="260"/>
      <c r="AH190" s="260"/>
      <c r="AI190" s="260"/>
      <c r="AJ190" s="263"/>
      <c r="AK190" s="263"/>
      <c r="AL190" s="263"/>
      <c r="AM190" s="108">
        <f>AG190*'1. Standard_Cost'!$B$27+'Incremental_Cost Year 9'!AH190*'1. Standard_Cost'!$C$27+'Incremental_Cost Year 9'!AI190*'1. Standard_Cost'!$D$27+'Incremental_Cost Year 9'!AJ190+'Incremental_Cost Year 9'!AL190+AK190</f>
        <v>0</v>
      </c>
      <c r="AN190" s="108">
        <f>AM190*'1. Standard_Cost'!$C$31</f>
        <v>0</v>
      </c>
      <c r="AO190" s="125" t="s">
        <v>404</v>
      </c>
      <c r="AQ190" s="14">
        <f t="shared" si="191"/>
        <v>0</v>
      </c>
      <c r="AR190" s="14">
        <f t="shared" si="192"/>
        <v>0</v>
      </c>
      <c r="AS190" s="14">
        <f t="shared" si="193"/>
        <v>0</v>
      </c>
      <c r="AT190" s="14">
        <f t="shared" si="195"/>
        <v>0</v>
      </c>
      <c r="AU190" s="234"/>
      <c r="AV190" s="234"/>
      <c r="AW190" s="234"/>
      <c r="AX190" s="234"/>
      <c r="AY190" s="234"/>
      <c r="AZ190" s="234"/>
      <c r="BA190" s="234"/>
      <c r="BB190" s="16">
        <f t="shared" si="194"/>
        <v>0</v>
      </c>
    </row>
    <row r="191" spans="1:54" ht="27.6" outlineLevel="2">
      <c r="A191" s="98"/>
      <c r="B191" s="102"/>
      <c r="C191" s="23"/>
      <c r="D191" s="269"/>
      <c r="E191" s="271"/>
      <c r="F191" s="250"/>
      <c r="G191" s="255"/>
      <c r="H191" s="272"/>
      <c r="I191" s="258"/>
      <c r="J191" s="259"/>
      <c r="K191" s="259"/>
      <c r="L191" s="106" t="str">
        <f>IF(I191&lt;&gt;0,((VLOOKUP(I191,'1. Standard_Cost'!$B$4:$D$11,2)+VLOOKUP(I191,'1. Standard_Cost'!$B$4:$D$11,3))*J191*K191),"0")</f>
        <v>0</v>
      </c>
      <c r="M191" s="106">
        <f>L191*'1. Standard_Cost'!$F$4</f>
        <v>0</v>
      </c>
      <c r="N191" s="260"/>
      <c r="O191" s="260"/>
      <c r="P191" s="260"/>
      <c r="Q191" s="260"/>
      <c r="R191" s="108">
        <f>'1. Standard_Cost'!$B$15*N191*P191</f>
        <v>0</v>
      </c>
      <c r="S191" s="108">
        <f>N191*O191*P191*'1. Standard_Cost'!$C$15</f>
        <v>0</v>
      </c>
      <c r="T191" s="108">
        <f>N191*P191*Q191*'1. Standard_Cost'!$D$15</f>
        <v>0</v>
      </c>
      <c r="U191" s="108">
        <f>N191*O191*'1. Standard_Cost'!$E$15</f>
        <v>0</v>
      </c>
      <c r="V191" s="260"/>
      <c r="W191" s="260"/>
      <c r="X191" s="260"/>
      <c r="Y191" s="108">
        <f>+V191*((X191*'1. Standard_Cost'!$B$19)+(W191*X191*'1. Standard_Cost'!$C$19))</f>
        <v>0</v>
      </c>
      <c r="Z191" s="260"/>
      <c r="AA191" s="260"/>
      <c r="AB191" s="108">
        <f>+Z191*'1. Standard_Cost'!$B$23+AA191*'1. Standard_Cost'!$C$23</f>
        <v>0</v>
      </c>
      <c r="AC191" s="261"/>
      <c r="AD191" s="262"/>
      <c r="AE191" s="108">
        <f>SUM(AD191,AC191,AB191,Y191,U191,T191,S191,R191)*'1. Standard_Cost'!$B$31</f>
        <v>0</v>
      </c>
      <c r="AF191" s="108">
        <f t="shared" si="190"/>
        <v>0</v>
      </c>
      <c r="AG191" s="260"/>
      <c r="AH191" s="260"/>
      <c r="AI191" s="260"/>
      <c r="AJ191" s="263"/>
      <c r="AK191" s="263"/>
      <c r="AL191" s="263"/>
      <c r="AM191" s="108">
        <f>AG191*'1. Standard_Cost'!$B$27+'Incremental_Cost Year 9'!AH191*'1. Standard_Cost'!$C$27+'Incremental_Cost Year 9'!AI191*'1. Standard_Cost'!$D$27+'Incremental_Cost Year 9'!AJ191+'Incremental_Cost Year 9'!AL191+AK191</f>
        <v>0</v>
      </c>
      <c r="AN191" s="108">
        <f>AM191*'1. Standard_Cost'!$C$31</f>
        <v>0</v>
      </c>
      <c r="AO191" s="125" t="s">
        <v>405</v>
      </c>
      <c r="AQ191" s="14">
        <f t="shared" si="191"/>
        <v>0</v>
      </c>
      <c r="AR191" s="14">
        <f t="shared" si="192"/>
        <v>0</v>
      </c>
      <c r="AS191" s="14">
        <f t="shared" si="193"/>
        <v>0</v>
      </c>
      <c r="AT191" s="14">
        <f t="shared" si="195"/>
        <v>0</v>
      </c>
      <c r="AU191" s="234"/>
      <c r="AV191" s="234"/>
      <c r="AW191" s="234"/>
      <c r="AX191" s="234"/>
      <c r="AY191" s="234"/>
      <c r="AZ191" s="234"/>
      <c r="BA191" s="234"/>
      <c r="BB191" s="16">
        <f t="shared" si="194"/>
        <v>0</v>
      </c>
    </row>
    <row r="192" spans="1:54" ht="15.6" outlineLevel="2">
      <c r="A192" s="98"/>
      <c r="B192" s="102"/>
      <c r="C192" s="23"/>
      <c r="D192" s="269"/>
      <c r="E192" s="271"/>
      <c r="F192" s="250"/>
      <c r="G192" s="255"/>
      <c r="H192" s="272"/>
      <c r="I192" s="258"/>
      <c r="J192" s="259"/>
      <c r="K192" s="259"/>
      <c r="L192" s="106" t="str">
        <f>IF(I192&lt;&gt;0,((VLOOKUP(I192,'1. Standard_Cost'!$B$4:$D$11,2)+VLOOKUP(I192,'1. Standard_Cost'!$B$4:$D$11,3))*J192*K192),"0")</f>
        <v>0</v>
      </c>
      <c r="M192" s="106">
        <f>L192*'1. Standard_Cost'!$F$4</f>
        <v>0</v>
      </c>
      <c r="N192" s="260"/>
      <c r="O192" s="260"/>
      <c r="P192" s="260"/>
      <c r="Q192" s="260"/>
      <c r="R192" s="108">
        <f>'1. Standard_Cost'!$B$15*N192*P192</f>
        <v>0</v>
      </c>
      <c r="S192" s="108">
        <f>N192*O192*P192*'1. Standard_Cost'!$C$15</f>
        <v>0</v>
      </c>
      <c r="T192" s="108">
        <f>N192*P192*Q192*'1. Standard_Cost'!$D$15</f>
        <v>0</v>
      </c>
      <c r="U192" s="108">
        <f>N192*O192*'1. Standard_Cost'!$E$15</f>
        <v>0</v>
      </c>
      <c r="V192" s="260"/>
      <c r="W192" s="260"/>
      <c r="X192" s="260"/>
      <c r="Y192" s="108">
        <f>+V192*((X192*'1. Standard_Cost'!$B$19)+(W192*X192*'1. Standard_Cost'!$C$19))</f>
        <v>0</v>
      </c>
      <c r="Z192" s="260"/>
      <c r="AA192" s="260"/>
      <c r="AB192" s="108">
        <f>+Z192*'1. Standard_Cost'!$B$23+AA192*'1. Standard_Cost'!$C$23</f>
        <v>0</v>
      </c>
      <c r="AC192" s="261"/>
      <c r="AD192" s="262"/>
      <c r="AE192" s="108">
        <f>SUM(AD192,AC192,AB192,Y192,U192,T192,S192,R192)*'1. Standard_Cost'!$B$31</f>
        <v>0</v>
      </c>
      <c r="AF192" s="108">
        <f t="shared" si="190"/>
        <v>0</v>
      </c>
      <c r="AG192" s="260"/>
      <c r="AH192" s="260"/>
      <c r="AI192" s="260"/>
      <c r="AJ192" s="263"/>
      <c r="AK192" s="263"/>
      <c r="AL192" s="263"/>
      <c r="AM192" s="108">
        <f>AG192*'1. Standard_Cost'!$B$27+'Incremental_Cost Year 9'!AH192*'1. Standard_Cost'!$C$27+'Incremental_Cost Year 9'!AI192*'1. Standard_Cost'!$D$27+'Incremental_Cost Year 9'!AJ192+'Incremental_Cost Year 9'!AL192+AK192</f>
        <v>0</v>
      </c>
      <c r="AN192" s="108">
        <f>AM192*'1. Standard_Cost'!$C$31</f>
        <v>0</v>
      </c>
      <c r="AO192" s="125" t="s">
        <v>406</v>
      </c>
      <c r="AQ192" s="14">
        <f t="shared" si="191"/>
        <v>0</v>
      </c>
      <c r="AR192" s="14">
        <f t="shared" si="192"/>
        <v>0</v>
      </c>
      <c r="AS192" s="14">
        <f t="shared" si="193"/>
        <v>0</v>
      </c>
      <c r="AT192" s="14">
        <f t="shared" si="195"/>
        <v>0</v>
      </c>
      <c r="AU192" s="234"/>
      <c r="AV192" s="234"/>
      <c r="AW192" s="234"/>
      <c r="AX192" s="234"/>
      <c r="AY192" s="234"/>
      <c r="AZ192" s="234"/>
      <c r="BA192" s="234"/>
      <c r="BB192" s="16">
        <f t="shared" si="194"/>
        <v>0</v>
      </c>
    </row>
    <row r="193" spans="1:54" ht="15.6" outlineLevel="2">
      <c r="A193" s="98"/>
      <c r="B193" s="102"/>
      <c r="C193" s="23"/>
      <c r="D193" s="269"/>
      <c r="E193" s="271"/>
      <c r="F193" s="250"/>
      <c r="G193" s="255"/>
      <c r="H193" s="272"/>
      <c r="I193" s="258"/>
      <c r="J193" s="259"/>
      <c r="K193" s="259"/>
      <c r="L193" s="106" t="str">
        <f>IF(I193&lt;&gt;0,((VLOOKUP(I193,'1. Standard_Cost'!$B$4:$D$11,2)+VLOOKUP(I193,'1. Standard_Cost'!$B$4:$D$11,3))*J193*K193),"0")</f>
        <v>0</v>
      </c>
      <c r="M193" s="106">
        <f>L193*'1. Standard_Cost'!$F$4</f>
        <v>0</v>
      </c>
      <c r="N193" s="260"/>
      <c r="O193" s="260"/>
      <c r="P193" s="260"/>
      <c r="Q193" s="260"/>
      <c r="R193" s="108">
        <f>'1. Standard_Cost'!$B$15*N193*P193</f>
        <v>0</v>
      </c>
      <c r="S193" s="108">
        <f>N193*O193*P193*'1. Standard_Cost'!$C$15</f>
        <v>0</v>
      </c>
      <c r="T193" s="108">
        <f>N193*P193*Q193*'1. Standard_Cost'!$D$15</f>
        <v>0</v>
      </c>
      <c r="U193" s="108">
        <f>N193*O193*'1. Standard_Cost'!$E$15</f>
        <v>0</v>
      </c>
      <c r="V193" s="260"/>
      <c r="W193" s="260"/>
      <c r="X193" s="260"/>
      <c r="Y193" s="108">
        <f>+V193*((X193*'1. Standard_Cost'!$B$19)+(W193*X193*'1. Standard_Cost'!$C$19))</f>
        <v>0</v>
      </c>
      <c r="Z193" s="260"/>
      <c r="AA193" s="260"/>
      <c r="AB193" s="108">
        <f>+Z193*'1. Standard_Cost'!$B$23+AA193*'1. Standard_Cost'!$C$23</f>
        <v>0</v>
      </c>
      <c r="AC193" s="261"/>
      <c r="AD193" s="262"/>
      <c r="AE193" s="108">
        <f>SUM(AD193,AC193,AB193,Y193,U193,T193,S193,R193)*'1. Standard_Cost'!$B$31</f>
        <v>0</v>
      </c>
      <c r="AF193" s="108">
        <f t="shared" si="190"/>
        <v>0</v>
      </c>
      <c r="AG193" s="260"/>
      <c r="AH193" s="260"/>
      <c r="AI193" s="260"/>
      <c r="AJ193" s="263"/>
      <c r="AK193" s="263"/>
      <c r="AL193" s="263"/>
      <c r="AM193" s="108">
        <f>AG193*'1. Standard_Cost'!$B$27+'Incremental_Cost Year 9'!AH193*'1. Standard_Cost'!$C$27+'Incremental_Cost Year 9'!AI193*'1. Standard_Cost'!$D$27+'Incremental_Cost Year 9'!AJ193+'Incremental_Cost Year 9'!AL193+AK193</f>
        <v>0</v>
      </c>
      <c r="AN193" s="108">
        <f>AM193*'1. Standard_Cost'!$C$31</f>
        <v>0</v>
      </c>
      <c r="AO193" s="125" t="s">
        <v>407</v>
      </c>
      <c r="AQ193" s="14">
        <f t="shared" si="191"/>
        <v>0</v>
      </c>
      <c r="AR193" s="14">
        <f t="shared" si="192"/>
        <v>0</v>
      </c>
      <c r="AS193" s="14">
        <f t="shared" si="193"/>
        <v>0</v>
      </c>
      <c r="AT193" s="14">
        <f t="shared" si="195"/>
        <v>0</v>
      </c>
      <c r="AU193" s="234"/>
      <c r="AV193" s="234"/>
      <c r="AW193" s="234"/>
      <c r="AX193" s="234"/>
      <c r="AY193" s="234"/>
      <c r="AZ193" s="234"/>
      <c r="BA193" s="234"/>
      <c r="BB193" s="16">
        <f t="shared" si="194"/>
        <v>0</v>
      </c>
    </row>
    <row r="194" spans="1:54" ht="36" customHeight="1" outlineLevel="2">
      <c r="A194" s="98"/>
      <c r="B194" s="102"/>
      <c r="C194" s="23"/>
      <c r="D194" s="251"/>
      <c r="E194" s="251"/>
      <c r="F194" s="251"/>
      <c r="G194" s="250"/>
      <c r="H194" s="272"/>
      <c r="I194" s="258"/>
      <c r="J194" s="259"/>
      <c r="K194" s="259"/>
      <c r="L194" s="106" t="str">
        <f>IF(I194&lt;&gt;0,((VLOOKUP(I194,'1. Standard_Cost'!$B$4:$D$11,2)+VLOOKUP(I194,'1. Standard_Cost'!$B$4:$D$11,3))*J194*K194),"0")</f>
        <v>0</v>
      </c>
      <c r="M194" s="106">
        <f>L194*'1. Standard_Cost'!$F$4</f>
        <v>0</v>
      </c>
      <c r="N194" s="260"/>
      <c r="O194" s="260"/>
      <c r="P194" s="260"/>
      <c r="Q194" s="260"/>
      <c r="R194" s="108">
        <f>'1. Standard_Cost'!$B$15*N194*P194</f>
        <v>0</v>
      </c>
      <c r="S194" s="108">
        <f>N194*O194*P194*'1. Standard_Cost'!$C$15</f>
        <v>0</v>
      </c>
      <c r="T194" s="108">
        <f>N194*P194*Q194*'1. Standard_Cost'!$D$15</f>
        <v>0</v>
      </c>
      <c r="U194" s="108">
        <f>N194*O194*'1. Standard_Cost'!$E$15</f>
        <v>0</v>
      </c>
      <c r="V194" s="260"/>
      <c r="W194" s="260"/>
      <c r="X194" s="260"/>
      <c r="Y194" s="108">
        <f>+V194*((X194*'1. Standard_Cost'!$B$19)+(W194*X194*'1. Standard_Cost'!$C$19))</f>
        <v>0</v>
      </c>
      <c r="Z194" s="260"/>
      <c r="AA194" s="260"/>
      <c r="AB194" s="108">
        <f>+Z194*'1. Standard_Cost'!$B$23+AA194*'1. Standard_Cost'!$C$23</f>
        <v>0</v>
      </c>
      <c r="AC194" s="261"/>
      <c r="AD194" s="262"/>
      <c r="AE194" s="108">
        <f>SUM(AD194,AC194,AB194,Y194,U194,T194,S194,R194)*'1. Standard_Cost'!$B$31</f>
        <v>0</v>
      </c>
      <c r="AF194" s="108">
        <f t="shared" si="190"/>
        <v>0</v>
      </c>
      <c r="AG194" s="260"/>
      <c r="AH194" s="260"/>
      <c r="AI194" s="260"/>
      <c r="AJ194" s="263"/>
      <c r="AK194" s="263"/>
      <c r="AL194" s="263"/>
      <c r="AM194" s="108">
        <f>AG194*'1. Standard_Cost'!$B$27+'Incremental_Cost Year 9'!AH194*'1. Standard_Cost'!$C$27+'Incremental_Cost Year 9'!AI194*'1. Standard_Cost'!$D$27+'Incremental_Cost Year 9'!AJ194+'Incremental_Cost Year 9'!AL194+AK194</f>
        <v>0</v>
      </c>
      <c r="AN194" s="108">
        <f>AM194*'1. Standard_Cost'!$C$31</f>
        <v>0</v>
      </c>
      <c r="AO194" s="125" t="s">
        <v>408</v>
      </c>
      <c r="AQ194" s="14">
        <f t="shared" si="191"/>
        <v>0</v>
      </c>
      <c r="AR194" s="14">
        <f t="shared" si="192"/>
        <v>0</v>
      </c>
      <c r="AS194" s="14">
        <f t="shared" si="193"/>
        <v>0</v>
      </c>
      <c r="AT194" s="14">
        <f t="shared" si="195"/>
        <v>0</v>
      </c>
      <c r="AU194" s="234"/>
      <c r="AV194" s="234"/>
      <c r="AW194" s="234"/>
      <c r="AX194" s="234"/>
      <c r="AY194" s="234"/>
      <c r="AZ194" s="234"/>
      <c r="BA194" s="234"/>
      <c r="BB194" s="16">
        <f t="shared" si="194"/>
        <v>0</v>
      </c>
    </row>
    <row r="195" spans="1:54" ht="28.95" customHeight="1" outlineLevel="2">
      <c r="A195" s="98"/>
      <c r="B195" s="102"/>
      <c r="C195" s="23"/>
      <c r="D195" s="251"/>
      <c r="E195" s="251"/>
      <c r="F195" s="269"/>
      <c r="G195" s="271"/>
      <c r="H195" s="272"/>
      <c r="I195" s="258"/>
      <c r="J195" s="259"/>
      <c r="K195" s="259"/>
      <c r="L195" s="106" t="str">
        <f>IF(I195&lt;&gt;0,((VLOOKUP(I195,'[1]1. Standard_Cost'!$B$4:$D$11,2)+VLOOKUP(I195,'[1]1. Standard_Cost'!$B$4:$D$11,3))*J195*K195),"0")</f>
        <v>0</v>
      </c>
      <c r="M195" s="106">
        <f>L195*'[1]1. Standard_Cost'!$F$4</f>
        <v>0</v>
      </c>
      <c r="N195" s="260"/>
      <c r="O195" s="260"/>
      <c r="P195" s="260"/>
      <c r="Q195" s="260"/>
      <c r="R195" s="108">
        <f>'[1]1. Standard_Cost'!$B$15*N195*P195</f>
        <v>0</v>
      </c>
      <c r="S195" s="108">
        <f>N195*O195*P195*'[1]1. Standard_Cost'!$C$15</f>
        <v>0</v>
      </c>
      <c r="T195" s="108">
        <f>N195*P195*Q195*'[1]1. Standard_Cost'!$D$15</f>
        <v>0</v>
      </c>
      <c r="U195" s="108">
        <f>N195*O195*'[1]1. Standard_Cost'!$E$15</f>
        <v>0</v>
      </c>
      <c r="V195" s="260"/>
      <c r="W195" s="260"/>
      <c r="X195" s="260"/>
      <c r="Y195" s="108">
        <f>+V195*((X195*'[1]1. Standard_Cost'!$B$19)+(W195*X195*'[1]1. Standard_Cost'!$C$19))</f>
        <v>0</v>
      </c>
      <c r="Z195" s="260"/>
      <c r="AA195" s="260"/>
      <c r="AB195" s="108">
        <f>+Z195*'[1]1. Standard_Cost'!$B$23+AA195*'[1]1. Standard_Cost'!$C$23</f>
        <v>0</v>
      </c>
      <c r="AC195" s="261"/>
      <c r="AD195" s="262"/>
      <c r="AE195" s="108">
        <f>SUM(AD195,AC195,AB195,Y195,U195,T195,S195,R195)*'[1]1. Standard_Cost'!$B$31</f>
        <v>0</v>
      </c>
      <c r="AF195" s="108">
        <f t="shared" si="190"/>
        <v>0</v>
      </c>
      <c r="AG195" s="260"/>
      <c r="AH195" s="260"/>
      <c r="AI195" s="260"/>
      <c r="AJ195" s="263"/>
      <c r="AK195" s="263"/>
      <c r="AL195" s="263"/>
      <c r="AM195" s="108">
        <f>AG195*'[1]1. Standard_Cost'!$B$27+'[1]Incremental_Cost Year 9'!AH195*'[1]1. Standard_Cost'!$C$27+'[1]Incremental_Cost Year 9'!AI195*'[1]1. Standard_Cost'!$D$27+'[1]Incremental_Cost Year 9'!AJ195+'[1]Incremental_Cost Year 9'!AL195+AK195</f>
        <v>0</v>
      </c>
      <c r="AN195" s="108">
        <f>AM195*'[1]1. Standard_Cost'!$C$31</f>
        <v>0</v>
      </c>
      <c r="AO195" s="125" t="s">
        <v>408</v>
      </c>
      <c r="AQ195" s="14">
        <f t="shared" si="191"/>
        <v>0</v>
      </c>
      <c r="AR195" s="14">
        <f t="shared" si="192"/>
        <v>0</v>
      </c>
      <c r="AS195" s="14">
        <f t="shared" si="193"/>
        <v>0</v>
      </c>
      <c r="AT195" s="14">
        <f t="shared" si="195"/>
        <v>0</v>
      </c>
      <c r="AU195" s="234"/>
      <c r="AV195" s="234"/>
      <c r="AW195" s="234"/>
      <c r="AX195" s="234"/>
      <c r="AY195" s="234"/>
      <c r="AZ195" s="234"/>
      <c r="BA195" s="234"/>
      <c r="BB195" s="16">
        <f t="shared" si="194"/>
        <v>0</v>
      </c>
    </row>
    <row r="196" spans="1:54" ht="32.25" customHeight="1" outlineLevel="2">
      <c r="A196" s="98"/>
      <c r="B196" s="102"/>
      <c r="C196" s="23"/>
      <c r="D196" s="251"/>
      <c r="E196" s="251"/>
      <c r="F196" s="251"/>
      <c r="G196" s="250"/>
      <c r="H196" s="272"/>
      <c r="I196" s="258"/>
      <c r="J196" s="259"/>
      <c r="K196" s="259"/>
      <c r="L196" s="106" t="str">
        <f>IF(I196&lt;&gt;0,((VLOOKUP(I196,'1. Standard_Cost'!$B$4:$D$11,2)+VLOOKUP(I196,'1. Standard_Cost'!$B$4:$D$11,3))*J196*K196),"0")</f>
        <v>0</v>
      </c>
      <c r="M196" s="106">
        <f>L196*'1. Standard_Cost'!$F$4</f>
        <v>0</v>
      </c>
      <c r="N196" s="260"/>
      <c r="O196" s="260"/>
      <c r="P196" s="260"/>
      <c r="Q196" s="260"/>
      <c r="R196" s="108">
        <f>'1. Standard_Cost'!$B$15*N196*P196</f>
        <v>0</v>
      </c>
      <c r="S196" s="108">
        <f>N196*O196*P196*'1. Standard_Cost'!$C$15</f>
        <v>0</v>
      </c>
      <c r="T196" s="108">
        <f>N196*P196*Q196*'1. Standard_Cost'!$D$15</f>
        <v>0</v>
      </c>
      <c r="U196" s="108">
        <f>N196*O196*'1. Standard_Cost'!$E$15</f>
        <v>0</v>
      </c>
      <c r="V196" s="260"/>
      <c r="W196" s="260"/>
      <c r="X196" s="260"/>
      <c r="Y196" s="108">
        <f>+V196*((X196*'1. Standard_Cost'!$B$19)+(W196*X196*'1. Standard_Cost'!$C$19))</f>
        <v>0</v>
      </c>
      <c r="Z196" s="260"/>
      <c r="AA196" s="260"/>
      <c r="AB196" s="108">
        <f>+Z196*'1. Standard_Cost'!$B$23+AA196*'1. Standard_Cost'!$C$23</f>
        <v>0</v>
      </c>
      <c r="AC196" s="261"/>
      <c r="AD196" s="262"/>
      <c r="AE196" s="108">
        <f>SUM(AD196,AC196,AB196,Y196,U196,T196,S196,R196)*'1. Standard_Cost'!$B$31</f>
        <v>0</v>
      </c>
      <c r="AF196" s="108">
        <f t="shared" si="190"/>
        <v>0</v>
      </c>
      <c r="AG196" s="260"/>
      <c r="AH196" s="260"/>
      <c r="AI196" s="260"/>
      <c r="AJ196" s="263"/>
      <c r="AK196" s="263"/>
      <c r="AL196" s="263"/>
      <c r="AM196" s="108">
        <f>AG196*'1. Standard_Cost'!$B$27+'Incremental_Cost Year 9'!AH196*'1. Standard_Cost'!$C$27+'Incremental_Cost Year 9'!AI196*'1. Standard_Cost'!$D$27+'Incremental_Cost Year 9'!AJ196+'Incremental_Cost Year 9'!AL196+AK196</f>
        <v>0</v>
      </c>
      <c r="AN196" s="108">
        <f>AM196*'1. Standard_Cost'!$C$31</f>
        <v>0</v>
      </c>
      <c r="AO196" s="125" t="s">
        <v>409</v>
      </c>
      <c r="AQ196" s="14">
        <f t="shared" si="191"/>
        <v>0</v>
      </c>
      <c r="AR196" s="14">
        <f t="shared" si="192"/>
        <v>0</v>
      </c>
      <c r="AS196" s="14">
        <f t="shared" si="193"/>
        <v>0</v>
      </c>
      <c r="AT196" s="14">
        <f t="shared" si="195"/>
        <v>0</v>
      </c>
      <c r="AU196" s="234"/>
      <c r="AV196" s="234"/>
      <c r="AW196" s="234"/>
      <c r="AX196" s="234"/>
      <c r="AY196" s="234"/>
      <c r="AZ196" s="234"/>
      <c r="BA196" s="234"/>
      <c r="BB196" s="16">
        <f t="shared" si="194"/>
        <v>0</v>
      </c>
    </row>
    <row r="197" spans="1:54" ht="45" customHeight="1" outlineLevel="2">
      <c r="A197" s="98"/>
      <c r="B197" s="102"/>
      <c r="C197" s="23"/>
      <c r="D197" s="251"/>
      <c r="E197" s="251"/>
      <c r="F197" s="251"/>
      <c r="G197" s="250"/>
      <c r="H197" s="272"/>
      <c r="I197" s="258"/>
      <c r="J197" s="259"/>
      <c r="K197" s="259"/>
      <c r="L197" s="106" t="str">
        <f>IF(I197&lt;&gt;0,((VLOOKUP(I197,'1. Standard_Cost'!$B$4:$D$11,2)+VLOOKUP(I197,'1. Standard_Cost'!$B$4:$D$11,3))*J197*K197),"0")</f>
        <v>0</v>
      </c>
      <c r="M197" s="106">
        <f>L197*'1. Standard_Cost'!$F$4</f>
        <v>0</v>
      </c>
      <c r="N197" s="260"/>
      <c r="O197" s="260"/>
      <c r="P197" s="260"/>
      <c r="Q197" s="260"/>
      <c r="R197" s="108">
        <f>'1. Standard_Cost'!$B$15*N197*P197</f>
        <v>0</v>
      </c>
      <c r="S197" s="108">
        <f>N197*O197*P197*'1. Standard_Cost'!$C$15</f>
        <v>0</v>
      </c>
      <c r="T197" s="108">
        <f>N197*P197*Q197*'1. Standard_Cost'!$D$15</f>
        <v>0</v>
      </c>
      <c r="U197" s="108">
        <f>N197*O197*'1. Standard_Cost'!$E$15</f>
        <v>0</v>
      </c>
      <c r="V197" s="260"/>
      <c r="W197" s="260"/>
      <c r="X197" s="260"/>
      <c r="Y197" s="108">
        <f>+V197*((X197*'1. Standard_Cost'!$B$19)+(W197*X197*'1. Standard_Cost'!$C$19))</f>
        <v>0</v>
      </c>
      <c r="Z197" s="260"/>
      <c r="AA197" s="260"/>
      <c r="AB197" s="108">
        <f>+Z197*'1. Standard_Cost'!$B$23+AA197*'1. Standard_Cost'!$C$23</f>
        <v>0</v>
      </c>
      <c r="AC197" s="261"/>
      <c r="AD197" s="262"/>
      <c r="AE197" s="108">
        <f>SUM(AD197,AC197,AB197,Y197,U197,T197,S197,R197)*'1. Standard_Cost'!$B$31</f>
        <v>0</v>
      </c>
      <c r="AF197" s="108">
        <f t="shared" si="190"/>
        <v>0</v>
      </c>
      <c r="AG197" s="260"/>
      <c r="AH197" s="260"/>
      <c r="AI197" s="260"/>
      <c r="AJ197" s="263"/>
      <c r="AK197" s="263"/>
      <c r="AL197" s="263"/>
      <c r="AM197" s="108">
        <f>AG197*'1. Standard_Cost'!$B$27+'Incremental_Cost Year 9'!AH197*'1. Standard_Cost'!$C$27+'Incremental_Cost Year 9'!AI197*'1. Standard_Cost'!$D$27+'Incremental_Cost Year 9'!AJ197+'Incremental_Cost Year 9'!AL197+AK197</f>
        <v>0</v>
      </c>
      <c r="AN197" s="108">
        <f>AM197*'1. Standard_Cost'!$C$31</f>
        <v>0</v>
      </c>
      <c r="AO197" s="125" t="s">
        <v>410</v>
      </c>
      <c r="AQ197" s="14">
        <f t="shared" si="191"/>
        <v>0</v>
      </c>
      <c r="AR197" s="14">
        <f t="shared" si="192"/>
        <v>0</v>
      </c>
      <c r="AS197" s="14">
        <f t="shared" si="193"/>
        <v>0</v>
      </c>
      <c r="AT197" s="14">
        <f t="shared" si="195"/>
        <v>0</v>
      </c>
      <c r="AU197" s="234"/>
      <c r="AV197" s="234"/>
      <c r="AW197" s="234"/>
      <c r="AX197" s="234"/>
      <c r="AY197" s="234"/>
      <c r="AZ197" s="234"/>
      <c r="BA197" s="234"/>
      <c r="BB197" s="16">
        <f t="shared" si="194"/>
        <v>0</v>
      </c>
    </row>
    <row r="198" spans="1:54" ht="34.950000000000003" customHeight="1" outlineLevel="2">
      <c r="A198" s="98"/>
      <c r="B198" s="102"/>
      <c r="C198" s="23"/>
      <c r="D198" s="251"/>
      <c r="E198" s="251"/>
      <c r="F198" s="269"/>
      <c r="G198" s="271"/>
      <c r="H198" s="272"/>
      <c r="I198" s="258"/>
      <c r="J198" s="259"/>
      <c r="K198" s="259"/>
      <c r="L198" s="106" t="str">
        <f>IF(I198&lt;&gt;0,((VLOOKUP(I198,'[1]1. Standard_Cost'!$B$4:$D$11,2)+VLOOKUP(I198,'[1]1. Standard_Cost'!$B$4:$D$11,3))*J198*K198),"0")</f>
        <v>0</v>
      </c>
      <c r="M198" s="106">
        <f>L198*'[1]1. Standard_Cost'!$F$4</f>
        <v>0</v>
      </c>
      <c r="N198" s="260"/>
      <c r="O198" s="260"/>
      <c r="P198" s="260"/>
      <c r="Q198" s="260"/>
      <c r="R198" s="108">
        <f>'[1]1. Standard_Cost'!$B$15*N198*P198</f>
        <v>0</v>
      </c>
      <c r="S198" s="108">
        <f>N198*O198*P198*'[1]1. Standard_Cost'!$C$15</f>
        <v>0</v>
      </c>
      <c r="T198" s="108">
        <f>N198*P198*Q198*'[1]1. Standard_Cost'!$D$15</f>
        <v>0</v>
      </c>
      <c r="U198" s="108">
        <f>N198*O198*'[1]1. Standard_Cost'!$E$15</f>
        <v>0</v>
      </c>
      <c r="V198" s="260"/>
      <c r="W198" s="260"/>
      <c r="X198" s="260"/>
      <c r="Y198" s="108">
        <f>+V198*((X198*'[1]1. Standard_Cost'!$B$19)+(W198*X198*'[1]1. Standard_Cost'!$C$19))</f>
        <v>0</v>
      </c>
      <c r="Z198" s="260"/>
      <c r="AA198" s="260"/>
      <c r="AB198" s="108">
        <f>+Z198*'[1]1. Standard_Cost'!$B$23+AA198*'[1]1. Standard_Cost'!$C$23</f>
        <v>0</v>
      </c>
      <c r="AC198" s="261"/>
      <c r="AD198" s="262"/>
      <c r="AE198" s="108">
        <f>SUM(AD198,AC198,AB198,Y198,U198,T198,S198,R198)*'[1]1. Standard_Cost'!$B$31</f>
        <v>0</v>
      </c>
      <c r="AF198" s="108">
        <f t="shared" si="190"/>
        <v>0</v>
      </c>
      <c r="AG198" s="260"/>
      <c r="AH198" s="260"/>
      <c r="AI198" s="260"/>
      <c r="AJ198" s="263"/>
      <c r="AK198" s="263"/>
      <c r="AL198" s="263"/>
      <c r="AM198" s="108">
        <f>AG198*'[1]1. Standard_Cost'!$B$27+'[1]Incremental_Cost Year 9'!AH197*'[1]1. Standard_Cost'!$C$27+'[1]Incremental_Cost Year 9'!AI197*'[1]1. Standard_Cost'!$D$27+'[1]Incremental_Cost Year 9'!AJ197+'[1]Incremental_Cost Year 9'!AL197+AK198</f>
        <v>0</v>
      </c>
      <c r="AN198" s="108">
        <f>AM198*'[1]1. Standard_Cost'!$C$31</f>
        <v>0</v>
      </c>
      <c r="AO198" s="125" t="s">
        <v>410</v>
      </c>
      <c r="AQ198" s="14">
        <f t="shared" si="191"/>
        <v>0</v>
      </c>
      <c r="AR198" s="14">
        <f t="shared" si="192"/>
        <v>0</v>
      </c>
      <c r="AS198" s="14">
        <f t="shared" si="193"/>
        <v>0</v>
      </c>
      <c r="AT198" s="14">
        <f t="shared" si="195"/>
        <v>0</v>
      </c>
      <c r="AU198" s="234"/>
      <c r="AV198" s="234"/>
      <c r="AW198" s="234"/>
      <c r="AX198" s="234"/>
      <c r="AY198" s="234"/>
      <c r="AZ198" s="234"/>
      <c r="BA198" s="234"/>
      <c r="BB198" s="16">
        <f t="shared" si="194"/>
        <v>0</v>
      </c>
    </row>
    <row r="199" spans="1:54" ht="15.6" outlineLevel="2">
      <c r="A199" s="98"/>
      <c r="B199" s="102"/>
      <c r="C199" s="23"/>
      <c r="D199" s="251"/>
      <c r="E199" s="251"/>
      <c r="F199" s="251"/>
      <c r="G199" s="250"/>
      <c r="H199" s="272"/>
      <c r="I199" s="258"/>
      <c r="J199" s="259"/>
      <c r="K199" s="259"/>
      <c r="L199" s="106" t="str">
        <f>IF(I199&lt;&gt;0,((VLOOKUP(I199,'1. Standard_Cost'!$B$4:$D$11,2)+VLOOKUP(I199,'1. Standard_Cost'!$B$4:$D$11,3))*J199*K199),"0")</f>
        <v>0</v>
      </c>
      <c r="M199" s="106">
        <f>L199*'1. Standard_Cost'!$F$4</f>
        <v>0</v>
      </c>
      <c r="N199" s="260"/>
      <c r="O199" s="260"/>
      <c r="P199" s="260"/>
      <c r="Q199" s="260"/>
      <c r="R199" s="108">
        <f>'1. Standard_Cost'!$B$15*N199*P199</f>
        <v>0</v>
      </c>
      <c r="S199" s="108">
        <f>N199*O199*P199*'1. Standard_Cost'!$C$15</f>
        <v>0</v>
      </c>
      <c r="T199" s="108">
        <f>N199*P199*Q199*'1. Standard_Cost'!$D$15</f>
        <v>0</v>
      </c>
      <c r="U199" s="108">
        <f>N199*O199*'1. Standard_Cost'!$E$15</f>
        <v>0</v>
      </c>
      <c r="V199" s="260"/>
      <c r="W199" s="260"/>
      <c r="X199" s="260"/>
      <c r="Y199" s="108">
        <f>+V199*((X199*'1. Standard_Cost'!$B$19)+(W199*X199*'1. Standard_Cost'!$C$19))</f>
        <v>0</v>
      </c>
      <c r="Z199" s="260"/>
      <c r="AA199" s="260"/>
      <c r="AB199" s="108">
        <f>+Z199*'1. Standard_Cost'!$B$23+AA199*'1. Standard_Cost'!$C$23</f>
        <v>0</v>
      </c>
      <c r="AC199" s="261"/>
      <c r="AD199" s="262"/>
      <c r="AE199" s="108">
        <f>SUM(AD199,AC199,AB199,Y199,U199,T199,S199,R199)*'1. Standard_Cost'!$B$31</f>
        <v>0</v>
      </c>
      <c r="AF199" s="108">
        <f t="shared" si="190"/>
        <v>0</v>
      </c>
      <c r="AG199" s="260"/>
      <c r="AH199" s="260"/>
      <c r="AI199" s="260"/>
      <c r="AJ199" s="263"/>
      <c r="AK199" s="263"/>
      <c r="AL199" s="263"/>
      <c r="AM199" s="108">
        <f>AG199*'1. Standard_Cost'!$B$27+'Incremental_Cost Year 9'!AH199*'1. Standard_Cost'!$C$27+'Incremental_Cost Year 9'!AI199*'1. Standard_Cost'!$D$27+'Incremental_Cost Year 9'!AJ199+'Incremental_Cost Year 9'!AL199+AK199</f>
        <v>0</v>
      </c>
      <c r="AN199" s="108">
        <f>AM199*'1. Standard_Cost'!$C$31</f>
        <v>0</v>
      </c>
      <c r="AO199" s="125" t="s">
        <v>411</v>
      </c>
      <c r="AQ199" s="14">
        <f t="shared" si="191"/>
        <v>0</v>
      </c>
      <c r="AR199" s="14">
        <f t="shared" si="192"/>
        <v>0</v>
      </c>
      <c r="AS199" s="14">
        <f t="shared" si="193"/>
        <v>0</v>
      </c>
      <c r="AT199" s="14">
        <f t="shared" si="195"/>
        <v>0</v>
      </c>
      <c r="AU199" s="234"/>
      <c r="AV199" s="234"/>
      <c r="AW199" s="234"/>
      <c r="AX199" s="234"/>
      <c r="AY199" s="234"/>
      <c r="AZ199" s="234"/>
      <c r="BA199" s="234"/>
      <c r="BB199" s="16">
        <f t="shared" si="194"/>
        <v>0</v>
      </c>
    </row>
    <row r="200" spans="1:54" ht="32.25" customHeight="1" outlineLevel="2">
      <c r="A200" s="98"/>
      <c r="B200" s="102"/>
      <c r="C200" s="23"/>
      <c r="D200" s="251"/>
      <c r="E200" s="251"/>
      <c r="F200" s="172"/>
      <c r="G200" s="250"/>
      <c r="H200" s="272"/>
      <c r="I200" s="258"/>
      <c r="J200" s="259"/>
      <c r="K200" s="259"/>
      <c r="L200" s="106" t="str">
        <f>IF(I200&lt;&gt;0,((VLOOKUP(I200,'1. Standard_Cost'!$B$4:$D$11,2)+VLOOKUP(I200,'1. Standard_Cost'!$B$4:$D$11,3))*J200*K200),"0")</f>
        <v>0</v>
      </c>
      <c r="M200" s="106">
        <f>L200*'1. Standard_Cost'!$F$4</f>
        <v>0</v>
      </c>
      <c r="N200" s="260"/>
      <c r="O200" s="260"/>
      <c r="P200" s="260"/>
      <c r="Q200" s="260"/>
      <c r="R200" s="108">
        <f>'1. Standard_Cost'!$B$15*N200*P200</f>
        <v>0</v>
      </c>
      <c r="S200" s="108">
        <f>N200*O200*P200*'1. Standard_Cost'!$C$15</f>
        <v>0</v>
      </c>
      <c r="T200" s="108">
        <f>N200*P200*Q200*'1. Standard_Cost'!$D$15</f>
        <v>0</v>
      </c>
      <c r="U200" s="108">
        <f>N200*O200*'1. Standard_Cost'!$E$15</f>
        <v>0</v>
      </c>
      <c r="V200" s="260"/>
      <c r="W200" s="260"/>
      <c r="X200" s="260"/>
      <c r="Y200" s="108">
        <f>+V200*((X200*'1. Standard_Cost'!$B$19)+(W200*X200*'1. Standard_Cost'!$C$19))</f>
        <v>0</v>
      </c>
      <c r="Z200" s="260"/>
      <c r="AA200" s="260"/>
      <c r="AB200" s="108">
        <f>+Z200*'1. Standard_Cost'!$B$23+AA200*'1. Standard_Cost'!$C$23</f>
        <v>0</v>
      </c>
      <c r="AC200" s="261"/>
      <c r="AD200" s="262"/>
      <c r="AE200" s="108">
        <f>SUM(AD200,AC200,AB200,Y200,U200,T200,S200,R200)*'1. Standard_Cost'!$B$31</f>
        <v>0</v>
      </c>
      <c r="AF200" s="108">
        <f t="shared" si="190"/>
        <v>0</v>
      </c>
      <c r="AG200" s="260"/>
      <c r="AH200" s="260"/>
      <c r="AI200" s="260"/>
      <c r="AJ200" s="263"/>
      <c r="AK200" s="263"/>
      <c r="AL200" s="263"/>
      <c r="AM200" s="108">
        <f>AG200*'1. Standard_Cost'!$B$27+'Incremental_Cost Year 9'!AH200*'1. Standard_Cost'!$C$27+'Incremental_Cost Year 9'!AI200*'1. Standard_Cost'!$D$27+'Incremental_Cost Year 9'!AJ200+'Incremental_Cost Year 9'!AL200+AK200</f>
        <v>0</v>
      </c>
      <c r="AN200" s="108">
        <f>AM200*'1. Standard_Cost'!$C$31</f>
        <v>0</v>
      </c>
      <c r="AO200" s="137" t="s">
        <v>412</v>
      </c>
      <c r="AQ200" s="14">
        <f t="shared" si="191"/>
        <v>0</v>
      </c>
      <c r="AR200" s="14">
        <f t="shared" si="192"/>
        <v>0</v>
      </c>
      <c r="AS200" s="14">
        <f t="shared" si="193"/>
        <v>0</v>
      </c>
      <c r="AT200" s="14">
        <f t="shared" si="195"/>
        <v>0</v>
      </c>
      <c r="AU200" s="234"/>
      <c r="AV200" s="234"/>
      <c r="AW200" s="234"/>
      <c r="AX200" s="234"/>
      <c r="AY200" s="234"/>
      <c r="AZ200" s="234"/>
      <c r="BA200" s="234"/>
      <c r="BB200" s="16">
        <f t="shared" si="194"/>
        <v>0</v>
      </c>
    </row>
    <row r="201" spans="1:54" ht="27.6" outlineLevel="1">
      <c r="A201" s="98"/>
      <c r="B201" s="102"/>
      <c r="C201" s="23"/>
      <c r="D201" s="56" t="s">
        <v>47</v>
      </c>
      <c r="E201" s="56" t="s">
        <v>243</v>
      </c>
      <c r="F201" s="253"/>
      <c r="G201" s="254"/>
      <c r="H201" s="279" t="s">
        <v>244</v>
      </c>
      <c r="I201" s="264"/>
      <c r="J201" s="264"/>
      <c r="K201" s="264"/>
      <c r="L201" s="113">
        <f>SUM(L180:L200)</f>
        <v>0</v>
      </c>
      <c r="M201" s="113">
        <f>SUM(M180:M200)</f>
        <v>0</v>
      </c>
      <c r="N201" s="264"/>
      <c r="O201" s="264"/>
      <c r="P201" s="264"/>
      <c r="Q201" s="264"/>
      <c r="R201" s="113">
        <f>SUM(R180:R200)</f>
        <v>0</v>
      </c>
      <c r="S201" s="113">
        <f>SUM(S180:S200)</f>
        <v>0</v>
      </c>
      <c r="T201" s="113">
        <f>SUM(T180:T200)</f>
        <v>0</v>
      </c>
      <c r="U201" s="113">
        <f>SUM(U180:U200)</f>
        <v>0</v>
      </c>
      <c r="V201" s="264"/>
      <c r="W201" s="264"/>
      <c r="X201" s="264"/>
      <c r="Y201" s="113">
        <f>SUM(Y180:Y200)</f>
        <v>0</v>
      </c>
      <c r="Z201" s="265"/>
      <c r="AA201" s="264"/>
      <c r="AB201" s="113">
        <f>SUM(AB180:AB200)</f>
        <v>0</v>
      </c>
      <c r="AC201" s="265">
        <f>SUM(AC180:AC200)</f>
        <v>0</v>
      </c>
      <c r="AD201" s="265">
        <f>SUM(AD180:AD200)</f>
        <v>0</v>
      </c>
      <c r="AE201" s="113">
        <f>SUM(AE180:AE200)</f>
        <v>0</v>
      </c>
      <c r="AF201" s="113">
        <f>SUM(AF180:AF200)</f>
        <v>0</v>
      </c>
      <c r="AG201" s="264"/>
      <c r="AH201" s="264"/>
      <c r="AI201" s="264"/>
      <c r="AJ201" s="265">
        <f>SUM(AJ180:AJ200)</f>
        <v>0</v>
      </c>
      <c r="AK201" s="265">
        <f>SUM(AK180:AK200)</f>
        <v>0</v>
      </c>
      <c r="AL201" s="265">
        <f>SUM(AL180:AL200)</f>
        <v>0</v>
      </c>
      <c r="AM201" s="113">
        <f>SUM(AM180:AM200)</f>
        <v>0</v>
      </c>
      <c r="AN201" s="113">
        <f>SUM(AN180:AN200)</f>
        <v>0</v>
      </c>
      <c r="AO201" s="131"/>
      <c r="AP201" s="17"/>
      <c r="AQ201" s="113">
        <f t="shared" ref="AQ201:BB201" si="196">SUM(AQ180:AQ200)</f>
        <v>0</v>
      </c>
      <c r="AR201" s="113">
        <f t="shared" si="196"/>
        <v>0</v>
      </c>
      <c r="AS201" s="113">
        <f t="shared" si="196"/>
        <v>0</v>
      </c>
      <c r="AT201" s="113">
        <f t="shared" si="196"/>
        <v>0</v>
      </c>
      <c r="AU201" s="265">
        <f t="shared" si="196"/>
        <v>0</v>
      </c>
      <c r="AV201" s="265">
        <f t="shared" si="196"/>
        <v>0</v>
      </c>
      <c r="AW201" s="265">
        <f t="shared" si="196"/>
        <v>0</v>
      </c>
      <c r="AX201" s="265">
        <f t="shared" si="196"/>
        <v>0</v>
      </c>
      <c r="AY201" s="265">
        <f t="shared" si="196"/>
        <v>0</v>
      </c>
      <c r="AZ201" s="265">
        <f t="shared" si="196"/>
        <v>0</v>
      </c>
      <c r="BA201" s="265">
        <f t="shared" si="196"/>
        <v>0</v>
      </c>
      <c r="BB201" s="113">
        <f t="shared" si="196"/>
        <v>0</v>
      </c>
    </row>
    <row r="202" spans="1:54" s="24" customFormat="1" ht="13.8" customHeight="1">
      <c r="A202" s="114"/>
      <c r="B202" s="115"/>
      <c r="C202" s="314" t="s">
        <v>246</v>
      </c>
      <c r="D202" s="314"/>
      <c r="E202" s="315"/>
      <c r="F202" s="246"/>
      <c r="G202" s="246"/>
      <c r="H202" s="278" t="s">
        <v>245</v>
      </c>
      <c r="I202" s="266"/>
      <c r="J202" s="266"/>
      <c r="K202" s="266"/>
      <c r="L202" s="117">
        <f>SUM(L222)</f>
        <v>0</v>
      </c>
      <c r="M202" s="117">
        <f>SUM(M222)</f>
        <v>0</v>
      </c>
      <c r="N202" s="266"/>
      <c r="O202" s="266"/>
      <c r="P202" s="266"/>
      <c r="Q202" s="266"/>
      <c r="R202" s="117">
        <f t="shared" ref="R202:U202" si="197">SUM(R222)</f>
        <v>0</v>
      </c>
      <c r="S202" s="117">
        <f t="shared" si="197"/>
        <v>0</v>
      </c>
      <c r="T202" s="117">
        <f t="shared" si="197"/>
        <v>0</v>
      </c>
      <c r="U202" s="117">
        <f t="shared" si="197"/>
        <v>0</v>
      </c>
      <c r="V202" s="266"/>
      <c r="W202" s="266"/>
      <c r="X202" s="266"/>
      <c r="Y202" s="117">
        <f>SUM(Y222)</f>
        <v>0</v>
      </c>
      <c r="Z202" s="267"/>
      <c r="AA202" s="267"/>
      <c r="AB202" s="117">
        <f t="shared" ref="AB202:AF202" si="198">SUM(AB222)</f>
        <v>0</v>
      </c>
      <c r="AC202" s="267">
        <f t="shared" ref="AC202:AD202" si="199">SUM(AC222)</f>
        <v>0</v>
      </c>
      <c r="AD202" s="267">
        <f t="shared" si="199"/>
        <v>0</v>
      </c>
      <c r="AE202" s="117">
        <f t="shared" si="198"/>
        <v>0</v>
      </c>
      <c r="AF202" s="117">
        <f t="shared" si="198"/>
        <v>0</v>
      </c>
      <c r="AG202" s="266"/>
      <c r="AH202" s="266"/>
      <c r="AI202" s="266"/>
      <c r="AJ202" s="267">
        <f t="shared" ref="AJ202:AL202" si="200">SUM(AJ222)</f>
        <v>0</v>
      </c>
      <c r="AK202" s="267">
        <f t="shared" si="200"/>
        <v>0</v>
      </c>
      <c r="AL202" s="267">
        <f t="shared" si="200"/>
        <v>0</v>
      </c>
      <c r="AM202" s="117">
        <f t="shared" ref="AM202:AN202" si="201">SUM(AM222)</f>
        <v>0</v>
      </c>
      <c r="AN202" s="117">
        <f t="shared" si="201"/>
        <v>0</v>
      </c>
      <c r="AO202" s="132"/>
      <c r="AP202" s="25"/>
      <c r="AQ202" s="117">
        <f t="shared" ref="AQ202:BB202" si="202">SUM(AQ222)</f>
        <v>0</v>
      </c>
      <c r="AR202" s="117">
        <f t="shared" si="202"/>
        <v>0</v>
      </c>
      <c r="AS202" s="117">
        <f t="shared" si="202"/>
        <v>0</v>
      </c>
      <c r="AT202" s="117">
        <f t="shared" si="202"/>
        <v>0</v>
      </c>
      <c r="AU202" s="267">
        <f t="shared" ref="AU202:BA202" si="203">SUM(AU222)</f>
        <v>0</v>
      </c>
      <c r="AV202" s="267">
        <f t="shared" si="203"/>
        <v>0</v>
      </c>
      <c r="AW202" s="267">
        <f t="shared" si="203"/>
        <v>0</v>
      </c>
      <c r="AX202" s="267">
        <f t="shared" si="203"/>
        <v>0</v>
      </c>
      <c r="AY202" s="267">
        <f t="shared" si="203"/>
        <v>0</v>
      </c>
      <c r="AZ202" s="267">
        <f t="shared" si="203"/>
        <v>0</v>
      </c>
      <c r="BA202" s="267">
        <f t="shared" si="203"/>
        <v>0</v>
      </c>
      <c r="BB202" s="117">
        <f t="shared" si="202"/>
        <v>0</v>
      </c>
    </row>
    <row r="203" spans="1:54" ht="41.4" outlineLevel="2">
      <c r="A203" s="98"/>
      <c r="B203" s="102"/>
      <c r="C203" s="23"/>
      <c r="D203" s="257"/>
      <c r="E203" s="123"/>
      <c r="F203" s="249"/>
      <c r="G203" s="283"/>
      <c r="H203" s="272"/>
      <c r="I203" s="258"/>
      <c r="J203" s="259"/>
      <c r="K203" s="259"/>
      <c r="L203" s="106" t="str">
        <f>IF(I203&lt;&gt;0,((VLOOKUP(I203,'1. Standard_Cost'!$B$4:$D$11,2)+VLOOKUP(I203,'1. Standard_Cost'!$B$4:$D$11,3))*J203*K203),"0")</f>
        <v>0</v>
      </c>
      <c r="M203" s="106">
        <f>L203*'1. Standard_Cost'!$F$4</f>
        <v>0</v>
      </c>
      <c r="N203" s="260"/>
      <c r="O203" s="260"/>
      <c r="P203" s="260"/>
      <c r="Q203" s="260"/>
      <c r="R203" s="108">
        <f>'1. Standard_Cost'!$B$15*N203*P203</f>
        <v>0</v>
      </c>
      <c r="S203" s="108">
        <f>N203*O203*P203*'1. Standard_Cost'!$C$15</f>
        <v>0</v>
      </c>
      <c r="T203" s="108">
        <f>N203*P203*Q203*'1. Standard_Cost'!$D$15</f>
        <v>0</v>
      </c>
      <c r="U203" s="108">
        <f>N203*O203*'1. Standard_Cost'!$E$15</f>
        <v>0</v>
      </c>
      <c r="V203" s="260"/>
      <c r="W203" s="260"/>
      <c r="X203" s="260"/>
      <c r="Y203" s="108">
        <f>+V203*((X203*'1. Standard_Cost'!$B$19)+(W203*X203*'1. Standard_Cost'!$C$19))</f>
        <v>0</v>
      </c>
      <c r="Z203" s="260"/>
      <c r="AA203" s="260"/>
      <c r="AB203" s="108">
        <f>+Z203*'1. Standard_Cost'!$B$23+AA203*'1. Standard_Cost'!$C$23</f>
        <v>0</v>
      </c>
      <c r="AC203" s="261"/>
      <c r="AD203" s="262"/>
      <c r="AE203" s="108">
        <f>SUM(AD203,AC203,AB203,Y203,U203,T203,S203,R203)*'1. Standard_Cost'!$B$31</f>
        <v>0</v>
      </c>
      <c r="AF203" s="108">
        <f t="shared" ref="AF203:AF221" si="204">SUM(AE203,AD203,AC203,AB203,Y203,U203,T203,S203,R203)</f>
        <v>0</v>
      </c>
      <c r="AG203" s="260"/>
      <c r="AH203" s="260"/>
      <c r="AI203" s="260"/>
      <c r="AJ203" s="263"/>
      <c r="AK203" s="263"/>
      <c r="AL203" s="263"/>
      <c r="AM203" s="108">
        <f>AG203*'1. Standard_Cost'!$B$27+'Incremental_Cost Year 9'!AH203*'1. Standard_Cost'!$C$27+'Incremental_Cost Year 9'!AI203*'1. Standard_Cost'!$D$27+'Incremental_Cost Year 9'!AJ203+'Incremental_Cost Year 9'!AL203+AK203</f>
        <v>0</v>
      </c>
      <c r="AN203" s="108">
        <f>AM203*'1. Standard_Cost'!$C$31</f>
        <v>0</v>
      </c>
      <c r="AO203" s="125" t="s">
        <v>413</v>
      </c>
      <c r="AQ203" s="14">
        <f t="shared" ref="AQ203:AQ221" si="205">L203+M203</f>
        <v>0</v>
      </c>
      <c r="AR203" s="14">
        <f t="shared" ref="AR203:AR221" si="206">AF203</f>
        <v>0</v>
      </c>
      <c r="AS203" s="14">
        <f t="shared" ref="AS203:AS221" si="207">AM203+AN203</f>
        <v>0</v>
      </c>
      <c r="AT203" s="14">
        <f>SUM(AQ203,AR203,AS203)</f>
        <v>0</v>
      </c>
      <c r="AU203" s="234"/>
      <c r="AV203" s="234"/>
      <c r="AW203" s="234"/>
      <c r="AX203" s="234"/>
      <c r="AY203" s="234"/>
      <c r="AZ203" s="234"/>
      <c r="BA203" s="234"/>
      <c r="BB203" s="16">
        <f t="shared" ref="BB203:BB221" si="208">SUM(AU203:BA203)-AT203</f>
        <v>0</v>
      </c>
    </row>
    <row r="204" spans="1:54" ht="69" outlineLevel="2">
      <c r="A204" s="98"/>
      <c r="B204" s="102"/>
      <c r="C204" s="23"/>
      <c r="D204" s="269"/>
      <c r="E204" s="271"/>
      <c r="F204" s="250"/>
      <c r="G204" s="255"/>
      <c r="H204" s="272"/>
      <c r="I204" s="258"/>
      <c r="J204" s="259"/>
      <c r="K204" s="259"/>
      <c r="L204" s="106" t="str">
        <f>IF(I204&lt;&gt;0,((VLOOKUP(I204,'1. Standard_Cost'!$B$4:$D$11,2)+VLOOKUP(I204,'1. Standard_Cost'!$B$4:$D$11,3))*J204*K204),"0")</f>
        <v>0</v>
      </c>
      <c r="M204" s="106">
        <f>L204*'1. Standard_Cost'!$F$4</f>
        <v>0</v>
      </c>
      <c r="N204" s="260"/>
      <c r="O204" s="260"/>
      <c r="P204" s="260"/>
      <c r="Q204" s="260"/>
      <c r="R204" s="108">
        <f>'1. Standard_Cost'!$B$15*N204*P204</f>
        <v>0</v>
      </c>
      <c r="S204" s="108">
        <f>N204*O204*P204*'1. Standard_Cost'!$C$15</f>
        <v>0</v>
      </c>
      <c r="T204" s="108">
        <f>N204*P204*Q204*'1. Standard_Cost'!$D$15</f>
        <v>0</v>
      </c>
      <c r="U204" s="108">
        <f>N204*O204*'1. Standard_Cost'!$E$15</f>
        <v>0</v>
      </c>
      <c r="V204" s="260"/>
      <c r="W204" s="260"/>
      <c r="X204" s="260"/>
      <c r="Y204" s="108">
        <f>+V204*((X204*'1. Standard_Cost'!$B$19)+(W204*X204*'1. Standard_Cost'!$C$19))</f>
        <v>0</v>
      </c>
      <c r="Z204" s="260"/>
      <c r="AA204" s="260"/>
      <c r="AB204" s="108">
        <f>+Z204*'1. Standard_Cost'!$B$23+AA204*'1. Standard_Cost'!$C$23</f>
        <v>0</v>
      </c>
      <c r="AC204" s="261"/>
      <c r="AD204" s="262"/>
      <c r="AE204" s="108">
        <f>SUM(AD204,AC204,AB204,Y204,U204,T204,S204,R204)*'1. Standard_Cost'!$B$31</f>
        <v>0</v>
      </c>
      <c r="AF204" s="108">
        <f t="shared" si="204"/>
        <v>0</v>
      </c>
      <c r="AG204" s="260"/>
      <c r="AH204" s="260"/>
      <c r="AI204" s="260"/>
      <c r="AJ204" s="263"/>
      <c r="AK204" s="263"/>
      <c r="AL204" s="263"/>
      <c r="AM204" s="108">
        <f>AG204*'1. Standard_Cost'!$B$27+'Incremental_Cost Year 9'!AH204*'1. Standard_Cost'!$C$27+'Incremental_Cost Year 9'!AI204*'1. Standard_Cost'!$D$27+'Incremental_Cost Year 9'!AJ204+'Incremental_Cost Year 9'!AL204+AK204</f>
        <v>0</v>
      </c>
      <c r="AN204" s="108">
        <f>AM204*'1. Standard_Cost'!$C$31</f>
        <v>0</v>
      </c>
      <c r="AO204" s="125" t="s">
        <v>414</v>
      </c>
      <c r="AQ204" s="14">
        <f t="shared" si="205"/>
        <v>0</v>
      </c>
      <c r="AR204" s="14">
        <f t="shared" si="206"/>
        <v>0</v>
      </c>
      <c r="AS204" s="14">
        <f t="shared" si="207"/>
        <v>0</v>
      </c>
      <c r="AT204" s="14">
        <f t="shared" ref="AT204:AT221" si="209">SUM(AQ204,AR204,AS204)</f>
        <v>0</v>
      </c>
      <c r="AU204" s="234"/>
      <c r="AV204" s="234"/>
      <c r="AW204" s="234"/>
      <c r="AX204" s="234"/>
      <c r="AY204" s="234"/>
      <c r="AZ204" s="234"/>
      <c r="BA204" s="234"/>
      <c r="BB204" s="16">
        <f t="shared" si="208"/>
        <v>0</v>
      </c>
    </row>
    <row r="205" spans="1:54" ht="31.2" customHeight="1" outlineLevel="2">
      <c r="A205" s="98"/>
      <c r="B205" s="102"/>
      <c r="C205" s="23"/>
      <c r="D205" s="269"/>
      <c r="E205" s="271"/>
      <c r="F205" s="271"/>
      <c r="G205" s="167"/>
      <c r="H205" s="272"/>
      <c r="I205" s="258"/>
      <c r="J205" s="259"/>
      <c r="K205" s="259"/>
      <c r="L205" s="106" t="str">
        <f>IF(I205&lt;&gt;0,((VLOOKUP(I205,'[1]1. Standard_Cost'!$B$4:$D$11,2)+VLOOKUP(I205,'[1]1. Standard_Cost'!$B$4:$D$11,3))*J205*K205),"0")</f>
        <v>0</v>
      </c>
      <c r="M205" s="106">
        <f>L205*'[1]1. Standard_Cost'!$F$4</f>
        <v>0</v>
      </c>
      <c r="N205" s="260"/>
      <c r="O205" s="260"/>
      <c r="P205" s="260"/>
      <c r="Q205" s="260"/>
      <c r="R205" s="108">
        <f>'[1]1. Standard_Cost'!$B$15*N205*P205</f>
        <v>0</v>
      </c>
      <c r="S205" s="108">
        <f>N205*O205*P205*'[1]1. Standard_Cost'!$C$15</f>
        <v>0</v>
      </c>
      <c r="T205" s="108">
        <f>N205*P205*Q205*'[1]1. Standard_Cost'!$D$15</f>
        <v>0</v>
      </c>
      <c r="U205" s="108">
        <f>N205*O205*'[1]1. Standard_Cost'!$E$15</f>
        <v>0</v>
      </c>
      <c r="V205" s="260"/>
      <c r="W205" s="260"/>
      <c r="X205" s="260"/>
      <c r="Y205" s="108">
        <f>+V205*((X205*'[1]1. Standard_Cost'!$B$19)+(W205*X205*'[1]1. Standard_Cost'!$C$19))</f>
        <v>0</v>
      </c>
      <c r="Z205" s="260"/>
      <c r="AA205" s="260"/>
      <c r="AB205" s="108">
        <f>+Z205*'[1]1. Standard_Cost'!$B$23+AA205*'[1]1. Standard_Cost'!$C$23</f>
        <v>0</v>
      </c>
      <c r="AC205" s="261"/>
      <c r="AD205" s="262"/>
      <c r="AE205" s="108">
        <f>SUM(AD205,AC205,AB205,Y205,U205,T205,S205,R205)*'[1]1. Standard_Cost'!$B$31</f>
        <v>0</v>
      </c>
      <c r="AF205" s="108">
        <f t="shared" si="204"/>
        <v>0</v>
      </c>
      <c r="AG205" s="260"/>
      <c r="AH205" s="260"/>
      <c r="AI205" s="260"/>
      <c r="AJ205" s="263"/>
      <c r="AK205" s="263"/>
      <c r="AL205" s="263"/>
      <c r="AM205" s="108">
        <f>AG205*'[1]1. Standard_Cost'!$B$27+'[1]Incremental_Cost Year 9'!AH205*'[1]1. Standard_Cost'!$C$27+'[1]Incremental_Cost Year 9'!AI205*'[1]1. Standard_Cost'!$D$27+'[1]Incremental_Cost Year 9'!AJ205+'[1]Incremental_Cost Year 9'!AL205+AK205</f>
        <v>0</v>
      </c>
      <c r="AN205" s="108">
        <f>AM205*'[1]1. Standard_Cost'!$C$31</f>
        <v>0</v>
      </c>
      <c r="AO205" s="125"/>
      <c r="AQ205" s="14">
        <f t="shared" si="205"/>
        <v>0</v>
      </c>
      <c r="AR205" s="14">
        <f t="shared" si="206"/>
        <v>0</v>
      </c>
      <c r="AS205" s="14">
        <f t="shared" si="207"/>
        <v>0</v>
      </c>
      <c r="AT205" s="14">
        <f t="shared" si="209"/>
        <v>0</v>
      </c>
      <c r="AU205" s="234"/>
      <c r="AV205" s="234"/>
      <c r="AW205" s="234"/>
      <c r="AX205" s="234"/>
      <c r="AY205" s="234"/>
      <c r="AZ205" s="234"/>
      <c r="BA205" s="234"/>
      <c r="BB205" s="16">
        <f t="shared" si="208"/>
        <v>0</v>
      </c>
    </row>
    <row r="206" spans="1:54" ht="27.6" outlineLevel="2">
      <c r="A206" s="98"/>
      <c r="B206" s="102"/>
      <c r="C206" s="23"/>
      <c r="D206" s="269"/>
      <c r="E206" s="271"/>
      <c r="F206" s="250"/>
      <c r="G206" s="255"/>
      <c r="H206" s="272"/>
      <c r="I206" s="258"/>
      <c r="J206" s="259"/>
      <c r="K206" s="259"/>
      <c r="L206" s="106" t="str">
        <f>IF(I206&lt;&gt;0,((VLOOKUP(I206,'1. Standard_Cost'!$B$4:$D$11,2)+VLOOKUP(I206,'1. Standard_Cost'!$B$4:$D$11,3))*J206*K206),"0")</f>
        <v>0</v>
      </c>
      <c r="M206" s="106">
        <f>L206*'1. Standard_Cost'!$F$4</f>
        <v>0</v>
      </c>
      <c r="N206" s="260"/>
      <c r="O206" s="260"/>
      <c r="P206" s="260"/>
      <c r="Q206" s="260"/>
      <c r="R206" s="108">
        <f>'1. Standard_Cost'!$B$15*N206*P206</f>
        <v>0</v>
      </c>
      <c r="S206" s="108">
        <f>N206*O206*P206*'1. Standard_Cost'!$C$15</f>
        <v>0</v>
      </c>
      <c r="T206" s="108">
        <f>N206*P206*Q206*'1. Standard_Cost'!$D$15</f>
        <v>0</v>
      </c>
      <c r="U206" s="108">
        <f>N206*O206*'1. Standard_Cost'!$E$15</f>
        <v>0</v>
      </c>
      <c r="V206" s="260"/>
      <c r="W206" s="260"/>
      <c r="X206" s="260"/>
      <c r="Y206" s="108">
        <f>+V206*((X206*'1. Standard_Cost'!$B$19)+(W206*X206*'1. Standard_Cost'!$C$19))</f>
        <v>0</v>
      </c>
      <c r="Z206" s="260"/>
      <c r="AA206" s="260"/>
      <c r="AB206" s="108">
        <f>+Z206*'1. Standard_Cost'!$B$23+AA206*'1. Standard_Cost'!$C$23</f>
        <v>0</v>
      </c>
      <c r="AC206" s="261"/>
      <c r="AD206" s="262"/>
      <c r="AE206" s="108">
        <f>SUM(AD206,AC206,AB206,Y206,U206,T206,S206,R206)*'1. Standard_Cost'!$B$31</f>
        <v>0</v>
      </c>
      <c r="AF206" s="108">
        <f t="shared" si="204"/>
        <v>0</v>
      </c>
      <c r="AG206" s="260"/>
      <c r="AH206" s="260"/>
      <c r="AI206" s="260"/>
      <c r="AJ206" s="263"/>
      <c r="AK206" s="263"/>
      <c r="AL206" s="263"/>
      <c r="AM206" s="108">
        <f>AG206*'1. Standard_Cost'!$B$27+'Incremental_Cost Year 9'!AH206*'1. Standard_Cost'!$C$27+'Incremental_Cost Year 9'!AI206*'1. Standard_Cost'!$D$27+'Incremental_Cost Year 9'!AJ206+'Incremental_Cost Year 9'!AL206+AK206</f>
        <v>0</v>
      </c>
      <c r="AN206" s="108">
        <f>AM206*'1. Standard_Cost'!$C$31</f>
        <v>0</v>
      </c>
      <c r="AO206" s="125" t="s">
        <v>415</v>
      </c>
      <c r="AQ206" s="14">
        <f t="shared" si="205"/>
        <v>0</v>
      </c>
      <c r="AR206" s="14">
        <f t="shared" si="206"/>
        <v>0</v>
      </c>
      <c r="AS206" s="14">
        <f t="shared" si="207"/>
        <v>0</v>
      </c>
      <c r="AT206" s="14">
        <f t="shared" si="209"/>
        <v>0</v>
      </c>
      <c r="AU206" s="234"/>
      <c r="AV206" s="234"/>
      <c r="AW206" s="234"/>
      <c r="AX206" s="234"/>
      <c r="AY206" s="234"/>
      <c r="AZ206" s="234"/>
      <c r="BA206" s="234"/>
      <c r="BB206" s="16">
        <f t="shared" si="208"/>
        <v>0</v>
      </c>
    </row>
    <row r="207" spans="1:54" ht="36" customHeight="1" outlineLevel="2">
      <c r="A207" s="98"/>
      <c r="B207" s="102"/>
      <c r="C207" s="23"/>
      <c r="D207" s="269"/>
      <c r="E207" s="271"/>
      <c r="F207" s="250"/>
      <c r="G207" s="255"/>
      <c r="H207" s="272"/>
      <c r="I207" s="258"/>
      <c r="J207" s="259"/>
      <c r="K207" s="259"/>
      <c r="L207" s="106" t="str">
        <f>IF(I207&lt;&gt;0,((VLOOKUP(I207,'1. Standard_Cost'!$B$4:$D$11,2)+VLOOKUP(I207,'1. Standard_Cost'!$B$4:$D$11,3))*J207*K207),"0")</f>
        <v>0</v>
      </c>
      <c r="M207" s="106">
        <f>L207*'1. Standard_Cost'!$F$4</f>
        <v>0</v>
      </c>
      <c r="N207" s="260"/>
      <c r="O207" s="260"/>
      <c r="P207" s="260"/>
      <c r="Q207" s="260"/>
      <c r="R207" s="108">
        <f>'1. Standard_Cost'!$B$15*N207*P207</f>
        <v>0</v>
      </c>
      <c r="S207" s="108">
        <f>N207*O207*P207*'1. Standard_Cost'!$C$15</f>
        <v>0</v>
      </c>
      <c r="T207" s="108">
        <f>N207*P207*Q207*'1. Standard_Cost'!$D$15</f>
        <v>0</v>
      </c>
      <c r="U207" s="108">
        <f>N207*O207*'1. Standard_Cost'!$E$15</f>
        <v>0</v>
      </c>
      <c r="V207" s="260"/>
      <c r="W207" s="260"/>
      <c r="X207" s="260"/>
      <c r="Y207" s="108">
        <f>+V207*((X207*'1. Standard_Cost'!$B$19)+(W207*X207*'1. Standard_Cost'!$C$19))</f>
        <v>0</v>
      </c>
      <c r="Z207" s="260"/>
      <c r="AA207" s="260"/>
      <c r="AB207" s="108">
        <f>+Z207*'1. Standard_Cost'!$B$23+AA207*'1. Standard_Cost'!$C$23</f>
        <v>0</v>
      </c>
      <c r="AC207" s="261"/>
      <c r="AD207" s="262"/>
      <c r="AE207" s="108">
        <f>SUM(AD207,AC207,AB207,Y207,U207,T207,S207,R207)*'1. Standard_Cost'!$B$31</f>
        <v>0</v>
      </c>
      <c r="AF207" s="108">
        <f t="shared" si="204"/>
        <v>0</v>
      </c>
      <c r="AG207" s="260"/>
      <c r="AH207" s="260"/>
      <c r="AI207" s="260"/>
      <c r="AJ207" s="263"/>
      <c r="AK207" s="263"/>
      <c r="AL207" s="263"/>
      <c r="AM207" s="108">
        <f>AG207*'1. Standard_Cost'!$B$27+'Incremental_Cost Year 9'!AH207*'1. Standard_Cost'!$C$27+'Incremental_Cost Year 9'!AI207*'1. Standard_Cost'!$D$27+'Incremental_Cost Year 9'!AJ207+'Incremental_Cost Year 9'!AL207+AK207</f>
        <v>0</v>
      </c>
      <c r="AN207" s="108">
        <f>AM207*'1. Standard_Cost'!$C$31</f>
        <v>0</v>
      </c>
      <c r="AO207" s="125" t="s">
        <v>416</v>
      </c>
      <c r="AQ207" s="14">
        <f t="shared" si="205"/>
        <v>0</v>
      </c>
      <c r="AR207" s="14">
        <f t="shared" si="206"/>
        <v>0</v>
      </c>
      <c r="AS207" s="14">
        <f t="shared" si="207"/>
        <v>0</v>
      </c>
      <c r="AT207" s="14">
        <f t="shared" si="209"/>
        <v>0</v>
      </c>
      <c r="AU207" s="234"/>
      <c r="AV207" s="234"/>
      <c r="AW207" s="234"/>
      <c r="AX207" s="234"/>
      <c r="AY207" s="234"/>
      <c r="AZ207" s="234"/>
      <c r="BA207" s="234"/>
      <c r="BB207" s="16">
        <f t="shared" si="208"/>
        <v>0</v>
      </c>
    </row>
    <row r="208" spans="1:54" ht="27.6" outlineLevel="2">
      <c r="A208" s="98"/>
      <c r="B208" s="102"/>
      <c r="C208" s="23"/>
      <c r="D208" s="269"/>
      <c r="E208" s="271"/>
      <c r="F208" s="250"/>
      <c r="G208" s="255"/>
      <c r="H208" s="272"/>
      <c r="I208" s="258"/>
      <c r="J208" s="259"/>
      <c r="K208" s="259"/>
      <c r="L208" s="106" t="str">
        <f>IF(I208&lt;&gt;0,((VLOOKUP(I208,'1. Standard_Cost'!$B$4:$D$11,2)+VLOOKUP(I208,'1. Standard_Cost'!$B$4:$D$11,3))*J208*K208),"0")</f>
        <v>0</v>
      </c>
      <c r="M208" s="106">
        <f>L208*'1. Standard_Cost'!$F$4</f>
        <v>0</v>
      </c>
      <c r="N208" s="260"/>
      <c r="O208" s="260"/>
      <c r="P208" s="260"/>
      <c r="Q208" s="260"/>
      <c r="R208" s="108">
        <f>'1. Standard_Cost'!$B$15*N208*P208</f>
        <v>0</v>
      </c>
      <c r="S208" s="108">
        <f>N208*O208*P208*'1. Standard_Cost'!$C$15</f>
        <v>0</v>
      </c>
      <c r="T208" s="108">
        <f>N208*P208*Q208*'1. Standard_Cost'!$D$15</f>
        <v>0</v>
      </c>
      <c r="U208" s="108">
        <f>N208*O208*'1. Standard_Cost'!$E$15</f>
        <v>0</v>
      </c>
      <c r="V208" s="260"/>
      <c r="W208" s="260"/>
      <c r="X208" s="260"/>
      <c r="Y208" s="108">
        <f>+V208*((X208*'1. Standard_Cost'!$B$19)+(W208*X208*'1. Standard_Cost'!$C$19))</f>
        <v>0</v>
      </c>
      <c r="Z208" s="260"/>
      <c r="AA208" s="260"/>
      <c r="AB208" s="108">
        <f>+Z208*'1. Standard_Cost'!$B$23+AA208*'1. Standard_Cost'!$C$23</f>
        <v>0</v>
      </c>
      <c r="AC208" s="261"/>
      <c r="AD208" s="262"/>
      <c r="AE208" s="108">
        <f>SUM(AD208,AC208,AB208,Y208,U208,T208,S208,R208)*'1. Standard_Cost'!$B$31</f>
        <v>0</v>
      </c>
      <c r="AF208" s="108">
        <f t="shared" si="204"/>
        <v>0</v>
      </c>
      <c r="AG208" s="260"/>
      <c r="AH208" s="260"/>
      <c r="AI208" s="260"/>
      <c r="AJ208" s="263"/>
      <c r="AK208" s="263"/>
      <c r="AL208" s="263"/>
      <c r="AM208" s="108">
        <f>AG208*'1. Standard_Cost'!$B$27+'Incremental_Cost Year 9'!AH208*'1. Standard_Cost'!$C$27+'Incremental_Cost Year 9'!AI208*'1. Standard_Cost'!$D$27+'Incremental_Cost Year 9'!AJ208+'Incremental_Cost Year 9'!AL208+AK208</f>
        <v>0</v>
      </c>
      <c r="AN208" s="108">
        <f>AM208*'1. Standard_Cost'!$C$31</f>
        <v>0</v>
      </c>
      <c r="AO208" s="125" t="s">
        <v>417</v>
      </c>
      <c r="AQ208" s="14">
        <f t="shared" si="205"/>
        <v>0</v>
      </c>
      <c r="AR208" s="14">
        <f t="shared" si="206"/>
        <v>0</v>
      </c>
      <c r="AS208" s="14">
        <f t="shared" si="207"/>
        <v>0</v>
      </c>
      <c r="AT208" s="14">
        <f t="shared" si="209"/>
        <v>0</v>
      </c>
      <c r="AU208" s="234"/>
      <c r="AV208" s="234"/>
      <c r="AW208" s="234"/>
      <c r="AX208" s="234"/>
      <c r="AY208" s="234"/>
      <c r="AZ208" s="234"/>
      <c r="BA208" s="234"/>
      <c r="BB208" s="16">
        <f t="shared" si="208"/>
        <v>0</v>
      </c>
    </row>
    <row r="209" spans="1:54" ht="15.6" outlineLevel="2">
      <c r="A209" s="98"/>
      <c r="B209" s="102"/>
      <c r="C209" s="23"/>
      <c r="D209" s="269"/>
      <c r="E209" s="271"/>
      <c r="F209" s="271"/>
      <c r="G209" s="167"/>
      <c r="H209" s="272"/>
      <c r="I209" s="258"/>
      <c r="J209" s="259"/>
      <c r="K209" s="259"/>
      <c r="L209" s="106" t="str">
        <f>IF(I209&lt;&gt;0,((VLOOKUP(I209,'[1]1. Standard_Cost'!$B$4:$D$11,2)+VLOOKUP(I209,'[1]1. Standard_Cost'!$B$4:$D$11,3))*J209*K209),"0")</f>
        <v>0</v>
      </c>
      <c r="M209" s="106">
        <f>L209*'[1]1. Standard_Cost'!$F$4</f>
        <v>0</v>
      </c>
      <c r="N209" s="260"/>
      <c r="O209" s="260"/>
      <c r="P209" s="260"/>
      <c r="Q209" s="260"/>
      <c r="R209" s="108">
        <f>'[1]1. Standard_Cost'!$B$15*N209*P209</f>
        <v>0</v>
      </c>
      <c r="S209" s="108">
        <f>N209*O209*P209*'[1]1. Standard_Cost'!$C$15</f>
        <v>0</v>
      </c>
      <c r="T209" s="108">
        <f>N209*P209*Q209*'[1]1. Standard_Cost'!$D$15</f>
        <v>0</v>
      </c>
      <c r="U209" s="108">
        <f>N209*O209*'[1]1. Standard_Cost'!$E$15</f>
        <v>0</v>
      </c>
      <c r="V209" s="260"/>
      <c r="W209" s="260"/>
      <c r="X209" s="260"/>
      <c r="Y209" s="108">
        <f>+V209*((X209*'[1]1. Standard_Cost'!$B$19)+(W209*X209*'[1]1. Standard_Cost'!$C$19))</f>
        <v>0</v>
      </c>
      <c r="Z209" s="260"/>
      <c r="AA209" s="260"/>
      <c r="AB209" s="108">
        <f>+Z209*'[1]1. Standard_Cost'!$B$23+AA209*'[1]1. Standard_Cost'!$C$23</f>
        <v>0</v>
      </c>
      <c r="AC209" s="261"/>
      <c r="AD209" s="262"/>
      <c r="AE209" s="108">
        <f>SUM(AD209,AC209,AB209,Y209,U209,T209,S209,R209)*'[1]1. Standard_Cost'!$B$31</f>
        <v>0</v>
      </c>
      <c r="AF209" s="108">
        <f t="shared" si="204"/>
        <v>0</v>
      </c>
      <c r="AG209" s="260"/>
      <c r="AH209" s="260"/>
      <c r="AI209" s="260"/>
      <c r="AJ209" s="263"/>
      <c r="AK209" s="263"/>
      <c r="AL209" s="263"/>
      <c r="AM209" s="108">
        <f>AG209*'[1]1. Standard_Cost'!$B$27+'[1]Incremental_Cost Year 9'!AH209*'[1]1. Standard_Cost'!$C$27+'[1]Incremental_Cost Year 9'!AI209*'[1]1. Standard_Cost'!$D$27+'[1]Incremental_Cost Year 9'!AJ209+'[1]Incremental_Cost Year 9'!AL209+AK209</f>
        <v>0</v>
      </c>
      <c r="AN209" s="108">
        <f>AM209*'[1]1. Standard_Cost'!$C$31</f>
        <v>0</v>
      </c>
      <c r="AO209" s="125" t="s">
        <v>418</v>
      </c>
      <c r="AQ209" s="14">
        <f t="shared" si="205"/>
        <v>0</v>
      </c>
      <c r="AR209" s="14">
        <f t="shared" si="206"/>
        <v>0</v>
      </c>
      <c r="AS209" s="14">
        <f t="shared" si="207"/>
        <v>0</v>
      </c>
      <c r="AT209" s="14">
        <f t="shared" si="209"/>
        <v>0</v>
      </c>
      <c r="AU209" s="234"/>
      <c r="AV209" s="234"/>
      <c r="AW209" s="234"/>
      <c r="AX209" s="234"/>
      <c r="AY209" s="234"/>
      <c r="AZ209" s="234"/>
      <c r="BA209" s="234"/>
      <c r="BB209" s="16">
        <f t="shared" si="208"/>
        <v>0</v>
      </c>
    </row>
    <row r="210" spans="1:54" ht="15.6" outlineLevel="2">
      <c r="A210" s="98"/>
      <c r="B210" s="102"/>
      <c r="C210" s="23"/>
      <c r="D210" s="269"/>
      <c r="E210" s="271"/>
      <c r="F210" s="250"/>
      <c r="G210" s="255"/>
      <c r="H210" s="272"/>
      <c r="I210" s="258"/>
      <c r="J210" s="259"/>
      <c r="K210" s="259"/>
      <c r="L210" s="106" t="str">
        <f>IF(I210&lt;&gt;0,((VLOOKUP(I210,'1. Standard_Cost'!$B$4:$D$11,2)+VLOOKUP(I210,'1. Standard_Cost'!$B$4:$D$11,3))*J210*K210),"0")</f>
        <v>0</v>
      </c>
      <c r="M210" s="106">
        <f>L210*'1. Standard_Cost'!$F$4</f>
        <v>0</v>
      </c>
      <c r="N210" s="260"/>
      <c r="O210" s="260"/>
      <c r="P210" s="260"/>
      <c r="Q210" s="260"/>
      <c r="R210" s="108">
        <f>'1. Standard_Cost'!$B$15*N210*P210</f>
        <v>0</v>
      </c>
      <c r="S210" s="108">
        <f>N210*O210*P210*'1. Standard_Cost'!$C$15</f>
        <v>0</v>
      </c>
      <c r="T210" s="108">
        <f>N210*P210*Q210*'1. Standard_Cost'!$D$15</f>
        <v>0</v>
      </c>
      <c r="U210" s="108">
        <f>N210*O210*'1. Standard_Cost'!$E$15</f>
        <v>0</v>
      </c>
      <c r="V210" s="260"/>
      <c r="W210" s="260"/>
      <c r="X210" s="260"/>
      <c r="Y210" s="108">
        <f>+V210*((X210*'1. Standard_Cost'!$B$19)+(W210*X210*'1. Standard_Cost'!$C$19))</f>
        <v>0</v>
      </c>
      <c r="Z210" s="260"/>
      <c r="AA210" s="260"/>
      <c r="AB210" s="108">
        <f>+Z210*'1. Standard_Cost'!$B$23+AA210*'1. Standard_Cost'!$C$23</f>
        <v>0</v>
      </c>
      <c r="AC210" s="261"/>
      <c r="AD210" s="262"/>
      <c r="AE210" s="108">
        <f>SUM(AD210,AC210,AB210,Y210,U210,T210,S210,R210)*'1. Standard_Cost'!$B$31</f>
        <v>0</v>
      </c>
      <c r="AF210" s="108">
        <f t="shared" si="204"/>
        <v>0</v>
      </c>
      <c r="AG210" s="260"/>
      <c r="AH210" s="260"/>
      <c r="AI210" s="260"/>
      <c r="AJ210" s="263"/>
      <c r="AK210" s="263"/>
      <c r="AL210" s="263"/>
      <c r="AM210" s="108">
        <f>AG210*'1. Standard_Cost'!$B$27+'Incremental_Cost Year 9'!AH210*'1. Standard_Cost'!$C$27+'Incremental_Cost Year 9'!AI210*'1. Standard_Cost'!$D$27+'Incremental_Cost Year 9'!AJ210+'Incremental_Cost Year 9'!AL210+AK210</f>
        <v>0</v>
      </c>
      <c r="AN210" s="108">
        <f>AM210*'1. Standard_Cost'!$C$31</f>
        <v>0</v>
      </c>
      <c r="AO210" s="125" t="s">
        <v>418</v>
      </c>
      <c r="AQ210" s="14">
        <f t="shared" si="205"/>
        <v>0</v>
      </c>
      <c r="AR210" s="14">
        <f t="shared" si="206"/>
        <v>0</v>
      </c>
      <c r="AS210" s="14">
        <f t="shared" si="207"/>
        <v>0</v>
      </c>
      <c r="AT210" s="14">
        <f t="shared" si="209"/>
        <v>0</v>
      </c>
      <c r="AU210" s="234"/>
      <c r="AV210" s="234"/>
      <c r="AW210" s="234"/>
      <c r="AX210" s="234"/>
      <c r="AY210" s="234"/>
      <c r="AZ210" s="234"/>
      <c r="BA210" s="234"/>
      <c r="BB210" s="16">
        <f t="shared" si="208"/>
        <v>0</v>
      </c>
    </row>
    <row r="211" spans="1:54" ht="41.4" outlineLevel="2">
      <c r="A211" s="98"/>
      <c r="B211" s="102"/>
      <c r="C211" s="23"/>
      <c r="D211" s="269"/>
      <c r="E211" s="271"/>
      <c r="F211" s="250"/>
      <c r="G211" s="255"/>
      <c r="H211" s="272"/>
      <c r="I211" s="258"/>
      <c r="J211" s="259"/>
      <c r="K211" s="259"/>
      <c r="L211" s="106" t="str">
        <f>IF(I211&lt;&gt;0,((VLOOKUP(I211,'1. Standard_Cost'!$B$4:$D$11,2)+VLOOKUP(I211,'1. Standard_Cost'!$B$4:$D$11,3))*J211*K211),"0")</f>
        <v>0</v>
      </c>
      <c r="M211" s="106">
        <f>L211*'1. Standard_Cost'!$F$4</f>
        <v>0</v>
      </c>
      <c r="N211" s="260"/>
      <c r="O211" s="260"/>
      <c r="P211" s="260"/>
      <c r="Q211" s="260"/>
      <c r="R211" s="108">
        <f>'1. Standard_Cost'!$B$15*N211*P211</f>
        <v>0</v>
      </c>
      <c r="S211" s="108">
        <f>N211*O211*P211*'1. Standard_Cost'!$C$15</f>
        <v>0</v>
      </c>
      <c r="T211" s="108">
        <f>N211*P211*Q211*'1. Standard_Cost'!$D$15</f>
        <v>0</v>
      </c>
      <c r="U211" s="108">
        <f>N211*O211*'1. Standard_Cost'!$E$15</f>
        <v>0</v>
      </c>
      <c r="V211" s="260"/>
      <c r="W211" s="260"/>
      <c r="X211" s="260"/>
      <c r="Y211" s="108">
        <f>+V211*((X211*'1. Standard_Cost'!$B$19)+(W211*X211*'1. Standard_Cost'!$C$19))</f>
        <v>0</v>
      </c>
      <c r="Z211" s="260"/>
      <c r="AA211" s="260"/>
      <c r="AB211" s="108">
        <f>+Z211*'1. Standard_Cost'!$B$23+AA211*'1. Standard_Cost'!$C$23</f>
        <v>0</v>
      </c>
      <c r="AC211" s="261"/>
      <c r="AD211" s="262"/>
      <c r="AE211" s="108">
        <f>SUM(AD211,AC211,AB211,Y211,U211,T211,S211,R211)*'1. Standard_Cost'!$B$31</f>
        <v>0</v>
      </c>
      <c r="AF211" s="108">
        <f t="shared" si="204"/>
        <v>0</v>
      </c>
      <c r="AG211" s="260"/>
      <c r="AH211" s="260"/>
      <c r="AI211" s="260"/>
      <c r="AJ211" s="263"/>
      <c r="AK211" s="263"/>
      <c r="AL211" s="263"/>
      <c r="AM211" s="108">
        <f>AG211*'1. Standard_Cost'!$B$27+'Incremental_Cost Year 9'!AH211*'1. Standard_Cost'!$C$27+'Incremental_Cost Year 9'!AI211*'1. Standard_Cost'!$D$27+'Incremental_Cost Year 9'!AJ211+'Incremental_Cost Year 9'!AL211+AK211</f>
        <v>0</v>
      </c>
      <c r="AN211" s="108">
        <f>AM211*'1. Standard_Cost'!$C$31</f>
        <v>0</v>
      </c>
      <c r="AO211" s="125" t="s">
        <v>419</v>
      </c>
      <c r="AQ211" s="14">
        <f t="shared" si="205"/>
        <v>0</v>
      </c>
      <c r="AR211" s="14">
        <f t="shared" si="206"/>
        <v>0</v>
      </c>
      <c r="AS211" s="14">
        <f t="shared" si="207"/>
        <v>0</v>
      </c>
      <c r="AT211" s="14">
        <f t="shared" si="209"/>
        <v>0</v>
      </c>
      <c r="AU211" s="234"/>
      <c r="AV211" s="234"/>
      <c r="AW211" s="234"/>
      <c r="AX211" s="234"/>
      <c r="AY211" s="234"/>
      <c r="AZ211" s="234"/>
      <c r="BA211" s="234"/>
      <c r="BB211" s="16">
        <f t="shared" si="208"/>
        <v>0</v>
      </c>
    </row>
    <row r="212" spans="1:54" ht="15.6" outlineLevel="2">
      <c r="A212" s="98"/>
      <c r="B212" s="102"/>
      <c r="C212" s="23"/>
      <c r="D212" s="269"/>
      <c r="E212" s="271"/>
      <c r="F212" s="250"/>
      <c r="G212" s="255"/>
      <c r="H212" s="272"/>
      <c r="I212" s="258"/>
      <c r="J212" s="259"/>
      <c r="K212" s="259"/>
      <c r="L212" s="106" t="str">
        <f>IF(I212&lt;&gt;0,((VLOOKUP(I212,'1. Standard_Cost'!$B$4:$D$11,2)+VLOOKUP(I212,'1. Standard_Cost'!$B$4:$D$11,3))*J212*K212),"0")</f>
        <v>0</v>
      </c>
      <c r="M212" s="106">
        <f>L212*'1. Standard_Cost'!$F$4</f>
        <v>0</v>
      </c>
      <c r="N212" s="260"/>
      <c r="O212" s="260"/>
      <c r="P212" s="260"/>
      <c r="Q212" s="260"/>
      <c r="R212" s="108">
        <f>'1. Standard_Cost'!$B$15*N212*P212</f>
        <v>0</v>
      </c>
      <c r="S212" s="108">
        <f>N212*O212*P212*'1. Standard_Cost'!$C$15</f>
        <v>0</v>
      </c>
      <c r="T212" s="108">
        <f>N212*P212*Q212*'1. Standard_Cost'!$D$15</f>
        <v>0</v>
      </c>
      <c r="U212" s="108">
        <f>N212*O212*'1. Standard_Cost'!$E$15</f>
        <v>0</v>
      </c>
      <c r="V212" s="260"/>
      <c r="W212" s="260"/>
      <c r="X212" s="260"/>
      <c r="Y212" s="108">
        <f>+V212*((X212*'1. Standard_Cost'!$B$19)+(W212*X212*'1. Standard_Cost'!$C$19))</f>
        <v>0</v>
      </c>
      <c r="Z212" s="260"/>
      <c r="AA212" s="260"/>
      <c r="AB212" s="108">
        <f>+Z212*'1. Standard_Cost'!$B$23+AA212*'1. Standard_Cost'!$C$23</f>
        <v>0</v>
      </c>
      <c r="AC212" s="261"/>
      <c r="AD212" s="262"/>
      <c r="AE212" s="108">
        <f>SUM(AD212,AC212,AB212,Y212,U212,T212,S212,R212)*'1. Standard_Cost'!$B$31</f>
        <v>0</v>
      </c>
      <c r="AF212" s="108">
        <f t="shared" si="204"/>
        <v>0</v>
      </c>
      <c r="AG212" s="260"/>
      <c r="AH212" s="260"/>
      <c r="AI212" s="260"/>
      <c r="AJ212" s="263"/>
      <c r="AK212" s="263"/>
      <c r="AL212" s="263"/>
      <c r="AM212" s="108">
        <f>AG212*'1. Standard_Cost'!$B$27+'Incremental_Cost Year 9'!AH212*'1. Standard_Cost'!$C$27+'Incremental_Cost Year 9'!AI212*'1. Standard_Cost'!$D$27+'Incremental_Cost Year 9'!AJ212+'Incremental_Cost Year 9'!AL212+AK212</f>
        <v>0</v>
      </c>
      <c r="AN212" s="108">
        <f>AM212*'1. Standard_Cost'!$C$31</f>
        <v>0</v>
      </c>
      <c r="AO212" s="125" t="s">
        <v>300</v>
      </c>
      <c r="AQ212" s="14">
        <f t="shared" si="205"/>
        <v>0</v>
      </c>
      <c r="AR212" s="14">
        <f t="shared" si="206"/>
        <v>0</v>
      </c>
      <c r="AS212" s="14">
        <f t="shared" si="207"/>
        <v>0</v>
      </c>
      <c r="AT212" s="14">
        <f t="shared" si="209"/>
        <v>0</v>
      </c>
      <c r="AU212" s="234"/>
      <c r="AV212" s="234"/>
      <c r="AW212" s="234"/>
      <c r="AX212" s="234"/>
      <c r="AY212" s="234"/>
      <c r="AZ212" s="234"/>
      <c r="BA212" s="234"/>
      <c r="BB212" s="16">
        <f t="shared" si="208"/>
        <v>0</v>
      </c>
    </row>
    <row r="213" spans="1:54" ht="15.6" outlineLevel="2">
      <c r="A213" s="98"/>
      <c r="B213" s="102"/>
      <c r="C213" s="23"/>
      <c r="D213" s="269"/>
      <c r="E213" s="271"/>
      <c r="F213" s="250"/>
      <c r="G213" s="255"/>
      <c r="H213" s="272"/>
      <c r="I213" s="258"/>
      <c r="J213" s="259"/>
      <c r="K213" s="259"/>
      <c r="L213" s="106" t="str">
        <f>IF(I213&lt;&gt;0,((VLOOKUP(I213,'1. Standard_Cost'!$B$4:$D$11,2)+VLOOKUP(I213,'1. Standard_Cost'!$B$4:$D$11,3))*J213*K213),"0")</f>
        <v>0</v>
      </c>
      <c r="M213" s="106">
        <f>L213*'1. Standard_Cost'!$F$4</f>
        <v>0</v>
      </c>
      <c r="N213" s="260"/>
      <c r="O213" s="260"/>
      <c r="P213" s="260"/>
      <c r="Q213" s="260"/>
      <c r="R213" s="108">
        <f>'1. Standard_Cost'!$B$15*N213*P213</f>
        <v>0</v>
      </c>
      <c r="S213" s="108">
        <f>N213*O213*P213*'1. Standard_Cost'!$C$15</f>
        <v>0</v>
      </c>
      <c r="T213" s="108">
        <f>N213*P213*Q213*'1. Standard_Cost'!$D$15</f>
        <v>0</v>
      </c>
      <c r="U213" s="108">
        <f>N213*O213*'1. Standard_Cost'!$E$15</f>
        <v>0</v>
      </c>
      <c r="V213" s="260"/>
      <c r="W213" s="260"/>
      <c r="X213" s="260"/>
      <c r="Y213" s="108">
        <f>+V213*((X213*'1. Standard_Cost'!$B$19)+(W213*X213*'1. Standard_Cost'!$C$19))</f>
        <v>0</v>
      </c>
      <c r="Z213" s="260"/>
      <c r="AA213" s="260"/>
      <c r="AB213" s="108">
        <f>+Z213*'1. Standard_Cost'!$B$23+AA213*'1. Standard_Cost'!$C$23</f>
        <v>0</v>
      </c>
      <c r="AC213" s="261"/>
      <c r="AD213" s="262"/>
      <c r="AE213" s="108">
        <f>SUM(AD213,AC213,AB213,Y213,U213,T213,S213,R213)*'1. Standard_Cost'!$B$31</f>
        <v>0</v>
      </c>
      <c r="AF213" s="108">
        <f t="shared" si="204"/>
        <v>0</v>
      </c>
      <c r="AG213" s="260"/>
      <c r="AH213" s="260"/>
      <c r="AI213" s="260"/>
      <c r="AJ213" s="263"/>
      <c r="AK213" s="263"/>
      <c r="AL213" s="263"/>
      <c r="AM213" s="108">
        <f>AG213*'1. Standard_Cost'!$B$27+'Incremental_Cost Year 9'!AH213*'1. Standard_Cost'!$C$27+'Incremental_Cost Year 9'!AI213*'1. Standard_Cost'!$D$27+'Incremental_Cost Year 9'!AJ213+'Incremental_Cost Year 9'!AL213+AK213</f>
        <v>0</v>
      </c>
      <c r="AN213" s="108">
        <f>AM213*'1. Standard_Cost'!$C$31</f>
        <v>0</v>
      </c>
      <c r="AO213" s="125" t="s">
        <v>420</v>
      </c>
      <c r="AQ213" s="14">
        <f t="shared" si="205"/>
        <v>0</v>
      </c>
      <c r="AR213" s="14">
        <f t="shared" si="206"/>
        <v>0</v>
      </c>
      <c r="AS213" s="14">
        <f t="shared" si="207"/>
        <v>0</v>
      </c>
      <c r="AT213" s="14">
        <f t="shared" si="209"/>
        <v>0</v>
      </c>
      <c r="AU213" s="234"/>
      <c r="AV213" s="234"/>
      <c r="AW213" s="234"/>
      <c r="AX213" s="234"/>
      <c r="AY213" s="234"/>
      <c r="AZ213" s="234"/>
      <c r="BA213" s="234"/>
      <c r="BB213" s="16">
        <f t="shared" si="208"/>
        <v>0</v>
      </c>
    </row>
    <row r="214" spans="1:54" ht="21" customHeight="1" outlineLevel="2">
      <c r="A214" s="98"/>
      <c r="B214" s="102"/>
      <c r="C214" s="23"/>
      <c r="D214" s="269"/>
      <c r="E214" s="271"/>
      <c r="F214" s="271"/>
      <c r="G214" s="167"/>
      <c r="H214" s="168"/>
      <c r="I214" s="258"/>
      <c r="J214" s="259"/>
      <c r="K214" s="259"/>
      <c r="L214" s="106" t="str">
        <f>IF(I214&lt;&gt;0,((VLOOKUP(I214,'[1]1. Standard_Cost'!$B$4:$D$11,2)+VLOOKUP(I214,'[1]1. Standard_Cost'!$B$4:$D$11,3))*J214*K214),"0")</f>
        <v>0</v>
      </c>
      <c r="M214" s="106">
        <f>L214*'[1]1. Standard_Cost'!$F$4</f>
        <v>0</v>
      </c>
      <c r="N214" s="260"/>
      <c r="O214" s="260"/>
      <c r="P214" s="260"/>
      <c r="Q214" s="260"/>
      <c r="R214" s="108">
        <f>'[1]1. Standard_Cost'!$B$15*N214*P214</f>
        <v>0</v>
      </c>
      <c r="S214" s="108">
        <f>N214*O214*P214*'[1]1. Standard_Cost'!$C$15</f>
        <v>0</v>
      </c>
      <c r="T214" s="108">
        <f>N214*P214*Q214*'[1]1. Standard_Cost'!$D$15</f>
        <v>0</v>
      </c>
      <c r="U214" s="108">
        <f>N214*O214*'[1]1. Standard_Cost'!$E$15</f>
        <v>0</v>
      </c>
      <c r="V214" s="260"/>
      <c r="W214" s="260"/>
      <c r="X214" s="260"/>
      <c r="Y214" s="108">
        <f>+V214*((X214*'[1]1. Standard_Cost'!$B$19)+(W214*X214*'[1]1. Standard_Cost'!$C$19))</f>
        <v>0</v>
      </c>
      <c r="Z214" s="260"/>
      <c r="AA214" s="260"/>
      <c r="AB214" s="108">
        <f>+Z214*'[1]1. Standard_Cost'!$B$23+AA214*'[1]1. Standard_Cost'!$C$23</f>
        <v>0</v>
      </c>
      <c r="AC214" s="261"/>
      <c r="AD214" s="262"/>
      <c r="AE214" s="108">
        <f>SUM(AD214,AC214,AB214,Y214,U214,T214,S214,R214)*'[1]1. Standard_Cost'!$B$31</f>
        <v>0</v>
      </c>
      <c r="AF214" s="108">
        <f t="shared" si="204"/>
        <v>0</v>
      </c>
      <c r="AG214" s="260"/>
      <c r="AH214" s="260"/>
      <c r="AI214" s="260"/>
      <c r="AJ214" s="263"/>
      <c r="AK214" s="263"/>
      <c r="AL214" s="263"/>
      <c r="AM214" s="108">
        <f>AG214*'[1]1. Standard_Cost'!$B$27+'[1]Incremental_Cost Year 9'!AH214*'[1]1. Standard_Cost'!$C$27+'[1]Incremental_Cost Year 9'!AI214*'[1]1. Standard_Cost'!$D$27+'[1]Incremental_Cost Year 9'!AJ214+'[1]Incremental_Cost Year 9'!AL214+AK214</f>
        <v>0</v>
      </c>
      <c r="AN214" s="108">
        <f>AM214*'[1]1. Standard_Cost'!$C$31</f>
        <v>0</v>
      </c>
      <c r="AO214" s="125" t="s">
        <v>421</v>
      </c>
      <c r="AQ214" s="14">
        <f t="shared" si="205"/>
        <v>0</v>
      </c>
      <c r="AR214" s="14">
        <f t="shared" si="206"/>
        <v>0</v>
      </c>
      <c r="AS214" s="14">
        <f t="shared" si="207"/>
        <v>0</v>
      </c>
      <c r="AT214" s="14">
        <f t="shared" si="209"/>
        <v>0</v>
      </c>
      <c r="AU214" s="234"/>
      <c r="AV214" s="234"/>
      <c r="AW214" s="234"/>
      <c r="AX214" s="234"/>
      <c r="AY214" s="234"/>
      <c r="AZ214" s="234"/>
      <c r="BA214" s="234"/>
      <c r="BB214" s="16">
        <f t="shared" si="208"/>
        <v>0</v>
      </c>
    </row>
    <row r="215" spans="1:54" ht="15.6" outlineLevel="2">
      <c r="A215" s="98"/>
      <c r="B215" s="102"/>
      <c r="C215" s="23"/>
      <c r="D215" s="269"/>
      <c r="E215" s="271"/>
      <c r="F215" s="250"/>
      <c r="G215" s="255"/>
      <c r="H215" s="272"/>
      <c r="I215" s="258"/>
      <c r="J215" s="259"/>
      <c r="K215" s="259"/>
      <c r="L215" s="106" t="str">
        <f>IF(I215&lt;&gt;0,((VLOOKUP(I215,'1. Standard_Cost'!$B$4:$D$11,2)+VLOOKUP(I215,'1. Standard_Cost'!$B$4:$D$11,3))*J215*K215),"0")</f>
        <v>0</v>
      </c>
      <c r="M215" s="106">
        <f>L215*'1. Standard_Cost'!$F$4</f>
        <v>0</v>
      </c>
      <c r="N215" s="260"/>
      <c r="O215" s="260"/>
      <c r="P215" s="260"/>
      <c r="Q215" s="260"/>
      <c r="R215" s="108">
        <f>'1. Standard_Cost'!$B$15*N215*P215</f>
        <v>0</v>
      </c>
      <c r="S215" s="108">
        <f>N215*O215*P215*'1. Standard_Cost'!$C$15</f>
        <v>0</v>
      </c>
      <c r="T215" s="108">
        <f>N215*P215*Q215*'1. Standard_Cost'!$D$15</f>
        <v>0</v>
      </c>
      <c r="U215" s="108">
        <f>N215*O215*'1. Standard_Cost'!$E$15</f>
        <v>0</v>
      </c>
      <c r="V215" s="260"/>
      <c r="W215" s="260"/>
      <c r="X215" s="260"/>
      <c r="Y215" s="108">
        <f>+V215*((X215*'1. Standard_Cost'!$B$19)+(W215*X215*'1. Standard_Cost'!$C$19))</f>
        <v>0</v>
      </c>
      <c r="Z215" s="260"/>
      <c r="AA215" s="260"/>
      <c r="AB215" s="108">
        <f>+Z215*'1. Standard_Cost'!$B$23+AA215*'1. Standard_Cost'!$C$23</f>
        <v>0</v>
      </c>
      <c r="AC215" s="261"/>
      <c r="AD215" s="262"/>
      <c r="AE215" s="108">
        <f>SUM(AD215,AC215,AB215,Y215,U215,T215,S215,R215)*'1. Standard_Cost'!$B$31</f>
        <v>0</v>
      </c>
      <c r="AF215" s="108">
        <f t="shared" si="204"/>
        <v>0</v>
      </c>
      <c r="AG215" s="260"/>
      <c r="AH215" s="260"/>
      <c r="AI215" s="260"/>
      <c r="AJ215" s="263"/>
      <c r="AK215" s="263"/>
      <c r="AL215" s="263"/>
      <c r="AM215" s="108">
        <f>AG215*'1. Standard_Cost'!$B$27+'Incremental_Cost Year 9'!AH215*'1. Standard_Cost'!$C$27+'Incremental_Cost Year 9'!AI215*'1. Standard_Cost'!$D$27+'Incremental_Cost Year 9'!AJ215+'Incremental_Cost Year 9'!AL215+AK215</f>
        <v>0</v>
      </c>
      <c r="AN215" s="108">
        <f>AM215*'1. Standard_Cost'!$C$31</f>
        <v>0</v>
      </c>
      <c r="AO215" s="125" t="s">
        <v>421</v>
      </c>
      <c r="AQ215" s="14">
        <f t="shared" si="205"/>
        <v>0</v>
      </c>
      <c r="AR215" s="14">
        <f t="shared" si="206"/>
        <v>0</v>
      </c>
      <c r="AS215" s="14">
        <f t="shared" si="207"/>
        <v>0</v>
      </c>
      <c r="AT215" s="14">
        <f t="shared" si="209"/>
        <v>0</v>
      </c>
      <c r="AU215" s="234"/>
      <c r="AV215" s="234"/>
      <c r="AW215" s="234"/>
      <c r="AX215" s="234"/>
      <c r="AY215" s="234"/>
      <c r="AZ215" s="234"/>
      <c r="BA215" s="234"/>
      <c r="BB215" s="16">
        <f t="shared" si="208"/>
        <v>0</v>
      </c>
    </row>
    <row r="216" spans="1:54" ht="41.4" outlineLevel="2">
      <c r="A216" s="98"/>
      <c r="B216" s="102"/>
      <c r="C216" s="23"/>
      <c r="D216" s="269"/>
      <c r="E216" s="271"/>
      <c r="F216" s="250"/>
      <c r="G216" s="255"/>
      <c r="H216" s="272"/>
      <c r="I216" s="258"/>
      <c r="J216" s="259"/>
      <c r="K216" s="259"/>
      <c r="L216" s="106" t="str">
        <f>IF(I216&lt;&gt;0,((VLOOKUP(I216,'1. Standard_Cost'!$B$4:$D$11,2)+VLOOKUP(I216,'1. Standard_Cost'!$B$4:$D$11,3))*J216*K216),"0")</f>
        <v>0</v>
      </c>
      <c r="M216" s="106">
        <f>L216*'1. Standard_Cost'!$F$4</f>
        <v>0</v>
      </c>
      <c r="N216" s="260"/>
      <c r="O216" s="260"/>
      <c r="P216" s="260"/>
      <c r="Q216" s="260"/>
      <c r="R216" s="108">
        <f>'1. Standard_Cost'!$B$15*N216*P216</f>
        <v>0</v>
      </c>
      <c r="S216" s="108">
        <f>N216*O216*P216*'1. Standard_Cost'!$C$15</f>
        <v>0</v>
      </c>
      <c r="T216" s="108">
        <f>N216*P216*Q216*'1. Standard_Cost'!$D$15</f>
        <v>0</v>
      </c>
      <c r="U216" s="108">
        <f>N216*O216*'1. Standard_Cost'!$E$15</f>
        <v>0</v>
      </c>
      <c r="V216" s="260"/>
      <c r="W216" s="260"/>
      <c r="X216" s="260"/>
      <c r="Y216" s="108">
        <f>+V216*((X216*'1. Standard_Cost'!$B$19)+(W216*X216*'1. Standard_Cost'!$C$19))</f>
        <v>0</v>
      </c>
      <c r="Z216" s="260"/>
      <c r="AA216" s="260"/>
      <c r="AB216" s="108">
        <f>+Z216*'1. Standard_Cost'!$B$23+AA216*'1. Standard_Cost'!$C$23</f>
        <v>0</v>
      </c>
      <c r="AC216" s="261"/>
      <c r="AD216" s="262"/>
      <c r="AE216" s="108">
        <f>SUM(AD216,AC216,AB216,Y216,U216,T216,S216,R216)*'1. Standard_Cost'!$B$31</f>
        <v>0</v>
      </c>
      <c r="AF216" s="108">
        <f t="shared" si="204"/>
        <v>0</v>
      </c>
      <c r="AG216" s="260"/>
      <c r="AH216" s="260"/>
      <c r="AI216" s="260"/>
      <c r="AJ216" s="263"/>
      <c r="AK216" s="263"/>
      <c r="AL216" s="263"/>
      <c r="AM216" s="108">
        <f>AG216*'1. Standard_Cost'!$B$27+'Incremental_Cost Year 9'!AH216*'1. Standard_Cost'!$C$27+'Incremental_Cost Year 9'!AI216*'1. Standard_Cost'!$D$27+'Incremental_Cost Year 9'!AJ216+'Incremental_Cost Year 9'!AL216+AK216</f>
        <v>0</v>
      </c>
      <c r="AN216" s="108">
        <f>AM216*'1. Standard_Cost'!$C$31</f>
        <v>0</v>
      </c>
      <c r="AO216" s="125" t="s">
        <v>422</v>
      </c>
      <c r="AQ216" s="14">
        <f t="shared" si="205"/>
        <v>0</v>
      </c>
      <c r="AR216" s="14">
        <f t="shared" si="206"/>
        <v>0</v>
      </c>
      <c r="AS216" s="14">
        <f t="shared" si="207"/>
        <v>0</v>
      </c>
      <c r="AT216" s="14">
        <f t="shared" si="209"/>
        <v>0</v>
      </c>
      <c r="AU216" s="234"/>
      <c r="AV216" s="234"/>
      <c r="AW216" s="234"/>
      <c r="AX216" s="234"/>
      <c r="AY216" s="234"/>
      <c r="AZ216" s="234"/>
      <c r="BA216" s="234"/>
      <c r="BB216" s="16">
        <f t="shared" si="208"/>
        <v>0</v>
      </c>
    </row>
    <row r="217" spans="1:54" ht="15.6" outlineLevel="2">
      <c r="A217" s="98"/>
      <c r="B217" s="102"/>
      <c r="C217" s="23"/>
      <c r="D217" s="269"/>
      <c r="E217" s="271"/>
      <c r="F217" s="250"/>
      <c r="G217" s="255"/>
      <c r="H217" s="272"/>
      <c r="I217" s="258"/>
      <c r="J217" s="259"/>
      <c r="K217" s="259"/>
      <c r="L217" s="106" t="str">
        <f>IF(I217&lt;&gt;0,((VLOOKUP(I217,'1. Standard_Cost'!$B$4:$D$11,2)+VLOOKUP(I217,'1. Standard_Cost'!$B$4:$D$11,3))*J217*K217),"0")</f>
        <v>0</v>
      </c>
      <c r="M217" s="106">
        <f>L217*'1. Standard_Cost'!$F$4</f>
        <v>0</v>
      </c>
      <c r="N217" s="260"/>
      <c r="O217" s="260"/>
      <c r="P217" s="260"/>
      <c r="Q217" s="260"/>
      <c r="R217" s="108">
        <f>'1. Standard_Cost'!$B$15*N217*P217</f>
        <v>0</v>
      </c>
      <c r="S217" s="108">
        <f>N217*O217*P217*'1. Standard_Cost'!$C$15</f>
        <v>0</v>
      </c>
      <c r="T217" s="108">
        <f>N217*P217*Q217*'1. Standard_Cost'!$D$15</f>
        <v>0</v>
      </c>
      <c r="U217" s="108">
        <f>N217*O217*'1. Standard_Cost'!$E$15</f>
        <v>0</v>
      </c>
      <c r="V217" s="260"/>
      <c r="W217" s="260"/>
      <c r="X217" s="260"/>
      <c r="Y217" s="108">
        <f>+V217*((X217*'1. Standard_Cost'!$B$19)+(W217*X217*'1. Standard_Cost'!$C$19))</f>
        <v>0</v>
      </c>
      <c r="Z217" s="260"/>
      <c r="AA217" s="260"/>
      <c r="AB217" s="108">
        <f>+Z217*'1. Standard_Cost'!$B$23+AA217*'1. Standard_Cost'!$C$23</f>
        <v>0</v>
      </c>
      <c r="AC217" s="261"/>
      <c r="AD217" s="262"/>
      <c r="AE217" s="108">
        <f>SUM(AD217,AC217,AB217,Y217,U217,T217,S217,R217)*'1. Standard_Cost'!$B$31</f>
        <v>0</v>
      </c>
      <c r="AF217" s="108">
        <f t="shared" si="204"/>
        <v>0</v>
      </c>
      <c r="AG217" s="260"/>
      <c r="AH217" s="260"/>
      <c r="AI217" s="260"/>
      <c r="AJ217" s="263"/>
      <c r="AK217" s="263"/>
      <c r="AL217" s="263"/>
      <c r="AM217" s="108">
        <f>AG217*'1. Standard_Cost'!$B$27+'Incremental_Cost Year 9'!AH217*'1. Standard_Cost'!$C$27+'Incremental_Cost Year 9'!AI217*'1. Standard_Cost'!$D$27+'Incremental_Cost Year 9'!AJ217+'Incremental_Cost Year 9'!AL217+AK217</f>
        <v>0</v>
      </c>
      <c r="AN217" s="108">
        <f>AM217*'1. Standard_Cost'!$C$31</f>
        <v>0</v>
      </c>
      <c r="AO217" s="125" t="s">
        <v>423</v>
      </c>
      <c r="AQ217" s="14">
        <f t="shared" si="205"/>
        <v>0</v>
      </c>
      <c r="AR217" s="14">
        <f t="shared" si="206"/>
        <v>0</v>
      </c>
      <c r="AS217" s="14">
        <f t="shared" si="207"/>
        <v>0</v>
      </c>
      <c r="AT217" s="14">
        <f t="shared" si="209"/>
        <v>0</v>
      </c>
      <c r="AU217" s="234"/>
      <c r="AV217" s="234"/>
      <c r="AW217" s="234"/>
      <c r="AX217" s="234"/>
      <c r="AY217" s="234"/>
      <c r="AZ217" s="234"/>
      <c r="BA217" s="234"/>
      <c r="BB217" s="16">
        <f t="shared" si="208"/>
        <v>0</v>
      </c>
    </row>
    <row r="218" spans="1:54" ht="55.2" outlineLevel="2">
      <c r="A218" s="98"/>
      <c r="B218" s="102"/>
      <c r="C218" s="23"/>
      <c r="D218" s="269"/>
      <c r="E218" s="271"/>
      <c r="F218" s="250"/>
      <c r="G218" s="255"/>
      <c r="H218" s="272"/>
      <c r="I218" s="258"/>
      <c r="J218" s="259"/>
      <c r="K218" s="259"/>
      <c r="L218" s="106" t="str">
        <f>IF(I218&lt;&gt;0,((VLOOKUP(I218,'1. Standard_Cost'!$B$4:$D$11,2)+VLOOKUP(I218,'1. Standard_Cost'!$B$4:$D$11,3))*J218*K218),"0")</f>
        <v>0</v>
      </c>
      <c r="M218" s="106">
        <f>L218*'1. Standard_Cost'!$F$4</f>
        <v>0</v>
      </c>
      <c r="N218" s="260"/>
      <c r="O218" s="260"/>
      <c r="P218" s="260"/>
      <c r="Q218" s="260"/>
      <c r="R218" s="108">
        <f>'1. Standard_Cost'!$B$15*N218*P218</f>
        <v>0</v>
      </c>
      <c r="S218" s="108">
        <f>N218*O218*P218*'1. Standard_Cost'!$C$15</f>
        <v>0</v>
      </c>
      <c r="T218" s="108">
        <f>N218*P218*Q218*'1. Standard_Cost'!$D$15</f>
        <v>0</v>
      </c>
      <c r="U218" s="108">
        <f>N218*O218*'1. Standard_Cost'!$E$15</f>
        <v>0</v>
      </c>
      <c r="V218" s="260"/>
      <c r="W218" s="260"/>
      <c r="X218" s="260"/>
      <c r="Y218" s="108">
        <f>+V218*((X218*'1. Standard_Cost'!$B$19)+(W218*X218*'1. Standard_Cost'!$C$19))</f>
        <v>0</v>
      </c>
      <c r="Z218" s="260"/>
      <c r="AA218" s="260"/>
      <c r="AB218" s="108">
        <f>+Z218*'1. Standard_Cost'!$B$23+AA218*'1. Standard_Cost'!$C$23</f>
        <v>0</v>
      </c>
      <c r="AC218" s="261"/>
      <c r="AD218" s="262"/>
      <c r="AE218" s="108">
        <f>SUM(AD218,AC218,AB218,Y218,U218,T218,S218,R218)*'1. Standard_Cost'!$B$31</f>
        <v>0</v>
      </c>
      <c r="AF218" s="108">
        <f t="shared" si="204"/>
        <v>0</v>
      </c>
      <c r="AG218" s="260"/>
      <c r="AH218" s="260"/>
      <c r="AI218" s="260"/>
      <c r="AJ218" s="263"/>
      <c r="AK218" s="263"/>
      <c r="AL218" s="263"/>
      <c r="AM218" s="108">
        <f>AG218*'1. Standard_Cost'!$B$27+'Incremental_Cost Year 9'!AH218*'1. Standard_Cost'!$C$27+'Incremental_Cost Year 9'!AI218*'1. Standard_Cost'!$D$27+'Incremental_Cost Year 9'!AJ218+'Incremental_Cost Year 9'!AL218+AK218</f>
        <v>0</v>
      </c>
      <c r="AN218" s="108">
        <f>AM218*'1. Standard_Cost'!$C$31</f>
        <v>0</v>
      </c>
      <c r="AO218" s="125" t="s">
        <v>424</v>
      </c>
      <c r="AQ218" s="14">
        <f t="shared" si="205"/>
        <v>0</v>
      </c>
      <c r="AR218" s="14">
        <f t="shared" si="206"/>
        <v>0</v>
      </c>
      <c r="AS218" s="14">
        <f t="shared" si="207"/>
        <v>0</v>
      </c>
      <c r="AT218" s="14">
        <f t="shared" si="209"/>
        <v>0</v>
      </c>
      <c r="AU218" s="234"/>
      <c r="AV218" s="234"/>
      <c r="AW218" s="234"/>
      <c r="AX218" s="234"/>
      <c r="AY218" s="234"/>
      <c r="AZ218" s="234"/>
      <c r="BA218" s="234"/>
      <c r="BB218" s="16">
        <f t="shared" si="208"/>
        <v>0</v>
      </c>
    </row>
    <row r="219" spans="1:54" ht="36" customHeight="1" outlineLevel="2">
      <c r="A219" s="98"/>
      <c r="B219" s="102"/>
      <c r="C219" s="23"/>
      <c r="D219" s="251"/>
      <c r="E219" s="251"/>
      <c r="F219" s="251"/>
      <c r="G219" s="250"/>
      <c r="H219" s="272"/>
      <c r="I219" s="258"/>
      <c r="J219" s="259"/>
      <c r="K219" s="259"/>
      <c r="L219" s="106" t="str">
        <f>IF(I219&lt;&gt;0,((VLOOKUP(I219,'1. Standard_Cost'!$B$4:$D$11,2)+VLOOKUP(I219,'1. Standard_Cost'!$B$4:$D$11,3))*J219*K219),"0")</f>
        <v>0</v>
      </c>
      <c r="M219" s="106">
        <f>L219*'1. Standard_Cost'!$F$4</f>
        <v>0</v>
      </c>
      <c r="N219" s="260"/>
      <c r="O219" s="260"/>
      <c r="P219" s="260"/>
      <c r="Q219" s="260"/>
      <c r="R219" s="108">
        <f>'1. Standard_Cost'!$B$15*N219*P219</f>
        <v>0</v>
      </c>
      <c r="S219" s="108">
        <f>N219*O219*P219*'1. Standard_Cost'!$C$15</f>
        <v>0</v>
      </c>
      <c r="T219" s="108">
        <f>N219*P219*Q219*'1. Standard_Cost'!$D$15</f>
        <v>0</v>
      </c>
      <c r="U219" s="108">
        <f>N219*O219*'1. Standard_Cost'!$E$15</f>
        <v>0</v>
      </c>
      <c r="V219" s="260"/>
      <c r="W219" s="260"/>
      <c r="X219" s="260"/>
      <c r="Y219" s="108">
        <f>+V219*((X219*'1. Standard_Cost'!$B$19)+(W219*X219*'1. Standard_Cost'!$C$19))</f>
        <v>0</v>
      </c>
      <c r="Z219" s="260"/>
      <c r="AA219" s="260"/>
      <c r="AB219" s="108">
        <f>+Z219*'1. Standard_Cost'!$B$23+AA219*'1. Standard_Cost'!$C$23</f>
        <v>0</v>
      </c>
      <c r="AC219" s="261"/>
      <c r="AD219" s="262"/>
      <c r="AE219" s="108">
        <f>SUM(AD219,AC219,AB219,Y219,U219,T219,S219,R219)*'1. Standard_Cost'!$B$31</f>
        <v>0</v>
      </c>
      <c r="AF219" s="108">
        <f t="shared" si="204"/>
        <v>0</v>
      </c>
      <c r="AG219" s="260"/>
      <c r="AH219" s="260"/>
      <c r="AI219" s="260"/>
      <c r="AJ219" s="263"/>
      <c r="AK219" s="263"/>
      <c r="AL219" s="263"/>
      <c r="AM219" s="108">
        <f>AG219*'1. Standard_Cost'!$B$27+'Incremental_Cost Year 9'!AH219*'1. Standard_Cost'!$C$27+'Incremental_Cost Year 9'!AI219*'1. Standard_Cost'!$D$27+'Incremental_Cost Year 9'!AJ219+'Incremental_Cost Year 9'!AL219+AK219</f>
        <v>0</v>
      </c>
      <c r="AN219" s="108">
        <f>AM219*'1. Standard_Cost'!$C$31</f>
        <v>0</v>
      </c>
      <c r="AO219" s="125" t="s">
        <v>425</v>
      </c>
      <c r="AQ219" s="14">
        <f t="shared" si="205"/>
        <v>0</v>
      </c>
      <c r="AR219" s="14">
        <f t="shared" si="206"/>
        <v>0</v>
      </c>
      <c r="AS219" s="14">
        <f t="shared" si="207"/>
        <v>0</v>
      </c>
      <c r="AT219" s="14">
        <f t="shared" si="209"/>
        <v>0</v>
      </c>
      <c r="AU219" s="234"/>
      <c r="AV219" s="234"/>
      <c r="AW219" s="234"/>
      <c r="AX219" s="234"/>
      <c r="AY219" s="234"/>
      <c r="AZ219" s="234"/>
      <c r="BA219" s="234"/>
      <c r="BB219" s="16">
        <f t="shared" si="208"/>
        <v>0</v>
      </c>
    </row>
    <row r="220" spans="1:54" ht="32.25" customHeight="1" outlineLevel="2">
      <c r="A220" s="98"/>
      <c r="B220" s="102"/>
      <c r="C220" s="23"/>
      <c r="D220" s="251"/>
      <c r="E220" s="251"/>
      <c r="F220" s="251"/>
      <c r="G220" s="250"/>
      <c r="H220" s="272"/>
      <c r="I220" s="258"/>
      <c r="J220" s="259"/>
      <c r="K220" s="259"/>
      <c r="L220" s="106" t="str">
        <f>IF(I220&lt;&gt;0,((VLOOKUP(I220,'1. Standard_Cost'!$B$4:$D$11,2)+VLOOKUP(I220,'1. Standard_Cost'!$B$4:$D$11,3))*J220*K220),"0")</f>
        <v>0</v>
      </c>
      <c r="M220" s="106">
        <f>L220*'1. Standard_Cost'!$F$4</f>
        <v>0</v>
      </c>
      <c r="N220" s="260"/>
      <c r="O220" s="260"/>
      <c r="P220" s="260"/>
      <c r="Q220" s="260"/>
      <c r="R220" s="108">
        <f>'1. Standard_Cost'!$B$15*N220*P220</f>
        <v>0</v>
      </c>
      <c r="S220" s="108">
        <f>N220*O220*P220*'1. Standard_Cost'!$C$15</f>
        <v>0</v>
      </c>
      <c r="T220" s="108">
        <f>N220*P220*Q220*'1. Standard_Cost'!$D$15</f>
        <v>0</v>
      </c>
      <c r="U220" s="108">
        <f>N220*O220*'1. Standard_Cost'!$E$15</f>
        <v>0</v>
      </c>
      <c r="V220" s="260"/>
      <c r="W220" s="260"/>
      <c r="X220" s="260"/>
      <c r="Y220" s="108">
        <f>+V220*((X220*'1. Standard_Cost'!$B$19)+(W220*X220*'1. Standard_Cost'!$C$19))</f>
        <v>0</v>
      </c>
      <c r="Z220" s="260"/>
      <c r="AA220" s="260"/>
      <c r="AB220" s="108">
        <f>+Z220*'1. Standard_Cost'!$B$23+AA220*'1. Standard_Cost'!$C$23</f>
        <v>0</v>
      </c>
      <c r="AC220" s="261"/>
      <c r="AD220" s="262"/>
      <c r="AE220" s="108">
        <f>SUM(AD220,AC220,AB220,Y220,U220,T220,S220,R220)*'1. Standard_Cost'!$B$31</f>
        <v>0</v>
      </c>
      <c r="AF220" s="108">
        <f t="shared" si="204"/>
        <v>0</v>
      </c>
      <c r="AG220" s="260"/>
      <c r="AH220" s="260"/>
      <c r="AI220" s="260"/>
      <c r="AJ220" s="263"/>
      <c r="AK220" s="263"/>
      <c r="AL220" s="263"/>
      <c r="AM220" s="108">
        <f>AG220*'1. Standard_Cost'!$B$27+'Incremental_Cost Year 9'!AH220*'1. Standard_Cost'!$C$27+'Incremental_Cost Year 9'!AI220*'1. Standard_Cost'!$D$27+'Incremental_Cost Year 9'!AJ220+'Incremental_Cost Year 9'!AL220+AK220</f>
        <v>0</v>
      </c>
      <c r="AN220" s="108">
        <f>AM220*'1. Standard_Cost'!$C$31</f>
        <v>0</v>
      </c>
      <c r="AO220" s="125" t="s">
        <v>426</v>
      </c>
      <c r="AQ220" s="14">
        <f t="shared" si="205"/>
        <v>0</v>
      </c>
      <c r="AR220" s="14">
        <f t="shared" si="206"/>
        <v>0</v>
      </c>
      <c r="AS220" s="14">
        <f t="shared" si="207"/>
        <v>0</v>
      </c>
      <c r="AT220" s="14">
        <f t="shared" si="209"/>
        <v>0</v>
      </c>
      <c r="AU220" s="234"/>
      <c r="AV220" s="234"/>
      <c r="AW220" s="234"/>
      <c r="AX220" s="234"/>
      <c r="AY220" s="234"/>
      <c r="AZ220" s="234"/>
      <c r="BA220" s="234"/>
      <c r="BB220" s="16">
        <f t="shared" si="208"/>
        <v>0</v>
      </c>
    </row>
    <row r="221" spans="1:54" ht="45" customHeight="1" outlineLevel="2">
      <c r="A221" s="98"/>
      <c r="B221" s="102"/>
      <c r="C221" s="23"/>
      <c r="D221" s="251"/>
      <c r="E221" s="251"/>
      <c r="F221" s="251"/>
      <c r="G221" s="250"/>
      <c r="H221" s="272"/>
      <c r="I221" s="258"/>
      <c r="J221" s="259"/>
      <c r="K221" s="259"/>
      <c r="L221" s="106" t="str">
        <f>IF(I221&lt;&gt;0,((VLOOKUP(I221,'1. Standard_Cost'!$B$4:$D$11,2)+VLOOKUP(I221,'1. Standard_Cost'!$B$4:$D$11,3))*J221*K221),"0")</f>
        <v>0</v>
      </c>
      <c r="M221" s="106">
        <f>L221*'1. Standard_Cost'!$F$4</f>
        <v>0</v>
      </c>
      <c r="N221" s="260"/>
      <c r="O221" s="260"/>
      <c r="P221" s="260"/>
      <c r="Q221" s="260"/>
      <c r="R221" s="108">
        <f>'1. Standard_Cost'!$B$15*N221*P221</f>
        <v>0</v>
      </c>
      <c r="S221" s="108">
        <f>N221*O221*P221*'1. Standard_Cost'!$C$15</f>
        <v>0</v>
      </c>
      <c r="T221" s="108">
        <f>N221*P221*Q221*'1. Standard_Cost'!$D$15</f>
        <v>0</v>
      </c>
      <c r="U221" s="108">
        <f>N221*O221*'1. Standard_Cost'!$E$15</f>
        <v>0</v>
      </c>
      <c r="V221" s="260"/>
      <c r="W221" s="260"/>
      <c r="X221" s="260"/>
      <c r="Y221" s="108">
        <f>+V221*((X221*'1. Standard_Cost'!$B$19)+(W221*X221*'1. Standard_Cost'!$C$19))</f>
        <v>0</v>
      </c>
      <c r="Z221" s="260"/>
      <c r="AA221" s="260"/>
      <c r="AB221" s="108">
        <f>+Z221*'1. Standard_Cost'!$B$23+AA221*'1. Standard_Cost'!$C$23</f>
        <v>0</v>
      </c>
      <c r="AC221" s="261"/>
      <c r="AD221" s="262"/>
      <c r="AE221" s="108">
        <f>SUM(AD221,AC221,AB221,Y221,U221,T221,S221,R221)*'1. Standard_Cost'!$B$31</f>
        <v>0</v>
      </c>
      <c r="AF221" s="108">
        <f t="shared" si="204"/>
        <v>0</v>
      </c>
      <c r="AG221" s="260"/>
      <c r="AH221" s="260"/>
      <c r="AI221" s="260"/>
      <c r="AJ221" s="263"/>
      <c r="AK221" s="263"/>
      <c r="AL221" s="263"/>
      <c r="AM221" s="108">
        <f>AG221*'1. Standard_Cost'!$B$27+'Incremental_Cost Year 9'!AH221*'1. Standard_Cost'!$C$27+'Incremental_Cost Year 9'!AI221*'1. Standard_Cost'!$D$27+'Incremental_Cost Year 9'!AJ221+'Incremental_Cost Year 9'!AL221+AK221</f>
        <v>0</v>
      </c>
      <c r="AN221" s="108">
        <f>AM221*'1. Standard_Cost'!$C$31</f>
        <v>0</v>
      </c>
      <c r="AO221" s="125" t="s">
        <v>427</v>
      </c>
      <c r="AQ221" s="14">
        <f t="shared" si="205"/>
        <v>0</v>
      </c>
      <c r="AR221" s="14">
        <f t="shared" si="206"/>
        <v>0</v>
      </c>
      <c r="AS221" s="14">
        <f t="shared" si="207"/>
        <v>0</v>
      </c>
      <c r="AT221" s="14">
        <f t="shared" si="209"/>
        <v>0</v>
      </c>
      <c r="AU221" s="234"/>
      <c r="AV221" s="234"/>
      <c r="AW221" s="234"/>
      <c r="AX221" s="234"/>
      <c r="AY221" s="234"/>
      <c r="AZ221" s="234"/>
      <c r="BA221" s="234"/>
      <c r="BB221" s="16">
        <f t="shared" si="208"/>
        <v>0</v>
      </c>
    </row>
    <row r="222" spans="1:54" ht="27.6" outlineLevel="1">
      <c r="A222" s="98"/>
      <c r="B222" s="102"/>
      <c r="C222" s="23"/>
      <c r="D222" s="56" t="s">
        <v>47</v>
      </c>
      <c r="E222" s="56" t="s">
        <v>247</v>
      </c>
      <c r="F222" s="253">
        <v>2021</v>
      </c>
      <c r="G222" s="254">
        <v>2026</v>
      </c>
      <c r="H222" s="279" t="s">
        <v>248</v>
      </c>
      <c r="I222" s="264"/>
      <c r="J222" s="264"/>
      <c r="K222" s="264"/>
      <c r="L222" s="113">
        <f>SUM(L203:L221)</f>
        <v>0</v>
      </c>
      <c r="M222" s="113">
        <f>SUM(M203:M221)</f>
        <v>0</v>
      </c>
      <c r="N222" s="264"/>
      <c r="O222" s="264"/>
      <c r="P222" s="264"/>
      <c r="Q222" s="264"/>
      <c r="R222" s="113">
        <f>SUM(R203:R221)</f>
        <v>0</v>
      </c>
      <c r="S222" s="113">
        <f>SUM(S203:S221)</f>
        <v>0</v>
      </c>
      <c r="T222" s="113">
        <f>SUM(T203:T221)</f>
        <v>0</v>
      </c>
      <c r="U222" s="113">
        <f>SUM(U203:U221)</f>
        <v>0</v>
      </c>
      <c r="V222" s="264"/>
      <c r="W222" s="264"/>
      <c r="X222" s="264"/>
      <c r="Y222" s="113">
        <f>SUM(Y203:Y221)</f>
        <v>0</v>
      </c>
      <c r="Z222" s="265"/>
      <c r="AA222" s="264"/>
      <c r="AB222" s="113">
        <f>SUM(AB203:AB221)</f>
        <v>0</v>
      </c>
      <c r="AC222" s="265">
        <f>SUM(AC203:AC221)</f>
        <v>0</v>
      </c>
      <c r="AD222" s="265">
        <f>SUM(AD203:AD221)</f>
        <v>0</v>
      </c>
      <c r="AE222" s="113">
        <f>SUM(AE203:AE221)</f>
        <v>0</v>
      </c>
      <c r="AF222" s="113">
        <f>SUM(AF203:AF221)</f>
        <v>0</v>
      </c>
      <c r="AG222" s="264"/>
      <c r="AH222" s="264"/>
      <c r="AI222" s="264"/>
      <c r="AJ222" s="265">
        <f>SUM(AJ203:AJ221)</f>
        <v>0</v>
      </c>
      <c r="AK222" s="265">
        <f>SUM(AK203:AK221)</f>
        <v>0</v>
      </c>
      <c r="AL222" s="265">
        <f>SUM(AL203:AL221)</f>
        <v>0</v>
      </c>
      <c r="AM222" s="113">
        <f>SUM(AM203:AM221)</f>
        <v>0</v>
      </c>
      <c r="AN222" s="113">
        <f>SUM(AN203:AN221)</f>
        <v>0</v>
      </c>
      <c r="AO222" s="131"/>
      <c r="AP222" s="17"/>
      <c r="AQ222" s="113">
        <f t="shared" ref="AQ222:BB222" si="210">SUM(AQ203:AQ221)</f>
        <v>0</v>
      </c>
      <c r="AR222" s="113">
        <f t="shared" si="210"/>
        <v>0</v>
      </c>
      <c r="AS222" s="113">
        <f t="shared" si="210"/>
        <v>0</v>
      </c>
      <c r="AT222" s="113">
        <f t="shared" si="210"/>
        <v>0</v>
      </c>
      <c r="AU222" s="265">
        <f t="shared" si="210"/>
        <v>0</v>
      </c>
      <c r="AV222" s="265">
        <f t="shared" si="210"/>
        <v>0</v>
      </c>
      <c r="AW222" s="265">
        <f t="shared" si="210"/>
        <v>0</v>
      </c>
      <c r="AX222" s="265">
        <f t="shared" si="210"/>
        <v>0</v>
      </c>
      <c r="AY222" s="265">
        <f t="shared" si="210"/>
        <v>0</v>
      </c>
      <c r="AZ222" s="265">
        <f t="shared" si="210"/>
        <v>0</v>
      </c>
      <c r="BA222" s="265">
        <f t="shared" si="210"/>
        <v>0</v>
      </c>
      <c r="BB222" s="113">
        <f t="shared" si="210"/>
        <v>0</v>
      </c>
    </row>
    <row r="223" spans="1:54" s="13" customFormat="1" ht="13.8" customHeight="1">
      <c r="A223" s="101"/>
      <c r="B223" s="316" t="s">
        <v>253</v>
      </c>
      <c r="C223" s="317"/>
      <c r="D223" s="317"/>
      <c r="E223" s="318"/>
      <c r="F223" s="241"/>
      <c r="G223" s="241"/>
      <c r="H223" s="241" t="s">
        <v>252</v>
      </c>
      <c r="I223" s="242"/>
      <c r="J223" s="242"/>
      <c r="K223" s="242"/>
      <c r="L223" s="41">
        <f>SUM(L224)</f>
        <v>0</v>
      </c>
      <c r="M223" s="41">
        <f>SUM(M224)</f>
        <v>0</v>
      </c>
      <c r="N223" s="242"/>
      <c r="O223" s="242"/>
      <c r="P223" s="242"/>
      <c r="Q223" s="242"/>
      <c r="R223" s="41">
        <f t="shared" ref="R223:U223" si="211">SUM(R224)</f>
        <v>0</v>
      </c>
      <c r="S223" s="41">
        <f t="shared" si="211"/>
        <v>0</v>
      </c>
      <c r="T223" s="41">
        <f t="shared" si="211"/>
        <v>0</v>
      </c>
      <c r="U223" s="41">
        <f t="shared" si="211"/>
        <v>0</v>
      </c>
      <c r="V223" s="242"/>
      <c r="W223" s="242"/>
      <c r="X223" s="242"/>
      <c r="Y223" s="41">
        <f t="shared" ref="Y223" si="212">SUM(Y224)</f>
        <v>0</v>
      </c>
      <c r="Z223" s="243">
        <f t="shared" ref="Z223" si="213">SUM(Z224)</f>
        <v>0</v>
      </c>
      <c r="AA223" s="242"/>
      <c r="AB223" s="41">
        <f t="shared" ref="AB223:AF223" si="214">SUM(AB224)</f>
        <v>0</v>
      </c>
      <c r="AC223" s="243">
        <f t="shared" ref="AC223:AD223" si="215">SUM(AC224)</f>
        <v>0</v>
      </c>
      <c r="AD223" s="243">
        <f t="shared" si="215"/>
        <v>0</v>
      </c>
      <c r="AE223" s="41">
        <f t="shared" si="214"/>
        <v>0</v>
      </c>
      <c r="AF223" s="41">
        <f t="shared" si="214"/>
        <v>0</v>
      </c>
      <c r="AG223" s="242"/>
      <c r="AH223" s="242"/>
      <c r="AI223" s="242"/>
      <c r="AJ223" s="243">
        <f t="shared" ref="AJ223:AL223" si="216">SUM(AJ224)</f>
        <v>0</v>
      </c>
      <c r="AK223" s="243">
        <f t="shared" si="216"/>
        <v>0</v>
      </c>
      <c r="AL223" s="243">
        <f t="shared" si="216"/>
        <v>0</v>
      </c>
      <c r="AM223" s="41">
        <f t="shared" ref="AM223:AN223" si="217">SUM(AM224)</f>
        <v>0</v>
      </c>
      <c r="AN223" s="41">
        <f t="shared" si="217"/>
        <v>0</v>
      </c>
      <c r="AO223" s="129"/>
      <c r="AQ223" s="41">
        <f t="shared" ref="AQ223:BB223" si="218">SUM(AQ224)</f>
        <v>0</v>
      </c>
      <c r="AR223" s="41">
        <f t="shared" si="218"/>
        <v>0</v>
      </c>
      <c r="AS223" s="41">
        <f t="shared" si="218"/>
        <v>0</v>
      </c>
      <c r="AT223" s="41">
        <f t="shared" si="218"/>
        <v>0</v>
      </c>
      <c r="AU223" s="243">
        <f t="shared" ref="AU223:BA223" si="219">SUM(AU224)</f>
        <v>0</v>
      </c>
      <c r="AV223" s="243">
        <f t="shared" si="219"/>
        <v>0</v>
      </c>
      <c r="AW223" s="243">
        <f t="shared" si="219"/>
        <v>0</v>
      </c>
      <c r="AX223" s="243">
        <f t="shared" si="219"/>
        <v>0</v>
      </c>
      <c r="AY223" s="243">
        <f t="shared" si="219"/>
        <v>0</v>
      </c>
      <c r="AZ223" s="243">
        <f t="shared" si="219"/>
        <v>0</v>
      </c>
      <c r="BA223" s="243">
        <f t="shared" si="219"/>
        <v>0</v>
      </c>
      <c r="BB223" s="41">
        <f t="shared" si="218"/>
        <v>0</v>
      </c>
    </row>
    <row r="224" spans="1:54" s="24" customFormat="1" ht="13.8" customHeight="1">
      <c r="A224" s="114"/>
      <c r="B224" s="115"/>
      <c r="C224" s="314" t="s">
        <v>254</v>
      </c>
      <c r="D224" s="314"/>
      <c r="E224" s="315"/>
      <c r="F224" s="246"/>
      <c r="G224" s="246"/>
      <c r="H224" s="278" t="s">
        <v>255</v>
      </c>
      <c r="I224" s="266"/>
      <c r="J224" s="266"/>
      <c r="K224" s="266"/>
      <c r="L224" s="117">
        <f>SUM(L232,L236,L242)</f>
        <v>0</v>
      </c>
      <c r="M224" s="117">
        <f>SUM(M232,M236,M242)</f>
        <v>0</v>
      </c>
      <c r="N224" s="266"/>
      <c r="O224" s="266"/>
      <c r="P224" s="266"/>
      <c r="Q224" s="266"/>
      <c r="R224" s="117">
        <f t="shared" ref="R224:U224" si="220">SUM(R232,R236,R242)</f>
        <v>0</v>
      </c>
      <c r="S224" s="117">
        <f t="shared" si="220"/>
        <v>0</v>
      </c>
      <c r="T224" s="117">
        <f t="shared" si="220"/>
        <v>0</v>
      </c>
      <c r="U224" s="117">
        <f t="shared" si="220"/>
        <v>0</v>
      </c>
      <c r="V224" s="266"/>
      <c r="W224" s="266"/>
      <c r="X224" s="266"/>
      <c r="Y224" s="117">
        <f>SUM(Y232,Y236,Y242)</f>
        <v>0</v>
      </c>
      <c r="Z224" s="266"/>
      <c r="AA224" s="266"/>
      <c r="AB224" s="117">
        <f t="shared" ref="AB224:AF224" si="221">SUM(AB232,AB236,AB242)</f>
        <v>0</v>
      </c>
      <c r="AC224" s="267">
        <f t="shared" si="221"/>
        <v>0</v>
      </c>
      <c r="AD224" s="267">
        <f t="shared" si="221"/>
        <v>0</v>
      </c>
      <c r="AE224" s="117">
        <f t="shared" si="221"/>
        <v>0</v>
      </c>
      <c r="AF224" s="117">
        <f t="shared" si="221"/>
        <v>0</v>
      </c>
      <c r="AG224" s="266"/>
      <c r="AH224" s="266"/>
      <c r="AI224" s="266"/>
      <c r="AJ224" s="267">
        <f t="shared" ref="AJ224:AL224" si="222">SUM(AJ232,AJ236,AJ242)</f>
        <v>0</v>
      </c>
      <c r="AK224" s="267">
        <f t="shared" si="222"/>
        <v>0</v>
      </c>
      <c r="AL224" s="267">
        <f t="shared" si="222"/>
        <v>0</v>
      </c>
      <c r="AM224" s="117">
        <f t="shared" ref="AM224:AN224" si="223">SUM(AM232,AM236,AM242)</f>
        <v>0</v>
      </c>
      <c r="AN224" s="117">
        <f t="shared" si="223"/>
        <v>0</v>
      </c>
      <c r="AO224" s="132"/>
      <c r="AP224" s="25"/>
      <c r="AQ224" s="117">
        <f t="shared" ref="AQ224:BB224" si="224">SUM(AQ232,AQ236,AQ242)</f>
        <v>0</v>
      </c>
      <c r="AR224" s="117">
        <f t="shared" si="224"/>
        <v>0</v>
      </c>
      <c r="AS224" s="117">
        <f t="shared" si="224"/>
        <v>0</v>
      </c>
      <c r="AT224" s="117">
        <f t="shared" si="224"/>
        <v>0</v>
      </c>
      <c r="AU224" s="267">
        <f t="shared" si="224"/>
        <v>0</v>
      </c>
      <c r="AV224" s="267">
        <f t="shared" si="224"/>
        <v>0</v>
      </c>
      <c r="AW224" s="267">
        <f t="shared" si="224"/>
        <v>0</v>
      </c>
      <c r="AX224" s="267">
        <f t="shared" si="224"/>
        <v>0</v>
      </c>
      <c r="AY224" s="267">
        <f t="shared" si="224"/>
        <v>0</v>
      </c>
      <c r="AZ224" s="267">
        <f t="shared" si="224"/>
        <v>0</v>
      </c>
      <c r="BA224" s="267">
        <f t="shared" si="224"/>
        <v>0</v>
      </c>
      <c r="BB224" s="117">
        <f t="shared" si="224"/>
        <v>0</v>
      </c>
    </row>
    <row r="225" spans="1:54" ht="15.6" outlineLevel="2">
      <c r="A225" s="98"/>
      <c r="B225" s="102"/>
      <c r="C225" s="23"/>
      <c r="D225" s="257"/>
      <c r="E225" s="257"/>
      <c r="F225" s="257"/>
      <c r="G225" s="257"/>
      <c r="H225" s="272"/>
      <c r="I225" s="258"/>
      <c r="J225" s="259"/>
      <c r="K225" s="259"/>
      <c r="L225" s="106" t="str">
        <f>IF(I225&lt;&gt;0,((VLOOKUP(I225,'1. Standard_Cost'!$B$4:$D$11,2)+VLOOKUP(I225,'1. Standard_Cost'!$B$4:$D$11,3))*J225*K225),"0")</f>
        <v>0</v>
      </c>
      <c r="M225" s="106">
        <f>L225*'1. Standard_Cost'!$F$4</f>
        <v>0</v>
      </c>
      <c r="N225" s="260"/>
      <c r="O225" s="260"/>
      <c r="P225" s="260"/>
      <c r="Q225" s="260"/>
      <c r="R225" s="108">
        <f>'1. Standard_Cost'!$B$15*N225*P225</f>
        <v>0</v>
      </c>
      <c r="S225" s="108">
        <f>N225*O225*P225*'1. Standard_Cost'!$C$15</f>
        <v>0</v>
      </c>
      <c r="T225" s="108">
        <f>N225*P225*Q225*'1. Standard_Cost'!$D$15</f>
        <v>0</v>
      </c>
      <c r="U225" s="108">
        <f>N225*O225*'1. Standard_Cost'!$E$15</f>
        <v>0</v>
      </c>
      <c r="V225" s="260"/>
      <c r="W225" s="260"/>
      <c r="X225" s="260"/>
      <c r="Y225" s="108">
        <f>+V225*((X225*'1. Standard_Cost'!$B$19)+(W225*X225*'1. Standard_Cost'!$C$19))</f>
        <v>0</v>
      </c>
      <c r="Z225" s="260"/>
      <c r="AA225" s="260"/>
      <c r="AB225" s="108">
        <f>+Z225*'1. Standard_Cost'!$B$23+AA225*'1. Standard_Cost'!$C$23</f>
        <v>0</v>
      </c>
      <c r="AC225" s="261"/>
      <c r="AD225" s="262"/>
      <c r="AE225" s="108">
        <f>SUM(AD225,AC225,AB225,Y225,U225,T225,S225,R225)*'1. Standard_Cost'!$B$31</f>
        <v>0</v>
      </c>
      <c r="AF225" s="108">
        <f t="shared" ref="AF225:AF231" si="225">SUM(AE225,AD225,AC225,AB225,Y225,U225,T225,S225,R225)</f>
        <v>0</v>
      </c>
      <c r="AG225" s="260"/>
      <c r="AH225" s="260"/>
      <c r="AI225" s="260"/>
      <c r="AJ225" s="263"/>
      <c r="AK225" s="263"/>
      <c r="AL225" s="263"/>
      <c r="AM225" s="108">
        <f>AG225*'1. Standard_Cost'!$B$27+'Incremental_Cost Year 9'!AH225*'1. Standard_Cost'!$C$27+'Incremental_Cost Year 9'!AI225*'1. Standard_Cost'!$D$27+'Incremental_Cost Year 9'!AJ225+'Incremental_Cost Year 9'!AL225+AK225</f>
        <v>0</v>
      </c>
      <c r="AN225" s="108">
        <f>AM225*'1. Standard_Cost'!$C$31</f>
        <v>0</v>
      </c>
      <c r="AO225" s="125" t="s">
        <v>428</v>
      </c>
      <c r="AQ225" s="14">
        <f t="shared" ref="AQ225:AQ231" si="226">L225+M225</f>
        <v>0</v>
      </c>
      <c r="AR225" s="14">
        <f t="shared" ref="AR225:AR231" si="227">AF225</f>
        <v>0</v>
      </c>
      <c r="AS225" s="14">
        <f t="shared" ref="AS225:AS231" si="228">AM225+AN225</f>
        <v>0</v>
      </c>
      <c r="AT225" s="14">
        <f>SUM(AQ225,AR225,AS225)</f>
        <v>0</v>
      </c>
      <c r="AU225" s="234"/>
      <c r="AV225" s="234"/>
      <c r="AW225" s="234"/>
      <c r="AX225" s="234"/>
      <c r="AY225" s="234"/>
      <c r="AZ225" s="234"/>
      <c r="BA225" s="234"/>
      <c r="BB225" s="16">
        <f t="shared" ref="BB225:BB231" si="229">SUM(AU225:BA225)-AT225</f>
        <v>0</v>
      </c>
    </row>
    <row r="226" spans="1:54" ht="41.4" outlineLevel="2">
      <c r="A226" s="98"/>
      <c r="B226" s="102"/>
      <c r="C226" s="23"/>
      <c r="D226" s="269"/>
      <c r="E226" s="269"/>
      <c r="F226" s="269"/>
      <c r="G226" s="269"/>
      <c r="H226" s="272"/>
      <c r="I226" s="258"/>
      <c r="J226" s="259"/>
      <c r="K226" s="259"/>
      <c r="L226" s="106" t="str">
        <f>IF(I226&lt;&gt;0,((VLOOKUP(I226,'1. Standard_Cost'!$B$4:$D$11,2)+VLOOKUP(I226,'1. Standard_Cost'!$B$4:$D$11,3))*J226*K226),"0")</f>
        <v>0</v>
      </c>
      <c r="M226" s="106">
        <f>L226*'1. Standard_Cost'!$F$4</f>
        <v>0</v>
      </c>
      <c r="N226" s="260"/>
      <c r="O226" s="260"/>
      <c r="P226" s="260"/>
      <c r="Q226" s="260"/>
      <c r="R226" s="108">
        <f>'1. Standard_Cost'!$B$15*N226*P226</f>
        <v>0</v>
      </c>
      <c r="S226" s="108">
        <f>N226*O226*P226*'1. Standard_Cost'!$C$15</f>
        <v>0</v>
      </c>
      <c r="T226" s="108">
        <f>N226*P226*Q226*'1. Standard_Cost'!$D$15</f>
        <v>0</v>
      </c>
      <c r="U226" s="108">
        <f>N226*O226*'1. Standard_Cost'!$E$15</f>
        <v>0</v>
      </c>
      <c r="V226" s="260"/>
      <c r="W226" s="260"/>
      <c r="X226" s="260"/>
      <c r="Y226" s="108">
        <f>+V226*((X226*'1. Standard_Cost'!$B$19)+(W226*X226*'1. Standard_Cost'!$C$19))</f>
        <v>0</v>
      </c>
      <c r="Z226" s="260"/>
      <c r="AA226" s="260"/>
      <c r="AB226" s="108">
        <f>+Z226*'1. Standard_Cost'!$B$23+AA226*'1. Standard_Cost'!$C$23</f>
        <v>0</v>
      </c>
      <c r="AC226" s="261"/>
      <c r="AD226" s="262"/>
      <c r="AE226" s="108">
        <f>SUM(AD226,AC226,AB226,Y226,U226,T226,S226,R226)*'1. Standard_Cost'!$B$31</f>
        <v>0</v>
      </c>
      <c r="AF226" s="108">
        <f t="shared" si="225"/>
        <v>0</v>
      </c>
      <c r="AG226" s="260"/>
      <c r="AH226" s="260"/>
      <c r="AI226" s="260"/>
      <c r="AJ226" s="263"/>
      <c r="AK226" s="263"/>
      <c r="AL226" s="263"/>
      <c r="AM226" s="108">
        <f>AG226*'1. Standard_Cost'!$B$27+'Incremental_Cost Year 9'!AH226*'1. Standard_Cost'!$C$27+'Incremental_Cost Year 9'!AI226*'1. Standard_Cost'!$D$27+'Incremental_Cost Year 9'!AJ226+'Incremental_Cost Year 9'!AL226+AK226</f>
        <v>0</v>
      </c>
      <c r="AN226" s="108">
        <f>AM226*'1. Standard_Cost'!$C$31</f>
        <v>0</v>
      </c>
      <c r="AO226" s="125" t="s">
        <v>429</v>
      </c>
      <c r="AQ226" s="14">
        <f t="shared" si="226"/>
        <v>0</v>
      </c>
      <c r="AR226" s="14">
        <f t="shared" si="227"/>
        <v>0</v>
      </c>
      <c r="AS226" s="14">
        <f t="shared" si="228"/>
        <v>0</v>
      </c>
      <c r="AT226" s="14">
        <f t="shared" ref="AT226:AT231" si="230">SUM(AQ226,AR226,AS226)</f>
        <v>0</v>
      </c>
      <c r="AU226" s="234"/>
      <c r="AV226" s="234"/>
      <c r="AW226" s="234"/>
      <c r="AX226" s="234"/>
      <c r="AY226" s="234"/>
      <c r="AZ226" s="234"/>
      <c r="BA226" s="234"/>
      <c r="BB226" s="16">
        <f t="shared" si="229"/>
        <v>0</v>
      </c>
    </row>
    <row r="227" spans="1:54" ht="27.6" outlineLevel="2">
      <c r="A227" s="98"/>
      <c r="B227" s="102"/>
      <c r="C227" s="23"/>
      <c r="D227" s="269"/>
      <c r="E227" s="269"/>
      <c r="F227" s="269"/>
      <c r="G227" s="269"/>
      <c r="H227" s="168"/>
      <c r="I227" s="258"/>
      <c r="J227" s="259"/>
      <c r="K227" s="259"/>
      <c r="L227" s="106" t="str">
        <f>IF(I227&lt;&gt;0,((VLOOKUP(I227,'[1]1. Standard_Cost'!$B$4:$D$11,2)+VLOOKUP(I227,'[1]1. Standard_Cost'!$B$4:$D$11,3))*J227*K227),"0")</f>
        <v>0</v>
      </c>
      <c r="M227" s="106">
        <f>L227*'[1]1. Standard_Cost'!$F$4</f>
        <v>0</v>
      </c>
      <c r="N227" s="260"/>
      <c r="O227" s="260"/>
      <c r="P227" s="260"/>
      <c r="Q227" s="260"/>
      <c r="R227" s="108">
        <f>'[1]1. Standard_Cost'!$B$15*N227*P227</f>
        <v>0</v>
      </c>
      <c r="S227" s="108">
        <f>N227*O227*P227*'[1]1. Standard_Cost'!$C$15</f>
        <v>0</v>
      </c>
      <c r="T227" s="108">
        <f>N227*P227*Q227*'[1]1. Standard_Cost'!$D$15</f>
        <v>0</v>
      </c>
      <c r="U227" s="108">
        <f>N227*O227*'[1]1. Standard_Cost'!$E$15</f>
        <v>0</v>
      </c>
      <c r="V227" s="260"/>
      <c r="W227" s="260"/>
      <c r="X227" s="260"/>
      <c r="Y227" s="108">
        <f>+V227*((X227*'[1]1. Standard_Cost'!$B$19)+(W227*X227*'[1]1. Standard_Cost'!$C$19))</f>
        <v>0</v>
      </c>
      <c r="Z227" s="260"/>
      <c r="AA227" s="260"/>
      <c r="AB227" s="108">
        <f>+Z227*'[1]1. Standard_Cost'!$B$23+AA227*'[1]1. Standard_Cost'!$C$23</f>
        <v>0</v>
      </c>
      <c r="AC227" s="261"/>
      <c r="AD227" s="262"/>
      <c r="AE227" s="108">
        <f>SUM(AD227,AC227,AB227,Y227,U227,T227,S227,R227)*'[1]1. Standard_Cost'!$B$31</f>
        <v>0</v>
      </c>
      <c r="AF227" s="108">
        <f t="shared" si="225"/>
        <v>0</v>
      </c>
      <c r="AG227" s="260"/>
      <c r="AH227" s="260"/>
      <c r="AI227" s="260"/>
      <c r="AJ227" s="263"/>
      <c r="AK227" s="263"/>
      <c r="AL227" s="263"/>
      <c r="AM227" s="108">
        <f>AG227*'[1]1. Standard_Cost'!$B$27+'[1]Incremental_Cost Year 9'!AH227*'[1]1. Standard_Cost'!$C$27+'[1]Incremental_Cost Year 9'!AI227*'[1]1. Standard_Cost'!$D$27+'[1]Incremental_Cost Year 9'!AJ227+'[1]Incremental_Cost Year 9'!AL227+AK227</f>
        <v>0</v>
      </c>
      <c r="AN227" s="108">
        <f>AM227*'[1]1. Standard_Cost'!$C$31</f>
        <v>0</v>
      </c>
      <c r="AO227" s="125" t="s">
        <v>430</v>
      </c>
      <c r="AQ227" s="14">
        <f t="shared" si="226"/>
        <v>0</v>
      </c>
      <c r="AR227" s="14">
        <f t="shared" si="227"/>
        <v>0</v>
      </c>
      <c r="AS227" s="14">
        <f t="shared" si="228"/>
        <v>0</v>
      </c>
      <c r="AT227" s="14">
        <f t="shared" si="230"/>
        <v>0</v>
      </c>
      <c r="AU227" s="234"/>
      <c r="AV227" s="234"/>
      <c r="AW227" s="234"/>
      <c r="AX227" s="234"/>
      <c r="AY227" s="234"/>
      <c r="AZ227" s="234"/>
      <c r="BA227" s="234"/>
      <c r="BB227" s="16">
        <f t="shared" si="229"/>
        <v>0</v>
      </c>
    </row>
    <row r="228" spans="1:54" ht="27.6" outlineLevel="2">
      <c r="A228" s="98"/>
      <c r="B228" s="102"/>
      <c r="C228" s="23"/>
      <c r="D228" s="269"/>
      <c r="E228" s="269"/>
      <c r="F228" s="269"/>
      <c r="G228" s="269"/>
      <c r="H228" s="272"/>
      <c r="I228" s="258"/>
      <c r="J228" s="259"/>
      <c r="K228" s="259"/>
      <c r="L228" s="106" t="str">
        <f>IF(I228&lt;&gt;0,((VLOOKUP(I228,'1. Standard_Cost'!$B$4:$D$11,2)+VLOOKUP(I228,'1. Standard_Cost'!$B$4:$D$11,3))*J228*K228),"0")</f>
        <v>0</v>
      </c>
      <c r="M228" s="106">
        <f>L228*'1. Standard_Cost'!$F$4</f>
        <v>0</v>
      </c>
      <c r="N228" s="260"/>
      <c r="O228" s="260"/>
      <c r="P228" s="260"/>
      <c r="Q228" s="260"/>
      <c r="R228" s="108">
        <f>'1. Standard_Cost'!$B$15*N228*P228</f>
        <v>0</v>
      </c>
      <c r="S228" s="108">
        <f>N228*O228*P228*'1. Standard_Cost'!$C$15</f>
        <v>0</v>
      </c>
      <c r="T228" s="108">
        <f>N228*P228*Q228*'1. Standard_Cost'!$D$15</f>
        <v>0</v>
      </c>
      <c r="U228" s="108">
        <f>N228*O228*'1. Standard_Cost'!$E$15</f>
        <v>0</v>
      </c>
      <c r="V228" s="260"/>
      <c r="W228" s="260"/>
      <c r="X228" s="260"/>
      <c r="Y228" s="108">
        <f>+V228*((X228*'1. Standard_Cost'!$B$19)+(W228*X228*'1. Standard_Cost'!$C$19))</f>
        <v>0</v>
      </c>
      <c r="Z228" s="260"/>
      <c r="AA228" s="260"/>
      <c r="AB228" s="108">
        <f>+Z228*'1. Standard_Cost'!$B$23+AA228*'1. Standard_Cost'!$C$23</f>
        <v>0</v>
      </c>
      <c r="AC228" s="261"/>
      <c r="AD228" s="262"/>
      <c r="AE228" s="108">
        <f>SUM(AD228,AC228,AB228,Y228,U228,T228,S228,R228)*'1. Standard_Cost'!$B$31</f>
        <v>0</v>
      </c>
      <c r="AF228" s="108">
        <f t="shared" si="225"/>
        <v>0</v>
      </c>
      <c r="AG228" s="260"/>
      <c r="AH228" s="260"/>
      <c r="AI228" s="260"/>
      <c r="AJ228" s="263"/>
      <c r="AK228" s="263"/>
      <c r="AL228" s="263"/>
      <c r="AM228" s="108">
        <f>AG228*'1. Standard_Cost'!$B$27+'Incremental_Cost Year 9'!AH228*'1. Standard_Cost'!$C$27+'Incremental_Cost Year 9'!AI228*'1. Standard_Cost'!$D$27+'Incremental_Cost Year 9'!AJ228+'Incremental_Cost Year 9'!AL228+AK228</f>
        <v>0</v>
      </c>
      <c r="AN228" s="108">
        <f>AM228*'1. Standard_Cost'!$C$31</f>
        <v>0</v>
      </c>
      <c r="AO228" s="125" t="s">
        <v>430</v>
      </c>
      <c r="AQ228" s="14">
        <f t="shared" si="226"/>
        <v>0</v>
      </c>
      <c r="AR228" s="14">
        <f t="shared" si="227"/>
        <v>0</v>
      </c>
      <c r="AS228" s="14">
        <f t="shared" si="228"/>
        <v>0</v>
      </c>
      <c r="AT228" s="14">
        <f t="shared" si="230"/>
        <v>0</v>
      </c>
      <c r="AU228" s="234"/>
      <c r="AV228" s="234"/>
      <c r="AW228" s="234"/>
      <c r="AX228" s="234"/>
      <c r="AY228" s="234"/>
      <c r="AZ228" s="234"/>
      <c r="BA228" s="234"/>
      <c r="BB228" s="16">
        <f t="shared" si="229"/>
        <v>0</v>
      </c>
    </row>
    <row r="229" spans="1:54" ht="15.6" outlineLevel="2">
      <c r="A229" s="98"/>
      <c r="B229" s="102"/>
      <c r="C229" s="23"/>
      <c r="D229" s="269"/>
      <c r="E229" s="269"/>
      <c r="F229" s="269"/>
      <c r="G229" s="269"/>
      <c r="H229" s="272"/>
      <c r="I229" s="258"/>
      <c r="J229" s="259"/>
      <c r="K229" s="259"/>
      <c r="L229" s="106" t="str">
        <f>IF(I229&lt;&gt;0,((VLOOKUP(I229,'1. Standard_Cost'!$B$4:$D$11,2)+VLOOKUP(I229,'1. Standard_Cost'!$B$4:$D$11,3))*J229*K229),"0")</f>
        <v>0</v>
      </c>
      <c r="M229" s="106">
        <f>L229*'1. Standard_Cost'!$F$4</f>
        <v>0</v>
      </c>
      <c r="N229" s="260"/>
      <c r="O229" s="260"/>
      <c r="P229" s="260"/>
      <c r="Q229" s="260"/>
      <c r="R229" s="108">
        <f>'1. Standard_Cost'!$B$15*N229*P229</f>
        <v>0</v>
      </c>
      <c r="S229" s="108">
        <f>N229*O229*P229*'1. Standard_Cost'!$C$15</f>
        <v>0</v>
      </c>
      <c r="T229" s="108">
        <f>N229*P229*Q229*'1. Standard_Cost'!$D$15</f>
        <v>0</v>
      </c>
      <c r="U229" s="108">
        <f>N229*O229*'1. Standard_Cost'!$E$15</f>
        <v>0</v>
      </c>
      <c r="V229" s="260"/>
      <c r="W229" s="260"/>
      <c r="X229" s="260"/>
      <c r="Y229" s="108">
        <f>+V229*((X229*'1. Standard_Cost'!$B$19)+(W229*X229*'1. Standard_Cost'!$C$19))</f>
        <v>0</v>
      </c>
      <c r="Z229" s="260"/>
      <c r="AA229" s="260"/>
      <c r="AB229" s="108">
        <f>+Z229*'1. Standard_Cost'!$B$23+AA229*'1. Standard_Cost'!$C$23</f>
        <v>0</v>
      </c>
      <c r="AC229" s="261"/>
      <c r="AD229" s="262"/>
      <c r="AE229" s="108">
        <f>SUM(AD229,AC229,AB229,Y229,U229,T229,S229,R229)*'1. Standard_Cost'!$B$31</f>
        <v>0</v>
      </c>
      <c r="AF229" s="108">
        <f t="shared" si="225"/>
        <v>0</v>
      </c>
      <c r="AG229" s="260"/>
      <c r="AH229" s="260"/>
      <c r="AI229" s="260"/>
      <c r="AJ229" s="263"/>
      <c r="AK229" s="263"/>
      <c r="AL229" s="263"/>
      <c r="AM229" s="108">
        <f>AG229*'1. Standard_Cost'!$B$27+'Incremental_Cost Year 9'!AH229*'1. Standard_Cost'!$C$27+'Incremental_Cost Year 9'!AI229*'1. Standard_Cost'!$D$27+'Incremental_Cost Year 9'!AJ229+'Incremental_Cost Year 9'!AL229+AK229</f>
        <v>0</v>
      </c>
      <c r="AN229" s="108">
        <f>AM229*'1. Standard_Cost'!$C$31</f>
        <v>0</v>
      </c>
      <c r="AO229" s="125" t="s">
        <v>431</v>
      </c>
      <c r="AQ229" s="14">
        <f t="shared" si="226"/>
        <v>0</v>
      </c>
      <c r="AR229" s="14">
        <f t="shared" si="227"/>
        <v>0</v>
      </c>
      <c r="AS229" s="14">
        <f t="shared" si="228"/>
        <v>0</v>
      </c>
      <c r="AT229" s="14">
        <f t="shared" si="230"/>
        <v>0</v>
      </c>
      <c r="AU229" s="234"/>
      <c r="AV229" s="234"/>
      <c r="AW229" s="234"/>
      <c r="AX229" s="234"/>
      <c r="AY229" s="234"/>
      <c r="AZ229" s="234"/>
      <c r="BA229" s="234"/>
      <c r="BB229" s="16">
        <f t="shared" si="229"/>
        <v>0</v>
      </c>
    </row>
    <row r="230" spans="1:54" ht="15.6" outlineLevel="2">
      <c r="A230" s="98"/>
      <c r="B230" s="102"/>
      <c r="C230" s="23"/>
      <c r="D230" s="269"/>
      <c r="E230" s="269"/>
      <c r="F230" s="269"/>
      <c r="G230" s="269"/>
      <c r="H230" s="272"/>
      <c r="I230" s="258"/>
      <c r="J230" s="259"/>
      <c r="K230" s="259"/>
      <c r="L230" s="106" t="str">
        <f>IF(I230&lt;&gt;0,((VLOOKUP(I230,'1. Standard_Cost'!$B$4:$D$11,2)+VLOOKUP(I230,'1. Standard_Cost'!$B$4:$D$11,3))*J230*K230),"0")</f>
        <v>0</v>
      </c>
      <c r="M230" s="106">
        <f>L230*'1. Standard_Cost'!$F$4</f>
        <v>0</v>
      </c>
      <c r="N230" s="260"/>
      <c r="O230" s="260"/>
      <c r="P230" s="260"/>
      <c r="Q230" s="260"/>
      <c r="R230" s="108">
        <f>'1. Standard_Cost'!$B$15*N230*P230</f>
        <v>0</v>
      </c>
      <c r="S230" s="108">
        <f>N230*O230*P230*'1. Standard_Cost'!$C$15</f>
        <v>0</v>
      </c>
      <c r="T230" s="108">
        <f>N230*P230*Q230*'1. Standard_Cost'!$D$15</f>
        <v>0</v>
      </c>
      <c r="U230" s="108">
        <f>N230*O230*'1. Standard_Cost'!$E$15</f>
        <v>0</v>
      </c>
      <c r="V230" s="260"/>
      <c r="W230" s="260"/>
      <c r="X230" s="260"/>
      <c r="Y230" s="108">
        <f>+V230*((X230*'1. Standard_Cost'!$B$19)+(W230*X230*'1. Standard_Cost'!$C$19))</f>
        <v>0</v>
      </c>
      <c r="Z230" s="260"/>
      <c r="AA230" s="260"/>
      <c r="AB230" s="108">
        <f>+Z230*'1. Standard_Cost'!$B$23+AA230*'1. Standard_Cost'!$C$23</f>
        <v>0</v>
      </c>
      <c r="AC230" s="261"/>
      <c r="AD230" s="262"/>
      <c r="AE230" s="108">
        <f>SUM(AD230,AC230,AB230,Y230,U230,T230,S230,R230)*'1. Standard_Cost'!$B$31</f>
        <v>0</v>
      </c>
      <c r="AF230" s="108">
        <f t="shared" si="225"/>
        <v>0</v>
      </c>
      <c r="AG230" s="260"/>
      <c r="AH230" s="260"/>
      <c r="AI230" s="260"/>
      <c r="AJ230" s="263"/>
      <c r="AK230" s="263"/>
      <c r="AL230" s="263"/>
      <c r="AM230" s="108">
        <f>AG230*'1. Standard_Cost'!$B$27+'Incremental_Cost Year 9'!AH230*'1. Standard_Cost'!$C$27+'Incremental_Cost Year 9'!AI230*'1. Standard_Cost'!$D$27+'Incremental_Cost Year 9'!AJ230+'Incremental_Cost Year 9'!AL230+AK230</f>
        <v>0</v>
      </c>
      <c r="AN230" s="108">
        <f>AM230*'1. Standard_Cost'!$C$31</f>
        <v>0</v>
      </c>
      <c r="AO230" s="125" t="s">
        <v>432</v>
      </c>
      <c r="AQ230" s="14">
        <f t="shared" si="226"/>
        <v>0</v>
      </c>
      <c r="AR230" s="14">
        <f t="shared" si="227"/>
        <v>0</v>
      </c>
      <c r="AS230" s="14">
        <f t="shared" si="228"/>
        <v>0</v>
      </c>
      <c r="AT230" s="14">
        <f t="shared" si="230"/>
        <v>0</v>
      </c>
      <c r="AU230" s="234"/>
      <c r="AV230" s="234"/>
      <c r="AW230" s="234"/>
      <c r="AX230" s="234"/>
      <c r="AY230" s="234"/>
      <c r="AZ230" s="234"/>
      <c r="BA230" s="234"/>
      <c r="BB230" s="16">
        <f t="shared" si="229"/>
        <v>0</v>
      </c>
    </row>
    <row r="231" spans="1:54" ht="15.6" outlineLevel="2">
      <c r="A231" s="98"/>
      <c r="B231" s="102"/>
      <c r="C231" s="23"/>
      <c r="D231" s="269"/>
      <c r="E231" s="269"/>
      <c r="F231" s="269"/>
      <c r="G231" s="269"/>
      <c r="H231" s="272"/>
      <c r="I231" s="258"/>
      <c r="J231" s="259"/>
      <c r="K231" s="259"/>
      <c r="L231" s="106" t="str">
        <f>IF(I231&lt;&gt;0,((VLOOKUP(I231,'1. Standard_Cost'!$B$4:$D$11,2)+VLOOKUP(I231,'1. Standard_Cost'!$B$4:$D$11,3))*J231*K231),"0")</f>
        <v>0</v>
      </c>
      <c r="M231" s="106">
        <f>L231*'1. Standard_Cost'!$F$4</f>
        <v>0</v>
      </c>
      <c r="N231" s="260"/>
      <c r="O231" s="260"/>
      <c r="P231" s="260"/>
      <c r="Q231" s="260"/>
      <c r="R231" s="108">
        <f>'1. Standard_Cost'!$B$15*N231*P231</f>
        <v>0</v>
      </c>
      <c r="S231" s="108">
        <f>N231*O231*P231*'1. Standard_Cost'!$C$15</f>
        <v>0</v>
      </c>
      <c r="T231" s="108">
        <f>N231*P231*Q231*'1. Standard_Cost'!$D$15</f>
        <v>0</v>
      </c>
      <c r="U231" s="108">
        <f>N231*O231*'1. Standard_Cost'!$E$15</f>
        <v>0</v>
      </c>
      <c r="V231" s="260"/>
      <c r="W231" s="260"/>
      <c r="X231" s="260"/>
      <c r="Y231" s="108">
        <f>+V231*((X231*'1. Standard_Cost'!$B$19)+(W231*X231*'1. Standard_Cost'!$C$19))</f>
        <v>0</v>
      </c>
      <c r="Z231" s="260"/>
      <c r="AA231" s="260"/>
      <c r="AB231" s="108">
        <f>+Z231*'1. Standard_Cost'!$B$23+AA231*'1. Standard_Cost'!$C$23</f>
        <v>0</v>
      </c>
      <c r="AC231" s="261"/>
      <c r="AD231" s="262"/>
      <c r="AE231" s="108">
        <f>SUM(AD231,AC231,AB231,Y231,U231,T231,S231,R231)*'1. Standard_Cost'!$B$31</f>
        <v>0</v>
      </c>
      <c r="AF231" s="108">
        <f t="shared" si="225"/>
        <v>0</v>
      </c>
      <c r="AG231" s="260"/>
      <c r="AH231" s="260"/>
      <c r="AI231" s="260"/>
      <c r="AJ231" s="263"/>
      <c r="AK231" s="263"/>
      <c r="AL231" s="263"/>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26"/>
        <v>0</v>
      </c>
      <c r="AR231" s="14">
        <f t="shared" si="227"/>
        <v>0</v>
      </c>
      <c r="AS231" s="14">
        <f t="shared" si="228"/>
        <v>0</v>
      </c>
      <c r="AT231" s="14">
        <f t="shared" si="230"/>
        <v>0</v>
      </c>
      <c r="AU231" s="234"/>
      <c r="AV231" s="234"/>
      <c r="AW231" s="234"/>
      <c r="AX231" s="234"/>
      <c r="AY231" s="234"/>
      <c r="AZ231" s="234"/>
      <c r="BA231" s="234"/>
      <c r="BB231" s="16">
        <f t="shared" si="229"/>
        <v>0</v>
      </c>
    </row>
    <row r="232" spans="1:54" ht="27.6" outlineLevel="1">
      <c r="A232" s="98"/>
      <c r="B232" s="102"/>
      <c r="C232" s="23"/>
      <c r="D232" s="56" t="s">
        <v>47</v>
      </c>
      <c r="E232" s="56" t="s">
        <v>259</v>
      </c>
      <c r="F232" s="253">
        <v>2021</v>
      </c>
      <c r="G232" s="254">
        <v>2026</v>
      </c>
      <c r="H232" s="277" t="s">
        <v>260</v>
      </c>
      <c r="I232" s="264"/>
      <c r="J232" s="264"/>
      <c r="K232" s="264"/>
      <c r="L232" s="113">
        <f>SUM(L225:L231)</f>
        <v>0</v>
      </c>
      <c r="M232" s="113">
        <f>SUM(M225:M231)</f>
        <v>0</v>
      </c>
      <c r="N232" s="264"/>
      <c r="O232" s="264"/>
      <c r="P232" s="264"/>
      <c r="Q232" s="264"/>
      <c r="R232" s="113">
        <f>SUM(R225:R231)</f>
        <v>0</v>
      </c>
      <c r="S232" s="113">
        <f>SUM(S225:S231)</f>
        <v>0</v>
      </c>
      <c r="T232" s="113">
        <f>SUM(T225:T231)</f>
        <v>0</v>
      </c>
      <c r="U232" s="113">
        <f>SUM(U225:U231)</f>
        <v>0</v>
      </c>
      <c r="V232" s="264"/>
      <c r="W232" s="264"/>
      <c r="X232" s="264"/>
      <c r="Y232" s="113">
        <f>SUM(Y225:Y231)</f>
        <v>0</v>
      </c>
      <c r="Z232" s="264"/>
      <c r="AA232" s="264"/>
      <c r="AB232" s="113">
        <f>SUM(AB225:AB231)</f>
        <v>0</v>
      </c>
      <c r="AC232" s="265">
        <f>SUM(AC225:AC231)</f>
        <v>0</v>
      </c>
      <c r="AD232" s="265">
        <f>SUM(AD225:AD231)</f>
        <v>0</v>
      </c>
      <c r="AE232" s="113">
        <f>SUM(AE225:AE231)</f>
        <v>0</v>
      </c>
      <c r="AF232" s="113">
        <f>SUM(AF225:AF231)</f>
        <v>0</v>
      </c>
      <c r="AG232" s="264"/>
      <c r="AH232" s="264"/>
      <c r="AI232" s="264"/>
      <c r="AJ232" s="265">
        <f>SUM(AJ225:AJ231)</f>
        <v>0</v>
      </c>
      <c r="AK232" s="265">
        <f>SUM(AK225:AK231)</f>
        <v>0</v>
      </c>
      <c r="AL232" s="265">
        <f>SUM(AL225:AL231)</f>
        <v>0</v>
      </c>
      <c r="AM232" s="113">
        <f>SUM(AM225:AM231)</f>
        <v>0</v>
      </c>
      <c r="AN232" s="113">
        <f>SUM(AN225:AN231)</f>
        <v>0</v>
      </c>
      <c r="AO232" s="131"/>
      <c r="AP232" s="17"/>
      <c r="AQ232" s="113">
        <f t="shared" ref="AQ232:BB232" si="231">SUM(AQ225:AQ231)</f>
        <v>0</v>
      </c>
      <c r="AR232" s="113">
        <f t="shared" si="231"/>
        <v>0</v>
      </c>
      <c r="AS232" s="113">
        <f t="shared" si="231"/>
        <v>0</v>
      </c>
      <c r="AT232" s="113">
        <f t="shared" si="231"/>
        <v>0</v>
      </c>
      <c r="AU232" s="265">
        <f t="shared" si="231"/>
        <v>0</v>
      </c>
      <c r="AV232" s="265">
        <f t="shared" si="231"/>
        <v>0</v>
      </c>
      <c r="AW232" s="265">
        <f t="shared" si="231"/>
        <v>0</v>
      </c>
      <c r="AX232" s="265">
        <f t="shared" si="231"/>
        <v>0</v>
      </c>
      <c r="AY232" s="265">
        <f t="shared" si="231"/>
        <v>0</v>
      </c>
      <c r="AZ232" s="265">
        <f t="shared" si="231"/>
        <v>0</v>
      </c>
      <c r="BA232" s="265">
        <f t="shared" si="231"/>
        <v>0</v>
      </c>
      <c r="BB232" s="113">
        <f t="shared" si="231"/>
        <v>0</v>
      </c>
    </row>
    <row r="233" spans="1:54" ht="55.2" outlineLevel="2">
      <c r="A233" s="98"/>
      <c r="B233" s="102"/>
      <c r="C233" s="23"/>
      <c r="D233" s="257"/>
      <c r="E233" s="257"/>
      <c r="F233" s="257"/>
      <c r="G233" s="257"/>
      <c r="H233" s="272"/>
      <c r="I233" s="258"/>
      <c r="J233" s="259"/>
      <c r="K233" s="259"/>
      <c r="L233" s="106" t="str">
        <f>IF(I233&lt;&gt;0,((VLOOKUP(I233,'1. Standard_Cost'!$B$4:$D$11,2)+VLOOKUP(I233,'1. Standard_Cost'!$B$4:$D$11,3))*J233*K233),"0")</f>
        <v>0</v>
      </c>
      <c r="M233" s="106">
        <f>L233*'1. Standard_Cost'!$F$4</f>
        <v>0</v>
      </c>
      <c r="N233" s="260"/>
      <c r="O233" s="260"/>
      <c r="P233" s="260"/>
      <c r="Q233" s="260"/>
      <c r="R233" s="108">
        <f>'1. Standard_Cost'!$B$15*N233*P233</f>
        <v>0</v>
      </c>
      <c r="S233" s="108">
        <f>N233*O233*P233*'1. Standard_Cost'!$C$15</f>
        <v>0</v>
      </c>
      <c r="T233" s="108">
        <f>N233*P233*Q233*'1. Standard_Cost'!$D$15</f>
        <v>0</v>
      </c>
      <c r="U233" s="108">
        <f>N233*O233*'1. Standard_Cost'!$E$15</f>
        <v>0</v>
      </c>
      <c r="V233" s="260"/>
      <c r="W233" s="260"/>
      <c r="X233" s="260"/>
      <c r="Y233" s="108">
        <f>+V233*((X233*'1. Standard_Cost'!$B$19)+(W233*X233*'1. Standard_Cost'!$C$19))</f>
        <v>0</v>
      </c>
      <c r="Z233" s="260"/>
      <c r="AA233" s="260"/>
      <c r="AB233" s="108">
        <f>+Z233*'1. Standard_Cost'!$B$23+AA233*'1. Standard_Cost'!$C$23</f>
        <v>0</v>
      </c>
      <c r="AC233" s="261"/>
      <c r="AD233" s="262"/>
      <c r="AE233" s="108">
        <f>SUM(AD233,AC233,AB233,Y233,U233,T233,S233,R233)*'1. Standard_Cost'!$B$31</f>
        <v>0</v>
      </c>
      <c r="AF233" s="108">
        <f t="shared" ref="AF233:AF235" si="232">SUM(AE233,AD233,AC233,AB233,Y233,U233,T233,S233,R233)</f>
        <v>0</v>
      </c>
      <c r="AG233" s="260"/>
      <c r="AH233" s="260"/>
      <c r="AI233" s="260"/>
      <c r="AJ233" s="263"/>
      <c r="AK233" s="263"/>
      <c r="AL233" s="263"/>
      <c r="AM233" s="108">
        <f>AG233*'1. Standard_Cost'!$B$27+'Incremental_Cost Year 9'!AH233*'1. Standard_Cost'!$C$27+'Incremental_Cost Year 9'!AI233*'1. Standard_Cost'!$D$27+'Incremental_Cost Year 9'!AJ233+'Incremental_Cost Year 9'!AL233+AK233</f>
        <v>0</v>
      </c>
      <c r="AN233" s="108">
        <f>AM233*'1. Standard_Cost'!$C$31</f>
        <v>0</v>
      </c>
      <c r="AO233" s="125" t="s">
        <v>434</v>
      </c>
      <c r="AQ233" s="14">
        <f t="shared" ref="AQ233:AQ235" si="233">L233+M233</f>
        <v>0</v>
      </c>
      <c r="AR233" s="14">
        <f t="shared" ref="AR233:AR235" si="234">AF233</f>
        <v>0</v>
      </c>
      <c r="AS233" s="14">
        <f t="shared" ref="AS233:AS235" si="235">AM233+AN233</f>
        <v>0</v>
      </c>
      <c r="AT233" s="14">
        <f>SUM(AQ233,AR233,AS233)</f>
        <v>0</v>
      </c>
      <c r="AU233" s="234"/>
      <c r="AV233" s="234"/>
      <c r="AW233" s="234"/>
      <c r="AX233" s="234"/>
      <c r="AY233" s="234"/>
      <c r="AZ233" s="234"/>
      <c r="BA233" s="234"/>
      <c r="BB233" s="16">
        <f t="shared" ref="BB233:BB235" si="236">SUM(AU233:BA233)-AT233</f>
        <v>0</v>
      </c>
    </row>
    <row r="234" spans="1:54" ht="15.6" outlineLevel="2">
      <c r="A234" s="98"/>
      <c r="B234" s="102"/>
      <c r="C234" s="23"/>
      <c r="D234" s="269"/>
      <c r="E234" s="269"/>
      <c r="F234" s="269"/>
      <c r="G234" s="269"/>
      <c r="H234" s="272"/>
      <c r="I234" s="258"/>
      <c r="J234" s="259"/>
      <c r="K234" s="259"/>
      <c r="L234" s="106" t="str">
        <f>IF(I234&lt;&gt;0,((VLOOKUP(I234,'1. Standard_Cost'!$B$4:$D$11,2)+VLOOKUP(I234,'1. Standard_Cost'!$B$4:$D$11,3))*J234*K234),"0")</f>
        <v>0</v>
      </c>
      <c r="M234" s="106">
        <f>L234*'1. Standard_Cost'!$F$4</f>
        <v>0</v>
      </c>
      <c r="N234" s="260"/>
      <c r="O234" s="260"/>
      <c r="P234" s="260"/>
      <c r="Q234" s="260"/>
      <c r="R234" s="108">
        <f>'1. Standard_Cost'!$B$15*N234*P234</f>
        <v>0</v>
      </c>
      <c r="S234" s="108">
        <f>N234*O234*P234*'1. Standard_Cost'!$C$15</f>
        <v>0</v>
      </c>
      <c r="T234" s="108">
        <f>N234*P234*Q234*'1. Standard_Cost'!$D$15</f>
        <v>0</v>
      </c>
      <c r="U234" s="108">
        <f>N234*O234*'1. Standard_Cost'!$E$15</f>
        <v>0</v>
      </c>
      <c r="V234" s="260"/>
      <c r="W234" s="260"/>
      <c r="X234" s="260"/>
      <c r="Y234" s="108">
        <f>+V234*((X234*'1. Standard_Cost'!$B$19)+(W234*X234*'1. Standard_Cost'!$C$19))</f>
        <v>0</v>
      </c>
      <c r="Z234" s="260"/>
      <c r="AA234" s="260"/>
      <c r="AB234" s="108">
        <f>+Z234*'1. Standard_Cost'!$B$23+AA234*'1. Standard_Cost'!$C$23</f>
        <v>0</v>
      </c>
      <c r="AC234" s="261"/>
      <c r="AD234" s="262"/>
      <c r="AE234" s="108">
        <f>SUM(AD234,AC234,AB234,Y234,U234,T234,S234,R234)*'1. Standard_Cost'!$B$31</f>
        <v>0</v>
      </c>
      <c r="AF234" s="108">
        <f t="shared" si="232"/>
        <v>0</v>
      </c>
      <c r="AG234" s="260"/>
      <c r="AH234" s="260"/>
      <c r="AI234" s="260"/>
      <c r="AJ234" s="263"/>
      <c r="AK234" s="263"/>
      <c r="AL234" s="263"/>
      <c r="AM234" s="108">
        <f>AG234*'1. Standard_Cost'!$B$27+'Incremental_Cost Year 9'!AH234*'1. Standard_Cost'!$C$27+'Incremental_Cost Year 9'!AI234*'1. Standard_Cost'!$D$27+'Incremental_Cost Year 9'!AJ234+'Incremental_Cost Year 9'!AL234+AK234</f>
        <v>0</v>
      </c>
      <c r="AN234" s="108">
        <f>AM234*'1. Standard_Cost'!$C$31</f>
        <v>0</v>
      </c>
      <c r="AO234" s="125" t="s">
        <v>435</v>
      </c>
      <c r="AQ234" s="14">
        <f t="shared" si="233"/>
        <v>0</v>
      </c>
      <c r="AR234" s="14">
        <f t="shared" si="234"/>
        <v>0</v>
      </c>
      <c r="AS234" s="14">
        <f t="shared" si="235"/>
        <v>0</v>
      </c>
      <c r="AT234" s="14">
        <f t="shared" ref="AT234:AT235" si="237">SUM(AQ234,AR234,AS234)</f>
        <v>0</v>
      </c>
      <c r="AU234" s="234"/>
      <c r="AV234" s="234"/>
      <c r="AW234" s="234"/>
      <c r="AX234" s="234"/>
      <c r="AY234" s="234"/>
      <c r="AZ234" s="234"/>
      <c r="BA234" s="234"/>
      <c r="BB234" s="16">
        <f t="shared" si="236"/>
        <v>0</v>
      </c>
    </row>
    <row r="235" spans="1:54" ht="15.6" outlineLevel="2">
      <c r="A235" s="98"/>
      <c r="B235" s="102"/>
      <c r="C235" s="23"/>
      <c r="D235" s="269"/>
      <c r="E235" s="269"/>
      <c r="F235" s="269"/>
      <c r="G235" s="174"/>
      <c r="H235" s="272"/>
      <c r="I235" s="258"/>
      <c r="J235" s="259"/>
      <c r="K235" s="259"/>
      <c r="L235" s="106" t="str">
        <f>IF(I235&lt;&gt;0,((VLOOKUP(I235,'1. Standard_Cost'!$B$4:$D$11,2)+VLOOKUP(I235,'1. Standard_Cost'!$B$4:$D$11,3))*J235*K235),"0")</f>
        <v>0</v>
      </c>
      <c r="M235" s="106">
        <f>L235*'1. Standard_Cost'!$F$4</f>
        <v>0</v>
      </c>
      <c r="N235" s="260"/>
      <c r="O235" s="260"/>
      <c r="P235" s="260"/>
      <c r="Q235" s="260"/>
      <c r="R235" s="108">
        <f>'1. Standard_Cost'!$B$15*N235*P235</f>
        <v>0</v>
      </c>
      <c r="S235" s="108">
        <f>N235*O235*P235*'1. Standard_Cost'!$C$15</f>
        <v>0</v>
      </c>
      <c r="T235" s="108">
        <f>N235*P235*Q235*'1. Standard_Cost'!$D$15</f>
        <v>0</v>
      </c>
      <c r="U235" s="108">
        <f>N235*O235*'1. Standard_Cost'!$E$15</f>
        <v>0</v>
      </c>
      <c r="V235" s="260"/>
      <c r="W235" s="260"/>
      <c r="X235" s="260"/>
      <c r="Y235" s="108">
        <f>+V235*((X235*'1. Standard_Cost'!$B$19)+(W235*X235*'1. Standard_Cost'!$C$19))</f>
        <v>0</v>
      </c>
      <c r="Z235" s="260"/>
      <c r="AA235" s="260"/>
      <c r="AB235" s="108">
        <f>+Z235*'1. Standard_Cost'!$B$23+AA235*'1. Standard_Cost'!$C$23</f>
        <v>0</v>
      </c>
      <c r="AC235" s="261"/>
      <c r="AD235" s="262"/>
      <c r="AE235" s="108">
        <f>SUM(AD235,AC235,AB235,Y235,U235,T235,S235,R235)*'1. Standard_Cost'!$B$31</f>
        <v>0</v>
      </c>
      <c r="AF235" s="108">
        <f t="shared" si="232"/>
        <v>0</v>
      </c>
      <c r="AG235" s="260"/>
      <c r="AH235" s="260"/>
      <c r="AI235" s="260"/>
      <c r="AJ235" s="263"/>
      <c r="AK235" s="263"/>
      <c r="AL235" s="263"/>
      <c r="AM235" s="108">
        <f>AG235*'1. Standard_Cost'!$B$27+'Incremental_Cost Year 9'!AH235*'1. Standard_Cost'!$C$27+'Incremental_Cost Year 9'!AI235*'1. Standard_Cost'!$D$27+'Incremental_Cost Year 9'!AJ235+'Incremental_Cost Year 9'!AL235+AK235</f>
        <v>0</v>
      </c>
      <c r="AN235" s="108">
        <f>AM235*'1. Standard_Cost'!$C$31</f>
        <v>0</v>
      </c>
      <c r="AO235" s="125" t="s">
        <v>436</v>
      </c>
      <c r="AQ235" s="14">
        <f t="shared" si="233"/>
        <v>0</v>
      </c>
      <c r="AR235" s="14">
        <f t="shared" si="234"/>
        <v>0</v>
      </c>
      <c r="AS235" s="14">
        <f t="shared" si="235"/>
        <v>0</v>
      </c>
      <c r="AT235" s="14">
        <f t="shared" si="237"/>
        <v>0</v>
      </c>
      <c r="AU235" s="234"/>
      <c r="AV235" s="234"/>
      <c r="AW235" s="234"/>
      <c r="AX235" s="234"/>
      <c r="AY235" s="234"/>
      <c r="AZ235" s="234"/>
      <c r="BA235" s="234"/>
      <c r="BB235" s="16">
        <f t="shared" si="236"/>
        <v>0</v>
      </c>
    </row>
    <row r="236" spans="1:54" ht="27.6" outlineLevel="1">
      <c r="A236" s="98"/>
      <c r="B236" s="102"/>
      <c r="C236" s="23"/>
      <c r="D236" s="56" t="s">
        <v>47</v>
      </c>
      <c r="E236" s="56" t="s">
        <v>261</v>
      </c>
      <c r="F236" s="253">
        <v>2021</v>
      </c>
      <c r="G236" s="254">
        <v>2026</v>
      </c>
      <c r="H236" s="277" t="s">
        <v>264</v>
      </c>
      <c r="I236" s="264"/>
      <c r="J236" s="264"/>
      <c r="K236" s="264"/>
      <c r="L236" s="113">
        <f>SUM(L233:L235)</f>
        <v>0</v>
      </c>
      <c r="M236" s="113">
        <f>SUM(M233:M235)</f>
        <v>0</v>
      </c>
      <c r="N236" s="264"/>
      <c r="O236" s="264"/>
      <c r="P236" s="264"/>
      <c r="Q236" s="264"/>
      <c r="R236" s="113">
        <f>SUM(R233:R235)</f>
        <v>0</v>
      </c>
      <c r="S236" s="113">
        <f>SUM(S233:S235)</f>
        <v>0</v>
      </c>
      <c r="T236" s="113">
        <f>SUM(T233:T235)</f>
        <v>0</v>
      </c>
      <c r="U236" s="113">
        <f>SUM(U233:U235)</f>
        <v>0</v>
      </c>
      <c r="V236" s="264"/>
      <c r="W236" s="264"/>
      <c r="X236" s="264"/>
      <c r="Y236" s="113">
        <f>SUM(Y233:Y235)</f>
        <v>0</v>
      </c>
      <c r="Z236" s="264"/>
      <c r="AA236" s="264"/>
      <c r="AB236" s="113">
        <f>SUM(AB233:AB235)</f>
        <v>0</v>
      </c>
      <c r="AC236" s="265">
        <f>SUM(AC233:AC235)</f>
        <v>0</v>
      </c>
      <c r="AD236" s="265">
        <f>SUM(AD233:AD235)</f>
        <v>0</v>
      </c>
      <c r="AE236" s="113">
        <f>SUM(AE233:AE235)</f>
        <v>0</v>
      </c>
      <c r="AF236" s="113">
        <f>SUM(AF233:AF235)</f>
        <v>0</v>
      </c>
      <c r="AG236" s="264"/>
      <c r="AH236" s="264"/>
      <c r="AI236" s="264"/>
      <c r="AJ236" s="265">
        <f>SUM(AJ233:AJ235)</f>
        <v>0</v>
      </c>
      <c r="AK236" s="265">
        <f>SUM(AK233:AK235)</f>
        <v>0</v>
      </c>
      <c r="AL236" s="265">
        <f>SUM(AL233:AL235)</f>
        <v>0</v>
      </c>
      <c r="AM236" s="113">
        <f>SUM(AM233:AM235)</f>
        <v>0</v>
      </c>
      <c r="AN236" s="113">
        <f>SUM(AN233:AN235)</f>
        <v>0</v>
      </c>
      <c r="AO236" s="131"/>
      <c r="AP236" s="17"/>
      <c r="AQ236" s="113">
        <f t="shared" ref="AQ236:BB236" si="238">SUM(AQ233:AQ235)</f>
        <v>0</v>
      </c>
      <c r="AR236" s="113">
        <f t="shared" si="238"/>
        <v>0</v>
      </c>
      <c r="AS236" s="113">
        <f t="shared" si="238"/>
        <v>0</v>
      </c>
      <c r="AT236" s="113">
        <f t="shared" si="238"/>
        <v>0</v>
      </c>
      <c r="AU236" s="265">
        <f t="shared" si="238"/>
        <v>0</v>
      </c>
      <c r="AV236" s="265">
        <f t="shared" si="238"/>
        <v>0</v>
      </c>
      <c r="AW236" s="265">
        <f t="shared" si="238"/>
        <v>0</v>
      </c>
      <c r="AX236" s="265">
        <f t="shared" si="238"/>
        <v>0</v>
      </c>
      <c r="AY236" s="265">
        <f t="shared" si="238"/>
        <v>0</v>
      </c>
      <c r="AZ236" s="265">
        <f t="shared" si="238"/>
        <v>0</v>
      </c>
      <c r="BA236" s="265">
        <f t="shared" si="238"/>
        <v>0</v>
      </c>
      <c r="BB236" s="113">
        <f t="shared" si="238"/>
        <v>0</v>
      </c>
    </row>
    <row r="237" spans="1:54" ht="15.6" outlineLevel="2">
      <c r="A237" s="98"/>
      <c r="B237" s="102"/>
      <c r="C237" s="23"/>
      <c r="D237" s="269"/>
      <c r="E237" s="269"/>
      <c r="F237" s="269"/>
      <c r="G237" s="269"/>
      <c r="H237" s="272"/>
      <c r="I237" s="258"/>
      <c r="J237" s="259"/>
      <c r="K237" s="259"/>
      <c r="L237" s="106" t="str">
        <f>IF(I237&lt;&gt;0,((VLOOKUP(I237,'1. Standard_Cost'!$B$4:$D$11,2)+VLOOKUP(I237,'1. Standard_Cost'!$B$4:$D$11,3))*J237*K237),"0")</f>
        <v>0</v>
      </c>
      <c r="M237" s="106">
        <f>L237*'1. Standard_Cost'!$F$4</f>
        <v>0</v>
      </c>
      <c r="N237" s="260"/>
      <c r="O237" s="260"/>
      <c r="P237" s="260"/>
      <c r="Q237" s="260"/>
      <c r="R237" s="108">
        <f>'1. Standard_Cost'!$B$15*N237*P237</f>
        <v>0</v>
      </c>
      <c r="S237" s="108">
        <f>N237*O237*P237*'1. Standard_Cost'!$C$15</f>
        <v>0</v>
      </c>
      <c r="T237" s="108">
        <f>N237*P237*Q237*'1. Standard_Cost'!$D$15</f>
        <v>0</v>
      </c>
      <c r="U237" s="108">
        <f>N237*O237*'1. Standard_Cost'!$E$15</f>
        <v>0</v>
      </c>
      <c r="V237" s="260"/>
      <c r="W237" s="260"/>
      <c r="X237" s="260"/>
      <c r="Y237" s="108">
        <f>+V237*((X237*'1. Standard_Cost'!$B$19)+(W237*X237*'1. Standard_Cost'!$C$19))</f>
        <v>0</v>
      </c>
      <c r="Z237" s="260"/>
      <c r="AA237" s="260"/>
      <c r="AB237" s="108">
        <f>+Z237*'1. Standard_Cost'!$B$23+AA237*'1. Standard_Cost'!$C$23</f>
        <v>0</v>
      </c>
      <c r="AC237" s="261"/>
      <c r="AD237" s="262"/>
      <c r="AE237" s="108">
        <f>SUM(AD237,AC237,AB237,Y237,U237,T237,S237,R237)*'1. Standard_Cost'!$B$31</f>
        <v>0</v>
      </c>
      <c r="AF237" s="108">
        <f t="shared" ref="AF237:AF241" si="239">SUM(AE237,AD237,AC237,AB237,Y237,U237,T237,S237,R237)</f>
        <v>0</v>
      </c>
      <c r="AG237" s="260"/>
      <c r="AH237" s="260"/>
      <c r="AI237" s="260"/>
      <c r="AJ237" s="263"/>
      <c r="AK237" s="263"/>
      <c r="AL237" s="263"/>
      <c r="AM237" s="108">
        <f>AG237*'1. Standard_Cost'!$B$27+'Incremental_Cost Year 9'!AH237*'1. Standard_Cost'!$C$27+'Incremental_Cost Year 9'!AI237*'1. Standard_Cost'!$D$27+'Incremental_Cost Year 9'!AJ237+'Incremental_Cost Year 9'!AL237+AK237</f>
        <v>0</v>
      </c>
      <c r="AN237" s="108">
        <f>AM237*'1. Standard_Cost'!$C$31</f>
        <v>0</v>
      </c>
      <c r="AO237" s="125" t="s">
        <v>437</v>
      </c>
      <c r="AQ237" s="14">
        <f t="shared" ref="AQ237:AQ241" si="240">L237+M237</f>
        <v>0</v>
      </c>
      <c r="AR237" s="14">
        <f t="shared" ref="AR237:AR241" si="241">AF237</f>
        <v>0</v>
      </c>
      <c r="AS237" s="14">
        <f t="shared" ref="AS237:AS241" si="242">AM237+AN237</f>
        <v>0</v>
      </c>
      <c r="AT237" s="14">
        <f>SUM(AQ237,AR237,AS237)</f>
        <v>0</v>
      </c>
      <c r="AU237" s="234"/>
      <c r="AV237" s="234"/>
      <c r="AW237" s="234"/>
      <c r="AX237" s="234"/>
      <c r="AY237" s="234"/>
      <c r="AZ237" s="234"/>
      <c r="BA237" s="234"/>
      <c r="BB237" s="16">
        <f t="shared" ref="BB237:BB241" si="243">SUM(AU237:BA237)-AT237</f>
        <v>0</v>
      </c>
    </row>
    <row r="238" spans="1:54" ht="15.6" outlineLevel="2">
      <c r="A238" s="98"/>
      <c r="B238" s="102"/>
      <c r="C238" s="23"/>
      <c r="D238" s="269"/>
      <c r="E238" s="269"/>
      <c r="F238" s="269"/>
      <c r="G238" s="269"/>
      <c r="H238" s="272"/>
      <c r="I238" s="258"/>
      <c r="J238" s="259"/>
      <c r="K238" s="259"/>
      <c r="L238" s="106" t="str">
        <f>IF(I238&lt;&gt;0,((VLOOKUP(I238,'1. Standard_Cost'!$B$4:$D$11,2)+VLOOKUP(I238,'1. Standard_Cost'!$B$4:$D$11,3))*J238*K238),"0")</f>
        <v>0</v>
      </c>
      <c r="M238" s="106">
        <f>L238*'1. Standard_Cost'!$F$4</f>
        <v>0</v>
      </c>
      <c r="N238" s="260"/>
      <c r="O238" s="260"/>
      <c r="P238" s="260"/>
      <c r="Q238" s="260"/>
      <c r="R238" s="108">
        <f>'1. Standard_Cost'!$B$15*N238*P238</f>
        <v>0</v>
      </c>
      <c r="S238" s="108">
        <f>N238*O238*P238*'1. Standard_Cost'!$C$15</f>
        <v>0</v>
      </c>
      <c r="T238" s="108">
        <f>N238*P238*Q238*'1. Standard_Cost'!$D$15</f>
        <v>0</v>
      </c>
      <c r="U238" s="108">
        <f>N238*O238*'1. Standard_Cost'!$E$15</f>
        <v>0</v>
      </c>
      <c r="V238" s="260"/>
      <c r="W238" s="260"/>
      <c r="X238" s="260"/>
      <c r="Y238" s="108">
        <f>+V238*((X238*'1. Standard_Cost'!$B$19)+(W238*X238*'1. Standard_Cost'!$C$19))</f>
        <v>0</v>
      </c>
      <c r="Z238" s="260"/>
      <c r="AA238" s="260"/>
      <c r="AB238" s="108">
        <f>+Z238*'1. Standard_Cost'!$B$23+AA238*'1. Standard_Cost'!$C$23</f>
        <v>0</v>
      </c>
      <c r="AC238" s="261"/>
      <c r="AD238" s="262"/>
      <c r="AE238" s="108">
        <f>SUM(AD238,AC238,AB238,Y238,U238,T238,S238,R238)*'1. Standard_Cost'!$B$31</f>
        <v>0</v>
      </c>
      <c r="AF238" s="108">
        <f t="shared" si="239"/>
        <v>0</v>
      </c>
      <c r="AG238" s="260"/>
      <c r="AH238" s="260"/>
      <c r="AI238" s="260"/>
      <c r="AJ238" s="263"/>
      <c r="AK238" s="263"/>
      <c r="AL238" s="263"/>
      <c r="AM238" s="108">
        <f>AG238*'1. Standard_Cost'!$B$27+'Incremental_Cost Year 9'!AH238*'1. Standard_Cost'!$C$27+'Incremental_Cost Year 9'!AI238*'1. Standard_Cost'!$D$27+'Incremental_Cost Year 9'!AJ238+'Incremental_Cost Year 9'!AL238+AK238</f>
        <v>0</v>
      </c>
      <c r="AN238" s="108">
        <f>AM238*'1. Standard_Cost'!$C$31</f>
        <v>0</v>
      </c>
      <c r="AO238" s="125" t="s">
        <v>438</v>
      </c>
      <c r="AQ238" s="14">
        <f t="shared" si="240"/>
        <v>0</v>
      </c>
      <c r="AR238" s="14">
        <f t="shared" si="241"/>
        <v>0</v>
      </c>
      <c r="AS238" s="14">
        <f t="shared" si="242"/>
        <v>0</v>
      </c>
      <c r="AT238" s="14">
        <f t="shared" ref="AT238:AT241" si="244">SUM(AQ238,AR238,AS238)</f>
        <v>0</v>
      </c>
      <c r="AU238" s="234"/>
      <c r="AV238" s="234"/>
      <c r="AW238" s="234"/>
      <c r="AX238" s="234"/>
      <c r="AY238" s="234"/>
      <c r="AZ238" s="234"/>
      <c r="BA238" s="234"/>
      <c r="BB238" s="16">
        <f t="shared" si="243"/>
        <v>0</v>
      </c>
    </row>
    <row r="239" spans="1:54" ht="15.6" outlineLevel="2">
      <c r="A239" s="98"/>
      <c r="B239" s="102"/>
      <c r="C239" s="23"/>
      <c r="D239" s="269"/>
      <c r="E239" s="269"/>
      <c r="F239" s="269"/>
      <c r="G239" s="269"/>
      <c r="H239" s="272"/>
      <c r="I239" s="258"/>
      <c r="J239" s="259"/>
      <c r="K239" s="259"/>
      <c r="L239" s="106" t="str">
        <f>IF(I239&lt;&gt;0,((VLOOKUP(I239,'1. Standard_Cost'!$B$4:$D$11,2)+VLOOKUP(I239,'1. Standard_Cost'!$B$4:$D$11,3))*J239*K239),"0")</f>
        <v>0</v>
      </c>
      <c r="M239" s="106">
        <f>L239*'1. Standard_Cost'!$F$4</f>
        <v>0</v>
      </c>
      <c r="N239" s="260"/>
      <c r="O239" s="260"/>
      <c r="P239" s="260"/>
      <c r="Q239" s="260"/>
      <c r="R239" s="108">
        <f>'1. Standard_Cost'!$B$15*N239*P239</f>
        <v>0</v>
      </c>
      <c r="S239" s="108">
        <f>N239*O239*P239*'1. Standard_Cost'!$C$15</f>
        <v>0</v>
      </c>
      <c r="T239" s="108">
        <f>N239*P239*Q239*'1. Standard_Cost'!$D$15</f>
        <v>0</v>
      </c>
      <c r="U239" s="108">
        <f>N239*O239*'1. Standard_Cost'!$E$15</f>
        <v>0</v>
      </c>
      <c r="V239" s="260"/>
      <c r="W239" s="260"/>
      <c r="X239" s="260"/>
      <c r="Y239" s="108">
        <f>+V239*((X239*'1. Standard_Cost'!$B$19)+(W239*X239*'1. Standard_Cost'!$C$19))</f>
        <v>0</v>
      </c>
      <c r="Z239" s="260"/>
      <c r="AA239" s="260"/>
      <c r="AB239" s="108">
        <f>+Z239*'1. Standard_Cost'!$B$23+AA239*'1. Standard_Cost'!$C$23</f>
        <v>0</v>
      </c>
      <c r="AC239" s="261"/>
      <c r="AD239" s="262"/>
      <c r="AE239" s="108">
        <f>SUM(AD239,AC239,AB239,Y239,U239,T239,S239,R239)*'1. Standard_Cost'!$B$31</f>
        <v>0</v>
      </c>
      <c r="AF239" s="108">
        <f t="shared" si="239"/>
        <v>0</v>
      </c>
      <c r="AG239" s="260"/>
      <c r="AH239" s="260"/>
      <c r="AI239" s="260"/>
      <c r="AJ239" s="263"/>
      <c r="AK239" s="263"/>
      <c r="AL239" s="263"/>
      <c r="AM239" s="108">
        <f>AG239*'1. Standard_Cost'!$B$27+'Incremental_Cost Year 9'!AH239*'1. Standard_Cost'!$C$27+'Incremental_Cost Year 9'!AI239*'1. Standard_Cost'!$D$27+'Incremental_Cost Year 9'!AJ239+'Incremental_Cost Year 9'!AL239+AK239</f>
        <v>0</v>
      </c>
      <c r="AN239" s="108">
        <f>AM239*'1. Standard_Cost'!$C$31</f>
        <v>0</v>
      </c>
      <c r="AO239" s="125" t="s">
        <v>439</v>
      </c>
      <c r="AQ239" s="14">
        <f t="shared" si="240"/>
        <v>0</v>
      </c>
      <c r="AR239" s="14">
        <f t="shared" si="241"/>
        <v>0</v>
      </c>
      <c r="AS239" s="14">
        <f t="shared" si="242"/>
        <v>0</v>
      </c>
      <c r="AT239" s="14">
        <f t="shared" si="244"/>
        <v>0</v>
      </c>
      <c r="AU239" s="234"/>
      <c r="AV239" s="234"/>
      <c r="AW239" s="234"/>
      <c r="AX239" s="234"/>
      <c r="AY239" s="234"/>
      <c r="AZ239" s="234"/>
      <c r="BA239" s="234"/>
      <c r="BB239" s="16">
        <f t="shared" si="243"/>
        <v>0</v>
      </c>
    </row>
    <row r="240" spans="1:54" ht="15.6" outlineLevel="2">
      <c r="A240" s="98"/>
      <c r="B240" s="102"/>
      <c r="C240" s="23"/>
      <c r="D240" s="269"/>
      <c r="E240" s="269"/>
      <c r="F240" s="269"/>
      <c r="G240" s="269"/>
      <c r="H240" s="272"/>
      <c r="I240" s="258"/>
      <c r="J240" s="259"/>
      <c r="K240" s="259"/>
      <c r="L240" s="106" t="str">
        <f>IF(I240&lt;&gt;0,((VLOOKUP(I240,'1. Standard_Cost'!$B$4:$D$11,2)+VLOOKUP(I240,'1. Standard_Cost'!$B$4:$D$11,3))*J240*K240),"0")</f>
        <v>0</v>
      </c>
      <c r="M240" s="106">
        <f>L240*'1. Standard_Cost'!$F$4</f>
        <v>0</v>
      </c>
      <c r="N240" s="260"/>
      <c r="O240" s="260"/>
      <c r="P240" s="260"/>
      <c r="Q240" s="260"/>
      <c r="R240" s="108">
        <f>'1. Standard_Cost'!$B$15*N240*P240</f>
        <v>0</v>
      </c>
      <c r="S240" s="108">
        <f>N240*O240*P240*'1. Standard_Cost'!$C$15</f>
        <v>0</v>
      </c>
      <c r="T240" s="108">
        <f>N240*P240*Q240*'1. Standard_Cost'!$D$15</f>
        <v>0</v>
      </c>
      <c r="U240" s="108">
        <f>N240*O240*'1. Standard_Cost'!$E$15</f>
        <v>0</v>
      </c>
      <c r="V240" s="260"/>
      <c r="W240" s="260"/>
      <c r="X240" s="260"/>
      <c r="Y240" s="108">
        <f>+V240*((X240*'1. Standard_Cost'!$B$19)+(W240*X240*'1. Standard_Cost'!$C$19))</f>
        <v>0</v>
      </c>
      <c r="Z240" s="260"/>
      <c r="AA240" s="260"/>
      <c r="AB240" s="108">
        <f>+Z240*'1. Standard_Cost'!$B$23+AA240*'1. Standard_Cost'!$C$23</f>
        <v>0</v>
      </c>
      <c r="AC240" s="261"/>
      <c r="AD240" s="262"/>
      <c r="AE240" s="108">
        <f>SUM(AD240,AC240,AB240,Y240,U240,T240,S240,R240)*'1. Standard_Cost'!$B$31</f>
        <v>0</v>
      </c>
      <c r="AF240" s="108">
        <f t="shared" si="239"/>
        <v>0</v>
      </c>
      <c r="AG240" s="260"/>
      <c r="AH240" s="260"/>
      <c r="AI240" s="260"/>
      <c r="AJ240" s="263"/>
      <c r="AK240" s="263"/>
      <c r="AL240" s="263"/>
      <c r="AM240" s="108">
        <f>AG240*'1. Standard_Cost'!$B$27+'Incremental_Cost Year 9'!AH240*'1. Standard_Cost'!$C$27+'Incremental_Cost Year 9'!AI240*'1. Standard_Cost'!$D$27+'Incremental_Cost Year 9'!AJ240+'Incremental_Cost Year 9'!AL240+AK240</f>
        <v>0</v>
      </c>
      <c r="AN240" s="108">
        <f>AM240*'1. Standard_Cost'!$C$31</f>
        <v>0</v>
      </c>
      <c r="AO240" s="125" t="s">
        <v>440</v>
      </c>
      <c r="AQ240" s="14">
        <f t="shared" si="240"/>
        <v>0</v>
      </c>
      <c r="AR240" s="14">
        <f t="shared" si="241"/>
        <v>0</v>
      </c>
      <c r="AS240" s="14">
        <f t="shared" si="242"/>
        <v>0</v>
      </c>
      <c r="AT240" s="14">
        <f t="shared" si="244"/>
        <v>0</v>
      </c>
      <c r="AU240" s="234"/>
      <c r="AV240" s="234"/>
      <c r="AW240" s="234"/>
      <c r="AX240" s="234"/>
      <c r="AY240" s="234"/>
      <c r="AZ240" s="234"/>
      <c r="BA240" s="234"/>
      <c r="BB240" s="16">
        <f t="shared" si="243"/>
        <v>0</v>
      </c>
    </row>
    <row r="241" spans="1:54" ht="15.6" outlineLevel="2">
      <c r="A241" s="98"/>
      <c r="B241" s="102"/>
      <c r="C241" s="23"/>
      <c r="D241" s="269"/>
      <c r="E241" s="269"/>
      <c r="F241" s="269"/>
      <c r="G241" s="269"/>
      <c r="H241" s="272"/>
      <c r="I241" s="258"/>
      <c r="J241" s="259"/>
      <c r="K241" s="259"/>
      <c r="L241" s="106" t="str">
        <f>IF(I241&lt;&gt;0,((VLOOKUP(I241,'1. Standard_Cost'!$B$4:$D$11,2)+VLOOKUP(I241,'1. Standard_Cost'!$B$4:$D$11,3))*J241*K241),"0")</f>
        <v>0</v>
      </c>
      <c r="M241" s="106">
        <f>L241*'1. Standard_Cost'!$F$4</f>
        <v>0</v>
      </c>
      <c r="N241" s="260"/>
      <c r="O241" s="260"/>
      <c r="P241" s="260"/>
      <c r="Q241" s="260"/>
      <c r="R241" s="108">
        <f>'1. Standard_Cost'!$B$15*N241*P241</f>
        <v>0</v>
      </c>
      <c r="S241" s="108">
        <f>N241*O241*P241*'1. Standard_Cost'!$C$15</f>
        <v>0</v>
      </c>
      <c r="T241" s="108">
        <f>N241*P241*Q241*'1. Standard_Cost'!$D$15</f>
        <v>0</v>
      </c>
      <c r="U241" s="108">
        <f>N241*O241*'1. Standard_Cost'!$E$15</f>
        <v>0</v>
      </c>
      <c r="V241" s="260"/>
      <c r="W241" s="260"/>
      <c r="X241" s="260"/>
      <c r="Y241" s="108">
        <f>+V241*((X241*'1. Standard_Cost'!$B$19)+(W241*X241*'1. Standard_Cost'!$C$19))</f>
        <v>0</v>
      </c>
      <c r="Z241" s="260"/>
      <c r="AA241" s="260"/>
      <c r="AB241" s="108">
        <f>+Z241*'1. Standard_Cost'!$B$23+AA241*'1. Standard_Cost'!$C$23</f>
        <v>0</v>
      </c>
      <c r="AC241" s="261"/>
      <c r="AD241" s="262"/>
      <c r="AE241" s="108">
        <f>SUM(AD241,AC241,AB241,Y241,U241,T241,S241,R241)*'1. Standard_Cost'!$B$31</f>
        <v>0</v>
      </c>
      <c r="AF241" s="108">
        <f t="shared" si="239"/>
        <v>0</v>
      </c>
      <c r="AG241" s="260"/>
      <c r="AH241" s="260"/>
      <c r="AI241" s="260"/>
      <c r="AJ241" s="263"/>
      <c r="AK241" s="263"/>
      <c r="AL241" s="263"/>
      <c r="AM241" s="108">
        <f>AG241*'1. Standard_Cost'!$B$27+'Incremental_Cost Year 9'!AH241*'1. Standard_Cost'!$C$27+'Incremental_Cost Year 9'!AI241*'1. Standard_Cost'!$D$27+'Incremental_Cost Year 9'!AJ241+'Incremental_Cost Year 9'!AL241+AK241</f>
        <v>0</v>
      </c>
      <c r="AN241" s="108">
        <f>AM241*'1. Standard_Cost'!$C$31</f>
        <v>0</v>
      </c>
      <c r="AO241" s="125" t="s">
        <v>441</v>
      </c>
      <c r="AQ241" s="14">
        <f t="shared" si="240"/>
        <v>0</v>
      </c>
      <c r="AR241" s="14">
        <f t="shared" si="241"/>
        <v>0</v>
      </c>
      <c r="AS241" s="14">
        <f t="shared" si="242"/>
        <v>0</v>
      </c>
      <c r="AT241" s="14">
        <f t="shared" si="244"/>
        <v>0</v>
      </c>
      <c r="AU241" s="234"/>
      <c r="AV241" s="234"/>
      <c r="AW241" s="234"/>
      <c r="AX241" s="234"/>
      <c r="AY241" s="234"/>
      <c r="AZ241" s="234"/>
      <c r="BA241" s="234"/>
      <c r="BB241" s="16">
        <f t="shared" si="243"/>
        <v>0</v>
      </c>
    </row>
    <row r="242" spans="1:54" ht="27.6" outlineLevel="1">
      <c r="A242" s="98"/>
      <c r="B242" s="102"/>
      <c r="C242" s="23"/>
      <c r="D242" s="56" t="s">
        <v>47</v>
      </c>
      <c r="E242" s="56" t="s">
        <v>265</v>
      </c>
      <c r="F242" s="253">
        <v>2021</v>
      </c>
      <c r="G242" s="254">
        <v>2026</v>
      </c>
      <c r="H242" s="277" t="s">
        <v>269</v>
      </c>
      <c r="I242" s="264"/>
      <c r="J242" s="264"/>
      <c r="K242" s="264"/>
      <c r="L242" s="113">
        <f>SUM(L237:L241)</f>
        <v>0</v>
      </c>
      <c r="M242" s="113">
        <f>SUM(M237:M241)</f>
        <v>0</v>
      </c>
      <c r="N242" s="264"/>
      <c r="O242" s="264"/>
      <c r="P242" s="264"/>
      <c r="Q242" s="264"/>
      <c r="R242" s="113">
        <f>SUM(R237:R241)</f>
        <v>0</v>
      </c>
      <c r="S242" s="113">
        <f>SUM(S237:S241)</f>
        <v>0</v>
      </c>
      <c r="T242" s="113">
        <f>SUM(T237:T241)</f>
        <v>0</v>
      </c>
      <c r="U242" s="113">
        <f>SUM(U237:U241)</f>
        <v>0</v>
      </c>
      <c r="V242" s="264"/>
      <c r="W242" s="264"/>
      <c r="X242" s="264"/>
      <c r="Y242" s="113">
        <f>SUM(Y237:Y241)</f>
        <v>0</v>
      </c>
      <c r="Z242" s="264"/>
      <c r="AA242" s="264"/>
      <c r="AB242" s="113">
        <f>SUM(AB237:AB241)</f>
        <v>0</v>
      </c>
      <c r="AC242" s="265">
        <f>SUM(AC237:AC241)</f>
        <v>0</v>
      </c>
      <c r="AD242" s="265">
        <f>SUM(AD237:AD241)</f>
        <v>0</v>
      </c>
      <c r="AE242" s="113">
        <f>SUM(AE237:AE241)</f>
        <v>0</v>
      </c>
      <c r="AF242" s="113">
        <f>SUM(AF237:AF241)</f>
        <v>0</v>
      </c>
      <c r="AG242" s="264"/>
      <c r="AH242" s="264"/>
      <c r="AI242" s="264"/>
      <c r="AJ242" s="265">
        <f>SUM(AJ237:AJ241)</f>
        <v>0</v>
      </c>
      <c r="AK242" s="265">
        <f>SUM(AK237:AK241)</f>
        <v>0</v>
      </c>
      <c r="AL242" s="265">
        <f>SUM(AL237:AL241)</f>
        <v>0</v>
      </c>
      <c r="AM242" s="113">
        <f>SUM(AM237:AM241)</f>
        <v>0</v>
      </c>
      <c r="AN242" s="113">
        <f>SUM(AN237:AN241)</f>
        <v>0</v>
      </c>
      <c r="AO242" s="131"/>
      <c r="AP242" s="17"/>
      <c r="AQ242" s="113">
        <f t="shared" ref="AQ242:BB242" si="245">SUM(AQ237:AQ241)</f>
        <v>0</v>
      </c>
      <c r="AR242" s="113">
        <f t="shared" si="245"/>
        <v>0</v>
      </c>
      <c r="AS242" s="113">
        <f t="shared" si="245"/>
        <v>0</v>
      </c>
      <c r="AT242" s="113">
        <f t="shared" si="245"/>
        <v>0</v>
      </c>
      <c r="AU242" s="265">
        <f t="shared" si="245"/>
        <v>0</v>
      </c>
      <c r="AV242" s="265">
        <f t="shared" si="245"/>
        <v>0</v>
      </c>
      <c r="AW242" s="265">
        <f t="shared" si="245"/>
        <v>0</v>
      </c>
      <c r="AX242" s="265">
        <f t="shared" si="245"/>
        <v>0</v>
      </c>
      <c r="AY242" s="265">
        <f t="shared" si="245"/>
        <v>0</v>
      </c>
      <c r="AZ242" s="265">
        <f t="shared" si="245"/>
        <v>0</v>
      </c>
      <c r="BA242" s="265">
        <f t="shared" si="245"/>
        <v>0</v>
      </c>
      <c r="BB242" s="113">
        <f t="shared" si="245"/>
        <v>0</v>
      </c>
    </row>
  </sheetData>
  <mergeCells count="17">
    <mergeCell ref="B223:E223"/>
    <mergeCell ref="C224:E224"/>
    <mergeCell ref="AQ2:BB2"/>
    <mergeCell ref="B2:E2"/>
    <mergeCell ref="C32:E32"/>
    <mergeCell ref="C40:E40"/>
    <mergeCell ref="C143:E143"/>
    <mergeCell ref="C80:E80"/>
    <mergeCell ref="B92:E92"/>
    <mergeCell ref="C93:E93"/>
    <mergeCell ref="C179:E179"/>
    <mergeCell ref="C202:E202"/>
    <mergeCell ref="B1:L1"/>
    <mergeCell ref="B3:E3"/>
    <mergeCell ref="B5:E5"/>
    <mergeCell ref="C6:E6"/>
    <mergeCell ref="B31:E31"/>
  </mergeCells>
  <conditionalFormatting sqref="BB243:BB286 BB288:BB291 BB293:BB302 BB305:BB308 BB33 BB81:BB82 BB94:BB100 BB7:BB10 BB26:BB29 BB24 BB36:BB38 BB85:BB90 BB16:BB20 BB60:BB78 BB183:BB185 BB144:BB146 BB154:BB160 BB162:BB167">
    <cfRule type="cellIs" dxfId="351" priority="175" operator="lessThan">
      <formula>0</formula>
    </cfRule>
    <cfRule type="cellIs" dxfId="350" priority="176" operator="lessThan">
      <formula>-105575</formula>
    </cfRule>
  </conditionalFormatting>
  <conditionalFormatting sqref="BB311:BB314 BB316:BB320">
    <cfRule type="cellIs" dxfId="349" priority="173" operator="lessThan">
      <formula>0</formula>
    </cfRule>
    <cfRule type="cellIs" dxfId="348" priority="174" operator="lessThan">
      <formula>-105575</formula>
    </cfRule>
  </conditionalFormatting>
  <conditionalFormatting sqref="BB321:BB325">
    <cfRule type="cellIs" dxfId="347" priority="171" operator="lessThan">
      <formula>0</formula>
    </cfRule>
    <cfRule type="cellIs" dxfId="346" priority="172" operator="lessThan">
      <formula>-105575</formula>
    </cfRule>
  </conditionalFormatting>
  <conditionalFormatting sqref="BB326:BB330">
    <cfRule type="cellIs" dxfId="345" priority="169" operator="lessThan">
      <formula>0</formula>
    </cfRule>
    <cfRule type="cellIs" dxfId="344" priority="170" operator="lessThan">
      <formula>-105575</formula>
    </cfRule>
  </conditionalFormatting>
  <conditionalFormatting sqref="BB332:BB335 BB337:BB341">
    <cfRule type="cellIs" dxfId="343" priority="167" operator="lessThan">
      <formula>0</formula>
    </cfRule>
    <cfRule type="cellIs" dxfId="342" priority="168" operator="lessThan">
      <formula>-105575</formula>
    </cfRule>
  </conditionalFormatting>
  <conditionalFormatting sqref="BB342:BB346">
    <cfRule type="cellIs" dxfId="341" priority="165" operator="lessThan">
      <formula>0</formula>
    </cfRule>
    <cfRule type="cellIs" dxfId="340" priority="166" operator="lessThan">
      <formula>-105575</formula>
    </cfRule>
  </conditionalFormatting>
  <conditionalFormatting sqref="BB347:BB351">
    <cfRule type="cellIs" dxfId="339" priority="163" operator="lessThan">
      <formula>0</formula>
    </cfRule>
    <cfRule type="cellIs" dxfId="338" priority="164" operator="lessThan">
      <formula>-105575</formula>
    </cfRule>
  </conditionalFormatting>
  <conditionalFormatting sqref="BB353:BB356 BB358:BB362">
    <cfRule type="cellIs" dxfId="337" priority="161" operator="lessThan">
      <formula>0</formula>
    </cfRule>
    <cfRule type="cellIs" dxfId="336" priority="162" operator="lessThan">
      <formula>-105575</formula>
    </cfRule>
  </conditionalFormatting>
  <conditionalFormatting sqref="BB363:BB367">
    <cfRule type="cellIs" dxfId="335" priority="159" operator="lessThan">
      <formula>0</formula>
    </cfRule>
    <cfRule type="cellIs" dxfId="334" priority="160" operator="lessThan">
      <formula>-105575</formula>
    </cfRule>
  </conditionalFormatting>
  <conditionalFormatting sqref="BB370:BB373 BB375:BB379">
    <cfRule type="cellIs" dxfId="333" priority="157" operator="lessThan">
      <formula>0</formula>
    </cfRule>
    <cfRule type="cellIs" dxfId="332" priority="158" operator="lessThan">
      <formula>-105575</formula>
    </cfRule>
  </conditionalFormatting>
  <conditionalFormatting sqref="BB381:BB384">
    <cfRule type="cellIs" dxfId="331" priority="155" operator="lessThan">
      <formula>0</formula>
    </cfRule>
    <cfRule type="cellIs" dxfId="330" priority="156" operator="lessThan">
      <formula>-105575</formula>
    </cfRule>
  </conditionalFormatting>
  <conditionalFormatting sqref="BB381:BB384 BB386:BB390">
    <cfRule type="cellIs" dxfId="329" priority="153" operator="lessThan">
      <formula>0</formula>
    </cfRule>
    <cfRule type="cellIs" dxfId="328" priority="154" operator="lessThan">
      <formula>-105575</formula>
    </cfRule>
  </conditionalFormatting>
  <conditionalFormatting sqref="BB391:BB395">
    <cfRule type="cellIs" dxfId="327" priority="151" operator="lessThan">
      <formula>0</formula>
    </cfRule>
    <cfRule type="cellIs" dxfId="326" priority="152" operator="lessThan">
      <formula>-105575</formula>
    </cfRule>
  </conditionalFormatting>
  <conditionalFormatting sqref="BB396:BB400">
    <cfRule type="cellIs" dxfId="325" priority="149" operator="lessThan">
      <formula>0</formula>
    </cfRule>
    <cfRule type="cellIs" dxfId="324" priority="150" operator="lessThan">
      <formula>-105575</formula>
    </cfRule>
  </conditionalFormatting>
  <conditionalFormatting sqref="BB401:BB405">
    <cfRule type="cellIs" dxfId="323" priority="147" operator="lessThan">
      <formula>0</formula>
    </cfRule>
    <cfRule type="cellIs" dxfId="322" priority="148" operator="lessThan">
      <formula>-105575</formula>
    </cfRule>
  </conditionalFormatting>
  <conditionalFormatting sqref="BB406:BB410">
    <cfRule type="cellIs" dxfId="321" priority="145" operator="lessThan">
      <formula>0</formula>
    </cfRule>
    <cfRule type="cellIs" dxfId="320" priority="146" operator="lessThan">
      <formula>-105575</formula>
    </cfRule>
  </conditionalFormatting>
  <conditionalFormatting sqref="BB412:BB415">
    <cfRule type="cellIs" dxfId="319" priority="143" operator="lessThan">
      <formula>0</formula>
    </cfRule>
    <cfRule type="cellIs" dxfId="318" priority="144" operator="lessThan">
      <formula>-105575</formula>
    </cfRule>
  </conditionalFormatting>
  <conditionalFormatting sqref="BB412:BB415">
    <cfRule type="cellIs" dxfId="317" priority="141" operator="lessThan">
      <formula>0</formula>
    </cfRule>
    <cfRule type="cellIs" dxfId="316" priority="142" operator="lessThan">
      <formula>-105575</formula>
    </cfRule>
  </conditionalFormatting>
  <conditionalFormatting sqref="BB418:BB421">
    <cfRule type="cellIs" dxfId="315" priority="139" operator="lessThan">
      <formula>0</formula>
    </cfRule>
    <cfRule type="cellIs" dxfId="314" priority="140" operator="lessThan">
      <formula>-105575</formula>
    </cfRule>
  </conditionalFormatting>
  <conditionalFormatting sqref="BB418:BB421 BB423:BB427">
    <cfRule type="cellIs" dxfId="313" priority="137" operator="lessThan">
      <formula>0</formula>
    </cfRule>
    <cfRule type="cellIs" dxfId="312" priority="138" operator="lessThan">
      <formula>-105575</formula>
    </cfRule>
  </conditionalFormatting>
  <conditionalFormatting sqref="BB428:BB432">
    <cfRule type="cellIs" dxfId="311" priority="135" operator="lessThan">
      <formula>0</formula>
    </cfRule>
    <cfRule type="cellIs" dxfId="310" priority="136" operator="lessThan">
      <formula>-105575</formula>
    </cfRule>
  </conditionalFormatting>
  <conditionalFormatting sqref="BB433:BB437">
    <cfRule type="cellIs" dxfId="309" priority="133" operator="lessThan">
      <formula>0</formula>
    </cfRule>
    <cfRule type="cellIs" dxfId="308" priority="134" operator="lessThan">
      <formula>-105575</formula>
    </cfRule>
  </conditionalFormatting>
  <conditionalFormatting sqref="BB439:BB442">
    <cfRule type="cellIs" dxfId="307" priority="131" operator="lessThan">
      <formula>0</formula>
    </cfRule>
    <cfRule type="cellIs" dxfId="306" priority="132" operator="lessThan">
      <formula>-105575</formula>
    </cfRule>
  </conditionalFormatting>
  <conditionalFormatting sqref="BB439:BB442 BB444:BB448">
    <cfRule type="cellIs" dxfId="305" priority="129" operator="lessThan">
      <formula>0</formula>
    </cfRule>
    <cfRule type="cellIs" dxfId="304" priority="130" operator="lessThan">
      <formula>-105575</formula>
    </cfRule>
  </conditionalFormatting>
  <conditionalFormatting sqref="BB449:BB453">
    <cfRule type="cellIs" dxfId="303" priority="127" operator="lessThan">
      <formula>0</formula>
    </cfRule>
    <cfRule type="cellIs" dxfId="302" priority="128" operator="lessThan">
      <formula>-105575</formula>
    </cfRule>
  </conditionalFormatting>
  <conditionalFormatting sqref="BB454:BB458">
    <cfRule type="cellIs" dxfId="301" priority="125" operator="lessThan">
      <formula>0</formula>
    </cfRule>
    <cfRule type="cellIs" dxfId="300" priority="126" operator="lessThan">
      <formula>-105575</formula>
    </cfRule>
  </conditionalFormatting>
  <conditionalFormatting sqref="BB460:BB463">
    <cfRule type="cellIs" dxfId="299" priority="123" operator="lessThan">
      <formula>0</formula>
    </cfRule>
    <cfRule type="cellIs" dxfId="298" priority="124" operator="lessThan">
      <formula>-105575</formula>
    </cfRule>
  </conditionalFormatting>
  <conditionalFormatting sqref="BB460:BB463 BB465:BB469">
    <cfRule type="cellIs" dxfId="297" priority="121" operator="lessThan">
      <formula>0</formula>
    </cfRule>
    <cfRule type="cellIs" dxfId="296" priority="122" operator="lessThan">
      <formula>-105575</formula>
    </cfRule>
  </conditionalFormatting>
  <conditionalFormatting sqref="BB470:BB474">
    <cfRule type="cellIs" dxfId="295" priority="119" operator="lessThan">
      <formula>0</formula>
    </cfRule>
    <cfRule type="cellIs" dxfId="294" priority="120" operator="lessThan">
      <formula>-105575</formula>
    </cfRule>
  </conditionalFormatting>
  <conditionalFormatting sqref="BB475:BB479">
    <cfRule type="cellIs" dxfId="293" priority="117" operator="lessThan">
      <formula>0</formula>
    </cfRule>
    <cfRule type="cellIs" dxfId="292" priority="118" operator="lessThan">
      <formula>-105575</formula>
    </cfRule>
  </conditionalFormatting>
  <conditionalFormatting sqref="BB481:BB484">
    <cfRule type="cellIs" dxfId="291" priority="115" operator="lessThan">
      <formula>0</formula>
    </cfRule>
    <cfRule type="cellIs" dxfId="290" priority="116" operator="lessThan">
      <formula>-105575</formula>
    </cfRule>
  </conditionalFormatting>
  <conditionalFormatting sqref="BB481:BB484 BB486:BB490">
    <cfRule type="cellIs" dxfId="289" priority="113" operator="lessThan">
      <formula>0</formula>
    </cfRule>
    <cfRule type="cellIs" dxfId="288" priority="114" operator="lessThan">
      <formula>-105575</formula>
    </cfRule>
  </conditionalFormatting>
  <conditionalFormatting sqref="BB491:BB495">
    <cfRule type="cellIs" dxfId="287" priority="111" operator="lessThan">
      <formula>0</formula>
    </cfRule>
    <cfRule type="cellIs" dxfId="286" priority="112" operator="lessThan">
      <formula>-105575</formula>
    </cfRule>
  </conditionalFormatting>
  <conditionalFormatting sqref="BB144:BB146 BB154:BB160 BB162:BB167">
    <cfRule type="cellIs" dxfId="285" priority="109" operator="lessThan">
      <formula>0</formula>
    </cfRule>
    <cfRule type="cellIs" dxfId="284" priority="110" operator="lessThan">
      <formula>-105575</formula>
    </cfRule>
  </conditionalFormatting>
  <conditionalFormatting sqref="BB163:BB164">
    <cfRule type="cellIs" dxfId="283" priority="107" operator="lessThan">
      <formula>0</formula>
    </cfRule>
    <cfRule type="cellIs" dxfId="282" priority="108" operator="lessThan">
      <formula>-105575</formula>
    </cfRule>
  </conditionalFormatting>
  <conditionalFormatting sqref="BB34:BB35">
    <cfRule type="cellIs" dxfId="281" priority="97" operator="lessThan">
      <formula>0</formula>
    </cfRule>
    <cfRule type="cellIs" dxfId="280" priority="98" operator="lessThan">
      <formula>-105575</formula>
    </cfRule>
  </conditionalFormatting>
  <conditionalFormatting sqref="BB41 BB56:BB58">
    <cfRule type="cellIs" dxfId="279" priority="95" operator="lessThan">
      <formula>0</formula>
    </cfRule>
    <cfRule type="cellIs" dxfId="278" priority="96" operator="lessThan">
      <formula>-105575</formula>
    </cfRule>
  </conditionalFormatting>
  <conditionalFormatting sqref="BB14">
    <cfRule type="cellIs" dxfId="277" priority="105" operator="lessThan">
      <formula>0</formula>
    </cfRule>
    <cfRule type="cellIs" dxfId="276" priority="106" operator="lessThan">
      <formula>-105575</formula>
    </cfRule>
  </conditionalFormatting>
  <conditionalFormatting sqref="BB11">
    <cfRule type="cellIs" dxfId="275" priority="103" operator="lessThan">
      <formula>0</formula>
    </cfRule>
    <cfRule type="cellIs" dxfId="274" priority="104" operator="lessThan">
      <formula>-105575</formula>
    </cfRule>
  </conditionalFormatting>
  <conditionalFormatting sqref="BB54:BB55">
    <cfRule type="cellIs" dxfId="273" priority="93" operator="lessThan">
      <formula>0</formula>
    </cfRule>
    <cfRule type="cellIs" dxfId="272" priority="94" operator="lessThan">
      <formula>-105575</formula>
    </cfRule>
  </conditionalFormatting>
  <conditionalFormatting sqref="BB21 BB23">
    <cfRule type="cellIs" dxfId="271" priority="101" operator="lessThan">
      <formula>0</formula>
    </cfRule>
    <cfRule type="cellIs" dxfId="270" priority="102" operator="lessThan">
      <formula>-105575</formula>
    </cfRule>
  </conditionalFormatting>
  <conditionalFormatting sqref="BB22">
    <cfRule type="cellIs" dxfId="269" priority="99" operator="lessThan">
      <formula>0</formula>
    </cfRule>
    <cfRule type="cellIs" dxfId="268" priority="100" operator="lessThan">
      <formula>-105575</formula>
    </cfRule>
  </conditionalFormatting>
  <conditionalFormatting sqref="BB52:BB53">
    <cfRule type="cellIs" dxfId="267" priority="91" operator="lessThan">
      <formula>0</formula>
    </cfRule>
    <cfRule type="cellIs" dxfId="266" priority="92" operator="lessThan">
      <formula>-105575</formula>
    </cfRule>
  </conditionalFormatting>
  <conditionalFormatting sqref="BB50:BB51">
    <cfRule type="cellIs" dxfId="265" priority="89" operator="lessThan">
      <formula>0</formula>
    </cfRule>
    <cfRule type="cellIs" dxfId="264" priority="90" operator="lessThan">
      <formula>-105575</formula>
    </cfRule>
  </conditionalFormatting>
  <conditionalFormatting sqref="BB49">
    <cfRule type="cellIs" dxfId="263" priority="87" operator="lessThan">
      <formula>0</formula>
    </cfRule>
    <cfRule type="cellIs" dxfId="262" priority="88" operator="lessThan">
      <formula>-105575</formula>
    </cfRule>
  </conditionalFormatting>
  <conditionalFormatting sqref="BB47:BB48">
    <cfRule type="cellIs" dxfId="261" priority="85" operator="lessThan">
      <formula>0</formula>
    </cfRule>
    <cfRule type="cellIs" dxfId="260" priority="86" operator="lessThan">
      <formula>-105575</formula>
    </cfRule>
  </conditionalFormatting>
  <conditionalFormatting sqref="BB45:BB46">
    <cfRule type="cellIs" dxfId="259" priority="83" operator="lessThan">
      <formula>0</formula>
    </cfRule>
    <cfRule type="cellIs" dxfId="258" priority="84" operator="lessThan">
      <formula>-105575</formula>
    </cfRule>
  </conditionalFormatting>
  <conditionalFormatting sqref="BB42 BB44">
    <cfRule type="cellIs" dxfId="257" priority="81" operator="lessThan">
      <formula>0</formula>
    </cfRule>
    <cfRule type="cellIs" dxfId="256" priority="82" operator="lessThan">
      <formula>-105575</formula>
    </cfRule>
  </conditionalFormatting>
  <conditionalFormatting sqref="BB43">
    <cfRule type="cellIs" dxfId="255" priority="79" operator="lessThan">
      <formula>0</formula>
    </cfRule>
    <cfRule type="cellIs" dxfId="254" priority="80" operator="lessThan">
      <formula>-105575</formula>
    </cfRule>
  </conditionalFormatting>
  <conditionalFormatting sqref="BB83:BB84">
    <cfRule type="cellIs" dxfId="253" priority="77" operator="lessThan">
      <formula>0</formula>
    </cfRule>
    <cfRule type="cellIs" dxfId="252" priority="78" operator="lessThan">
      <formula>-105575</formula>
    </cfRule>
  </conditionalFormatting>
  <conditionalFormatting sqref="BB102:BB106 BB111:BB112">
    <cfRule type="cellIs" dxfId="251" priority="75" operator="lessThan">
      <formula>0</formula>
    </cfRule>
    <cfRule type="cellIs" dxfId="250" priority="76" operator="lessThan">
      <formula>-105575</formula>
    </cfRule>
  </conditionalFormatting>
  <conditionalFormatting sqref="BB114 BB134:BB135 BB125:BB128">
    <cfRule type="cellIs" dxfId="249" priority="71" operator="lessThan">
      <formula>0</formula>
    </cfRule>
    <cfRule type="cellIs" dxfId="248" priority="72" operator="lessThan">
      <formula>-105575</formula>
    </cfRule>
  </conditionalFormatting>
  <conditionalFormatting sqref="BB107:BB110">
    <cfRule type="cellIs" dxfId="247" priority="73" operator="lessThan">
      <formula>0</formula>
    </cfRule>
    <cfRule type="cellIs" dxfId="246" priority="74" operator="lessThan">
      <formula>-105575</formula>
    </cfRule>
  </conditionalFormatting>
  <conditionalFormatting sqref="BB123:BB124 BB115:BB118">
    <cfRule type="cellIs" dxfId="245" priority="67" operator="lessThan">
      <formula>0</formula>
    </cfRule>
    <cfRule type="cellIs" dxfId="244" priority="68" operator="lessThan">
      <formula>-105575</formula>
    </cfRule>
  </conditionalFormatting>
  <conditionalFormatting sqref="BB129:BB133">
    <cfRule type="cellIs" dxfId="243" priority="69" operator="lessThan">
      <formula>0</formula>
    </cfRule>
    <cfRule type="cellIs" dxfId="242" priority="70" operator="lessThan">
      <formula>-105575</formula>
    </cfRule>
  </conditionalFormatting>
  <conditionalFormatting sqref="BB119:BB122">
    <cfRule type="cellIs" dxfId="241" priority="65" operator="lessThan">
      <formula>0</formula>
    </cfRule>
    <cfRule type="cellIs" dxfId="240" priority="66" operator="lessThan">
      <formula>-105575</formula>
    </cfRule>
  </conditionalFormatting>
  <conditionalFormatting sqref="BB137:BB138">
    <cfRule type="cellIs" dxfId="239" priority="63" operator="lessThan">
      <formula>0</formula>
    </cfRule>
    <cfRule type="cellIs" dxfId="238" priority="64" operator="lessThan">
      <formula>-105575</formula>
    </cfRule>
  </conditionalFormatting>
  <conditionalFormatting sqref="BB147:BB153">
    <cfRule type="cellIs" dxfId="237" priority="59" operator="lessThan">
      <formula>0</formula>
    </cfRule>
    <cfRule type="cellIs" dxfId="236" priority="60" operator="lessThan">
      <formula>-105575</formula>
    </cfRule>
  </conditionalFormatting>
  <conditionalFormatting sqref="BB140:BB141">
    <cfRule type="cellIs" dxfId="235" priority="61" operator="lessThan">
      <formula>0</formula>
    </cfRule>
    <cfRule type="cellIs" dxfId="234" priority="62" operator="lessThan">
      <formula>-105575</formula>
    </cfRule>
  </conditionalFormatting>
  <conditionalFormatting sqref="BB161">
    <cfRule type="cellIs" dxfId="233" priority="55" operator="lessThan">
      <formula>0</formula>
    </cfRule>
    <cfRule type="cellIs" dxfId="232" priority="56" operator="lessThan">
      <formula>-105575</formula>
    </cfRule>
  </conditionalFormatting>
  <conditionalFormatting sqref="BB147:BB153">
    <cfRule type="cellIs" dxfId="231" priority="57" operator="lessThan">
      <formula>0</formula>
    </cfRule>
    <cfRule type="cellIs" dxfId="230" priority="58" operator="lessThan">
      <formula>-105575</formula>
    </cfRule>
  </conditionalFormatting>
  <conditionalFormatting sqref="BB193:BB198">
    <cfRule type="cellIs" dxfId="229" priority="35" operator="lessThan">
      <formula>0</formula>
    </cfRule>
    <cfRule type="cellIs" dxfId="228" priority="36" operator="lessThan">
      <formula>-105575</formula>
    </cfRule>
  </conditionalFormatting>
  <conditionalFormatting sqref="BB161">
    <cfRule type="cellIs" dxfId="227" priority="53" operator="lessThan">
      <formula>0</formula>
    </cfRule>
    <cfRule type="cellIs" dxfId="226" priority="54" operator="lessThan">
      <formula>-105575</formula>
    </cfRule>
  </conditionalFormatting>
  <conditionalFormatting sqref="BB169 BB175:BB177">
    <cfRule type="cellIs" dxfId="225" priority="51" operator="lessThan">
      <formula>0</formula>
    </cfRule>
    <cfRule type="cellIs" dxfId="224" priority="52" operator="lessThan">
      <formula>-105575</formula>
    </cfRule>
  </conditionalFormatting>
  <conditionalFormatting sqref="BB169 BB175:BB177">
    <cfRule type="cellIs" dxfId="223" priority="49" operator="lessThan">
      <formula>0</formula>
    </cfRule>
    <cfRule type="cellIs" dxfId="222" priority="50" operator="lessThan">
      <formula>-105575</formula>
    </cfRule>
  </conditionalFormatting>
  <conditionalFormatting sqref="BB170:BB174">
    <cfRule type="cellIs" dxfId="221" priority="47" operator="lessThan">
      <formula>0</formula>
    </cfRule>
    <cfRule type="cellIs" dxfId="220" priority="48" operator="lessThan">
      <formula>-105575</formula>
    </cfRule>
  </conditionalFormatting>
  <conditionalFormatting sqref="BB182">
    <cfRule type="cellIs" dxfId="219" priority="31" operator="lessThan">
      <formula>0</formula>
    </cfRule>
    <cfRule type="cellIs" dxfId="218" priority="32" operator="lessThan">
      <formula>-105575</formula>
    </cfRule>
  </conditionalFormatting>
  <conditionalFormatting sqref="BB170:BB174">
    <cfRule type="cellIs" dxfId="217" priority="45" operator="lessThan">
      <formula>0</formula>
    </cfRule>
    <cfRule type="cellIs" dxfId="216" priority="46" operator="lessThan">
      <formula>-105575</formula>
    </cfRule>
  </conditionalFormatting>
  <conditionalFormatting sqref="BB193:BB198">
    <cfRule type="cellIs" dxfId="215" priority="33" operator="lessThan">
      <formula>0</formula>
    </cfRule>
    <cfRule type="cellIs" dxfId="214" priority="34" operator="lessThan">
      <formula>-105575</formula>
    </cfRule>
  </conditionalFormatting>
  <conditionalFormatting sqref="BB180 BB186:BB192 BB199:BB200">
    <cfRule type="cellIs" dxfId="213" priority="43" operator="lessThan">
      <formula>0</formula>
    </cfRule>
    <cfRule type="cellIs" dxfId="212" priority="44" operator="lessThan">
      <formula>-105575</formula>
    </cfRule>
  </conditionalFormatting>
  <conditionalFormatting sqref="BB180 BB186:BB192 BB199:BB200">
    <cfRule type="cellIs" dxfId="211" priority="41" operator="lessThan">
      <formula>0</formula>
    </cfRule>
    <cfRule type="cellIs" dxfId="210" priority="42" operator="lessThan">
      <formula>-105575</formula>
    </cfRule>
  </conditionalFormatting>
  <conditionalFormatting sqref="BB181">
    <cfRule type="cellIs" dxfId="209" priority="37" operator="lessThan">
      <formula>0</formula>
    </cfRule>
    <cfRule type="cellIs" dxfId="208" priority="38" operator="lessThan">
      <formula>-105575</formula>
    </cfRule>
  </conditionalFormatting>
  <conditionalFormatting sqref="BB181">
    <cfRule type="cellIs" dxfId="207" priority="39" operator="lessThan">
      <formula>0</formula>
    </cfRule>
    <cfRule type="cellIs" dxfId="206" priority="40" operator="lessThan">
      <formula>-105575</formula>
    </cfRule>
  </conditionalFormatting>
  <conditionalFormatting sqref="BB182">
    <cfRule type="cellIs" dxfId="205" priority="29" operator="lessThan">
      <formula>0</formula>
    </cfRule>
    <cfRule type="cellIs" dxfId="204" priority="30" operator="lessThan">
      <formula>-105575</formula>
    </cfRule>
  </conditionalFormatting>
  <conditionalFormatting sqref="BB218">
    <cfRule type="cellIs" dxfId="203" priority="17" operator="lessThan">
      <formula>0</formula>
    </cfRule>
    <cfRule type="cellIs" dxfId="202" priority="18" operator="lessThan">
      <formula>-105575</formula>
    </cfRule>
  </conditionalFormatting>
  <conditionalFormatting sqref="BB220:BB221">
    <cfRule type="cellIs" dxfId="201" priority="23" operator="lessThan">
      <formula>0</formula>
    </cfRule>
    <cfRule type="cellIs" dxfId="200" priority="24" operator="lessThan">
      <formula>-105575</formula>
    </cfRule>
  </conditionalFormatting>
  <conditionalFormatting sqref="BB218">
    <cfRule type="cellIs" dxfId="199" priority="15" operator="lessThan">
      <formula>0</formula>
    </cfRule>
    <cfRule type="cellIs" dxfId="198" priority="16" operator="lessThan">
      <formula>-105575</formula>
    </cfRule>
  </conditionalFormatting>
  <conditionalFormatting sqref="BB203 BB219:BB221 BB210:BB217">
    <cfRule type="cellIs" dxfId="197" priority="27" operator="lessThan">
      <formula>0</formula>
    </cfRule>
    <cfRule type="cellIs" dxfId="196" priority="28" operator="lessThan">
      <formula>-105575</formula>
    </cfRule>
  </conditionalFormatting>
  <conditionalFormatting sqref="BB203 BB219:BB221 BB210:BB217">
    <cfRule type="cellIs" dxfId="195" priority="25" operator="lessThan">
      <formula>0</formula>
    </cfRule>
    <cfRule type="cellIs" dxfId="194" priority="26" operator="lessThan">
      <formula>-105575</formula>
    </cfRule>
  </conditionalFormatting>
  <conditionalFormatting sqref="BB204:BB209">
    <cfRule type="cellIs" dxfId="193" priority="19" operator="lessThan">
      <formula>0</formula>
    </cfRule>
    <cfRule type="cellIs" dxfId="192" priority="20" operator="lessThan">
      <formula>-105575</formula>
    </cfRule>
  </conditionalFormatting>
  <conditionalFormatting sqref="BB204:BB209">
    <cfRule type="cellIs" dxfId="191" priority="21" operator="lessThan">
      <formula>0</formula>
    </cfRule>
    <cfRule type="cellIs" dxfId="190" priority="22" operator="lessThan">
      <formula>-105575</formula>
    </cfRule>
  </conditionalFormatting>
  <conditionalFormatting sqref="BB225:BB231">
    <cfRule type="cellIs" dxfId="189" priority="13" operator="lessThan">
      <formula>0</formula>
    </cfRule>
    <cfRule type="cellIs" dxfId="188" priority="14" operator="lessThan">
      <formula>-105575</formula>
    </cfRule>
  </conditionalFormatting>
  <conditionalFormatting sqref="BB233:BB235">
    <cfRule type="cellIs" dxfId="187" priority="11" operator="lessThan">
      <formula>0</formula>
    </cfRule>
    <cfRule type="cellIs" dxfId="186" priority="12" operator="lessThan">
      <formula>-105575</formula>
    </cfRule>
  </conditionalFormatting>
  <conditionalFormatting sqref="BB237">
    <cfRule type="cellIs" dxfId="185" priority="9" operator="lessThan">
      <formula>0</formula>
    </cfRule>
    <cfRule type="cellIs" dxfId="184" priority="10" operator="lessThan">
      <formula>-105575</formula>
    </cfRule>
  </conditionalFormatting>
  <conditionalFormatting sqref="BB238:BB241">
    <cfRule type="cellIs" dxfId="183" priority="7" operator="lessThan">
      <formula>0</formula>
    </cfRule>
    <cfRule type="cellIs" dxfId="182" priority="8" operator="lessThan">
      <formula>-105575</formula>
    </cfRule>
  </conditionalFormatting>
  <conditionalFormatting sqref="BB12">
    <cfRule type="cellIs" dxfId="181" priority="5" operator="lessThan">
      <formula>0</formula>
    </cfRule>
    <cfRule type="cellIs" dxfId="180" priority="6" operator="lessThan">
      <formula>-105575</formula>
    </cfRule>
  </conditionalFormatting>
  <conditionalFormatting sqref="BB13">
    <cfRule type="cellIs" dxfId="179" priority="3" operator="lessThan">
      <formula>0</formula>
    </cfRule>
    <cfRule type="cellIs" dxfId="178" priority="4" operator="lessThan">
      <formula>-105575</formula>
    </cfRule>
  </conditionalFormatting>
  <conditionalFormatting sqref="BA17:BA18">
    <cfRule type="cellIs" dxfId="177" priority="1" operator="lessThan">
      <formula>0</formula>
    </cfRule>
    <cfRule type="cellIs" dxfId="176"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'1. Standard_Cost'!$B$4:$B$10</xm:f>
          </x14:formula1>
          <xm:sqref>I26:I29 I16:I24 I7:I14</xm:sqref>
        </x14:dataValidation>
        <x14:dataValidation type="list" allowBlank="1" showInputMessage="1" showErrorMessage="1">
          <x14:formula1>
            <xm:f>'[2]1. Standard_Cost'!#REF!</xm:f>
          </x14:formula1>
          <xm:sqref>I33:I34 I36</xm:sqref>
        </x14:dataValidation>
      </x14:dataValidations>
    </ext>
  </extLst>
</worksheet>
</file>

<file path=xl/worksheets/sheet11.xml><?xml version="1.0" encoding="utf-8"?>
<worksheet xmlns="http://schemas.openxmlformats.org/spreadsheetml/2006/main" xmlns:r="http://schemas.openxmlformats.org/officeDocument/2006/relationships">
  <dimension ref="A1:BJ242"/>
  <sheetViews>
    <sheetView topLeftCell="A225" zoomScale="90" zoomScaleNormal="90" workbookViewId="0">
      <selection activeCell="H225" sqref="H1:H1048576"/>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229" customWidth="1" outlineLevel="2"/>
    <col min="10" max="10" width="7.5546875" style="229" customWidth="1" outlineLevel="2"/>
    <col min="11" max="11" width="8.33203125" style="229" customWidth="1" outlineLevel="2"/>
    <col min="12" max="12" width="15.6640625" style="5" customWidth="1" outlineLevel="1"/>
    <col min="13" max="13" width="16" style="5" customWidth="1" outlineLevel="1"/>
    <col min="14" max="14" width="10.5546875" style="229" customWidth="1" outlineLevel="2"/>
    <col min="15" max="15" width="11" style="229" customWidth="1" outlineLevel="2"/>
    <col min="16" max="16" width="13.33203125" style="229" customWidth="1" outlineLevel="2"/>
    <col min="17" max="17" width="14.109375" style="229" customWidth="1" outlineLevel="2"/>
    <col min="18" max="21" width="12.109375" style="5" customWidth="1" outlineLevel="2"/>
    <col min="22" max="22" width="6.109375" style="229" bestFit="1" customWidth="1" outlineLevel="2"/>
    <col min="23" max="23" width="6.44140625" style="229" bestFit="1" customWidth="1" outlineLevel="2"/>
    <col min="24" max="24" width="7.5546875" style="229" customWidth="1" outlineLevel="2"/>
    <col min="25" max="25" width="11.6640625" style="5" bestFit="1" customWidth="1" outlineLevel="1"/>
    <col min="26" max="27" width="8.109375" style="229" bestFit="1" customWidth="1" outlineLevel="2"/>
    <col min="28" max="28" width="14.44140625" style="5" customWidth="1" outlineLevel="1"/>
    <col min="29" max="29" width="14.44140625" style="229" customWidth="1" outlineLevel="1"/>
    <col min="30" max="30" width="12.88671875" style="229" customWidth="1" outlineLevel="2"/>
    <col min="31" max="31" width="16" style="5" bestFit="1" customWidth="1" outlineLevel="2"/>
    <col min="32" max="32" width="13.88671875" style="5" bestFit="1" customWidth="1" outlineLevel="1"/>
    <col min="33" max="33" width="7" style="229" bestFit="1" customWidth="1" outlineLevel="2"/>
    <col min="34" max="34" width="6.109375" style="229" bestFit="1" customWidth="1" outlineLevel="2"/>
    <col min="35" max="35" width="7.33203125" style="229" customWidth="1" outlineLevel="2"/>
    <col min="36" max="36" width="9" style="229" customWidth="1" outlineLevel="2"/>
    <col min="37" max="37" width="9" style="229" bestFit="1" customWidth="1" outlineLevel="2"/>
    <col min="38" max="38" width="8.109375" style="229" bestFit="1" customWidth="1" outlineLevel="2"/>
    <col min="39" max="39" width="15.33203125" style="5" customWidth="1" outlineLevel="1"/>
    <col min="40" max="40" width="11.109375" style="5" customWidth="1" outlineLevel="1"/>
    <col min="41" max="41" width="39.88671875" style="133" customWidth="1" outlineLevel="2"/>
    <col min="42" max="42" width="2.6640625" style="5" customWidth="1"/>
    <col min="43" max="43" width="16.6640625" style="5" customWidth="1"/>
    <col min="44" max="46" width="14.88671875" style="5" customWidth="1"/>
    <col min="47" max="53" width="15" style="228" customWidth="1"/>
    <col min="54" max="54" width="20.88671875" style="4" customWidth="1"/>
    <col min="55" max="57" width="8.88671875" style="5"/>
    <col min="58" max="58" width="11.109375" style="5" customWidth="1"/>
    <col min="59" max="59" width="8.88671875" style="5"/>
    <col min="60" max="60" width="11.6640625" style="5" customWidth="1"/>
    <col min="61" max="61" width="11.44140625" style="5" customWidth="1"/>
    <col min="62" max="62" width="12.109375" style="5" customWidth="1"/>
    <col min="63" max="16384" width="8.88671875" style="5"/>
  </cols>
  <sheetData>
    <row r="1" spans="1:62" s="2" customFormat="1">
      <c r="A1" s="98"/>
      <c r="B1" s="313" t="s">
        <v>170</v>
      </c>
      <c r="C1" s="313"/>
      <c r="D1" s="313"/>
      <c r="E1" s="313"/>
      <c r="F1" s="313"/>
      <c r="G1" s="313"/>
      <c r="H1" s="313"/>
      <c r="I1" s="313"/>
      <c r="J1" s="313"/>
      <c r="K1" s="313"/>
      <c r="L1" s="313"/>
      <c r="M1" s="99"/>
      <c r="N1" s="256"/>
      <c r="O1" s="256"/>
      <c r="P1" s="256"/>
      <c r="Q1" s="256"/>
      <c r="R1" s="98"/>
      <c r="S1" s="98"/>
      <c r="T1" s="98"/>
      <c r="U1" s="98"/>
      <c r="V1" s="256"/>
      <c r="W1" s="256"/>
      <c r="X1" s="256"/>
      <c r="Y1" s="98"/>
      <c r="Z1" s="256"/>
      <c r="AA1" s="256"/>
      <c r="AB1" s="98"/>
      <c r="AC1" s="256"/>
      <c r="AD1" s="256"/>
      <c r="AE1" s="98"/>
      <c r="AF1" s="98"/>
      <c r="AG1" s="256"/>
      <c r="AH1" s="256"/>
      <c r="AI1" s="256"/>
      <c r="AJ1" s="256"/>
      <c r="AK1" s="256"/>
      <c r="AL1" s="256"/>
      <c r="AM1" s="98"/>
      <c r="AN1" s="98"/>
      <c r="AO1" s="126"/>
      <c r="AU1" s="228"/>
      <c r="AV1" s="228"/>
      <c r="AW1" s="228"/>
      <c r="AX1" s="228"/>
      <c r="AY1" s="228"/>
      <c r="AZ1" s="228"/>
      <c r="BA1" s="228"/>
      <c r="BB1" s="4"/>
    </row>
    <row r="2" spans="1:62" ht="55.2" customHeight="1">
      <c r="A2" s="98" t="s">
        <v>58</v>
      </c>
      <c r="B2" s="329" t="s">
        <v>124</v>
      </c>
      <c r="C2" s="330"/>
      <c r="D2" s="330"/>
      <c r="E2" s="331"/>
      <c r="F2" s="300" t="s">
        <v>141</v>
      </c>
      <c r="G2" s="300" t="s">
        <v>142</v>
      </c>
      <c r="H2" s="273" t="s">
        <v>57</v>
      </c>
      <c r="I2" s="230" t="s">
        <v>0</v>
      </c>
      <c r="J2" s="230" t="s">
        <v>15</v>
      </c>
      <c r="K2" s="230" t="s">
        <v>16</v>
      </c>
      <c r="L2" s="8" t="s">
        <v>11</v>
      </c>
      <c r="M2" s="8" t="s">
        <v>85</v>
      </c>
      <c r="N2" s="230" t="s">
        <v>17</v>
      </c>
      <c r="O2" s="230" t="s">
        <v>7</v>
      </c>
      <c r="P2" s="230" t="s">
        <v>6</v>
      </c>
      <c r="Q2" s="230" t="s">
        <v>8</v>
      </c>
      <c r="R2" s="8" t="s">
        <v>60</v>
      </c>
      <c r="S2" s="8" t="s">
        <v>68</v>
      </c>
      <c r="T2" s="8" t="s">
        <v>67</v>
      </c>
      <c r="U2" s="8" t="s">
        <v>66</v>
      </c>
      <c r="V2" s="230" t="s">
        <v>18</v>
      </c>
      <c r="W2" s="230" t="s">
        <v>70</v>
      </c>
      <c r="X2" s="230" t="s">
        <v>6</v>
      </c>
      <c r="Y2" s="8" t="s">
        <v>74</v>
      </c>
      <c r="Z2" s="230" t="s">
        <v>10</v>
      </c>
      <c r="AA2" s="230" t="s">
        <v>9</v>
      </c>
      <c r="AB2" s="8" t="s">
        <v>73</v>
      </c>
      <c r="AC2" s="232" t="s">
        <v>19</v>
      </c>
      <c r="AD2" s="231" t="s">
        <v>82</v>
      </c>
      <c r="AE2" s="8" t="s">
        <v>24</v>
      </c>
      <c r="AF2" s="8" t="s">
        <v>83</v>
      </c>
      <c r="AG2" s="230" t="s">
        <v>21</v>
      </c>
      <c r="AH2" s="230" t="s">
        <v>22</v>
      </c>
      <c r="AI2" s="230" t="s">
        <v>23</v>
      </c>
      <c r="AJ2" s="230" t="s">
        <v>103</v>
      </c>
      <c r="AK2" s="230" t="s">
        <v>105</v>
      </c>
      <c r="AL2" s="230" t="s">
        <v>93</v>
      </c>
      <c r="AM2" s="8" t="s">
        <v>95</v>
      </c>
      <c r="AN2" s="8" t="s">
        <v>13</v>
      </c>
      <c r="AO2" s="127" t="s">
        <v>14</v>
      </c>
      <c r="AQ2" s="326" t="s">
        <v>174</v>
      </c>
      <c r="AR2" s="327"/>
      <c r="AS2" s="327"/>
      <c r="AT2" s="327"/>
      <c r="AU2" s="327"/>
      <c r="AV2" s="327"/>
      <c r="AW2" s="327"/>
      <c r="AX2" s="327"/>
      <c r="AY2" s="327"/>
      <c r="AZ2" s="327"/>
      <c r="BA2" s="327"/>
      <c r="BB2" s="328"/>
    </row>
    <row r="3" spans="1:62" s="10" customFormat="1" ht="69" customHeight="1">
      <c r="A3" s="6" t="s">
        <v>59</v>
      </c>
      <c r="B3" s="329" t="s">
        <v>125</v>
      </c>
      <c r="C3" s="330"/>
      <c r="D3" s="330"/>
      <c r="E3" s="331"/>
      <c r="F3" s="300" t="s">
        <v>143</v>
      </c>
      <c r="G3" s="300" t="s">
        <v>143</v>
      </c>
      <c r="H3" s="274" t="s">
        <v>46</v>
      </c>
      <c r="I3" s="230" t="s">
        <v>54</v>
      </c>
      <c r="J3" s="230" t="s">
        <v>55</v>
      </c>
      <c r="K3" s="230" t="s">
        <v>56</v>
      </c>
      <c r="L3" s="8" t="s">
        <v>121</v>
      </c>
      <c r="M3" s="8" t="s">
        <v>120</v>
      </c>
      <c r="N3" s="230" t="s">
        <v>76</v>
      </c>
      <c r="O3" s="230" t="s">
        <v>75</v>
      </c>
      <c r="P3" s="230" t="s">
        <v>77</v>
      </c>
      <c r="Q3" s="230" t="s">
        <v>78</v>
      </c>
      <c r="R3" s="8" t="s">
        <v>119</v>
      </c>
      <c r="S3" s="8" t="s">
        <v>118</v>
      </c>
      <c r="T3" s="8" t="s">
        <v>117</v>
      </c>
      <c r="U3" s="8" t="s">
        <v>116</v>
      </c>
      <c r="V3" s="230" t="s">
        <v>79</v>
      </c>
      <c r="W3" s="230" t="s">
        <v>80</v>
      </c>
      <c r="X3" s="230" t="s">
        <v>81</v>
      </c>
      <c r="Y3" s="8" t="s">
        <v>115</v>
      </c>
      <c r="Z3" s="230" t="s">
        <v>71</v>
      </c>
      <c r="AA3" s="230" t="s">
        <v>72</v>
      </c>
      <c r="AB3" s="8" t="s">
        <v>114</v>
      </c>
      <c r="AC3" s="232" t="s">
        <v>113</v>
      </c>
      <c r="AD3" s="231" t="s">
        <v>112</v>
      </c>
      <c r="AE3" s="8" t="s">
        <v>111</v>
      </c>
      <c r="AF3" s="8" t="s">
        <v>110</v>
      </c>
      <c r="AG3" s="230" t="s">
        <v>90</v>
      </c>
      <c r="AH3" s="230" t="s">
        <v>92</v>
      </c>
      <c r="AI3" s="230" t="s">
        <v>91</v>
      </c>
      <c r="AJ3" s="231" t="s">
        <v>104</v>
      </c>
      <c r="AK3" s="231" t="s">
        <v>106</v>
      </c>
      <c r="AL3" s="231" t="s">
        <v>100</v>
      </c>
      <c r="AM3" s="8" t="s">
        <v>108</v>
      </c>
      <c r="AN3" s="8" t="s">
        <v>109</v>
      </c>
      <c r="AO3" s="127" t="s">
        <v>99</v>
      </c>
      <c r="AQ3" s="11" t="s">
        <v>127</v>
      </c>
      <c r="AR3" s="11" t="s">
        <v>25</v>
      </c>
      <c r="AS3" s="11" t="s">
        <v>12</v>
      </c>
      <c r="AT3" s="11" t="s">
        <v>20</v>
      </c>
      <c r="AU3" s="233" t="s">
        <v>128</v>
      </c>
      <c r="AV3" s="233" t="s">
        <v>129</v>
      </c>
      <c r="AW3" s="233" t="s">
        <v>144</v>
      </c>
      <c r="AX3" s="233" t="s">
        <v>145</v>
      </c>
      <c r="AY3" s="233" t="s">
        <v>196</v>
      </c>
      <c r="AZ3" s="233" t="s">
        <v>195</v>
      </c>
      <c r="BA3" s="247" t="s">
        <v>132</v>
      </c>
      <c r="BB3" s="12" t="s">
        <v>26</v>
      </c>
    </row>
    <row r="4" spans="1:62" s="21" customFormat="1" ht="27.6">
      <c r="A4" s="100"/>
      <c r="B4" s="28"/>
      <c r="C4" s="29"/>
      <c r="D4" s="29"/>
      <c r="E4" s="238"/>
      <c r="F4" s="238" t="s">
        <v>139</v>
      </c>
      <c r="G4" s="238" t="s">
        <v>140</v>
      </c>
      <c r="H4" s="275" t="s">
        <v>123</v>
      </c>
      <c r="I4" s="236" t="s">
        <v>122</v>
      </c>
      <c r="J4" s="236">
        <v>2</v>
      </c>
      <c r="K4" s="236">
        <v>3</v>
      </c>
      <c r="L4" s="20" t="s">
        <v>84</v>
      </c>
      <c r="M4" s="20" t="s">
        <v>86</v>
      </c>
      <c r="N4" s="236">
        <v>6</v>
      </c>
      <c r="O4" s="236">
        <v>7</v>
      </c>
      <c r="P4" s="236">
        <v>8</v>
      </c>
      <c r="Q4" s="236">
        <v>9</v>
      </c>
      <c r="R4" s="20" t="s">
        <v>27</v>
      </c>
      <c r="S4" s="20" t="s">
        <v>28</v>
      </c>
      <c r="T4" s="20" t="s">
        <v>29</v>
      </c>
      <c r="U4" s="20" t="s">
        <v>30</v>
      </c>
      <c r="V4" s="236">
        <v>14</v>
      </c>
      <c r="W4" s="236">
        <v>15</v>
      </c>
      <c r="X4" s="236">
        <v>16</v>
      </c>
      <c r="Y4" s="20" t="s">
        <v>87</v>
      </c>
      <c r="Z4" s="236">
        <v>18</v>
      </c>
      <c r="AA4" s="236">
        <v>19</v>
      </c>
      <c r="AB4" s="20" t="s">
        <v>88</v>
      </c>
      <c r="AC4" s="236">
        <v>21</v>
      </c>
      <c r="AD4" s="236">
        <v>22</v>
      </c>
      <c r="AE4" s="20" t="s">
        <v>97</v>
      </c>
      <c r="AF4" s="20" t="s">
        <v>89</v>
      </c>
      <c r="AG4" s="236">
        <v>25</v>
      </c>
      <c r="AH4" s="236">
        <v>26</v>
      </c>
      <c r="AI4" s="236">
        <v>27</v>
      </c>
      <c r="AJ4" s="236">
        <v>28</v>
      </c>
      <c r="AK4" s="236">
        <v>29</v>
      </c>
      <c r="AL4" s="236">
        <v>30</v>
      </c>
      <c r="AM4" s="20" t="s">
        <v>98</v>
      </c>
      <c r="AN4" s="20" t="s">
        <v>107</v>
      </c>
      <c r="AO4" s="128"/>
      <c r="AQ4" s="20" t="s">
        <v>133</v>
      </c>
      <c r="AR4" s="20" t="s">
        <v>134</v>
      </c>
      <c r="AS4" s="20" t="s">
        <v>135</v>
      </c>
      <c r="AT4" s="20" t="s">
        <v>136</v>
      </c>
      <c r="AU4" s="237">
        <v>37</v>
      </c>
      <c r="AV4" s="237">
        <v>38</v>
      </c>
      <c r="AW4" s="237">
        <v>39</v>
      </c>
      <c r="AX4" s="237">
        <v>40</v>
      </c>
      <c r="AY4" s="237"/>
      <c r="AZ4" s="237">
        <v>41</v>
      </c>
      <c r="BA4" s="237">
        <v>42</v>
      </c>
      <c r="BB4" s="22" t="s">
        <v>157</v>
      </c>
    </row>
    <row r="5" spans="1:62" s="13" customFormat="1" ht="30" customHeight="1">
      <c r="A5" s="101"/>
      <c r="B5" s="316" t="s">
        <v>203</v>
      </c>
      <c r="C5" s="317"/>
      <c r="D5" s="317"/>
      <c r="E5" s="318"/>
      <c r="F5" s="241"/>
      <c r="G5" s="241"/>
      <c r="H5" s="241" t="s">
        <v>61</v>
      </c>
      <c r="I5" s="242"/>
      <c r="J5" s="242"/>
      <c r="K5" s="242"/>
      <c r="L5" s="41">
        <f>SUM(L6)</f>
        <v>0</v>
      </c>
      <c r="M5" s="41">
        <f>SUM(M6)</f>
        <v>0</v>
      </c>
      <c r="N5" s="242"/>
      <c r="O5" s="242"/>
      <c r="P5" s="242"/>
      <c r="Q5" s="242"/>
      <c r="R5" s="41">
        <f t="shared" ref="R5:U5" si="0">SUM(R6)</f>
        <v>0</v>
      </c>
      <c r="S5" s="41">
        <f t="shared" si="0"/>
        <v>0</v>
      </c>
      <c r="T5" s="41">
        <f t="shared" si="0"/>
        <v>0</v>
      </c>
      <c r="U5" s="41">
        <f t="shared" si="0"/>
        <v>0</v>
      </c>
      <c r="V5" s="242"/>
      <c r="W5" s="242"/>
      <c r="X5" s="242"/>
      <c r="Y5" s="41">
        <f t="shared" ref="Y5:AF5" si="1">SUM(Y6)</f>
        <v>0</v>
      </c>
      <c r="Z5" s="243">
        <f t="shared" ref="Z5:AA5" si="2">SUM(Z6)</f>
        <v>0</v>
      </c>
      <c r="AA5" s="243">
        <f t="shared" si="2"/>
        <v>0</v>
      </c>
      <c r="AB5" s="41">
        <f t="shared" si="1"/>
        <v>0</v>
      </c>
      <c r="AC5" s="243">
        <f t="shared" ref="AC5:AD5" si="3">SUM(AC6)</f>
        <v>0</v>
      </c>
      <c r="AD5" s="243">
        <f t="shared" si="3"/>
        <v>0</v>
      </c>
      <c r="AE5" s="41">
        <f t="shared" si="1"/>
        <v>0</v>
      </c>
      <c r="AF5" s="41">
        <f t="shared" si="1"/>
        <v>0</v>
      </c>
      <c r="AG5" s="242"/>
      <c r="AH5" s="242"/>
      <c r="AI5" s="242"/>
      <c r="AJ5" s="243">
        <f t="shared" ref="AJ5:AL5" si="4">SUM(AJ6)</f>
        <v>0</v>
      </c>
      <c r="AK5" s="243">
        <f t="shared" si="4"/>
        <v>0</v>
      </c>
      <c r="AL5" s="243">
        <f t="shared" si="4"/>
        <v>0</v>
      </c>
      <c r="AM5" s="41">
        <f t="shared" ref="AM5:AN5" si="5">SUM(AM6)</f>
        <v>0</v>
      </c>
      <c r="AN5" s="41">
        <f t="shared" si="5"/>
        <v>0</v>
      </c>
      <c r="AO5" s="129"/>
      <c r="AQ5" s="41">
        <f t="shared" ref="AQ5:BB5" si="6">SUM(AQ6)</f>
        <v>0</v>
      </c>
      <c r="AR5" s="41">
        <f t="shared" si="6"/>
        <v>0</v>
      </c>
      <c r="AS5" s="41">
        <f t="shared" si="6"/>
        <v>0</v>
      </c>
      <c r="AT5" s="41">
        <f t="shared" si="6"/>
        <v>0</v>
      </c>
      <c r="AU5" s="243">
        <f t="shared" ref="AU5:BA5" si="7">SUM(AU6)</f>
        <v>0</v>
      </c>
      <c r="AV5" s="243">
        <f t="shared" si="7"/>
        <v>0</v>
      </c>
      <c r="AW5" s="243">
        <f t="shared" si="7"/>
        <v>0</v>
      </c>
      <c r="AX5" s="243">
        <f t="shared" si="7"/>
        <v>0</v>
      </c>
      <c r="AY5" s="243">
        <f t="shared" si="7"/>
        <v>0</v>
      </c>
      <c r="AZ5" s="243">
        <f t="shared" si="7"/>
        <v>0</v>
      </c>
      <c r="BA5" s="243">
        <f t="shared" si="7"/>
        <v>0</v>
      </c>
      <c r="BB5" s="41">
        <f t="shared" si="6"/>
        <v>0</v>
      </c>
      <c r="BD5" s="295">
        <f>SUM(BD7:BD30)</f>
        <v>0</v>
      </c>
    </row>
    <row r="6" spans="1:62" s="13" customFormat="1" ht="13.8" customHeight="1">
      <c r="A6" s="101"/>
      <c r="B6" s="27"/>
      <c r="C6" s="324" t="s">
        <v>204</v>
      </c>
      <c r="D6" s="324"/>
      <c r="E6" s="325"/>
      <c r="F6" s="248"/>
      <c r="G6" s="298"/>
      <c r="H6" s="239" t="s">
        <v>62</v>
      </c>
      <c r="I6" s="240"/>
      <c r="J6" s="240"/>
      <c r="K6" s="240"/>
      <c r="L6" s="42">
        <f>SUM(L15+L17+L25+L30)</f>
        <v>0</v>
      </c>
      <c r="M6" s="42">
        <f>SUM(M15+M17+M25+M30)</f>
        <v>0</v>
      </c>
      <c r="N6" s="244"/>
      <c r="O6" s="245"/>
      <c r="P6" s="245"/>
      <c r="Q6" s="245"/>
      <c r="R6" s="42">
        <f t="shared" ref="R6:U6" si="8">SUM(R15+R17+R25+R30)</f>
        <v>0</v>
      </c>
      <c r="S6" s="42">
        <f t="shared" si="8"/>
        <v>0</v>
      </c>
      <c r="T6" s="42">
        <f t="shared" si="8"/>
        <v>0</v>
      </c>
      <c r="U6" s="42">
        <f t="shared" si="8"/>
        <v>0</v>
      </c>
      <c r="V6" s="244"/>
      <c r="W6" s="245"/>
      <c r="X6" s="245"/>
      <c r="Y6" s="42">
        <f t="shared" ref="Y6:AF6" si="9">SUM(Y15+Y17+Y25+Y30)</f>
        <v>0</v>
      </c>
      <c r="Z6" s="244">
        <f t="shared" ref="Z6:AA6" si="10">SUM(Z15+Z17+Z25+Z30)</f>
        <v>0</v>
      </c>
      <c r="AA6" s="244">
        <f t="shared" si="10"/>
        <v>0</v>
      </c>
      <c r="AB6" s="42">
        <f t="shared" si="9"/>
        <v>0</v>
      </c>
      <c r="AC6" s="244">
        <f t="shared" ref="AC6:AD6" si="11">SUM(AC15+AC17+AC25+AC30)</f>
        <v>0</v>
      </c>
      <c r="AD6" s="244">
        <f t="shared" si="11"/>
        <v>0</v>
      </c>
      <c r="AE6" s="42">
        <f t="shared" si="9"/>
        <v>0</v>
      </c>
      <c r="AF6" s="42">
        <f t="shared" si="9"/>
        <v>0</v>
      </c>
      <c r="AG6" s="245"/>
      <c r="AH6" s="245"/>
      <c r="AI6" s="245"/>
      <c r="AJ6" s="244">
        <f t="shared" ref="AJ6:AL6" si="12">SUM(AJ15+AJ17+AJ25+AJ30)</f>
        <v>0</v>
      </c>
      <c r="AK6" s="244">
        <f t="shared" si="12"/>
        <v>0</v>
      </c>
      <c r="AL6" s="244">
        <f t="shared" si="12"/>
        <v>0</v>
      </c>
      <c r="AM6" s="42">
        <f t="shared" ref="AM6:AN6" si="13">SUM(AM15+AM17+AM25+AM30)</f>
        <v>0</v>
      </c>
      <c r="AN6" s="42">
        <f t="shared" si="13"/>
        <v>0</v>
      </c>
      <c r="AO6" s="130"/>
      <c r="AQ6" s="42">
        <f t="shared" ref="AQ6:BB6" si="14">SUM(AQ15+AQ17+AQ25+AQ30)</f>
        <v>0</v>
      </c>
      <c r="AR6" s="42">
        <f t="shared" si="14"/>
        <v>0</v>
      </c>
      <c r="AS6" s="42">
        <f t="shared" si="14"/>
        <v>0</v>
      </c>
      <c r="AT6" s="42">
        <f t="shared" si="14"/>
        <v>0</v>
      </c>
      <c r="AU6" s="244">
        <f t="shared" ref="AU6:BA6" si="15">SUM(AU15+AU17+AU25+AU30)</f>
        <v>0</v>
      </c>
      <c r="AV6" s="244">
        <f t="shared" si="15"/>
        <v>0</v>
      </c>
      <c r="AW6" s="244">
        <f t="shared" si="15"/>
        <v>0</v>
      </c>
      <c r="AX6" s="244">
        <f t="shared" si="15"/>
        <v>0</v>
      </c>
      <c r="AY6" s="244">
        <f t="shared" si="15"/>
        <v>0</v>
      </c>
      <c r="AZ6" s="244">
        <f t="shared" si="15"/>
        <v>0</v>
      </c>
      <c r="BA6" s="244">
        <f t="shared" si="15"/>
        <v>0</v>
      </c>
      <c r="BB6" s="42">
        <f t="shared" si="14"/>
        <v>0</v>
      </c>
    </row>
    <row r="7" spans="1:62" ht="55.2" outlineLevel="2">
      <c r="A7" s="98"/>
      <c r="B7" s="102"/>
      <c r="C7" s="23"/>
      <c r="D7" s="257"/>
      <c r="E7" s="123"/>
      <c r="F7" s="270"/>
      <c r="G7" s="250"/>
      <c r="H7" s="272"/>
      <c r="I7" s="258"/>
      <c r="J7" s="259"/>
      <c r="K7" s="259"/>
      <c r="L7" s="106" t="str">
        <f>IF(I7&lt;&gt;0,((VLOOKUP(I7,'1. Standard_Cost'!$B$4:$D$11,2)+VLOOKUP(I7,'1. Standard_Cost'!$B$4:$D$11,3))*J7*K7),"0")</f>
        <v>0</v>
      </c>
      <c r="M7" s="106">
        <f>L7*'1. Standard_Cost'!$F$4</f>
        <v>0</v>
      </c>
      <c r="N7" s="260"/>
      <c r="O7" s="260"/>
      <c r="P7" s="260"/>
      <c r="Q7" s="260"/>
      <c r="R7" s="108">
        <f>'1. Standard_Cost'!$B$15*N7*P7</f>
        <v>0</v>
      </c>
      <c r="S7" s="108">
        <f>N7*O7*P7*'1. Standard_Cost'!$C$15</f>
        <v>0</v>
      </c>
      <c r="T7" s="108">
        <f>N7*P7*Q7*'1. Standard_Cost'!$D$15</f>
        <v>0</v>
      </c>
      <c r="U7" s="108">
        <f>N7*O7*'1. Standard_Cost'!$E$15</f>
        <v>0</v>
      </c>
      <c r="V7" s="260"/>
      <c r="W7" s="260"/>
      <c r="X7" s="260"/>
      <c r="Y7" s="108">
        <f>+V7*((X7*'1. Standard_Cost'!$B$19)+(W7*X7*'1. Standard_Cost'!$C$19))</f>
        <v>0</v>
      </c>
      <c r="Z7" s="260"/>
      <c r="AA7" s="260"/>
      <c r="AB7" s="108">
        <f>+Z7*'1. Standard_Cost'!$B$23+AA7*'1. Standard_Cost'!$C$23</f>
        <v>0</v>
      </c>
      <c r="AC7" s="261"/>
      <c r="AD7" s="262"/>
      <c r="AE7" s="108">
        <f>SUM(AD7,AC7,AB7,Y7,U7,T7,S7,R7)*'1. Standard_Cost'!$B$31</f>
        <v>0</v>
      </c>
      <c r="AF7" s="108">
        <f>SUM(AE7,AD7,AC7,AB7,Y7,U7,T7,S7,R7)</f>
        <v>0</v>
      </c>
      <c r="AG7" s="260"/>
      <c r="AH7" s="260"/>
      <c r="AI7" s="260"/>
      <c r="AJ7" s="263"/>
      <c r="AK7" s="263"/>
      <c r="AL7" s="263"/>
      <c r="AM7" s="108">
        <f>AG7*'1. Standard_Cost'!$B$27+'Incremental_Cost Year 10'!AH7*'1. Standard_Cost'!$C$27+'Incremental_Cost Year 10'!AI7*'1. Standard_Cost'!$D$27+'Incremental_Cost Year 10'!AJ7+'Incremental_Cost Year 10'!AL7+AK7</f>
        <v>0</v>
      </c>
      <c r="AN7" s="108">
        <f>AM7*'1. Standard_Cost'!$C$31</f>
        <v>0</v>
      </c>
      <c r="AO7" s="134" t="s">
        <v>270</v>
      </c>
      <c r="AQ7" s="14">
        <f>L7+M7</f>
        <v>0</v>
      </c>
      <c r="AR7" s="14">
        <f>AF7</f>
        <v>0</v>
      </c>
      <c r="AS7" s="14">
        <f>AM7+AN7</f>
        <v>0</v>
      </c>
      <c r="AT7" s="14">
        <f>SUM(AQ7,AR7,AS7)</f>
        <v>0</v>
      </c>
      <c r="AU7" s="234"/>
      <c r="AV7" s="234"/>
      <c r="AW7" s="234"/>
      <c r="AX7" s="234"/>
      <c r="AY7" s="234"/>
      <c r="AZ7" s="234"/>
      <c r="BA7" s="234"/>
      <c r="BB7" s="16">
        <f>SUM(AU7:BA7)-AT7</f>
        <v>0</v>
      </c>
      <c r="BD7" s="294">
        <f>'Incremental_Cost Year 1'!AV7+'Incremental_Cost Year 2'!AV7+'Incremental_Cost Year 3'!AV7+'Incremental_Cost Year 4'!AV7+'Incremental_Cost Year 5'!AV7+'Incremental_Cost Year 6'!AV7+'Incremental_Cost Year 7'!AV7+'Incremental_Cost Year 8'!AV7+'Incremental_Cost Year 9'!AV7+'Incremental_Cost Year 10'!AV7</f>
        <v>0</v>
      </c>
      <c r="BE7" s="294">
        <f>'Incremental_Cost Year 1'!AW7+'Incremental_Cost Year 2'!AW7+'Incremental_Cost Year 3'!AW7+'Incremental_Cost Year 4'!AW7+'Incremental_Cost Year 5'!AW7+'Incremental_Cost Year 6'!AW7+'Incremental_Cost Year 7'!AW7+'Incremental_Cost Year 8'!AW7+'Incremental_Cost Year 9'!AW7+'Incremental_Cost Year 10'!AW7</f>
        <v>0</v>
      </c>
      <c r="BF7" s="294">
        <f>'Incremental_Cost Year 1'!AX7+'Incremental_Cost Year 2'!AX7+'Incremental_Cost Year 3'!AX7+'Incremental_Cost Year 4'!AX7+'Incremental_Cost Year 5'!AX7+'Incremental_Cost Year 6'!AX7+'Incremental_Cost Year 7'!AX7+'Incremental_Cost Year 8'!AX7+'Incremental_Cost Year 9'!AX7+'Incremental_Cost Year 10'!AX7</f>
        <v>0</v>
      </c>
      <c r="BG7" s="294">
        <f>'Incremental_Cost Year 1'!AY7+'Incremental_Cost Year 2'!AY7+'Incremental_Cost Year 3'!AY7+'Incremental_Cost Year 4'!AY7+'Incremental_Cost Year 5'!AY7+'Incremental_Cost Year 6'!AY7+'Incremental_Cost Year 7'!AY7+'Incremental_Cost Year 8'!AY7+'Incremental_Cost Year 9'!AY7+'Incremental_Cost Year 10'!AY7</f>
        <v>0</v>
      </c>
      <c r="BH7" s="294">
        <f>'Incremental_Cost Year 1'!AZ7+'Incremental_Cost Year 2'!AZ7+'Incremental_Cost Year 3'!AZ7+'Incremental_Cost Year 4'!AZ7+'Incremental_Cost Year 5'!AZ7+'Incremental_Cost Year 6'!AZ7+'Incremental_Cost Year 7'!AZ7+'Incremental_Cost Year 8'!AZ7+'Incremental_Cost Year 9'!AZ7+'Incremental_Cost Year 10'!AZ7</f>
        <v>91200</v>
      </c>
      <c r="BI7" s="294">
        <f>'Incremental_Cost Year 1'!BA7+'Incremental_Cost Year 2'!BA7+'Incremental_Cost Year 3'!BA7+'Incremental_Cost Year 4'!BA7+'Incremental_Cost Year 5'!BA7+'Incremental_Cost Year 6'!BA7+'Incremental_Cost Year 7'!BA7+'Incremental_Cost Year 8'!BA7+'Incremental_Cost Year 9'!BA7+'Incremental_Cost Year 10'!BA7</f>
        <v>0</v>
      </c>
      <c r="BJ7" s="294">
        <f>SUM(BD7:BI7)</f>
        <v>91200</v>
      </c>
    </row>
    <row r="8" spans="1:62" ht="13.5" customHeight="1" outlineLevel="2">
      <c r="A8" s="98"/>
      <c r="B8" s="102"/>
      <c r="C8" s="23"/>
      <c r="D8" s="269"/>
      <c r="E8" s="271"/>
      <c r="F8" s="270"/>
      <c r="G8" s="250"/>
      <c r="H8" s="272"/>
      <c r="I8" s="258"/>
      <c r="J8" s="259"/>
      <c r="K8" s="259"/>
      <c r="L8" s="106" t="str">
        <f>IF(I8&lt;&gt;0,((VLOOKUP(I8,'1. Standard_Cost'!$B$4:$D$11,2)+VLOOKUP(I8,'1. Standard_Cost'!$B$4:$D$11,3))*J8*K8),"0")</f>
        <v>0</v>
      </c>
      <c r="M8" s="106">
        <f>L8*'1. Standard_Cost'!$F$4</f>
        <v>0</v>
      </c>
      <c r="N8" s="260"/>
      <c r="O8" s="260"/>
      <c r="P8" s="260"/>
      <c r="Q8" s="260"/>
      <c r="R8" s="108">
        <f>'1. Standard_Cost'!$B$15*N8*P8</f>
        <v>0</v>
      </c>
      <c r="S8" s="108">
        <f>N8*O8*P8*'1. Standard_Cost'!$C$15</f>
        <v>0</v>
      </c>
      <c r="T8" s="108">
        <f>N8*P8*Q8*'1. Standard_Cost'!$D$15</f>
        <v>0</v>
      </c>
      <c r="U8" s="108">
        <f>N8*O8*'1. Standard_Cost'!$E$15</f>
        <v>0</v>
      </c>
      <c r="V8" s="260"/>
      <c r="W8" s="260"/>
      <c r="X8" s="260"/>
      <c r="Y8" s="108">
        <f>+V8*((X8*'1. Standard_Cost'!$B$19)+(W8*X8*'1. Standard_Cost'!$C$19))</f>
        <v>0</v>
      </c>
      <c r="Z8" s="260"/>
      <c r="AA8" s="260"/>
      <c r="AB8" s="108">
        <f>+Z8*'1. Standard_Cost'!$B$23+AA8*'1. Standard_Cost'!$C$23</f>
        <v>0</v>
      </c>
      <c r="AC8" s="261"/>
      <c r="AD8" s="262"/>
      <c r="AE8" s="108">
        <f>SUM(AD8,AC8,AB8,Y8,U8,T8,S8,R8)*'1. Standard_Cost'!$B$31</f>
        <v>0</v>
      </c>
      <c r="AF8" s="108">
        <f t="shared" ref="AF8:AF14" si="16">SUM(AE8,AD8,AC8,AB8,Y8,U8,T8,S8,R8)</f>
        <v>0</v>
      </c>
      <c r="AG8" s="260"/>
      <c r="AH8" s="260"/>
      <c r="AI8" s="260"/>
      <c r="AJ8" s="263"/>
      <c r="AK8" s="263"/>
      <c r="AL8" s="263"/>
      <c r="AM8" s="108">
        <f>AG8*'1. Standard_Cost'!$B$27+'Incremental_Cost Year 10'!AH8*'1. Standard_Cost'!$C$27+'Incremental_Cost Year 10'!AI8*'1. Standard_Cost'!$D$27+'Incremental_Cost Year 10'!AJ8+'Incremental_Cost Year 10'!AL8+AK8</f>
        <v>0</v>
      </c>
      <c r="AN8" s="108">
        <f>AM8*'1. Standard_Cost'!$C$31</f>
        <v>0</v>
      </c>
      <c r="AO8" s="125" t="s">
        <v>271</v>
      </c>
      <c r="AQ8" s="14">
        <f t="shared" ref="AQ8:AQ14" si="17">L8+M8</f>
        <v>0</v>
      </c>
      <c r="AR8" s="14">
        <f t="shared" ref="AR8:AR14" si="18">AF8</f>
        <v>0</v>
      </c>
      <c r="AS8" s="14">
        <f t="shared" ref="AS8:AS14" si="19">AM8+AN8</f>
        <v>0</v>
      </c>
      <c r="AT8" s="14">
        <f t="shared" ref="AT8:AT14" si="20">SUM(AQ8,AR8,AS8)</f>
        <v>0</v>
      </c>
      <c r="AU8" s="234"/>
      <c r="AV8" s="234"/>
      <c r="AW8" s="234"/>
      <c r="AX8" s="234"/>
      <c r="AY8" s="234"/>
      <c r="AZ8" s="234"/>
      <c r="BA8" s="234"/>
      <c r="BB8" s="16">
        <f t="shared" ref="BB8:BB14" si="21">SUM(AU8:BA8)-AT8</f>
        <v>0</v>
      </c>
      <c r="BD8" s="294">
        <f>'Incremental_Cost Year 1'!AV8+'Incremental_Cost Year 2'!AV8+'Incremental_Cost Year 3'!AV8+'Incremental_Cost Year 4'!AV8+'Incremental_Cost Year 5'!AV8+'Incremental_Cost Year 6'!AV8+'Incremental_Cost Year 7'!AV8+'Incremental_Cost Year 8'!AV8+'Incremental_Cost Year 9'!AV8+'Incremental_Cost Year 10'!AV8</f>
        <v>0</v>
      </c>
      <c r="BE8" s="294">
        <f>'Incremental_Cost Year 1'!AW8+'Incremental_Cost Year 2'!AW8+'Incremental_Cost Year 3'!AW8+'Incremental_Cost Year 4'!AW8+'Incremental_Cost Year 5'!AW8+'Incremental_Cost Year 6'!AW8+'Incremental_Cost Year 7'!AW8+'Incremental_Cost Year 8'!AW8+'Incremental_Cost Year 9'!AW8+'Incremental_Cost Year 10'!AW8</f>
        <v>0</v>
      </c>
      <c r="BF8" s="294">
        <f>'Incremental_Cost Year 1'!AX8+'Incremental_Cost Year 2'!AX8+'Incremental_Cost Year 3'!AX8+'Incremental_Cost Year 4'!AX8+'Incremental_Cost Year 5'!AX8+'Incremental_Cost Year 6'!AX8+'Incremental_Cost Year 7'!AX8+'Incremental_Cost Year 8'!AX8+'Incremental_Cost Year 9'!AX8+'Incremental_Cost Year 10'!AX8</f>
        <v>0</v>
      </c>
      <c r="BG8" s="294">
        <f>'Incremental_Cost Year 1'!AY8+'Incremental_Cost Year 2'!AY8+'Incremental_Cost Year 3'!AY8+'Incremental_Cost Year 4'!AY8+'Incremental_Cost Year 5'!AY8+'Incremental_Cost Year 6'!AY8+'Incremental_Cost Year 7'!AY8+'Incremental_Cost Year 8'!AY8+'Incremental_Cost Year 9'!AY8+'Incremental_Cost Year 10'!AY8</f>
        <v>0</v>
      </c>
      <c r="BH8" s="294">
        <f>'Incremental_Cost Year 1'!AZ8+'Incremental_Cost Year 2'!AZ8+'Incremental_Cost Year 3'!AZ8+'Incremental_Cost Year 4'!AZ8+'Incremental_Cost Year 5'!AZ8+'Incremental_Cost Year 6'!AZ8+'Incremental_Cost Year 7'!AZ8+'Incremental_Cost Year 8'!AZ8+'Incremental_Cost Year 9'!AZ8+'Incremental_Cost Year 10'!AZ8</f>
        <v>0</v>
      </c>
      <c r="BI8" s="294">
        <f>'Incremental_Cost Year 1'!BA8+'Incremental_Cost Year 2'!BA8+'Incremental_Cost Year 3'!BA8+'Incremental_Cost Year 4'!BA8+'Incremental_Cost Year 5'!BA8+'Incremental_Cost Year 6'!BA8+'Incremental_Cost Year 7'!BA8+'Incremental_Cost Year 8'!BA8+'Incremental_Cost Year 9'!BA8+'Incremental_Cost Year 10'!BA8</f>
        <v>0</v>
      </c>
      <c r="BJ8" s="294">
        <f t="shared" ref="BJ8:BJ71" si="22">SUM(BD8:BI8)</f>
        <v>0</v>
      </c>
    </row>
    <row r="9" spans="1:62" ht="109.2" customHeight="1" outlineLevel="2">
      <c r="A9" s="98"/>
      <c r="B9" s="102"/>
      <c r="C9" s="23"/>
      <c r="D9" s="251"/>
      <c r="E9" s="250"/>
      <c r="F9" s="270"/>
      <c r="G9" s="250"/>
      <c r="H9" s="272"/>
      <c r="I9" s="258"/>
      <c r="J9" s="259"/>
      <c r="K9" s="259"/>
      <c r="L9" s="106" t="str">
        <f>IF(I9&lt;&gt;0,((VLOOKUP(I9,'1. Standard_Cost'!$B$4:$D$11,2)+VLOOKUP(I9,'1. Standard_Cost'!$B$4:$D$11,3))*J9*K9),"0")</f>
        <v>0</v>
      </c>
      <c r="M9" s="106">
        <f>L9*'1. Standard_Cost'!$F$4</f>
        <v>0</v>
      </c>
      <c r="N9" s="260"/>
      <c r="O9" s="260"/>
      <c r="P9" s="260"/>
      <c r="Q9" s="260"/>
      <c r="R9" s="108">
        <f>'1. Standard_Cost'!$B$15*N9*P9</f>
        <v>0</v>
      </c>
      <c r="S9" s="108">
        <f>N9*O9*P9*'1. Standard_Cost'!$C$15</f>
        <v>0</v>
      </c>
      <c r="T9" s="108">
        <f>N9*P9*Q9*'1. Standard_Cost'!$D$15</f>
        <v>0</v>
      </c>
      <c r="U9" s="108">
        <f>N9*O9*'1. Standard_Cost'!$E$15</f>
        <v>0</v>
      </c>
      <c r="V9" s="260"/>
      <c r="W9" s="260"/>
      <c r="X9" s="260"/>
      <c r="Y9" s="108">
        <f>+V9*((X9*'1. Standard_Cost'!$B$19)+(W9*X9*'1. Standard_Cost'!$C$19))</f>
        <v>0</v>
      </c>
      <c r="Z9" s="260"/>
      <c r="AA9" s="260"/>
      <c r="AB9" s="108">
        <f>+Z9*'1. Standard_Cost'!$B$23+AA9*'1. Standard_Cost'!$C$23</f>
        <v>0</v>
      </c>
      <c r="AC9" s="261"/>
      <c r="AD9" s="262"/>
      <c r="AE9" s="108">
        <f>SUM(AD9,AC9,AB9,Y9,U9,T9,S9,R9)*'1. Standard_Cost'!$B$31</f>
        <v>0</v>
      </c>
      <c r="AF9" s="108">
        <f t="shared" si="16"/>
        <v>0</v>
      </c>
      <c r="AG9" s="260"/>
      <c r="AH9" s="260"/>
      <c r="AI9" s="260"/>
      <c r="AJ9" s="263"/>
      <c r="AK9" s="263"/>
      <c r="AL9" s="263"/>
      <c r="AM9" s="108">
        <f>AG9*'1. Standard_Cost'!$B$27+'Incremental_Cost Year 10'!AH9*'1. Standard_Cost'!$C$27+'Incremental_Cost Year 10'!AI9*'1. Standard_Cost'!$D$27+'Incremental_Cost Year 10'!AJ9+'Incremental_Cost Year 10'!AL9+AK9</f>
        <v>0</v>
      </c>
      <c r="AN9" s="108">
        <f>AM9*'1. Standard_Cost'!$C$31</f>
        <v>0</v>
      </c>
      <c r="AO9" s="125" t="s">
        <v>272</v>
      </c>
      <c r="AQ9" s="14">
        <f t="shared" si="17"/>
        <v>0</v>
      </c>
      <c r="AR9" s="14">
        <f t="shared" si="18"/>
        <v>0</v>
      </c>
      <c r="AS9" s="14">
        <f t="shared" si="19"/>
        <v>0</v>
      </c>
      <c r="AT9" s="14">
        <f t="shared" si="20"/>
        <v>0</v>
      </c>
      <c r="AU9" s="234"/>
      <c r="AV9" s="234"/>
      <c r="AW9" s="234"/>
      <c r="AX9" s="234"/>
      <c r="AY9" s="234"/>
      <c r="AZ9" s="234"/>
      <c r="BA9" s="234"/>
      <c r="BB9" s="16">
        <f t="shared" si="21"/>
        <v>0</v>
      </c>
      <c r="BD9" s="294">
        <f>'Incremental_Cost Year 1'!AV9+'Incremental_Cost Year 2'!AV9+'Incremental_Cost Year 3'!AV9+'Incremental_Cost Year 4'!AV9+'Incremental_Cost Year 5'!AV9+'Incremental_Cost Year 6'!AV9+'Incremental_Cost Year 7'!AV9+'Incremental_Cost Year 8'!AV9+'Incremental_Cost Year 9'!AV9+'Incremental_Cost Year 10'!AV9</f>
        <v>0</v>
      </c>
      <c r="BE9" s="294">
        <f>'Incremental_Cost Year 1'!AW9+'Incremental_Cost Year 2'!AW9+'Incremental_Cost Year 3'!AW9+'Incremental_Cost Year 4'!AW9+'Incremental_Cost Year 5'!AW9+'Incremental_Cost Year 6'!AW9+'Incremental_Cost Year 7'!AW9+'Incremental_Cost Year 8'!AW9+'Incremental_Cost Year 9'!AW9+'Incremental_Cost Year 10'!AW9</f>
        <v>0</v>
      </c>
      <c r="BF9" s="294">
        <f>'Incremental_Cost Year 1'!AX9+'Incremental_Cost Year 2'!AX9+'Incremental_Cost Year 3'!AX9+'Incremental_Cost Year 4'!AX9+'Incremental_Cost Year 5'!AX9+'Incremental_Cost Year 6'!AX9+'Incremental_Cost Year 7'!AX9+'Incremental_Cost Year 8'!AX9+'Incremental_Cost Year 9'!AX9+'Incremental_Cost Year 10'!AX9</f>
        <v>0</v>
      </c>
      <c r="BG9" s="294">
        <f>'Incremental_Cost Year 1'!AY9+'Incremental_Cost Year 2'!AY9+'Incremental_Cost Year 3'!AY9+'Incremental_Cost Year 4'!AY9+'Incremental_Cost Year 5'!AY9+'Incremental_Cost Year 6'!AY9+'Incremental_Cost Year 7'!AY9+'Incremental_Cost Year 8'!AY9+'Incremental_Cost Year 9'!AY9+'Incremental_Cost Year 10'!AY9</f>
        <v>0</v>
      </c>
      <c r="BH9" s="294">
        <f>'Incremental_Cost Year 1'!AZ9+'Incremental_Cost Year 2'!AZ9+'Incremental_Cost Year 3'!AZ9+'Incremental_Cost Year 4'!AZ9+'Incremental_Cost Year 5'!AZ9+'Incremental_Cost Year 6'!AZ9+'Incremental_Cost Year 7'!AZ9+'Incremental_Cost Year 8'!AZ9+'Incremental_Cost Year 9'!AZ9+'Incremental_Cost Year 10'!AZ9</f>
        <v>2504400</v>
      </c>
      <c r="BI9" s="294">
        <f>'Incremental_Cost Year 1'!BA9+'Incremental_Cost Year 2'!BA9+'Incremental_Cost Year 3'!BA9+'Incremental_Cost Year 4'!BA9+'Incremental_Cost Year 5'!BA9+'Incremental_Cost Year 6'!BA9+'Incremental_Cost Year 7'!BA9+'Incremental_Cost Year 8'!BA9+'Incremental_Cost Year 9'!BA9+'Incremental_Cost Year 10'!BA9</f>
        <v>0</v>
      </c>
      <c r="BJ9" s="294">
        <f t="shared" si="22"/>
        <v>2504400</v>
      </c>
    </row>
    <row r="10" spans="1:62" ht="27.6" outlineLevel="2">
      <c r="A10" s="98"/>
      <c r="B10" s="102"/>
      <c r="C10" s="23"/>
      <c r="D10" s="251"/>
      <c r="E10" s="250"/>
      <c r="F10" s="270"/>
      <c r="G10" s="250"/>
      <c r="H10" s="272"/>
      <c r="I10" s="258"/>
      <c r="J10" s="259"/>
      <c r="K10" s="259"/>
      <c r="L10" s="106" t="str">
        <f>IF(I10&lt;&gt;0,((VLOOKUP(I10,'1. Standard_Cost'!$B$4:$D$11,2)+VLOOKUP(I10,'1. Standard_Cost'!$B$4:$D$11,3))*J10*K10),"0")</f>
        <v>0</v>
      </c>
      <c r="M10" s="106">
        <f>L10*'1. Standard_Cost'!$F$4</f>
        <v>0</v>
      </c>
      <c r="N10" s="260"/>
      <c r="O10" s="260"/>
      <c r="P10" s="260"/>
      <c r="Q10" s="260"/>
      <c r="R10" s="108">
        <f>'1. Standard_Cost'!$B$15*N10*P10</f>
        <v>0</v>
      </c>
      <c r="S10" s="108">
        <f>N10*O10*P10*'1. Standard_Cost'!$C$15</f>
        <v>0</v>
      </c>
      <c r="T10" s="108">
        <f>N10*P10*Q10*'1. Standard_Cost'!$D$15</f>
        <v>0</v>
      </c>
      <c r="U10" s="108">
        <f>N10*O10*'1. Standard_Cost'!$E$15</f>
        <v>0</v>
      </c>
      <c r="V10" s="260"/>
      <c r="W10" s="260"/>
      <c r="X10" s="260"/>
      <c r="Y10" s="108">
        <f>+V10*((X10*'1. Standard_Cost'!$B$19)+(W10*X10*'1. Standard_Cost'!$C$19))</f>
        <v>0</v>
      </c>
      <c r="Z10" s="260"/>
      <c r="AA10" s="260"/>
      <c r="AB10" s="108">
        <f>+Z10*'1. Standard_Cost'!$B$23+AA10*'1. Standard_Cost'!$C$23</f>
        <v>0</v>
      </c>
      <c r="AC10" s="261"/>
      <c r="AD10" s="262"/>
      <c r="AE10" s="108">
        <f>SUM(AD10,AC10,AB10,Y10,U10,T10,S10,R10)*'1. Standard_Cost'!$B$31</f>
        <v>0</v>
      </c>
      <c r="AF10" s="108">
        <f t="shared" si="16"/>
        <v>0</v>
      </c>
      <c r="AG10" s="260"/>
      <c r="AH10" s="260"/>
      <c r="AI10" s="260"/>
      <c r="AJ10" s="263"/>
      <c r="AK10" s="263"/>
      <c r="AL10" s="263"/>
      <c r="AM10" s="108">
        <f>AG10*'1. Standard_Cost'!$B$27+'Incremental_Cost Year 10'!AH10*'1. Standard_Cost'!$C$27+'Incremental_Cost Year 10'!AI10*'1. Standard_Cost'!$D$27+'Incremental_Cost Year 10'!AJ10+'Incremental_Cost Year 10'!AL10+AK10</f>
        <v>0</v>
      </c>
      <c r="AN10" s="108">
        <f>AM10*'1. Standard_Cost'!$C$31</f>
        <v>0</v>
      </c>
      <c r="AO10" s="134" t="s">
        <v>273</v>
      </c>
      <c r="AQ10" s="14">
        <f t="shared" si="17"/>
        <v>0</v>
      </c>
      <c r="AR10" s="14">
        <f t="shared" si="18"/>
        <v>0</v>
      </c>
      <c r="AS10" s="14">
        <f t="shared" si="19"/>
        <v>0</v>
      </c>
      <c r="AT10" s="14">
        <f t="shared" si="20"/>
        <v>0</v>
      </c>
      <c r="AU10" s="234"/>
      <c r="AV10" s="234"/>
      <c r="AW10" s="234"/>
      <c r="AX10" s="234"/>
      <c r="AY10" s="234"/>
      <c r="AZ10" s="234"/>
      <c r="BA10" s="234"/>
      <c r="BB10" s="16">
        <f t="shared" si="21"/>
        <v>0</v>
      </c>
      <c r="BD10" s="294">
        <f>'Incremental_Cost Year 1'!AV10+'Incremental_Cost Year 2'!AV10+'Incremental_Cost Year 3'!AV10+'Incremental_Cost Year 4'!AV10+'Incremental_Cost Year 5'!AV10+'Incremental_Cost Year 6'!AV10+'Incremental_Cost Year 7'!AV10+'Incremental_Cost Year 8'!AV10+'Incremental_Cost Year 9'!AV10+'Incremental_Cost Year 10'!AV10</f>
        <v>0</v>
      </c>
      <c r="BE10" s="294">
        <f>'Incremental_Cost Year 1'!AW10+'Incremental_Cost Year 2'!AW10+'Incremental_Cost Year 3'!AW10+'Incremental_Cost Year 4'!AW10+'Incremental_Cost Year 5'!AW10+'Incremental_Cost Year 6'!AW10+'Incremental_Cost Year 7'!AW10+'Incremental_Cost Year 8'!AW10+'Incremental_Cost Year 9'!AW10+'Incremental_Cost Year 10'!AW10</f>
        <v>0</v>
      </c>
      <c r="BF10" s="294">
        <f>'Incremental_Cost Year 1'!AX10+'Incremental_Cost Year 2'!AX10+'Incremental_Cost Year 3'!AX10+'Incremental_Cost Year 4'!AX10+'Incremental_Cost Year 5'!AX10+'Incremental_Cost Year 6'!AX10+'Incremental_Cost Year 7'!AX10+'Incremental_Cost Year 8'!AX10+'Incremental_Cost Year 9'!AX10+'Incremental_Cost Year 10'!AX10</f>
        <v>0</v>
      </c>
      <c r="BG10" s="294">
        <f>'Incremental_Cost Year 1'!AY10+'Incremental_Cost Year 2'!AY10+'Incremental_Cost Year 3'!AY10+'Incremental_Cost Year 4'!AY10+'Incremental_Cost Year 5'!AY10+'Incremental_Cost Year 6'!AY10+'Incremental_Cost Year 7'!AY10+'Incremental_Cost Year 8'!AY10+'Incremental_Cost Year 9'!AY10+'Incremental_Cost Year 10'!AY10</f>
        <v>0</v>
      </c>
      <c r="BH10" s="294">
        <f>'Incremental_Cost Year 1'!AZ10+'Incremental_Cost Year 2'!AZ10+'Incremental_Cost Year 3'!AZ10+'Incremental_Cost Year 4'!AZ10+'Incremental_Cost Year 5'!AZ10+'Incremental_Cost Year 6'!AZ10+'Incremental_Cost Year 7'!AZ10+'Incremental_Cost Year 8'!AZ10+'Incremental_Cost Year 9'!AZ10+'Incremental_Cost Year 10'!AZ10</f>
        <v>0</v>
      </c>
      <c r="BI10" s="294">
        <f>'Incremental_Cost Year 1'!BA10+'Incremental_Cost Year 2'!BA10+'Incremental_Cost Year 3'!BA10+'Incremental_Cost Year 4'!BA10+'Incremental_Cost Year 5'!BA10+'Incremental_Cost Year 6'!BA10+'Incremental_Cost Year 7'!BA10+'Incremental_Cost Year 8'!BA10+'Incremental_Cost Year 9'!BA10+'Incremental_Cost Year 10'!BA10</f>
        <v>0</v>
      </c>
      <c r="BJ10" s="294">
        <f t="shared" si="22"/>
        <v>0</v>
      </c>
    </row>
    <row r="11" spans="1:62" ht="140.4" customHeight="1" outlineLevel="2">
      <c r="A11" s="98"/>
      <c r="B11" s="102"/>
      <c r="C11" s="23"/>
      <c r="D11" s="251"/>
      <c r="E11" s="250"/>
      <c r="F11" s="270"/>
      <c r="G11" s="250"/>
      <c r="H11" s="272"/>
      <c r="I11" s="258"/>
      <c r="J11" s="259"/>
      <c r="K11" s="259"/>
      <c r="L11" s="106" t="str">
        <f>IF(I11&lt;&gt;0,((VLOOKUP(I11,'1. Standard_Cost'!$B$4:$D$11,2)+VLOOKUP(I11,'1. Standard_Cost'!$B$4:$D$11,3))*J11*K11),"0")</f>
        <v>0</v>
      </c>
      <c r="M11" s="106">
        <f>L11*'1. Standard_Cost'!$F$4</f>
        <v>0</v>
      </c>
      <c r="N11" s="260"/>
      <c r="O11" s="260"/>
      <c r="P11" s="260"/>
      <c r="Q11" s="260"/>
      <c r="R11" s="108">
        <f>'1. Standard_Cost'!$B$15*N11*P11</f>
        <v>0</v>
      </c>
      <c r="S11" s="108">
        <f>N11*O11*P11*'1. Standard_Cost'!$C$15</f>
        <v>0</v>
      </c>
      <c r="T11" s="108">
        <f>N11*P11*Q11*'1. Standard_Cost'!$D$15</f>
        <v>0</v>
      </c>
      <c r="U11" s="108">
        <f>N11*O11*'1. Standard_Cost'!$E$15</f>
        <v>0</v>
      </c>
      <c r="V11" s="260"/>
      <c r="W11" s="260"/>
      <c r="X11" s="260"/>
      <c r="Y11" s="108">
        <f>+V11*((X11*'1. Standard_Cost'!$B$19)+(W11*X11*'1. Standard_Cost'!$C$19))</f>
        <v>0</v>
      </c>
      <c r="Z11" s="260"/>
      <c r="AA11" s="260"/>
      <c r="AB11" s="108">
        <f>+Z11*'1. Standard_Cost'!$B$23+AA11*'1. Standard_Cost'!$C$23</f>
        <v>0</v>
      </c>
      <c r="AC11" s="261"/>
      <c r="AD11" s="262"/>
      <c r="AE11" s="108">
        <f>SUM(AD11,AC11,AB11,Y11,U11,T11,S11,R11)*'1. Standard_Cost'!$B$31</f>
        <v>0</v>
      </c>
      <c r="AF11" s="108">
        <f t="shared" si="16"/>
        <v>0</v>
      </c>
      <c r="AG11" s="260"/>
      <c r="AH11" s="260"/>
      <c r="AI11" s="260"/>
      <c r="AJ11" s="263"/>
      <c r="AK11" s="263"/>
      <c r="AL11" s="263"/>
      <c r="AM11" s="108">
        <f>AG11*'1. Standard_Cost'!$B$27+'Incremental_Cost Year 10'!AH11*'1. Standard_Cost'!$C$27+'Incremental_Cost Year 10'!AI11*'1. Standard_Cost'!$D$27+'Incremental_Cost Year 10'!AJ11+'Incremental_Cost Year 10'!AL11+AK11</f>
        <v>0</v>
      </c>
      <c r="AN11" s="108">
        <f>AM11*'1. Standard_Cost'!$C$31</f>
        <v>0</v>
      </c>
      <c r="AO11" s="134" t="s">
        <v>275</v>
      </c>
      <c r="AQ11" s="14">
        <f t="shared" si="17"/>
        <v>0</v>
      </c>
      <c r="AR11" s="14">
        <f t="shared" si="18"/>
        <v>0</v>
      </c>
      <c r="AS11" s="14">
        <f t="shared" si="19"/>
        <v>0</v>
      </c>
      <c r="AT11" s="14">
        <f t="shared" si="20"/>
        <v>0</v>
      </c>
      <c r="AU11" s="234"/>
      <c r="AV11" s="234"/>
      <c r="AW11" s="234"/>
      <c r="AX11" s="234"/>
      <c r="AY11" s="234"/>
      <c r="AZ11" s="234"/>
      <c r="BA11" s="234"/>
      <c r="BB11" s="16">
        <f t="shared" si="21"/>
        <v>0</v>
      </c>
      <c r="BD11" s="294">
        <f>'Incremental_Cost Year 1'!AV11+'Incremental_Cost Year 2'!AV11+'Incremental_Cost Year 3'!AV11+'Incremental_Cost Year 4'!AV11+'Incremental_Cost Year 5'!AV11+'Incremental_Cost Year 6'!AV11+'Incremental_Cost Year 7'!AV11+'Incremental_Cost Year 8'!AV11+'Incremental_Cost Year 9'!AV11+'Incremental_Cost Year 10'!AV11</f>
        <v>0</v>
      </c>
      <c r="BE11" s="294">
        <f>'Incremental_Cost Year 1'!AW11+'Incremental_Cost Year 2'!AW11+'Incremental_Cost Year 3'!AW11+'Incremental_Cost Year 4'!AW11+'Incremental_Cost Year 5'!AW11+'Incremental_Cost Year 6'!AW11+'Incremental_Cost Year 7'!AW11+'Incremental_Cost Year 8'!AW11+'Incremental_Cost Year 9'!AW11+'Incremental_Cost Year 10'!AW11</f>
        <v>0</v>
      </c>
      <c r="BF11" s="294">
        <f>'Incremental_Cost Year 1'!AX11+'Incremental_Cost Year 2'!AX11+'Incremental_Cost Year 3'!AX11+'Incremental_Cost Year 4'!AX11+'Incremental_Cost Year 5'!AX11+'Incremental_Cost Year 6'!AX11+'Incremental_Cost Year 7'!AX11+'Incremental_Cost Year 8'!AX11+'Incremental_Cost Year 9'!AX11+'Incremental_Cost Year 10'!AX11</f>
        <v>0</v>
      </c>
      <c r="BG11" s="294">
        <f>'Incremental_Cost Year 1'!AY11+'Incremental_Cost Year 2'!AY11+'Incremental_Cost Year 3'!AY11+'Incremental_Cost Year 4'!AY11+'Incremental_Cost Year 5'!AY11+'Incremental_Cost Year 6'!AY11+'Incremental_Cost Year 7'!AY11+'Incremental_Cost Year 8'!AY11+'Incremental_Cost Year 9'!AY11+'Incremental_Cost Year 10'!AY11</f>
        <v>0</v>
      </c>
      <c r="BH11" s="294">
        <f>'Incremental_Cost Year 1'!AZ11+'Incremental_Cost Year 2'!AZ11+'Incremental_Cost Year 3'!AZ11+'Incremental_Cost Year 4'!AZ11+'Incremental_Cost Year 5'!AZ11+'Incremental_Cost Year 6'!AZ11+'Incremental_Cost Year 7'!AZ11+'Incremental_Cost Year 8'!AZ11+'Incremental_Cost Year 9'!AZ11+'Incremental_Cost Year 10'!AZ11</f>
        <v>1649117</v>
      </c>
      <c r="BI11" s="294">
        <f>'Incremental_Cost Year 1'!BA11+'Incremental_Cost Year 2'!BA11+'Incremental_Cost Year 3'!BA11+'Incremental_Cost Year 4'!BA11+'Incremental_Cost Year 5'!BA11+'Incremental_Cost Year 6'!BA11+'Incremental_Cost Year 7'!BA11+'Incremental_Cost Year 8'!BA11+'Incremental_Cost Year 9'!BA11+'Incremental_Cost Year 10'!BA11</f>
        <v>2601635</v>
      </c>
      <c r="BJ11" s="294">
        <f t="shared" si="22"/>
        <v>4250752</v>
      </c>
    </row>
    <row r="12" spans="1:62" ht="62.4" customHeight="1" outlineLevel="2">
      <c r="A12" s="98"/>
      <c r="B12" s="102"/>
      <c r="C12" s="23"/>
      <c r="D12" s="251"/>
      <c r="E12" s="250"/>
      <c r="F12" s="270"/>
      <c r="G12" s="250"/>
      <c r="H12" s="272"/>
      <c r="I12" s="258"/>
      <c r="J12" s="259"/>
      <c r="K12" s="259"/>
      <c r="L12" s="106" t="str">
        <f>IF(I12&lt;&gt;0,((VLOOKUP(I12,'1. Standard_Cost'!$B$4:$D$11,2)+VLOOKUP(I12,'1. Standard_Cost'!$B$4:$D$11,3))*J12*K12),"0")</f>
        <v>0</v>
      </c>
      <c r="M12" s="106">
        <f>L12*'1. Standard_Cost'!$F$4</f>
        <v>0</v>
      </c>
      <c r="N12" s="260"/>
      <c r="O12" s="260"/>
      <c r="P12" s="260"/>
      <c r="Q12" s="260"/>
      <c r="R12" s="108">
        <f>'1. Standard_Cost'!$B$15*N12*P12</f>
        <v>0</v>
      </c>
      <c r="S12" s="108">
        <f>N12*O12*P12*'1. Standard_Cost'!$C$15</f>
        <v>0</v>
      </c>
      <c r="T12" s="108">
        <f>N12*P12*Q12*'1. Standard_Cost'!$D$15</f>
        <v>0</v>
      </c>
      <c r="U12" s="108">
        <f>N12*O12*'1. Standard_Cost'!$E$15</f>
        <v>0</v>
      </c>
      <c r="V12" s="260"/>
      <c r="W12" s="260"/>
      <c r="X12" s="260"/>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16"/>
        <v>0</v>
      </c>
      <c r="AG12" s="260"/>
      <c r="AH12" s="260"/>
      <c r="AI12" s="260"/>
      <c r="AJ12" s="263"/>
      <c r="AK12" s="263"/>
      <c r="AL12" s="263"/>
      <c r="AM12" s="108">
        <f>AG12*'1. Standard_Cost'!$B$27+'Incremental_Cost Year 10'!AH12*'1. Standard_Cost'!$C$27+'Incremental_Cost Year 10'!AI12*'1. Standard_Cost'!$D$27+'Incremental_Cost Year 10'!AJ12+'Incremental_Cost Year 10'!AL12+AK12</f>
        <v>0</v>
      </c>
      <c r="AN12" s="108">
        <f>AM12*'1. Standard_Cost'!$C$31</f>
        <v>0</v>
      </c>
      <c r="AO12" s="134" t="s">
        <v>273</v>
      </c>
      <c r="AQ12" s="14">
        <f t="shared" si="17"/>
        <v>0</v>
      </c>
      <c r="AR12" s="14">
        <f t="shared" si="18"/>
        <v>0</v>
      </c>
      <c r="AS12" s="14">
        <f t="shared" si="19"/>
        <v>0</v>
      </c>
      <c r="AT12" s="14">
        <f t="shared" si="20"/>
        <v>0</v>
      </c>
      <c r="AU12" s="234"/>
      <c r="AV12" s="234"/>
      <c r="AW12" s="234"/>
      <c r="AX12" s="234"/>
      <c r="AY12" s="234"/>
      <c r="AZ12" s="234"/>
      <c r="BA12" s="234"/>
      <c r="BB12" s="16">
        <f t="shared" si="21"/>
        <v>0</v>
      </c>
      <c r="BD12" s="294">
        <f>'Incremental_Cost Year 1'!AV12+'Incremental_Cost Year 2'!AV12+'Incremental_Cost Year 3'!AV12+'Incremental_Cost Year 4'!AV12+'Incremental_Cost Year 5'!AV12+'Incremental_Cost Year 6'!AV12+'Incremental_Cost Year 7'!AV12+'Incremental_Cost Year 8'!AV12+'Incremental_Cost Year 9'!AV12+'Incremental_Cost Year 10'!AV12</f>
        <v>0</v>
      </c>
      <c r="BE12" s="294">
        <f>'Incremental_Cost Year 1'!AW12+'Incremental_Cost Year 2'!AW12+'Incremental_Cost Year 3'!AW12+'Incremental_Cost Year 4'!AW12+'Incremental_Cost Year 5'!AW12+'Incremental_Cost Year 6'!AW12+'Incremental_Cost Year 7'!AW12+'Incremental_Cost Year 8'!AW12+'Incremental_Cost Year 9'!AW12+'Incremental_Cost Year 10'!AW12</f>
        <v>0</v>
      </c>
      <c r="BF12" s="294">
        <f>'Incremental_Cost Year 1'!AX12+'Incremental_Cost Year 2'!AX12+'Incremental_Cost Year 3'!AX12+'Incremental_Cost Year 4'!AX12+'Incremental_Cost Year 5'!AX12+'Incremental_Cost Year 6'!AX12+'Incremental_Cost Year 7'!AX12+'Incremental_Cost Year 8'!AX12+'Incremental_Cost Year 9'!AX12+'Incremental_Cost Year 10'!AX12</f>
        <v>0</v>
      </c>
      <c r="BG12" s="294">
        <f>'Incremental_Cost Year 1'!AY12+'Incremental_Cost Year 2'!AY12+'Incremental_Cost Year 3'!AY12+'Incremental_Cost Year 4'!AY12+'Incremental_Cost Year 5'!AY12+'Incremental_Cost Year 6'!AY12+'Incremental_Cost Year 7'!AY12+'Incremental_Cost Year 8'!AY12+'Incremental_Cost Year 9'!AY12+'Incremental_Cost Year 10'!AY12</f>
        <v>0</v>
      </c>
      <c r="BH12" s="294">
        <f>'Incremental_Cost Year 1'!AZ12+'Incremental_Cost Year 2'!AZ12+'Incremental_Cost Year 3'!AZ12+'Incremental_Cost Year 4'!AZ12+'Incremental_Cost Year 5'!AZ12+'Incremental_Cost Year 6'!AZ12+'Incremental_Cost Year 7'!AZ12+'Incremental_Cost Year 8'!AZ12+'Incremental_Cost Year 9'!AZ12+'Incremental_Cost Year 10'!AZ12</f>
        <v>114000</v>
      </c>
      <c r="BI12" s="294">
        <f>'Incremental_Cost Year 1'!BA12+'Incremental_Cost Year 2'!BA12+'Incremental_Cost Year 3'!BA12+'Incremental_Cost Year 4'!BA12+'Incremental_Cost Year 5'!BA12+'Incremental_Cost Year 6'!BA12+'Incremental_Cost Year 7'!BA12+'Incremental_Cost Year 8'!BA12+'Incremental_Cost Year 9'!BA12+'Incremental_Cost Year 10'!BA12</f>
        <v>0</v>
      </c>
      <c r="BJ12" s="294">
        <f t="shared" si="22"/>
        <v>114000</v>
      </c>
    </row>
    <row r="13" spans="1:62" ht="69" outlineLevel="2">
      <c r="A13" s="98"/>
      <c r="B13" s="102"/>
      <c r="C13" s="23"/>
      <c r="D13" s="251"/>
      <c r="E13" s="250"/>
      <c r="F13" s="270"/>
      <c r="G13" s="250"/>
      <c r="H13" s="272"/>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260"/>
      <c r="W13" s="260"/>
      <c r="X13" s="260"/>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16"/>
        <v>0</v>
      </c>
      <c r="AG13" s="260"/>
      <c r="AH13" s="260"/>
      <c r="AI13" s="260"/>
      <c r="AJ13" s="263"/>
      <c r="AK13" s="263"/>
      <c r="AL13" s="263"/>
      <c r="AM13" s="108">
        <f>AG13*'1. Standard_Cost'!$B$27+'Incremental_Cost Year 10'!AH13*'1. Standard_Cost'!$C$27+'Incremental_Cost Year 10'!AI13*'1. Standard_Cost'!$D$27+'Incremental_Cost Year 10'!AJ13+'Incremental_Cost Year 10'!AL13+AK13</f>
        <v>0</v>
      </c>
      <c r="AN13" s="108">
        <f>AM13*'1. Standard_Cost'!$C$31</f>
        <v>0</v>
      </c>
      <c r="AO13" s="134" t="s">
        <v>275</v>
      </c>
      <c r="AQ13" s="14">
        <f t="shared" si="17"/>
        <v>0</v>
      </c>
      <c r="AR13" s="14">
        <f t="shared" si="18"/>
        <v>0</v>
      </c>
      <c r="AS13" s="14">
        <f t="shared" si="19"/>
        <v>0</v>
      </c>
      <c r="AT13" s="14">
        <f t="shared" si="20"/>
        <v>0</v>
      </c>
      <c r="AU13" s="234"/>
      <c r="AV13" s="234"/>
      <c r="AW13" s="234"/>
      <c r="AX13" s="234"/>
      <c r="AY13" s="234"/>
      <c r="AZ13" s="234"/>
      <c r="BA13" s="234"/>
      <c r="BB13" s="16">
        <f t="shared" si="21"/>
        <v>0</v>
      </c>
      <c r="BD13" s="294">
        <f>'Incremental_Cost Year 1'!AV13+'Incremental_Cost Year 2'!AV13+'Incremental_Cost Year 3'!AV13+'Incremental_Cost Year 4'!AV13+'Incremental_Cost Year 5'!AV13+'Incremental_Cost Year 6'!AV13+'Incremental_Cost Year 7'!AV13+'Incremental_Cost Year 8'!AV13+'Incremental_Cost Year 9'!AV13+'Incremental_Cost Year 10'!AV13</f>
        <v>0</v>
      </c>
      <c r="BE13" s="294">
        <f>'Incremental_Cost Year 1'!AW13+'Incremental_Cost Year 2'!AW13+'Incremental_Cost Year 3'!AW13+'Incremental_Cost Year 4'!AW13+'Incremental_Cost Year 5'!AW13+'Incremental_Cost Year 6'!AW13+'Incremental_Cost Year 7'!AW13+'Incremental_Cost Year 8'!AW13+'Incremental_Cost Year 9'!AW13+'Incremental_Cost Year 10'!AW13</f>
        <v>0</v>
      </c>
      <c r="BF13" s="294">
        <f>'Incremental_Cost Year 1'!AX13+'Incremental_Cost Year 2'!AX13+'Incremental_Cost Year 3'!AX13+'Incremental_Cost Year 4'!AX13+'Incremental_Cost Year 5'!AX13+'Incremental_Cost Year 6'!AX13+'Incremental_Cost Year 7'!AX13+'Incremental_Cost Year 8'!AX13+'Incremental_Cost Year 9'!AX13+'Incremental_Cost Year 10'!AX13</f>
        <v>0</v>
      </c>
      <c r="BG13" s="294">
        <f>'Incremental_Cost Year 1'!AY13+'Incremental_Cost Year 2'!AY13+'Incremental_Cost Year 3'!AY13+'Incremental_Cost Year 4'!AY13+'Incremental_Cost Year 5'!AY13+'Incremental_Cost Year 6'!AY13+'Incremental_Cost Year 7'!AY13+'Incremental_Cost Year 8'!AY13+'Incremental_Cost Year 9'!AY13+'Incremental_Cost Year 10'!AY13</f>
        <v>0</v>
      </c>
      <c r="BH13" s="294">
        <f>'Incremental_Cost Year 1'!AZ13+'Incremental_Cost Year 2'!AZ13+'Incremental_Cost Year 3'!AZ13+'Incremental_Cost Year 4'!AZ13+'Incremental_Cost Year 5'!AZ13+'Incremental_Cost Year 6'!AZ13+'Incremental_Cost Year 7'!AZ13+'Incremental_Cost Year 8'!AZ13+'Incremental_Cost Year 9'!AZ13+'Incremental_Cost Year 10'!AZ13</f>
        <v>0</v>
      </c>
      <c r="BI13" s="294">
        <f>'Incremental_Cost Year 1'!BA13+'Incremental_Cost Year 2'!BA13+'Incremental_Cost Year 3'!BA13+'Incremental_Cost Year 4'!BA13+'Incremental_Cost Year 5'!BA13+'Incremental_Cost Year 6'!BA13+'Incremental_Cost Year 7'!BA13+'Incremental_Cost Year 8'!BA13+'Incremental_Cost Year 9'!BA13+'Incremental_Cost Year 10'!BA13</f>
        <v>0</v>
      </c>
      <c r="BJ13" s="294">
        <f t="shared" si="22"/>
        <v>0</v>
      </c>
    </row>
    <row r="14" spans="1:62" ht="27.6" outlineLevel="2">
      <c r="A14" s="98"/>
      <c r="B14" s="102"/>
      <c r="C14" s="23"/>
      <c r="D14" s="251"/>
      <c r="E14" s="250"/>
      <c r="F14" s="270"/>
      <c r="G14" s="250"/>
      <c r="H14" s="272"/>
      <c r="I14" s="258"/>
      <c r="J14" s="259"/>
      <c r="K14" s="259"/>
      <c r="L14" s="106" t="str">
        <f>IF(I14&lt;&gt;0,((VLOOKUP(I14,'1. Standard_Cost'!$B$4:$D$11,2)+VLOOKUP(I14,'1. Standard_Cost'!$B$4:$D$11,3))*J14*K14),"0")</f>
        <v>0</v>
      </c>
      <c r="M14" s="106">
        <f>L14*'1. Standard_Cost'!$F$4</f>
        <v>0</v>
      </c>
      <c r="N14" s="260"/>
      <c r="O14" s="260"/>
      <c r="P14" s="260"/>
      <c r="Q14" s="260"/>
      <c r="R14" s="108">
        <f>'1. Standard_Cost'!$B$15*N14*P14</f>
        <v>0</v>
      </c>
      <c r="S14" s="108">
        <f>N14*O14*P14*'1. Standard_Cost'!$C$15</f>
        <v>0</v>
      </c>
      <c r="T14" s="108">
        <f>N14*P14*Q14*'1. Standard_Cost'!$D$15</f>
        <v>0</v>
      </c>
      <c r="U14" s="108">
        <f>N14*O14*'1. Standard_Cost'!$E$15</f>
        <v>0</v>
      </c>
      <c r="V14" s="260"/>
      <c r="W14" s="260"/>
      <c r="X14" s="260"/>
      <c r="Y14" s="108">
        <f>+V14*((X14*'1. Standard_Cost'!$B$19)+(W14*X14*'1. Standard_Cost'!$C$19))</f>
        <v>0</v>
      </c>
      <c r="Z14" s="260"/>
      <c r="AA14" s="260"/>
      <c r="AB14" s="108">
        <f>+Z14*'1. Standard_Cost'!$B$23+AA14*'1. Standard_Cost'!$C$23</f>
        <v>0</v>
      </c>
      <c r="AC14" s="261"/>
      <c r="AD14" s="262"/>
      <c r="AE14" s="108">
        <f>SUM(AD14,AC14,AB14,Y14,U14,T14,S14,R14)*'1. Standard_Cost'!$B$31</f>
        <v>0</v>
      </c>
      <c r="AF14" s="108">
        <f t="shared" si="16"/>
        <v>0</v>
      </c>
      <c r="AG14" s="260"/>
      <c r="AH14" s="260"/>
      <c r="AI14" s="260"/>
      <c r="AJ14" s="263"/>
      <c r="AK14" s="263"/>
      <c r="AL14" s="263"/>
      <c r="AM14" s="108">
        <f>AG14*'1. Standard_Cost'!$B$27+'Incremental_Cost Year 10'!AH14*'1. Standard_Cost'!$C$27+'Incremental_Cost Year 10'!AI14*'1. Standard_Cost'!$D$27+'Incremental_Cost Year 10'!AJ14+'Incremental_Cost Year 10'!AL14+AK14</f>
        <v>0</v>
      </c>
      <c r="AN14" s="108">
        <f>AM14*'1. Standard_Cost'!$C$31</f>
        <v>0</v>
      </c>
      <c r="AO14" s="134" t="s">
        <v>274</v>
      </c>
      <c r="AQ14" s="14">
        <f t="shared" si="17"/>
        <v>0</v>
      </c>
      <c r="AR14" s="14">
        <f t="shared" si="18"/>
        <v>0</v>
      </c>
      <c r="AS14" s="14">
        <f t="shared" si="19"/>
        <v>0</v>
      </c>
      <c r="AT14" s="14">
        <f t="shared" si="20"/>
        <v>0</v>
      </c>
      <c r="AU14" s="234"/>
      <c r="AV14" s="234"/>
      <c r="AW14" s="234"/>
      <c r="AX14" s="234"/>
      <c r="AY14" s="234"/>
      <c r="AZ14" s="234"/>
      <c r="BA14" s="234"/>
      <c r="BB14" s="16">
        <f t="shared" si="21"/>
        <v>0</v>
      </c>
      <c r="BD14" s="294">
        <f>'Incremental_Cost Year 1'!AV14+'Incremental_Cost Year 2'!AV14+'Incremental_Cost Year 3'!AV14+'Incremental_Cost Year 4'!AV14+'Incremental_Cost Year 5'!AV14+'Incremental_Cost Year 6'!AV14+'Incremental_Cost Year 7'!AV14+'Incremental_Cost Year 8'!AV14+'Incremental_Cost Year 9'!AV14+'Incremental_Cost Year 10'!AV14</f>
        <v>0</v>
      </c>
      <c r="BE14" s="294">
        <f>'Incremental_Cost Year 1'!AW14+'Incremental_Cost Year 2'!AW14+'Incremental_Cost Year 3'!AW14+'Incremental_Cost Year 4'!AW14+'Incremental_Cost Year 5'!AW14+'Incremental_Cost Year 6'!AW14+'Incremental_Cost Year 7'!AW14+'Incremental_Cost Year 8'!AW14+'Incremental_Cost Year 9'!AW14+'Incremental_Cost Year 10'!AW14</f>
        <v>0</v>
      </c>
      <c r="BF14" s="294">
        <f>'Incremental_Cost Year 1'!AX14+'Incremental_Cost Year 2'!AX14+'Incremental_Cost Year 3'!AX14+'Incremental_Cost Year 4'!AX14+'Incremental_Cost Year 5'!AX14+'Incremental_Cost Year 6'!AX14+'Incremental_Cost Year 7'!AX14+'Incremental_Cost Year 8'!AX14+'Incremental_Cost Year 9'!AX14+'Incremental_Cost Year 10'!AX14</f>
        <v>0</v>
      </c>
      <c r="BG14" s="294">
        <f>'Incremental_Cost Year 1'!AY14+'Incremental_Cost Year 2'!AY14+'Incremental_Cost Year 3'!AY14+'Incremental_Cost Year 4'!AY14+'Incremental_Cost Year 5'!AY14+'Incremental_Cost Year 6'!AY14+'Incremental_Cost Year 7'!AY14+'Incremental_Cost Year 8'!AY14+'Incremental_Cost Year 9'!AY14+'Incremental_Cost Year 10'!AY14</f>
        <v>0</v>
      </c>
      <c r="BH14" s="294">
        <f>'Incremental_Cost Year 1'!AZ14+'Incremental_Cost Year 2'!AZ14+'Incremental_Cost Year 3'!AZ14+'Incremental_Cost Year 4'!AZ14+'Incremental_Cost Year 5'!AZ14+'Incremental_Cost Year 6'!AZ14+'Incremental_Cost Year 7'!AZ14+'Incremental_Cost Year 8'!AZ14+'Incremental_Cost Year 9'!AZ14+'Incremental_Cost Year 10'!AZ14</f>
        <v>0</v>
      </c>
      <c r="BI14" s="294">
        <f>'Incremental_Cost Year 1'!BA14+'Incremental_Cost Year 2'!BA14+'Incremental_Cost Year 3'!BA14+'Incremental_Cost Year 4'!BA14+'Incremental_Cost Year 5'!BA14+'Incremental_Cost Year 6'!BA14+'Incremental_Cost Year 7'!BA14+'Incremental_Cost Year 8'!BA14+'Incremental_Cost Year 9'!BA14+'Incremental_Cost Year 10'!BA14</f>
        <v>1409431</v>
      </c>
      <c r="BJ14" s="294">
        <f t="shared" si="22"/>
        <v>1409431</v>
      </c>
    </row>
    <row r="15" spans="1:62" ht="41.4" outlineLevel="1">
      <c r="A15" s="98"/>
      <c r="B15" s="102"/>
      <c r="C15" s="23"/>
      <c r="D15" s="56" t="s">
        <v>205</v>
      </c>
      <c r="E15" s="122" t="s">
        <v>206</v>
      </c>
      <c r="F15" s="268">
        <v>2021</v>
      </c>
      <c r="G15" s="254">
        <v>2026</v>
      </c>
      <c r="H15" s="276" t="s">
        <v>48</v>
      </c>
      <c r="I15" s="264"/>
      <c r="J15" s="264"/>
      <c r="K15" s="264"/>
      <c r="L15" s="113">
        <f>SUM(L7:L14)</f>
        <v>0</v>
      </c>
      <c r="M15" s="113">
        <f>SUM(M7:M14)</f>
        <v>0</v>
      </c>
      <c r="N15" s="265"/>
      <c r="O15" s="264"/>
      <c r="P15" s="264"/>
      <c r="Q15" s="264"/>
      <c r="R15" s="113">
        <f>SUM(R7:R14)</f>
        <v>0</v>
      </c>
      <c r="S15" s="113">
        <f>SUM(S7:S14)</f>
        <v>0</v>
      </c>
      <c r="T15" s="113">
        <f>SUM(T7:T14)</f>
        <v>0</v>
      </c>
      <c r="U15" s="113">
        <f>SUM(U7:U14)</f>
        <v>0</v>
      </c>
      <c r="V15" s="264"/>
      <c r="W15" s="264"/>
      <c r="X15" s="264"/>
      <c r="Y15" s="113">
        <f>SUM(Y7:Y14)</f>
        <v>0</v>
      </c>
      <c r="Z15" s="264"/>
      <c r="AA15" s="264"/>
      <c r="AB15" s="113">
        <f>SUM(AB7:AB14)</f>
        <v>0</v>
      </c>
      <c r="AC15" s="265">
        <f>SUM(AC7:AC14)</f>
        <v>0</v>
      </c>
      <c r="AD15" s="265">
        <f>SUM(AD7:AD14)</f>
        <v>0</v>
      </c>
      <c r="AE15" s="113">
        <f>SUM(AE7:AE14)</f>
        <v>0</v>
      </c>
      <c r="AF15" s="113">
        <f>SUM(AF7:AF14)</f>
        <v>0</v>
      </c>
      <c r="AG15" s="264"/>
      <c r="AH15" s="264"/>
      <c r="AI15" s="264"/>
      <c r="AJ15" s="265">
        <f>SUM(AJ7:AJ14)</f>
        <v>0</v>
      </c>
      <c r="AK15" s="265">
        <f>SUM(AK7:AK14)</f>
        <v>0</v>
      </c>
      <c r="AL15" s="265">
        <f>SUM(AL7:AL14)</f>
        <v>0</v>
      </c>
      <c r="AM15" s="113">
        <f>SUM(AM7:AM14)</f>
        <v>0</v>
      </c>
      <c r="AN15" s="113">
        <f>SUM(AN7:AN14)</f>
        <v>0</v>
      </c>
      <c r="AO15" s="131"/>
      <c r="AP15" s="17"/>
      <c r="AQ15" s="113">
        <f t="shared" ref="AQ15:BB15" si="23">SUM(AQ7:AQ14)</f>
        <v>0</v>
      </c>
      <c r="AR15" s="113">
        <f t="shared" si="23"/>
        <v>0</v>
      </c>
      <c r="AS15" s="113">
        <f t="shared" si="23"/>
        <v>0</v>
      </c>
      <c r="AT15" s="113">
        <f t="shared" si="23"/>
        <v>0</v>
      </c>
      <c r="AU15" s="265">
        <f t="shared" si="23"/>
        <v>0</v>
      </c>
      <c r="AV15" s="265">
        <f t="shared" si="23"/>
        <v>0</v>
      </c>
      <c r="AW15" s="265">
        <f t="shared" si="23"/>
        <v>0</v>
      </c>
      <c r="AX15" s="265">
        <f t="shared" si="23"/>
        <v>0</v>
      </c>
      <c r="AY15" s="265">
        <f t="shared" si="23"/>
        <v>0</v>
      </c>
      <c r="AZ15" s="265">
        <f t="shared" si="23"/>
        <v>0</v>
      </c>
      <c r="BA15" s="265">
        <f t="shared" si="23"/>
        <v>0</v>
      </c>
      <c r="BB15" s="113">
        <f t="shared" si="23"/>
        <v>0</v>
      </c>
      <c r="BJ15" s="294">
        <f t="shared" si="22"/>
        <v>0</v>
      </c>
    </row>
    <row r="16" spans="1:62" ht="27.6" outlineLevel="2">
      <c r="A16" s="98"/>
      <c r="B16" s="102"/>
      <c r="C16" s="23"/>
      <c r="D16" s="251"/>
      <c r="E16" s="250"/>
      <c r="F16" s="270"/>
      <c r="G16" s="250"/>
      <c r="H16" s="272"/>
      <c r="I16" s="258"/>
      <c r="J16" s="259"/>
      <c r="K16" s="259"/>
      <c r="L16" s="106" t="str">
        <f>IF(I16&lt;&gt;0,((VLOOKUP(I16,'1. Standard_Cost'!$B$4:$D$11,2)+VLOOKUP(I16,'1. Standard_Cost'!$B$4:$D$11,3))*J16*K16),"0")</f>
        <v>0</v>
      </c>
      <c r="M16" s="106">
        <f>L16*'1. Standard_Cost'!$F$4</f>
        <v>0</v>
      </c>
      <c r="N16" s="260"/>
      <c r="O16" s="260"/>
      <c r="P16" s="260"/>
      <c r="Q16" s="260"/>
      <c r="R16" s="108">
        <f>'1. Standard_Cost'!$B$15*N16*P16</f>
        <v>0</v>
      </c>
      <c r="S16" s="108">
        <f>N16*O16*P16*'1. Standard_Cost'!$C$15</f>
        <v>0</v>
      </c>
      <c r="T16" s="108">
        <f>N16*P16*Q16*'1. Standard_Cost'!$D$15</f>
        <v>0</v>
      </c>
      <c r="U16" s="108">
        <f>N16*O16*'1. Standard_Cost'!$E$15</f>
        <v>0</v>
      </c>
      <c r="V16" s="260"/>
      <c r="W16" s="260"/>
      <c r="X16" s="260"/>
      <c r="Y16" s="108">
        <f>+V16*((X16*'1. Standard_Cost'!$B$19)+(W16*X16*'1. Standard_Cost'!$C$19))</f>
        <v>0</v>
      </c>
      <c r="Z16" s="260"/>
      <c r="AA16" s="260"/>
      <c r="AB16" s="108">
        <f>+Z16*'1. Standard_Cost'!$B$23+AA16*'1. Standard_Cost'!$C$23</f>
        <v>0</v>
      </c>
      <c r="AC16" s="261"/>
      <c r="AD16" s="262"/>
      <c r="AE16" s="108">
        <f>SUM(AD16,AC16,AB16,Y16,U16,T16,S16,R16)*'1. Standard_Cost'!$B$31</f>
        <v>0</v>
      </c>
      <c r="AF16" s="108">
        <f t="shared" ref="AF16" si="24">SUM(AE16,AD16,AC16,AB16,Y16,U16,T16,S16,R16)</f>
        <v>0</v>
      </c>
      <c r="AG16" s="260"/>
      <c r="AH16" s="260"/>
      <c r="AI16" s="260"/>
      <c r="AJ16" s="263"/>
      <c r="AK16" s="263"/>
      <c r="AL16" s="263"/>
      <c r="AM16" s="108">
        <f>AG16*'1. Standard_Cost'!$B$27+'Incremental_Cost Year 10'!AH16*'1. Standard_Cost'!$C$27+'Incremental_Cost Year 10'!AI16*'1. Standard_Cost'!$D$27+'Incremental_Cost Year 10'!AJ16+'Incremental_Cost Year 10'!AL16+AK16</f>
        <v>0</v>
      </c>
      <c r="AN16" s="108">
        <f>AM16*'1. Standard_Cost'!$C$31</f>
        <v>0</v>
      </c>
      <c r="AO16" s="125" t="s">
        <v>276</v>
      </c>
      <c r="AQ16" s="14">
        <f t="shared" ref="AQ16:AQ24" si="25">L16+M16</f>
        <v>0</v>
      </c>
      <c r="AR16" s="14">
        <f t="shared" ref="AR16:AR24" si="26">AF16</f>
        <v>0</v>
      </c>
      <c r="AS16" s="14">
        <f t="shared" ref="AS16:AS24" si="27">AM16+AN16</f>
        <v>0</v>
      </c>
      <c r="AT16" s="14">
        <f>SUM(AQ16,AR16,AS16)</f>
        <v>0</v>
      </c>
      <c r="AU16" s="234"/>
      <c r="AV16" s="234"/>
      <c r="AW16" s="234"/>
      <c r="AX16" s="234"/>
      <c r="AY16" s="234"/>
      <c r="AZ16" s="234"/>
      <c r="BA16" s="234"/>
      <c r="BB16" s="16">
        <f t="shared" ref="BB16:BB24" si="28">SUM(AU16:BA16)-AT16</f>
        <v>0</v>
      </c>
      <c r="BD16" s="294">
        <f>'Incremental_Cost Year 1'!AV16+'Incremental_Cost Year 2'!AV16+'Incremental_Cost Year 3'!AV16+'Incremental_Cost Year 4'!AV16+'Incremental_Cost Year 5'!AV16+'Incremental_Cost Year 6'!AV16+'Incremental_Cost Year 7'!AV16+'Incremental_Cost Year 8'!AV16+'Incremental_Cost Year 9'!AV16+'Incremental_Cost Year 10'!AV16</f>
        <v>0</v>
      </c>
      <c r="BE16" s="294">
        <f>'Incremental_Cost Year 1'!AW16+'Incremental_Cost Year 2'!AW16+'Incremental_Cost Year 3'!AW16+'Incremental_Cost Year 4'!AW16+'Incremental_Cost Year 5'!AW16+'Incremental_Cost Year 6'!AW16+'Incremental_Cost Year 7'!AW16+'Incremental_Cost Year 8'!AW16+'Incremental_Cost Year 9'!AW16+'Incremental_Cost Year 10'!AW16</f>
        <v>0</v>
      </c>
      <c r="BF16" s="294">
        <f>'Incremental_Cost Year 1'!AX16+'Incremental_Cost Year 2'!AX16+'Incremental_Cost Year 3'!AX16+'Incremental_Cost Year 4'!AX16+'Incremental_Cost Year 5'!AX16+'Incremental_Cost Year 6'!AX16+'Incremental_Cost Year 7'!AX16+'Incremental_Cost Year 8'!AX16+'Incremental_Cost Year 9'!AX16+'Incremental_Cost Year 10'!AX16</f>
        <v>0</v>
      </c>
      <c r="BG16" s="294">
        <f>'Incremental_Cost Year 1'!AY16+'Incremental_Cost Year 2'!AY16+'Incremental_Cost Year 3'!AY16+'Incremental_Cost Year 4'!AY16+'Incremental_Cost Year 5'!AY16+'Incremental_Cost Year 6'!AY16+'Incremental_Cost Year 7'!AY16+'Incremental_Cost Year 8'!AY16+'Incremental_Cost Year 9'!AY16+'Incremental_Cost Year 10'!AY16</f>
        <v>0</v>
      </c>
      <c r="BH16" s="294">
        <f>'Incremental_Cost Year 1'!AZ16+'Incremental_Cost Year 2'!AZ16+'Incremental_Cost Year 3'!AZ16+'Incremental_Cost Year 4'!AZ16+'Incremental_Cost Year 5'!AZ16+'Incremental_Cost Year 6'!AZ16+'Incremental_Cost Year 7'!AZ16+'Incremental_Cost Year 8'!AZ16+'Incremental_Cost Year 9'!AZ16+'Incremental_Cost Year 10'!AZ16</f>
        <v>0</v>
      </c>
      <c r="BI16" s="294">
        <f>'Incremental_Cost Year 1'!BA16+'Incremental_Cost Year 2'!BA16+'Incremental_Cost Year 3'!BA16+'Incremental_Cost Year 4'!BA16+'Incremental_Cost Year 5'!BA16+'Incremental_Cost Year 6'!BA16+'Incremental_Cost Year 7'!BA16+'Incremental_Cost Year 8'!BA16+'Incremental_Cost Year 9'!BA16+'Incremental_Cost Year 10'!BA16</f>
        <v>0</v>
      </c>
      <c r="BJ16" s="294">
        <f t="shared" si="22"/>
        <v>0</v>
      </c>
    </row>
    <row r="17" spans="1:62" ht="46.8" outlineLevel="1">
      <c r="A17" s="98"/>
      <c r="B17" s="143"/>
      <c r="C17" s="144"/>
      <c r="D17" s="287" t="s">
        <v>47</v>
      </c>
      <c r="E17" s="287" t="s">
        <v>207</v>
      </c>
      <c r="F17" s="287"/>
      <c r="G17" s="287"/>
      <c r="H17" s="287" t="s">
        <v>49</v>
      </c>
      <c r="I17" s="264"/>
      <c r="J17" s="264"/>
      <c r="K17" s="264"/>
      <c r="L17" s="113">
        <f>SUM(L16:L16)</f>
        <v>0</v>
      </c>
      <c r="M17" s="113">
        <f>SUM(M16:M16)</f>
        <v>0</v>
      </c>
      <c r="N17" s="264"/>
      <c r="O17" s="264"/>
      <c r="P17" s="264"/>
      <c r="Q17" s="264"/>
      <c r="R17" s="113">
        <f>SUM(R16:R16)</f>
        <v>0</v>
      </c>
      <c r="S17" s="113">
        <f>SUM(S16:S16)</f>
        <v>0</v>
      </c>
      <c r="T17" s="113">
        <f>SUM(T16:T16)</f>
        <v>0</v>
      </c>
      <c r="U17" s="113">
        <f>SUM(U16:U16)</f>
        <v>0</v>
      </c>
      <c r="V17" s="264"/>
      <c r="W17" s="264"/>
      <c r="X17" s="264"/>
      <c r="Y17" s="113">
        <f>SUM(Y16:Y16)</f>
        <v>0</v>
      </c>
      <c r="Z17" s="264"/>
      <c r="AA17" s="264"/>
      <c r="AB17" s="113">
        <f>SUM(AB16:AB16)</f>
        <v>0</v>
      </c>
      <c r="AC17" s="265">
        <f>SUM(AC16:AC16)</f>
        <v>0</v>
      </c>
      <c r="AD17" s="265">
        <f>SUM(AD16:AD16)</f>
        <v>0</v>
      </c>
      <c r="AE17" s="113">
        <f>SUM(AE16:AE16)</f>
        <v>0</v>
      </c>
      <c r="AF17" s="113">
        <f>SUM(AF16:AF16)</f>
        <v>0</v>
      </c>
      <c r="AG17" s="264"/>
      <c r="AH17" s="264"/>
      <c r="AI17" s="264"/>
      <c r="AJ17" s="265">
        <f>SUM(AJ16:AJ16)</f>
        <v>0</v>
      </c>
      <c r="AK17" s="265">
        <f>SUM(AK16:AK16)</f>
        <v>0</v>
      </c>
      <c r="AL17" s="265">
        <f>SUM(AL16:AL16)</f>
        <v>0</v>
      </c>
      <c r="AM17" s="113">
        <f>SUM(AM16:AM16)</f>
        <v>0</v>
      </c>
      <c r="AN17" s="113">
        <f>SUM(AN16:AN16)</f>
        <v>0</v>
      </c>
      <c r="AO17" s="131"/>
      <c r="AP17" s="17"/>
      <c r="AQ17" s="113">
        <f t="shared" ref="AQ17:BA17" si="29">SUM(AQ16:AQ16)</f>
        <v>0</v>
      </c>
      <c r="AR17" s="113">
        <f t="shared" si="29"/>
        <v>0</v>
      </c>
      <c r="AS17" s="113">
        <f t="shared" si="29"/>
        <v>0</v>
      </c>
      <c r="AT17" s="113">
        <f t="shared" si="29"/>
        <v>0</v>
      </c>
      <c r="AU17" s="265">
        <f t="shared" si="29"/>
        <v>0</v>
      </c>
      <c r="AV17" s="265">
        <f t="shared" si="29"/>
        <v>0</v>
      </c>
      <c r="AW17" s="265">
        <f t="shared" si="29"/>
        <v>0</v>
      </c>
      <c r="AX17" s="265">
        <f t="shared" si="29"/>
        <v>0</v>
      </c>
      <c r="AY17" s="265">
        <f t="shared" si="29"/>
        <v>0</v>
      </c>
      <c r="AZ17" s="265">
        <f t="shared" si="29"/>
        <v>0</v>
      </c>
      <c r="BA17" s="265">
        <f t="shared" si="29"/>
        <v>0</v>
      </c>
      <c r="BB17" s="16">
        <f t="shared" si="28"/>
        <v>0</v>
      </c>
      <c r="BJ17" s="294">
        <f t="shared" si="22"/>
        <v>0</v>
      </c>
    </row>
    <row r="18" spans="1:62" ht="15.6" outlineLevel="2">
      <c r="A18" s="98"/>
      <c r="B18" s="143"/>
      <c r="C18" s="144"/>
      <c r="D18" s="149"/>
      <c r="E18" s="149"/>
      <c r="F18" s="288"/>
      <c r="G18" s="289"/>
      <c r="H18" s="272"/>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260"/>
      <c r="W18" s="260"/>
      <c r="X18" s="260"/>
      <c r="Y18" s="108">
        <f>+V18*((X18*'1. Standard_Cost'!$B$19)+(W18*X18*'1. Standard_Cost'!$C$19))</f>
        <v>0</v>
      </c>
      <c r="Z18" s="260"/>
      <c r="AA18" s="260"/>
      <c r="AB18" s="108">
        <f>+Z18*'1. Standard_Cost'!$B$23+AA18*'1. Standard_Cost'!$C$23</f>
        <v>0</v>
      </c>
      <c r="AC18" s="261"/>
      <c r="AD18" s="262"/>
      <c r="AE18" s="108">
        <f>SUM(AD18,AC18,AB18,Y18,U18,T18,S18,R18)*'1. Standard_Cost'!$B$31</f>
        <v>0</v>
      </c>
      <c r="AF18" s="108">
        <f t="shared" ref="AF18:AF24" si="30">SUM(AE18,AD18,AC18,AB18,Y18,U18,T18,S18,R18)</f>
        <v>0</v>
      </c>
      <c r="AG18" s="260"/>
      <c r="AH18" s="260"/>
      <c r="AI18" s="260"/>
      <c r="AJ18" s="263"/>
      <c r="AK18" s="263"/>
      <c r="AL18" s="263"/>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31">L18+M18</f>
        <v>0</v>
      </c>
      <c r="AR18" s="14">
        <f t="shared" ref="AR18" si="32">AF18</f>
        <v>0</v>
      </c>
      <c r="AS18" s="14">
        <f t="shared" ref="AS18" si="33">AM18+AN18</f>
        <v>0</v>
      </c>
      <c r="AT18" s="14">
        <f>SUM(AQ18,AR18,AS18)</f>
        <v>0</v>
      </c>
      <c r="AU18" s="234"/>
      <c r="AV18" s="234"/>
      <c r="AW18" s="234"/>
      <c r="AX18" s="234"/>
      <c r="AY18" s="234"/>
      <c r="AZ18" s="234"/>
      <c r="BA18" s="234"/>
      <c r="BB18" s="16">
        <f t="shared" si="28"/>
        <v>0</v>
      </c>
      <c r="BD18" s="294">
        <f>'Incremental_Cost Year 1'!AV18+'Incremental_Cost Year 2'!AV18+'Incremental_Cost Year 3'!AV18+'Incremental_Cost Year 4'!AV18+'Incremental_Cost Year 5'!AV18+'Incremental_Cost Year 6'!AV18+'Incremental_Cost Year 7'!AV18+'Incremental_Cost Year 8'!AV18+'Incremental_Cost Year 9'!AV18+'Incremental_Cost Year 10'!AV18</f>
        <v>0</v>
      </c>
      <c r="BE18" s="294">
        <f>'Incremental_Cost Year 1'!AW18+'Incremental_Cost Year 2'!AW18+'Incremental_Cost Year 3'!AW18+'Incremental_Cost Year 4'!AW18+'Incremental_Cost Year 5'!AW18+'Incremental_Cost Year 6'!AW18+'Incremental_Cost Year 7'!AW18+'Incremental_Cost Year 8'!AW18+'Incremental_Cost Year 9'!AW18+'Incremental_Cost Year 10'!AW18</f>
        <v>0</v>
      </c>
      <c r="BF18" s="294">
        <f>'Incremental_Cost Year 1'!AX18+'Incremental_Cost Year 2'!AX18+'Incremental_Cost Year 3'!AX18+'Incremental_Cost Year 4'!AX18+'Incremental_Cost Year 5'!AX18+'Incremental_Cost Year 6'!AX18+'Incremental_Cost Year 7'!AX18+'Incremental_Cost Year 8'!AX18+'Incremental_Cost Year 9'!AX18+'Incremental_Cost Year 10'!AX18</f>
        <v>0</v>
      </c>
      <c r="BG18" s="294">
        <f>'Incremental_Cost Year 1'!AY18+'Incremental_Cost Year 2'!AY18+'Incremental_Cost Year 3'!AY18+'Incremental_Cost Year 4'!AY18+'Incremental_Cost Year 5'!AY18+'Incremental_Cost Year 6'!AY18+'Incremental_Cost Year 7'!AY18+'Incremental_Cost Year 8'!AY18+'Incremental_Cost Year 9'!AY18+'Incremental_Cost Year 10'!AY18</f>
        <v>0</v>
      </c>
      <c r="BH18" s="294">
        <f>'Incremental_Cost Year 1'!AZ18+'Incremental_Cost Year 2'!AZ18+'Incremental_Cost Year 3'!AZ18+'Incremental_Cost Year 4'!AZ18+'Incremental_Cost Year 5'!AZ18+'Incremental_Cost Year 6'!AZ18+'Incremental_Cost Year 7'!AZ18+'Incremental_Cost Year 8'!AZ18+'Incremental_Cost Year 9'!AZ18+'Incremental_Cost Year 10'!AZ18</f>
        <v>0</v>
      </c>
      <c r="BI18" s="294">
        <f>'Incremental_Cost Year 1'!BA18+'Incremental_Cost Year 2'!BA18+'Incremental_Cost Year 3'!BA18+'Incremental_Cost Year 4'!BA18+'Incremental_Cost Year 5'!BA18+'Incremental_Cost Year 6'!BA18+'Incremental_Cost Year 7'!BA18+'Incremental_Cost Year 8'!BA18+'Incremental_Cost Year 9'!BA18+'Incremental_Cost Year 10'!BA18</f>
        <v>0</v>
      </c>
      <c r="BJ18" s="294">
        <f t="shared" si="22"/>
        <v>0</v>
      </c>
    </row>
    <row r="19" spans="1:62" ht="15.6" outlineLevel="2">
      <c r="A19" s="98"/>
      <c r="B19" s="143"/>
      <c r="C19" s="144"/>
      <c r="D19" s="290"/>
      <c r="E19" s="290"/>
      <c r="F19" s="290"/>
      <c r="G19" s="291"/>
      <c r="H19" s="272"/>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260"/>
      <c r="W19" s="260"/>
      <c r="X19" s="260"/>
      <c r="Y19" s="108">
        <f>+V19*((X19*'1. Standard_Cost'!$B$19)+(W19*X19*'1. Standard_Cost'!$C$19))</f>
        <v>0</v>
      </c>
      <c r="Z19" s="260"/>
      <c r="AA19" s="260"/>
      <c r="AB19" s="108">
        <f>+Z19*'1. Standard_Cost'!$B$23+AA19*'1. Standard_Cost'!$C$23</f>
        <v>0</v>
      </c>
      <c r="AC19" s="261"/>
      <c r="AD19" s="262"/>
      <c r="AE19" s="108">
        <f>SUM(AD19,AC19,AB19,Y19,U19,T19,S19,R19)*'1. Standard_Cost'!$B$31</f>
        <v>0</v>
      </c>
      <c r="AF19" s="108">
        <f t="shared" si="30"/>
        <v>0</v>
      </c>
      <c r="AG19" s="260"/>
      <c r="AH19" s="260"/>
      <c r="AI19" s="260"/>
      <c r="AJ19" s="263"/>
      <c r="AK19" s="263"/>
      <c r="AL19" s="263"/>
      <c r="AM19" s="108">
        <f>AG19*'1. Standard_Cost'!$B$27+'Incremental_Cost Year 10'!AH19*'1. Standard_Cost'!$C$27+'Incremental_Cost Year 10'!AI19*'1. Standard_Cost'!$D$27+'Incremental_Cost Year 10'!AJ19+'Incremental_Cost Year 10'!AL19+AK19</f>
        <v>0</v>
      </c>
      <c r="AN19" s="108">
        <f>AM19*'1. Standard_Cost'!$C$31</f>
        <v>0</v>
      </c>
      <c r="AO19" s="125" t="s">
        <v>278</v>
      </c>
      <c r="AQ19" s="14">
        <f t="shared" si="25"/>
        <v>0</v>
      </c>
      <c r="AR19" s="14">
        <f t="shared" si="26"/>
        <v>0</v>
      </c>
      <c r="AS19" s="14">
        <f t="shared" si="27"/>
        <v>0</v>
      </c>
      <c r="AT19" s="14">
        <f t="shared" ref="AT19:AT24" si="34">SUM(AQ19,AR19,AS19)</f>
        <v>0</v>
      </c>
      <c r="AU19" s="234"/>
      <c r="AV19" s="234"/>
      <c r="AW19" s="234"/>
      <c r="AX19" s="234"/>
      <c r="AY19" s="234"/>
      <c r="AZ19" s="234"/>
      <c r="BA19" s="234"/>
      <c r="BB19" s="16">
        <f t="shared" si="28"/>
        <v>0</v>
      </c>
      <c r="BD19" s="294">
        <f>'Incremental_Cost Year 1'!AV19+'Incremental_Cost Year 2'!AV19+'Incremental_Cost Year 3'!AV19+'Incremental_Cost Year 4'!AV19+'Incremental_Cost Year 5'!AV19+'Incremental_Cost Year 6'!AV19+'Incremental_Cost Year 7'!AV19+'Incremental_Cost Year 8'!AV19+'Incremental_Cost Year 9'!AV19+'Incremental_Cost Year 10'!AV19</f>
        <v>0</v>
      </c>
      <c r="BE19" s="294">
        <f>'Incremental_Cost Year 1'!AW19+'Incremental_Cost Year 2'!AW19+'Incremental_Cost Year 3'!AW19+'Incremental_Cost Year 4'!AW19+'Incremental_Cost Year 5'!AW19+'Incremental_Cost Year 6'!AW19+'Incremental_Cost Year 7'!AW19+'Incremental_Cost Year 8'!AW19+'Incremental_Cost Year 9'!AW19+'Incremental_Cost Year 10'!AW19</f>
        <v>0</v>
      </c>
      <c r="BF19" s="294">
        <f>'Incremental_Cost Year 1'!AX19+'Incremental_Cost Year 2'!AX19+'Incremental_Cost Year 3'!AX19+'Incremental_Cost Year 4'!AX19+'Incremental_Cost Year 5'!AX19+'Incremental_Cost Year 6'!AX19+'Incremental_Cost Year 7'!AX19+'Incremental_Cost Year 8'!AX19+'Incremental_Cost Year 9'!AX19+'Incremental_Cost Year 10'!AX19</f>
        <v>0</v>
      </c>
      <c r="BG19" s="294">
        <f>'Incremental_Cost Year 1'!AY19+'Incremental_Cost Year 2'!AY19+'Incremental_Cost Year 3'!AY19+'Incremental_Cost Year 4'!AY19+'Incremental_Cost Year 5'!AY19+'Incremental_Cost Year 6'!AY19+'Incremental_Cost Year 7'!AY19+'Incremental_Cost Year 8'!AY19+'Incremental_Cost Year 9'!AY19+'Incremental_Cost Year 10'!AY19</f>
        <v>0</v>
      </c>
      <c r="BH19" s="294">
        <f>'Incremental_Cost Year 1'!AZ19+'Incremental_Cost Year 2'!AZ19+'Incremental_Cost Year 3'!AZ19+'Incremental_Cost Year 4'!AZ19+'Incremental_Cost Year 5'!AZ19+'Incremental_Cost Year 6'!AZ19+'Incremental_Cost Year 7'!AZ19+'Incremental_Cost Year 8'!AZ19+'Incremental_Cost Year 9'!AZ19+'Incremental_Cost Year 10'!AZ19</f>
        <v>0</v>
      </c>
      <c r="BI19" s="294">
        <f>'Incremental_Cost Year 1'!BA19+'Incremental_Cost Year 2'!BA19+'Incremental_Cost Year 3'!BA19+'Incremental_Cost Year 4'!BA19+'Incremental_Cost Year 5'!BA19+'Incremental_Cost Year 6'!BA19+'Incremental_Cost Year 7'!BA19+'Incremental_Cost Year 8'!BA19+'Incremental_Cost Year 9'!BA19+'Incremental_Cost Year 10'!BA19</f>
        <v>0</v>
      </c>
      <c r="BJ19" s="294">
        <f t="shared" si="22"/>
        <v>0</v>
      </c>
    </row>
    <row r="20" spans="1:62" ht="15.6" outlineLevel="2">
      <c r="A20" s="98"/>
      <c r="B20" s="143"/>
      <c r="C20" s="144"/>
      <c r="D20" s="290"/>
      <c r="E20" s="290"/>
      <c r="F20" s="171"/>
      <c r="G20" s="291"/>
      <c r="H20" s="272"/>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260"/>
      <c r="W20" s="260"/>
      <c r="X20" s="260"/>
      <c r="Y20" s="108">
        <f>+V20*((X20*'1. Standard_Cost'!$B$19)+(W20*X20*'1. Standard_Cost'!$C$19))</f>
        <v>0</v>
      </c>
      <c r="Z20" s="260"/>
      <c r="AA20" s="260"/>
      <c r="AB20" s="108">
        <f>+Z20*'1. Standard_Cost'!$B$23+AA20*'1. Standard_Cost'!$C$23</f>
        <v>0</v>
      </c>
      <c r="AC20" s="261"/>
      <c r="AD20" s="262"/>
      <c r="AE20" s="108">
        <f>SUM(AD20,AC20,AB20,Y20,U20,T20,S20,R20)*'1. Standard_Cost'!$B$31</f>
        <v>0</v>
      </c>
      <c r="AF20" s="108">
        <f t="shared" si="30"/>
        <v>0</v>
      </c>
      <c r="AG20" s="260"/>
      <c r="AH20" s="260"/>
      <c r="AI20" s="260"/>
      <c r="AJ20" s="263"/>
      <c r="AK20" s="263"/>
      <c r="AL20" s="263"/>
      <c r="AM20" s="108">
        <f>AG20*'1. Standard_Cost'!$B$27+'Incremental_Cost Year 10'!AH20*'1. Standard_Cost'!$C$27+'Incremental_Cost Year 10'!AI20*'1. Standard_Cost'!$D$27+'Incremental_Cost Year 10'!AJ20+'Incremental_Cost Year 10'!AL20+AK20</f>
        <v>0</v>
      </c>
      <c r="AN20" s="108">
        <f>AM20*'1. Standard_Cost'!$C$31</f>
        <v>0</v>
      </c>
      <c r="AO20" s="125" t="s">
        <v>278</v>
      </c>
      <c r="AQ20" s="14">
        <f t="shared" si="25"/>
        <v>0</v>
      </c>
      <c r="AR20" s="14">
        <f t="shared" si="26"/>
        <v>0</v>
      </c>
      <c r="AS20" s="14">
        <f t="shared" si="27"/>
        <v>0</v>
      </c>
      <c r="AT20" s="14">
        <f t="shared" si="34"/>
        <v>0</v>
      </c>
      <c r="AU20" s="234"/>
      <c r="AV20" s="234"/>
      <c r="AW20" s="234"/>
      <c r="AX20" s="234"/>
      <c r="AY20" s="234"/>
      <c r="AZ20" s="234"/>
      <c r="BA20" s="234"/>
      <c r="BB20" s="16">
        <f t="shared" si="28"/>
        <v>0</v>
      </c>
      <c r="BD20" s="294">
        <f>'Incremental_Cost Year 1'!AV20+'Incremental_Cost Year 2'!AV20+'Incremental_Cost Year 3'!AV20+'Incremental_Cost Year 4'!AV20+'Incremental_Cost Year 5'!AV20+'Incremental_Cost Year 6'!AV20+'Incremental_Cost Year 7'!AV20+'Incremental_Cost Year 8'!AV20+'Incremental_Cost Year 9'!AV20+'Incremental_Cost Year 10'!AV20</f>
        <v>0</v>
      </c>
      <c r="BE20" s="294">
        <f>'Incremental_Cost Year 1'!AW20+'Incremental_Cost Year 2'!AW20+'Incremental_Cost Year 3'!AW20+'Incremental_Cost Year 4'!AW20+'Incremental_Cost Year 5'!AW20+'Incremental_Cost Year 6'!AW20+'Incremental_Cost Year 7'!AW20+'Incremental_Cost Year 8'!AW20+'Incremental_Cost Year 9'!AW20+'Incremental_Cost Year 10'!AW20</f>
        <v>0</v>
      </c>
      <c r="BF20" s="294">
        <f>'Incremental_Cost Year 1'!AX20+'Incremental_Cost Year 2'!AX20+'Incremental_Cost Year 3'!AX20+'Incremental_Cost Year 4'!AX20+'Incremental_Cost Year 5'!AX20+'Incremental_Cost Year 6'!AX20+'Incremental_Cost Year 7'!AX20+'Incremental_Cost Year 8'!AX20+'Incremental_Cost Year 9'!AX20+'Incremental_Cost Year 10'!AX20</f>
        <v>0</v>
      </c>
      <c r="BG20" s="294">
        <f>'Incremental_Cost Year 1'!AY20+'Incremental_Cost Year 2'!AY20+'Incremental_Cost Year 3'!AY20+'Incremental_Cost Year 4'!AY20+'Incremental_Cost Year 5'!AY20+'Incremental_Cost Year 6'!AY20+'Incremental_Cost Year 7'!AY20+'Incremental_Cost Year 8'!AY20+'Incremental_Cost Year 9'!AY20+'Incremental_Cost Year 10'!AY20</f>
        <v>0</v>
      </c>
      <c r="BH20" s="294">
        <f>'Incremental_Cost Year 1'!AZ20+'Incremental_Cost Year 2'!AZ20+'Incremental_Cost Year 3'!AZ20+'Incremental_Cost Year 4'!AZ20+'Incremental_Cost Year 5'!AZ20+'Incremental_Cost Year 6'!AZ20+'Incremental_Cost Year 7'!AZ20+'Incremental_Cost Year 8'!AZ20+'Incremental_Cost Year 9'!AZ20+'Incremental_Cost Year 10'!AZ20</f>
        <v>0</v>
      </c>
      <c r="BI20" s="294">
        <f>'Incremental_Cost Year 1'!BA20+'Incremental_Cost Year 2'!BA20+'Incremental_Cost Year 3'!BA20+'Incremental_Cost Year 4'!BA20+'Incremental_Cost Year 5'!BA20+'Incremental_Cost Year 6'!BA20+'Incremental_Cost Year 7'!BA20+'Incremental_Cost Year 8'!BA20+'Incremental_Cost Year 9'!BA20+'Incremental_Cost Year 10'!BA20</f>
        <v>0</v>
      </c>
      <c r="BJ20" s="294">
        <f t="shared" si="22"/>
        <v>0</v>
      </c>
    </row>
    <row r="21" spans="1:62" ht="15.6" outlineLevel="2">
      <c r="A21" s="98"/>
      <c r="B21" s="143"/>
      <c r="C21" s="144"/>
      <c r="D21" s="290"/>
      <c r="E21" s="290"/>
      <c r="F21" s="290"/>
      <c r="G21" s="291"/>
      <c r="H21" s="272"/>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260"/>
      <c r="W21" s="260"/>
      <c r="X21" s="260"/>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30"/>
        <v>0</v>
      </c>
      <c r="AG21" s="260"/>
      <c r="AH21" s="260"/>
      <c r="AI21" s="260"/>
      <c r="AJ21" s="263"/>
      <c r="AK21" s="263"/>
      <c r="AL21" s="263"/>
      <c r="AM21" s="108">
        <f>AG21*'1. Standard_Cost'!$B$27+'Incremental_Cost Year 10'!AH21*'1. Standard_Cost'!$C$27+'Incremental_Cost Year 10'!AI21*'1. Standard_Cost'!$D$27+'Incremental_Cost Year 10'!AJ21+'Incremental_Cost Year 10'!AL21+AK21</f>
        <v>0</v>
      </c>
      <c r="AN21" s="108">
        <f>AM21*'1. Standard_Cost'!$C$31</f>
        <v>0</v>
      </c>
      <c r="AO21" s="125" t="s">
        <v>279</v>
      </c>
      <c r="AQ21" s="14">
        <f t="shared" si="25"/>
        <v>0</v>
      </c>
      <c r="AR21" s="14">
        <f t="shared" si="26"/>
        <v>0</v>
      </c>
      <c r="AS21" s="14">
        <f t="shared" si="27"/>
        <v>0</v>
      </c>
      <c r="AT21" s="14">
        <f t="shared" si="34"/>
        <v>0</v>
      </c>
      <c r="AU21" s="234"/>
      <c r="AV21" s="234"/>
      <c r="AW21" s="234"/>
      <c r="AX21" s="234"/>
      <c r="AY21" s="234"/>
      <c r="AZ21" s="234"/>
      <c r="BA21" s="234"/>
      <c r="BB21" s="16">
        <f t="shared" si="28"/>
        <v>0</v>
      </c>
      <c r="BD21" s="294">
        <f>'Incremental_Cost Year 1'!AV21+'Incremental_Cost Year 2'!AV21+'Incremental_Cost Year 3'!AV21+'Incremental_Cost Year 4'!AV21+'Incremental_Cost Year 5'!AV21+'Incremental_Cost Year 6'!AV21+'Incremental_Cost Year 7'!AV21+'Incremental_Cost Year 8'!AV21+'Incremental_Cost Year 9'!AV21+'Incremental_Cost Year 10'!AV21</f>
        <v>0</v>
      </c>
      <c r="BE21" s="294">
        <f>'Incremental_Cost Year 1'!AW21+'Incremental_Cost Year 2'!AW21+'Incremental_Cost Year 3'!AW21+'Incremental_Cost Year 4'!AW21+'Incremental_Cost Year 5'!AW21+'Incremental_Cost Year 6'!AW21+'Incremental_Cost Year 7'!AW21+'Incremental_Cost Year 8'!AW21+'Incremental_Cost Year 9'!AW21+'Incremental_Cost Year 10'!AW21</f>
        <v>0</v>
      </c>
      <c r="BF21" s="294">
        <f>'Incremental_Cost Year 1'!AX21+'Incremental_Cost Year 2'!AX21+'Incremental_Cost Year 3'!AX21+'Incremental_Cost Year 4'!AX21+'Incremental_Cost Year 5'!AX21+'Incremental_Cost Year 6'!AX21+'Incremental_Cost Year 7'!AX21+'Incremental_Cost Year 8'!AX21+'Incremental_Cost Year 9'!AX21+'Incremental_Cost Year 10'!AX21</f>
        <v>0</v>
      </c>
      <c r="BG21" s="294">
        <f>'Incremental_Cost Year 1'!AY21+'Incremental_Cost Year 2'!AY21+'Incremental_Cost Year 3'!AY21+'Incremental_Cost Year 4'!AY21+'Incremental_Cost Year 5'!AY21+'Incremental_Cost Year 6'!AY21+'Incremental_Cost Year 7'!AY21+'Incremental_Cost Year 8'!AY21+'Incremental_Cost Year 9'!AY21+'Incremental_Cost Year 10'!AY21</f>
        <v>0</v>
      </c>
      <c r="BH21" s="294">
        <f>'Incremental_Cost Year 1'!AZ21+'Incremental_Cost Year 2'!AZ21+'Incremental_Cost Year 3'!AZ21+'Incremental_Cost Year 4'!AZ21+'Incremental_Cost Year 5'!AZ21+'Incremental_Cost Year 6'!AZ21+'Incremental_Cost Year 7'!AZ21+'Incremental_Cost Year 8'!AZ21+'Incremental_Cost Year 9'!AZ21+'Incremental_Cost Year 10'!AZ21</f>
        <v>0</v>
      </c>
      <c r="BI21" s="294">
        <f>'Incremental_Cost Year 1'!BA21+'Incremental_Cost Year 2'!BA21+'Incremental_Cost Year 3'!BA21+'Incremental_Cost Year 4'!BA21+'Incremental_Cost Year 5'!BA21+'Incremental_Cost Year 6'!BA21+'Incremental_Cost Year 7'!BA21+'Incremental_Cost Year 8'!BA21+'Incremental_Cost Year 9'!BA21+'Incremental_Cost Year 10'!BA21</f>
        <v>0</v>
      </c>
      <c r="BJ21" s="294">
        <f t="shared" si="22"/>
        <v>0</v>
      </c>
    </row>
    <row r="22" spans="1:62" ht="15.6" outlineLevel="2">
      <c r="A22" s="98"/>
      <c r="B22" s="143"/>
      <c r="C22" s="144"/>
      <c r="D22" s="290"/>
      <c r="E22" s="290"/>
      <c r="F22" s="290"/>
      <c r="G22" s="291"/>
      <c r="H22" s="272"/>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260"/>
      <c r="W22" s="260"/>
      <c r="X22" s="260"/>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30"/>
        <v>0</v>
      </c>
      <c r="AG22" s="260"/>
      <c r="AH22" s="260"/>
      <c r="AI22" s="260"/>
      <c r="AJ22" s="263"/>
      <c r="AK22" s="263"/>
      <c r="AL22" s="263"/>
      <c r="AM22" s="108">
        <f>AG22*'1. Standard_Cost'!$B$27+'Incremental_Cost Year 10'!AH22*'1. Standard_Cost'!$C$27+'Incremental_Cost Year 10'!AI22*'1. Standard_Cost'!$D$27+'Incremental_Cost Year 10'!AJ22+'Incremental_Cost Year 10'!AL22+AK22</f>
        <v>0</v>
      </c>
      <c r="AN22" s="108">
        <f>AM22*'1. Standard_Cost'!$C$31</f>
        <v>0</v>
      </c>
      <c r="AO22" s="125" t="s">
        <v>280</v>
      </c>
      <c r="AQ22" s="14">
        <f t="shared" si="25"/>
        <v>0</v>
      </c>
      <c r="AR22" s="14">
        <f t="shared" si="26"/>
        <v>0</v>
      </c>
      <c r="AS22" s="14">
        <f t="shared" si="27"/>
        <v>0</v>
      </c>
      <c r="AT22" s="14">
        <f t="shared" si="34"/>
        <v>0</v>
      </c>
      <c r="AU22" s="234"/>
      <c r="AV22" s="234"/>
      <c r="AW22" s="234"/>
      <c r="AX22" s="234"/>
      <c r="AY22" s="234"/>
      <c r="AZ22" s="234"/>
      <c r="BA22" s="234"/>
      <c r="BB22" s="16">
        <f t="shared" si="28"/>
        <v>0</v>
      </c>
      <c r="BD22" s="294">
        <f>'Incremental_Cost Year 1'!AV22+'Incremental_Cost Year 2'!AV22+'Incremental_Cost Year 3'!AV22+'Incremental_Cost Year 4'!AV22+'Incremental_Cost Year 5'!AV22+'Incremental_Cost Year 6'!AV22+'Incremental_Cost Year 7'!AV22+'Incremental_Cost Year 8'!AV22+'Incremental_Cost Year 9'!AV22+'Incremental_Cost Year 10'!AV22</f>
        <v>0</v>
      </c>
      <c r="BE22" s="294">
        <f>'Incremental_Cost Year 1'!AW22+'Incremental_Cost Year 2'!AW22+'Incremental_Cost Year 3'!AW22+'Incremental_Cost Year 4'!AW22+'Incremental_Cost Year 5'!AW22+'Incremental_Cost Year 6'!AW22+'Incremental_Cost Year 7'!AW22+'Incremental_Cost Year 8'!AW22+'Incremental_Cost Year 9'!AW22+'Incremental_Cost Year 10'!AW22</f>
        <v>0</v>
      </c>
      <c r="BF22" s="294">
        <f>'Incremental_Cost Year 1'!AX22+'Incremental_Cost Year 2'!AX22+'Incremental_Cost Year 3'!AX22+'Incremental_Cost Year 4'!AX22+'Incremental_Cost Year 5'!AX22+'Incremental_Cost Year 6'!AX22+'Incremental_Cost Year 7'!AX22+'Incremental_Cost Year 8'!AX22+'Incremental_Cost Year 9'!AX22+'Incremental_Cost Year 10'!AX22</f>
        <v>0</v>
      </c>
      <c r="BG22" s="294">
        <f>'Incremental_Cost Year 1'!AY22+'Incremental_Cost Year 2'!AY22+'Incremental_Cost Year 3'!AY22+'Incremental_Cost Year 4'!AY22+'Incremental_Cost Year 5'!AY22+'Incremental_Cost Year 6'!AY22+'Incremental_Cost Year 7'!AY22+'Incremental_Cost Year 8'!AY22+'Incremental_Cost Year 9'!AY22+'Incremental_Cost Year 10'!AY22</f>
        <v>0</v>
      </c>
      <c r="BH22" s="294">
        <f>'Incremental_Cost Year 1'!AZ22+'Incremental_Cost Year 2'!AZ22+'Incremental_Cost Year 3'!AZ22+'Incremental_Cost Year 4'!AZ22+'Incremental_Cost Year 5'!AZ22+'Incremental_Cost Year 6'!AZ22+'Incremental_Cost Year 7'!AZ22+'Incremental_Cost Year 8'!AZ22+'Incremental_Cost Year 9'!AZ22+'Incremental_Cost Year 10'!AZ22</f>
        <v>0</v>
      </c>
      <c r="BI22" s="294">
        <f>'Incremental_Cost Year 1'!BA22+'Incremental_Cost Year 2'!BA22+'Incremental_Cost Year 3'!BA22+'Incremental_Cost Year 4'!BA22+'Incremental_Cost Year 5'!BA22+'Incremental_Cost Year 6'!BA22+'Incremental_Cost Year 7'!BA22+'Incremental_Cost Year 8'!BA22+'Incremental_Cost Year 9'!BA22+'Incremental_Cost Year 10'!BA22</f>
        <v>0</v>
      </c>
      <c r="BJ22" s="294">
        <f t="shared" si="22"/>
        <v>0</v>
      </c>
    </row>
    <row r="23" spans="1:62" ht="15.6" outlineLevel="2">
      <c r="A23" s="98"/>
      <c r="B23" s="143"/>
      <c r="C23" s="144"/>
      <c r="D23" s="290"/>
      <c r="E23" s="290"/>
      <c r="F23" s="290"/>
      <c r="G23" s="291"/>
      <c r="H23" s="272"/>
      <c r="I23" s="258"/>
      <c r="J23" s="259"/>
      <c r="K23" s="259"/>
      <c r="L23" s="106" t="str">
        <f>IF(I23&lt;&gt;0,((VLOOKUP(I23,'1. Standard_Cost'!$B$4:$D$11,2)+VLOOKUP(I23,'1. Standard_Cost'!$B$4:$D$11,3))*J23*K23),"0")</f>
        <v>0</v>
      </c>
      <c r="M23" s="106">
        <f>L23*'1. Standard_Cost'!$F$4</f>
        <v>0</v>
      </c>
      <c r="N23" s="260"/>
      <c r="O23" s="260"/>
      <c r="P23" s="260"/>
      <c r="Q23" s="260"/>
      <c r="R23" s="108">
        <f>'1. Standard_Cost'!$B$15*N23*P23</f>
        <v>0</v>
      </c>
      <c r="S23" s="108">
        <f>N23*O23*P23*'1. Standard_Cost'!$C$15</f>
        <v>0</v>
      </c>
      <c r="T23" s="108">
        <f>N23*P23*Q23*'1. Standard_Cost'!$D$15</f>
        <v>0</v>
      </c>
      <c r="U23" s="108">
        <f>N23*O23*'1. Standard_Cost'!$E$15</f>
        <v>0</v>
      </c>
      <c r="V23" s="260"/>
      <c r="W23" s="260"/>
      <c r="X23" s="260"/>
      <c r="Y23" s="108">
        <f>+V23*((X23*'1. Standard_Cost'!$B$19)+(W23*X23*'1. Standard_Cost'!$C$19))</f>
        <v>0</v>
      </c>
      <c r="Z23" s="260"/>
      <c r="AA23" s="260"/>
      <c r="AB23" s="108">
        <f>+Z23*'1. Standard_Cost'!$B$23+AA23*'1. Standard_Cost'!$C$23</f>
        <v>0</v>
      </c>
      <c r="AC23" s="261"/>
      <c r="AD23" s="262"/>
      <c r="AE23" s="108">
        <f>SUM(AD23,AC23,AB23,Y23,U23,T23,S23,R23)*'1. Standard_Cost'!$B$31</f>
        <v>0</v>
      </c>
      <c r="AF23" s="108">
        <f t="shared" si="30"/>
        <v>0</v>
      </c>
      <c r="AG23" s="260"/>
      <c r="AH23" s="260"/>
      <c r="AI23" s="260"/>
      <c r="AJ23" s="263"/>
      <c r="AK23" s="263"/>
      <c r="AL23" s="263"/>
      <c r="AM23" s="108">
        <f>AG23*'1. Standard_Cost'!$B$27+'Incremental_Cost Year 10'!AH23*'1. Standard_Cost'!$C$27+'Incremental_Cost Year 10'!AI23*'1. Standard_Cost'!$D$27+'Incremental_Cost Year 10'!AJ23+'Incremental_Cost Year 10'!AL23+AK23</f>
        <v>0</v>
      </c>
      <c r="AN23" s="108">
        <f>AM23*'1. Standard_Cost'!$C$31</f>
        <v>0</v>
      </c>
      <c r="AO23" s="125" t="s">
        <v>281</v>
      </c>
      <c r="AQ23" s="14">
        <f t="shared" si="25"/>
        <v>0</v>
      </c>
      <c r="AR23" s="14">
        <f t="shared" si="26"/>
        <v>0</v>
      </c>
      <c r="AS23" s="14">
        <f t="shared" si="27"/>
        <v>0</v>
      </c>
      <c r="AT23" s="14">
        <f t="shared" si="34"/>
        <v>0</v>
      </c>
      <c r="AU23" s="234"/>
      <c r="AV23" s="234"/>
      <c r="AW23" s="234"/>
      <c r="AX23" s="234"/>
      <c r="AY23" s="234"/>
      <c r="AZ23" s="234"/>
      <c r="BA23" s="234"/>
      <c r="BB23" s="16">
        <f t="shared" si="28"/>
        <v>0</v>
      </c>
      <c r="BD23" s="294">
        <f>'Incremental_Cost Year 1'!AV23+'Incremental_Cost Year 2'!AV23+'Incremental_Cost Year 3'!AV23+'Incremental_Cost Year 4'!AV23+'Incremental_Cost Year 5'!AV23+'Incremental_Cost Year 6'!AV23+'Incremental_Cost Year 7'!AV23+'Incremental_Cost Year 8'!AV23+'Incremental_Cost Year 9'!AV23+'Incremental_Cost Year 10'!AV23</f>
        <v>0</v>
      </c>
      <c r="BE23" s="294">
        <f>'Incremental_Cost Year 1'!AW23+'Incremental_Cost Year 2'!AW23+'Incremental_Cost Year 3'!AW23+'Incremental_Cost Year 4'!AW23+'Incremental_Cost Year 5'!AW23+'Incremental_Cost Year 6'!AW23+'Incremental_Cost Year 7'!AW23+'Incremental_Cost Year 8'!AW23+'Incremental_Cost Year 9'!AW23+'Incremental_Cost Year 10'!AW23</f>
        <v>0</v>
      </c>
      <c r="BF23" s="294">
        <f>'Incremental_Cost Year 1'!AX23+'Incremental_Cost Year 2'!AX23+'Incremental_Cost Year 3'!AX23+'Incremental_Cost Year 4'!AX23+'Incremental_Cost Year 5'!AX23+'Incremental_Cost Year 6'!AX23+'Incremental_Cost Year 7'!AX23+'Incremental_Cost Year 8'!AX23+'Incremental_Cost Year 9'!AX23+'Incremental_Cost Year 10'!AX23</f>
        <v>0</v>
      </c>
      <c r="BG23" s="294">
        <f>'Incremental_Cost Year 1'!AY23+'Incremental_Cost Year 2'!AY23+'Incremental_Cost Year 3'!AY23+'Incremental_Cost Year 4'!AY23+'Incremental_Cost Year 5'!AY23+'Incremental_Cost Year 6'!AY23+'Incremental_Cost Year 7'!AY23+'Incremental_Cost Year 8'!AY23+'Incremental_Cost Year 9'!AY23+'Incremental_Cost Year 10'!AY23</f>
        <v>0</v>
      </c>
      <c r="BH23" s="294">
        <f>'Incremental_Cost Year 1'!AZ23+'Incremental_Cost Year 2'!AZ23+'Incremental_Cost Year 3'!AZ23+'Incremental_Cost Year 4'!AZ23+'Incremental_Cost Year 5'!AZ23+'Incremental_Cost Year 6'!AZ23+'Incremental_Cost Year 7'!AZ23+'Incremental_Cost Year 8'!AZ23+'Incremental_Cost Year 9'!AZ23+'Incremental_Cost Year 10'!AZ23</f>
        <v>0</v>
      </c>
      <c r="BI23" s="294">
        <f>'Incremental_Cost Year 1'!BA23+'Incremental_Cost Year 2'!BA23+'Incremental_Cost Year 3'!BA23+'Incremental_Cost Year 4'!BA23+'Incremental_Cost Year 5'!BA23+'Incremental_Cost Year 6'!BA23+'Incremental_Cost Year 7'!BA23+'Incremental_Cost Year 8'!BA23+'Incremental_Cost Year 9'!BA23+'Incremental_Cost Year 10'!BA23</f>
        <v>0</v>
      </c>
      <c r="BJ23" s="294">
        <f t="shared" si="22"/>
        <v>0</v>
      </c>
    </row>
    <row r="24" spans="1:62" ht="27.6" outlineLevel="2">
      <c r="A24" s="98"/>
      <c r="B24" s="143"/>
      <c r="C24" s="144"/>
      <c r="D24" s="290"/>
      <c r="E24" s="290"/>
      <c r="F24" s="290"/>
      <c r="G24" s="291"/>
      <c r="H24" s="272"/>
      <c r="I24" s="258"/>
      <c r="J24" s="259"/>
      <c r="K24" s="259"/>
      <c r="L24" s="106" t="str">
        <f>IF(I24&lt;&gt;0,((VLOOKUP(I24,'1. Standard_Cost'!$B$4:$D$11,2)+VLOOKUP(I24,'1. Standard_Cost'!$B$4:$D$11,3))*J24*K24),"0")</f>
        <v>0</v>
      </c>
      <c r="M24" s="106">
        <f>L24*'1. Standard_Cost'!$F$4</f>
        <v>0</v>
      </c>
      <c r="N24" s="260"/>
      <c r="O24" s="260"/>
      <c r="P24" s="260"/>
      <c r="Q24" s="260"/>
      <c r="R24" s="108">
        <f>'1. Standard_Cost'!$B$15*N24*P24</f>
        <v>0</v>
      </c>
      <c r="S24" s="108">
        <f>N24*O24*P24*'1. Standard_Cost'!$C$15</f>
        <v>0</v>
      </c>
      <c r="T24" s="108">
        <f>N24*P24*Q24*'1. Standard_Cost'!$D$15</f>
        <v>0</v>
      </c>
      <c r="U24" s="108">
        <f>N24*O24*'1. Standard_Cost'!$E$15</f>
        <v>0</v>
      </c>
      <c r="V24" s="260"/>
      <c r="W24" s="260"/>
      <c r="X24" s="260"/>
      <c r="Y24" s="108">
        <f>+V24*((X24*'1. Standard_Cost'!$B$19)+(W24*X24*'1. Standard_Cost'!$C$19))</f>
        <v>0</v>
      </c>
      <c r="Z24" s="260"/>
      <c r="AA24" s="260"/>
      <c r="AB24" s="108">
        <f>+Z24*'1. Standard_Cost'!$B$23+AA24*'1. Standard_Cost'!$C$23</f>
        <v>0</v>
      </c>
      <c r="AC24" s="261"/>
      <c r="AD24" s="262"/>
      <c r="AE24" s="108">
        <f>SUM(AD24,AC24,AB24,Y24,U24,T24,S24,R24)*'1. Standard_Cost'!$B$31</f>
        <v>0</v>
      </c>
      <c r="AF24" s="108">
        <f t="shared" si="30"/>
        <v>0</v>
      </c>
      <c r="AG24" s="260"/>
      <c r="AH24" s="260"/>
      <c r="AI24" s="260"/>
      <c r="AJ24" s="263"/>
      <c r="AK24" s="263"/>
      <c r="AL24" s="263"/>
      <c r="AM24" s="108">
        <f>AG24*'1. Standard_Cost'!$B$27+'Incremental_Cost Year 10'!AH24*'1. Standard_Cost'!$C$27+'Incremental_Cost Year 10'!AI24*'1. Standard_Cost'!$D$27+'Incremental_Cost Year 10'!AJ24+'Incremental_Cost Year 10'!AL24+AK24</f>
        <v>0</v>
      </c>
      <c r="AN24" s="108">
        <f>AM24*'1. Standard_Cost'!$C$31</f>
        <v>0</v>
      </c>
      <c r="AO24" s="125" t="s">
        <v>282</v>
      </c>
      <c r="AQ24" s="14">
        <f t="shared" si="25"/>
        <v>0</v>
      </c>
      <c r="AR24" s="14">
        <f t="shared" si="26"/>
        <v>0</v>
      </c>
      <c r="AS24" s="14">
        <f t="shared" si="27"/>
        <v>0</v>
      </c>
      <c r="AT24" s="14">
        <f t="shared" si="34"/>
        <v>0</v>
      </c>
      <c r="AU24" s="234"/>
      <c r="AV24" s="234"/>
      <c r="AW24" s="234"/>
      <c r="AX24" s="234"/>
      <c r="AY24" s="234"/>
      <c r="AZ24" s="234"/>
      <c r="BA24" s="234"/>
      <c r="BB24" s="16">
        <f t="shared" si="28"/>
        <v>0</v>
      </c>
      <c r="BD24" s="294">
        <f>'Incremental_Cost Year 1'!AV24+'Incremental_Cost Year 2'!AV24+'Incremental_Cost Year 3'!AV24+'Incremental_Cost Year 4'!AV24+'Incremental_Cost Year 5'!AV24+'Incremental_Cost Year 6'!AV24+'Incremental_Cost Year 7'!AV24+'Incremental_Cost Year 8'!AV24+'Incremental_Cost Year 9'!AV24+'Incremental_Cost Year 10'!AV24</f>
        <v>0</v>
      </c>
      <c r="BE24" s="294">
        <f>'Incremental_Cost Year 1'!AW24+'Incremental_Cost Year 2'!AW24+'Incremental_Cost Year 3'!AW24+'Incremental_Cost Year 4'!AW24+'Incremental_Cost Year 5'!AW24+'Incremental_Cost Year 6'!AW24+'Incremental_Cost Year 7'!AW24+'Incremental_Cost Year 8'!AW24+'Incremental_Cost Year 9'!AW24+'Incremental_Cost Year 10'!AW24</f>
        <v>0</v>
      </c>
      <c r="BF24" s="294">
        <f>'Incremental_Cost Year 1'!AX24+'Incremental_Cost Year 2'!AX24+'Incremental_Cost Year 3'!AX24+'Incremental_Cost Year 4'!AX24+'Incremental_Cost Year 5'!AX24+'Incremental_Cost Year 6'!AX24+'Incremental_Cost Year 7'!AX24+'Incremental_Cost Year 8'!AX24+'Incremental_Cost Year 9'!AX24+'Incremental_Cost Year 10'!AX24</f>
        <v>0</v>
      </c>
      <c r="BG24" s="294">
        <f>'Incremental_Cost Year 1'!AY24+'Incremental_Cost Year 2'!AY24+'Incremental_Cost Year 3'!AY24+'Incremental_Cost Year 4'!AY24+'Incremental_Cost Year 5'!AY24+'Incremental_Cost Year 6'!AY24+'Incremental_Cost Year 7'!AY24+'Incremental_Cost Year 8'!AY24+'Incremental_Cost Year 9'!AY24+'Incremental_Cost Year 10'!AY24</f>
        <v>0</v>
      </c>
      <c r="BH24" s="294">
        <f>'Incremental_Cost Year 1'!AZ24+'Incremental_Cost Year 2'!AZ24+'Incremental_Cost Year 3'!AZ24+'Incremental_Cost Year 4'!AZ24+'Incremental_Cost Year 5'!AZ24+'Incremental_Cost Year 6'!AZ24+'Incremental_Cost Year 7'!AZ24+'Incremental_Cost Year 8'!AZ24+'Incremental_Cost Year 9'!AZ24+'Incremental_Cost Year 10'!AZ24</f>
        <v>543600</v>
      </c>
      <c r="BI24" s="294">
        <f>'Incremental_Cost Year 1'!BA24+'Incremental_Cost Year 2'!BA24+'Incremental_Cost Year 3'!BA24+'Incremental_Cost Year 4'!BA24+'Incremental_Cost Year 5'!BA24+'Incremental_Cost Year 6'!BA24+'Incremental_Cost Year 7'!BA24+'Incremental_Cost Year 8'!BA24+'Incremental_Cost Year 9'!BA24+'Incremental_Cost Year 10'!BA24</f>
        <v>247518</v>
      </c>
      <c r="BJ24" s="294">
        <f t="shared" si="22"/>
        <v>791118</v>
      </c>
    </row>
    <row r="25" spans="1:62" ht="46.8" outlineLevel="1">
      <c r="A25" s="98"/>
      <c r="B25" s="143"/>
      <c r="C25" s="144"/>
      <c r="D25" s="287" t="s">
        <v>47</v>
      </c>
      <c r="E25" s="287" t="s">
        <v>208</v>
      </c>
      <c r="F25" s="287"/>
      <c r="G25" s="287"/>
      <c r="H25" s="287" t="s">
        <v>50</v>
      </c>
      <c r="I25" s="264"/>
      <c r="J25" s="264"/>
      <c r="K25" s="264"/>
      <c r="L25" s="113">
        <f>SUM(L18:L24)</f>
        <v>0</v>
      </c>
      <c r="M25" s="113">
        <f>SUM(M18:M24)</f>
        <v>0</v>
      </c>
      <c r="N25" s="264"/>
      <c r="O25" s="264"/>
      <c r="P25" s="264"/>
      <c r="Q25" s="264"/>
      <c r="R25" s="113">
        <f t="shared" ref="R25:U25" si="35">SUM(R18:R24)</f>
        <v>0</v>
      </c>
      <c r="S25" s="113">
        <f t="shared" si="35"/>
        <v>0</v>
      </c>
      <c r="T25" s="113">
        <f t="shared" si="35"/>
        <v>0</v>
      </c>
      <c r="U25" s="113">
        <f t="shared" si="35"/>
        <v>0</v>
      </c>
      <c r="V25" s="264"/>
      <c r="W25" s="264"/>
      <c r="X25" s="264"/>
      <c r="Y25" s="113">
        <f>SUM(Y18:Y24)</f>
        <v>0</v>
      </c>
      <c r="Z25" s="264"/>
      <c r="AA25" s="264"/>
      <c r="AB25" s="113">
        <f t="shared" ref="AB25:AF25" si="36">SUM(AB18:AB24)</f>
        <v>0</v>
      </c>
      <c r="AC25" s="265">
        <f t="shared" si="36"/>
        <v>0</v>
      </c>
      <c r="AD25" s="265">
        <f t="shared" si="36"/>
        <v>0</v>
      </c>
      <c r="AE25" s="113">
        <f t="shared" si="36"/>
        <v>0</v>
      </c>
      <c r="AF25" s="113">
        <f t="shared" si="36"/>
        <v>0</v>
      </c>
      <c r="AG25" s="264"/>
      <c r="AH25" s="264"/>
      <c r="AI25" s="264"/>
      <c r="AJ25" s="265">
        <f t="shared" ref="AJ25:AL25" si="37">SUM(AJ18:AJ24)</f>
        <v>0</v>
      </c>
      <c r="AK25" s="265">
        <f t="shared" si="37"/>
        <v>0</v>
      </c>
      <c r="AL25" s="265">
        <f t="shared" si="37"/>
        <v>0</v>
      </c>
      <c r="AM25" s="113">
        <f t="shared" ref="AM25:AN25" si="38">SUM(AM18:AM24)</f>
        <v>0</v>
      </c>
      <c r="AN25" s="113">
        <f t="shared" si="38"/>
        <v>0</v>
      </c>
      <c r="AO25" s="131"/>
      <c r="AP25" s="17"/>
      <c r="AQ25" s="113">
        <f t="shared" ref="AQ25:BB25" si="39">SUM(AQ18:AQ24)</f>
        <v>0</v>
      </c>
      <c r="AR25" s="113">
        <f t="shared" si="39"/>
        <v>0</v>
      </c>
      <c r="AS25" s="113">
        <f t="shared" si="39"/>
        <v>0</v>
      </c>
      <c r="AT25" s="113">
        <f t="shared" si="39"/>
        <v>0</v>
      </c>
      <c r="AU25" s="265">
        <f t="shared" si="39"/>
        <v>0</v>
      </c>
      <c r="AV25" s="265">
        <f t="shared" si="39"/>
        <v>0</v>
      </c>
      <c r="AW25" s="265">
        <f t="shared" si="39"/>
        <v>0</v>
      </c>
      <c r="AX25" s="265">
        <f t="shared" si="39"/>
        <v>0</v>
      </c>
      <c r="AY25" s="265">
        <f t="shared" si="39"/>
        <v>0</v>
      </c>
      <c r="AZ25" s="265">
        <f t="shared" si="39"/>
        <v>0</v>
      </c>
      <c r="BA25" s="265">
        <f t="shared" si="39"/>
        <v>0</v>
      </c>
      <c r="BB25" s="113">
        <f t="shared" si="39"/>
        <v>0</v>
      </c>
      <c r="BJ25" s="294">
        <f t="shared" si="22"/>
        <v>0</v>
      </c>
    </row>
    <row r="26" spans="1:62" ht="27.6" outlineLevel="2">
      <c r="A26" s="98"/>
      <c r="B26" s="143"/>
      <c r="C26" s="144"/>
      <c r="D26" s="149"/>
      <c r="E26" s="149"/>
      <c r="F26" s="288"/>
      <c r="G26" s="289"/>
      <c r="H26" s="272"/>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260"/>
      <c r="W26" s="260"/>
      <c r="X26" s="260"/>
      <c r="Y26" s="108">
        <f>+V26*((X26*'1. Standard_Cost'!$B$19)+(W26*X26*'1. Standard_Cost'!$C$19))</f>
        <v>0</v>
      </c>
      <c r="Z26" s="260"/>
      <c r="AA26" s="260"/>
      <c r="AB26" s="108">
        <f>+Z26*'1. Standard_Cost'!$B$23+AA26*'1. Standard_Cost'!$C$23</f>
        <v>0</v>
      </c>
      <c r="AC26" s="261"/>
      <c r="AD26" s="262"/>
      <c r="AE26" s="108">
        <f>SUM(AD26,AC26,AB26,Y26,U26,T26,S26,R26)*'1. Standard_Cost'!$B$31</f>
        <v>0</v>
      </c>
      <c r="AF26" s="108">
        <f t="shared" ref="AF26:AF29" si="40">SUM(AE26,AD26,AC26,AB26,Y26,U26,T26,S26,R26)</f>
        <v>0</v>
      </c>
      <c r="AG26" s="260"/>
      <c r="AH26" s="260"/>
      <c r="AI26" s="260"/>
      <c r="AJ26" s="263"/>
      <c r="AK26" s="263"/>
      <c r="AL26" s="263"/>
      <c r="AM26" s="108">
        <f>AG26*'1. Standard_Cost'!$B$27+'Incremental_Cost Year 10'!AH26*'1. Standard_Cost'!$C$27+'Incremental_Cost Year 10'!AI26*'1. Standard_Cost'!$D$27+'Incremental_Cost Year 10'!AJ26+'Incremental_Cost Year 10'!AL26+AK26</f>
        <v>0</v>
      </c>
      <c r="AN26" s="108">
        <f>AM26*'1. Standard_Cost'!$C$31</f>
        <v>0</v>
      </c>
      <c r="AO26" s="125" t="s">
        <v>283</v>
      </c>
      <c r="AQ26" s="14">
        <f>L26+M26</f>
        <v>0</v>
      </c>
      <c r="AR26" s="14">
        <f t="shared" ref="AR26:AR29" si="41">AF26</f>
        <v>0</v>
      </c>
      <c r="AS26" s="14">
        <f t="shared" ref="AS26:AS29" si="42">AM26+AN26</f>
        <v>0</v>
      </c>
      <c r="AT26" s="14">
        <f>SUM(AQ26,AR26,AS26)</f>
        <v>0</v>
      </c>
      <c r="AU26" s="234"/>
      <c r="AV26" s="234"/>
      <c r="AW26" s="234"/>
      <c r="AX26" s="234"/>
      <c r="AY26" s="234"/>
      <c r="AZ26" s="234"/>
      <c r="BA26" s="234"/>
      <c r="BB26" s="16">
        <f>SUM(AU26:BA26)-AT26</f>
        <v>0</v>
      </c>
      <c r="BD26" s="294">
        <f>'Incremental_Cost Year 1'!AV26+'Incremental_Cost Year 2'!AV26+'Incremental_Cost Year 3'!AV26+'Incremental_Cost Year 4'!AV26+'Incremental_Cost Year 5'!AV26+'Incremental_Cost Year 6'!AV26+'Incremental_Cost Year 7'!AV26+'Incremental_Cost Year 8'!AV26+'Incremental_Cost Year 9'!AV26+'Incremental_Cost Year 10'!AV26</f>
        <v>0</v>
      </c>
      <c r="BE26" s="294">
        <f>'Incremental_Cost Year 1'!AW26+'Incremental_Cost Year 2'!AW26+'Incremental_Cost Year 3'!AW26+'Incremental_Cost Year 4'!AW26+'Incremental_Cost Year 5'!AW26+'Incremental_Cost Year 6'!AW26+'Incremental_Cost Year 7'!AW26+'Incremental_Cost Year 8'!AW26+'Incremental_Cost Year 9'!AW26+'Incremental_Cost Year 10'!AW26</f>
        <v>0</v>
      </c>
      <c r="BF26" s="294">
        <f>'Incremental_Cost Year 1'!AX26+'Incremental_Cost Year 2'!AX26+'Incremental_Cost Year 3'!AX26+'Incremental_Cost Year 4'!AX26+'Incremental_Cost Year 5'!AX26+'Incremental_Cost Year 6'!AX26+'Incremental_Cost Year 7'!AX26+'Incremental_Cost Year 8'!AX26+'Incremental_Cost Year 9'!AX26+'Incremental_Cost Year 10'!AX26</f>
        <v>0</v>
      </c>
      <c r="BG26" s="294">
        <f>'Incremental_Cost Year 1'!AY26+'Incremental_Cost Year 2'!AY26+'Incremental_Cost Year 3'!AY26+'Incremental_Cost Year 4'!AY26+'Incremental_Cost Year 5'!AY26+'Incremental_Cost Year 6'!AY26+'Incremental_Cost Year 7'!AY26+'Incremental_Cost Year 8'!AY26+'Incremental_Cost Year 9'!AY26+'Incremental_Cost Year 10'!AY26</f>
        <v>0</v>
      </c>
      <c r="BH26" s="294">
        <f>'Incremental_Cost Year 1'!AZ26+'Incremental_Cost Year 2'!AZ26+'Incremental_Cost Year 3'!AZ26+'Incremental_Cost Year 4'!AZ26+'Incremental_Cost Year 5'!AZ26+'Incremental_Cost Year 6'!AZ26+'Incremental_Cost Year 7'!AZ26+'Incremental_Cost Year 8'!AZ26+'Incremental_Cost Year 9'!AZ26+'Incremental_Cost Year 10'!AZ26</f>
        <v>2016000</v>
      </c>
      <c r="BI26" s="294">
        <f>'Incremental_Cost Year 1'!BA26+'Incremental_Cost Year 2'!BA26+'Incremental_Cost Year 3'!BA26+'Incremental_Cost Year 4'!BA26+'Incremental_Cost Year 5'!BA26+'Incremental_Cost Year 6'!BA26+'Incremental_Cost Year 7'!BA26+'Incremental_Cost Year 8'!BA26+'Incremental_Cost Year 9'!BA26+'Incremental_Cost Year 10'!BA26</f>
        <v>0</v>
      </c>
      <c r="BJ26" s="294">
        <f t="shared" si="22"/>
        <v>2016000</v>
      </c>
    </row>
    <row r="27" spans="1:62" ht="27.6" outlineLevel="2">
      <c r="A27" s="98"/>
      <c r="B27" s="143"/>
      <c r="C27" s="144"/>
      <c r="D27" s="290"/>
      <c r="E27" s="290"/>
      <c r="F27" s="290"/>
      <c r="G27" s="291"/>
      <c r="H27" s="272"/>
      <c r="I27" s="258"/>
      <c r="J27" s="259"/>
      <c r="K27" s="259"/>
      <c r="L27" s="106" t="str">
        <f>IF(I27&lt;&gt;0,((VLOOKUP(I27,'1. Standard_Cost'!$B$4:$D$11,2)+VLOOKUP(I27,'1. Standard_Cost'!$B$4:$D$11,3))*J27*K27),"0")</f>
        <v>0</v>
      </c>
      <c r="M27" s="106">
        <f>L27*'1. Standard_Cost'!$F$4</f>
        <v>0</v>
      </c>
      <c r="N27" s="260"/>
      <c r="O27" s="260"/>
      <c r="P27" s="260"/>
      <c r="Q27" s="260"/>
      <c r="R27" s="108">
        <f>'1. Standard_Cost'!$B$15*N27*P27</f>
        <v>0</v>
      </c>
      <c r="S27" s="108">
        <f>N27*O27*P27*'1. Standard_Cost'!$C$15</f>
        <v>0</v>
      </c>
      <c r="T27" s="108">
        <f>N27*P27*Q27*'1. Standard_Cost'!$D$15</f>
        <v>0</v>
      </c>
      <c r="U27" s="108">
        <f>N27*O27*'1. Standard_Cost'!$E$15</f>
        <v>0</v>
      </c>
      <c r="V27" s="260"/>
      <c r="W27" s="260"/>
      <c r="X27" s="260"/>
      <c r="Y27" s="108">
        <f>+V27*((X27*'1. Standard_Cost'!$B$19)+(W27*X27*'1. Standard_Cost'!$C$19))</f>
        <v>0</v>
      </c>
      <c r="Z27" s="260"/>
      <c r="AA27" s="260"/>
      <c r="AB27" s="108">
        <f>+Z27*'1. Standard_Cost'!$B$23+AA27*'1. Standard_Cost'!$C$23</f>
        <v>0</v>
      </c>
      <c r="AC27" s="261"/>
      <c r="AD27" s="262"/>
      <c r="AE27" s="108">
        <f>SUM(AD27,AC27,AB27,Y27,U27,T27,S27,R27)*'1. Standard_Cost'!$B$31</f>
        <v>0</v>
      </c>
      <c r="AF27" s="108">
        <f t="shared" si="40"/>
        <v>0</v>
      </c>
      <c r="AG27" s="260"/>
      <c r="AH27" s="260"/>
      <c r="AI27" s="260"/>
      <c r="AJ27" s="263"/>
      <c r="AK27" s="263"/>
      <c r="AL27" s="263"/>
      <c r="AM27" s="108">
        <f>AG27*'1. Standard_Cost'!$B$27+'Incremental_Cost Year 10'!AH27*'1. Standard_Cost'!$C$27+'Incremental_Cost Year 10'!AI27*'1. Standard_Cost'!$D$27+'Incremental_Cost Year 10'!AJ27+'Incremental_Cost Year 10'!AL27+AK27</f>
        <v>0</v>
      </c>
      <c r="AN27" s="108">
        <f>AM27*'1. Standard_Cost'!$C$31</f>
        <v>0</v>
      </c>
      <c r="AO27" s="125" t="s">
        <v>284</v>
      </c>
      <c r="AQ27" s="14">
        <f t="shared" ref="AQ27:AQ29" si="43">L27+M27</f>
        <v>0</v>
      </c>
      <c r="AR27" s="14">
        <f t="shared" si="41"/>
        <v>0</v>
      </c>
      <c r="AS27" s="14">
        <f t="shared" si="42"/>
        <v>0</v>
      </c>
      <c r="AT27" s="14">
        <f t="shared" ref="AT27:AT29" si="44">SUM(AQ27,AR27,AS27)</f>
        <v>0</v>
      </c>
      <c r="AU27" s="234"/>
      <c r="AV27" s="234"/>
      <c r="AW27" s="234"/>
      <c r="AX27" s="234"/>
      <c r="AY27" s="234"/>
      <c r="AZ27" s="234"/>
      <c r="BA27" s="234"/>
      <c r="BB27" s="16">
        <f t="shared" ref="BB27:BB29" si="45">SUM(AU27:BA27)-AT27</f>
        <v>0</v>
      </c>
      <c r="BD27" s="294">
        <f>'Incremental_Cost Year 1'!AV27+'Incremental_Cost Year 2'!AV27+'Incremental_Cost Year 3'!AV27+'Incremental_Cost Year 4'!AV27+'Incremental_Cost Year 5'!AV27+'Incremental_Cost Year 6'!AV27+'Incremental_Cost Year 7'!AV27+'Incremental_Cost Year 8'!AV27+'Incremental_Cost Year 9'!AV27+'Incremental_Cost Year 10'!AV27</f>
        <v>0</v>
      </c>
      <c r="BE27" s="294">
        <f>'Incremental_Cost Year 1'!AW27+'Incremental_Cost Year 2'!AW27+'Incremental_Cost Year 3'!AW27+'Incremental_Cost Year 4'!AW27+'Incremental_Cost Year 5'!AW27+'Incremental_Cost Year 6'!AW27+'Incremental_Cost Year 7'!AW27+'Incremental_Cost Year 8'!AW27+'Incremental_Cost Year 9'!AW27+'Incremental_Cost Year 10'!AW27</f>
        <v>0</v>
      </c>
      <c r="BF27" s="294">
        <f>'Incremental_Cost Year 1'!AX27+'Incremental_Cost Year 2'!AX27+'Incremental_Cost Year 3'!AX27+'Incremental_Cost Year 4'!AX27+'Incremental_Cost Year 5'!AX27+'Incremental_Cost Year 6'!AX27+'Incremental_Cost Year 7'!AX27+'Incremental_Cost Year 8'!AX27+'Incremental_Cost Year 9'!AX27+'Incremental_Cost Year 10'!AX27</f>
        <v>0</v>
      </c>
      <c r="BG27" s="294">
        <f>'Incremental_Cost Year 1'!AY27+'Incremental_Cost Year 2'!AY27+'Incremental_Cost Year 3'!AY27+'Incremental_Cost Year 4'!AY27+'Incremental_Cost Year 5'!AY27+'Incremental_Cost Year 6'!AY27+'Incremental_Cost Year 7'!AY27+'Incremental_Cost Year 8'!AY27+'Incremental_Cost Year 9'!AY27+'Incremental_Cost Year 10'!AY27</f>
        <v>0</v>
      </c>
      <c r="BH27" s="294">
        <f>'Incremental_Cost Year 1'!AZ27+'Incremental_Cost Year 2'!AZ27+'Incremental_Cost Year 3'!AZ27+'Incremental_Cost Year 4'!AZ27+'Incremental_Cost Year 5'!AZ27+'Incremental_Cost Year 6'!AZ27+'Incremental_Cost Year 7'!AZ27+'Incremental_Cost Year 8'!AZ27+'Incremental_Cost Year 9'!AZ27+'Incremental_Cost Year 10'!AZ27</f>
        <v>2709600</v>
      </c>
      <c r="BI27" s="294">
        <f>'Incremental_Cost Year 1'!BA27+'Incremental_Cost Year 2'!BA27+'Incremental_Cost Year 3'!BA27+'Incremental_Cost Year 4'!BA27+'Incremental_Cost Year 5'!BA27+'Incremental_Cost Year 6'!BA27+'Incremental_Cost Year 7'!BA27+'Incremental_Cost Year 8'!BA27+'Incremental_Cost Year 9'!BA27+'Incremental_Cost Year 10'!BA27</f>
        <v>62435</v>
      </c>
      <c r="BJ27" s="294">
        <f t="shared" si="22"/>
        <v>2772035</v>
      </c>
    </row>
    <row r="28" spans="1:62" ht="202.8" customHeight="1" outlineLevel="2">
      <c r="A28" s="98"/>
      <c r="B28" s="143"/>
      <c r="C28" s="144"/>
      <c r="D28" s="290"/>
      <c r="E28" s="290"/>
      <c r="F28" s="290"/>
      <c r="G28" s="291"/>
      <c r="H28" s="272"/>
      <c r="I28" s="258"/>
      <c r="J28" s="259"/>
      <c r="K28" s="259"/>
      <c r="L28" s="106" t="str">
        <f>IF(I28&lt;&gt;0,((VLOOKUP(I28,'1. Standard_Cost'!$B$4:$D$11,2)+VLOOKUP(I28,'1. Standard_Cost'!$B$4:$D$11,3))*J28*K28),"0")</f>
        <v>0</v>
      </c>
      <c r="M28" s="106">
        <f>L28*'1. Standard_Cost'!$F$4</f>
        <v>0</v>
      </c>
      <c r="N28" s="260"/>
      <c r="O28" s="260"/>
      <c r="P28" s="260"/>
      <c r="Q28" s="260"/>
      <c r="R28" s="108">
        <f>'1. Standard_Cost'!$B$15*N28*P28</f>
        <v>0</v>
      </c>
      <c r="S28" s="108">
        <f>N28*O28*P28*'1. Standard_Cost'!$C$15</f>
        <v>0</v>
      </c>
      <c r="T28" s="108">
        <f>N28*P28*Q28*'1. Standard_Cost'!$D$15</f>
        <v>0</v>
      </c>
      <c r="U28" s="108">
        <f>N28*O28*'1. Standard_Cost'!$E$15</f>
        <v>0</v>
      </c>
      <c r="V28" s="260"/>
      <c r="W28" s="260"/>
      <c r="X28" s="260"/>
      <c r="Y28" s="108">
        <f>+V28*((X28*'1. Standard_Cost'!$B$19)+(W28*X28*'1. Standard_Cost'!$C$19))</f>
        <v>0</v>
      </c>
      <c r="Z28" s="260"/>
      <c r="AA28" s="260"/>
      <c r="AB28" s="108">
        <f>+Z28*'1. Standard_Cost'!$B$23+AA28*'1. Standard_Cost'!$C$23</f>
        <v>0</v>
      </c>
      <c r="AC28" s="261"/>
      <c r="AD28" s="262"/>
      <c r="AE28" s="108">
        <f>SUM(AD28,AC28,AB28,Y28,U28,T28,S28,R28)*'1. Standard_Cost'!$B$31</f>
        <v>0</v>
      </c>
      <c r="AF28" s="108">
        <f t="shared" si="40"/>
        <v>0</v>
      </c>
      <c r="AG28" s="260"/>
      <c r="AH28" s="260"/>
      <c r="AI28" s="260"/>
      <c r="AJ28" s="263"/>
      <c r="AK28" s="263"/>
      <c r="AL28" s="263"/>
      <c r="AM28" s="108">
        <f>AG28*'1. Standard_Cost'!$B$27+'Incremental_Cost Year 10'!AH28*'1. Standard_Cost'!$C$27+'Incremental_Cost Year 10'!AI28*'1. Standard_Cost'!$D$27+'Incremental_Cost Year 10'!AJ28+'Incremental_Cost Year 10'!AL28+AK28</f>
        <v>0</v>
      </c>
      <c r="AN28" s="108">
        <f>AM28*'1. Standard_Cost'!$C$31</f>
        <v>0</v>
      </c>
      <c r="AO28" s="125" t="s">
        <v>285</v>
      </c>
      <c r="AQ28" s="14">
        <f t="shared" si="43"/>
        <v>0</v>
      </c>
      <c r="AR28" s="14">
        <f t="shared" si="41"/>
        <v>0</v>
      </c>
      <c r="AS28" s="14">
        <f t="shared" si="42"/>
        <v>0</v>
      </c>
      <c r="AT28" s="14">
        <f t="shared" si="44"/>
        <v>0</v>
      </c>
      <c r="AU28" s="234"/>
      <c r="AV28" s="234"/>
      <c r="AW28" s="234"/>
      <c r="AX28" s="234"/>
      <c r="AY28" s="234"/>
      <c r="AZ28" s="234"/>
      <c r="BA28" s="234"/>
      <c r="BB28" s="16">
        <f t="shared" si="45"/>
        <v>0</v>
      </c>
      <c r="BD28" s="294">
        <f>'Incremental_Cost Year 1'!AV28+'Incremental_Cost Year 2'!AV28+'Incremental_Cost Year 3'!AV28+'Incremental_Cost Year 4'!AV28+'Incremental_Cost Year 5'!AV28+'Incremental_Cost Year 6'!AV28+'Incremental_Cost Year 7'!AV28+'Incremental_Cost Year 8'!AV28+'Incremental_Cost Year 9'!AV28+'Incremental_Cost Year 10'!AV28</f>
        <v>0</v>
      </c>
      <c r="BE28" s="294">
        <f>'Incremental_Cost Year 1'!AW28+'Incremental_Cost Year 2'!AW28+'Incremental_Cost Year 3'!AW28+'Incremental_Cost Year 4'!AW28+'Incremental_Cost Year 5'!AW28+'Incremental_Cost Year 6'!AW28+'Incremental_Cost Year 7'!AW28+'Incremental_Cost Year 8'!AW28+'Incremental_Cost Year 9'!AW28+'Incremental_Cost Year 10'!AW28</f>
        <v>0</v>
      </c>
      <c r="BF28" s="294">
        <f>'Incremental_Cost Year 1'!AX28+'Incremental_Cost Year 2'!AX28+'Incremental_Cost Year 3'!AX28+'Incremental_Cost Year 4'!AX28+'Incremental_Cost Year 5'!AX28+'Incremental_Cost Year 6'!AX28+'Incremental_Cost Year 7'!AX28+'Incremental_Cost Year 8'!AX28+'Incremental_Cost Year 9'!AX28+'Incremental_Cost Year 10'!AX28</f>
        <v>6741000</v>
      </c>
      <c r="BG28" s="294">
        <f>'Incremental_Cost Year 1'!AY28+'Incremental_Cost Year 2'!AY28+'Incremental_Cost Year 3'!AY28+'Incremental_Cost Year 4'!AY28+'Incremental_Cost Year 5'!AY28+'Incremental_Cost Year 6'!AY28+'Incremental_Cost Year 7'!AY28+'Incremental_Cost Year 8'!AY28+'Incremental_Cost Year 9'!AY28+'Incremental_Cost Year 10'!AY28</f>
        <v>0</v>
      </c>
      <c r="BH28" s="294">
        <f>'Incremental_Cost Year 1'!AZ28+'Incremental_Cost Year 2'!AZ28+'Incremental_Cost Year 3'!AZ28+'Incremental_Cost Year 4'!AZ28+'Incremental_Cost Year 5'!AZ28+'Incremental_Cost Year 6'!AZ28+'Incremental_Cost Year 7'!AZ28+'Incremental_Cost Year 8'!AZ28+'Incremental_Cost Year 9'!AZ28+'Incremental_Cost Year 10'!AZ28</f>
        <v>0</v>
      </c>
      <c r="BI28" s="294">
        <f>'Incremental_Cost Year 1'!BA28+'Incremental_Cost Year 2'!BA28+'Incremental_Cost Year 3'!BA28+'Incremental_Cost Year 4'!BA28+'Incremental_Cost Year 5'!BA28+'Incremental_Cost Year 6'!BA28+'Incremental_Cost Year 7'!BA28+'Incremental_Cost Year 8'!BA28+'Incremental_Cost Year 9'!BA28+'Incremental_Cost Year 10'!BA28</f>
        <v>0</v>
      </c>
      <c r="BJ28" s="294">
        <f t="shared" si="22"/>
        <v>6741000</v>
      </c>
    </row>
    <row r="29" spans="1:62" ht="27.6" outlineLevel="2">
      <c r="A29" s="98"/>
      <c r="B29" s="143"/>
      <c r="C29" s="144"/>
      <c r="D29" s="290"/>
      <c r="E29" s="290"/>
      <c r="F29" s="290"/>
      <c r="G29" s="291"/>
      <c r="H29" s="272"/>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260"/>
      <c r="W29" s="260"/>
      <c r="X29" s="260"/>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40"/>
        <v>0</v>
      </c>
      <c r="AG29" s="260"/>
      <c r="AH29" s="260"/>
      <c r="AI29" s="260"/>
      <c r="AJ29" s="263"/>
      <c r="AK29" s="263"/>
      <c r="AL29" s="263"/>
      <c r="AM29" s="108">
        <f>AG29*'1. Standard_Cost'!$B$27+'Incremental_Cost Year 10'!AH29*'1. Standard_Cost'!$C$27+'Incremental_Cost Year 10'!AI29*'1. Standard_Cost'!$D$27+'Incremental_Cost Year 10'!AJ29+'Incremental_Cost Year 10'!AL29+AK29</f>
        <v>0</v>
      </c>
      <c r="AN29" s="108">
        <f>AM29*'1. Standard_Cost'!$C$31</f>
        <v>0</v>
      </c>
      <c r="AO29" s="125" t="s">
        <v>286</v>
      </c>
      <c r="AQ29" s="14">
        <f t="shared" si="43"/>
        <v>0</v>
      </c>
      <c r="AR29" s="14">
        <f t="shared" si="41"/>
        <v>0</v>
      </c>
      <c r="AS29" s="14">
        <f t="shared" si="42"/>
        <v>0</v>
      </c>
      <c r="AT29" s="14">
        <f t="shared" si="44"/>
        <v>0</v>
      </c>
      <c r="AU29" s="234"/>
      <c r="AV29" s="234"/>
      <c r="AW29" s="234"/>
      <c r="AX29" s="234">
        <v>0</v>
      </c>
      <c r="AY29" s="234"/>
      <c r="AZ29" s="234"/>
      <c r="BA29" s="234"/>
      <c r="BB29" s="16">
        <f t="shared" si="45"/>
        <v>0</v>
      </c>
      <c r="BD29" s="294">
        <f>'Incremental_Cost Year 1'!AV29+'Incremental_Cost Year 2'!AV29+'Incremental_Cost Year 3'!AV29+'Incremental_Cost Year 4'!AV29+'Incremental_Cost Year 5'!AV29+'Incremental_Cost Year 6'!AV29+'Incremental_Cost Year 7'!AV29+'Incremental_Cost Year 8'!AV29+'Incremental_Cost Year 9'!AV29+'Incremental_Cost Year 10'!AV29</f>
        <v>0</v>
      </c>
      <c r="BE29" s="294">
        <f>'Incremental_Cost Year 1'!AW29+'Incremental_Cost Year 2'!AW29+'Incremental_Cost Year 3'!AW29+'Incremental_Cost Year 4'!AW29+'Incremental_Cost Year 5'!AW29+'Incremental_Cost Year 6'!AW29+'Incremental_Cost Year 7'!AW29+'Incremental_Cost Year 8'!AW29+'Incremental_Cost Year 9'!AW29+'Incremental_Cost Year 10'!AW29</f>
        <v>0</v>
      </c>
      <c r="BF29" s="294">
        <f>'Incremental_Cost Year 1'!AX29+'Incremental_Cost Year 2'!AX29+'Incremental_Cost Year 3'!AX29+'Incremental_Cost Year 4'!AX29+'Incremental_Cost Year 5'!AX29+'Incremental_Cost Year 6'!AX29+'Incremental_Cost Year 7'!AX29+'Incremental_Cost Year 8'!AX29+'Incremental_Cost Year 9'!AX29+'Incremental_Cost Year 10'!AX29</f>
        <v>0</v>
      </c>
      <c r="BG29" s="294">
        <f>'Incremental_Cost Year 1'!AY29+'Incremental_Cost Year 2'!AY29+'Incremental_Cost Year 3'!AY29+'Incremental_Cost Year 4'!AY29+'Incremental_Cost Year 5'!AY29+'Incremental_Cost Year 6'!AY29+'Incremental_Cost Year 7'!AY29+'Incremental_Cost Year 8'!AY29+'Incremental_Cost Year 9'!AY29+'Incremental_Cost Year 10'!AY29</f>
        <v>0</v>
      </c>
      <c r="BH29" s="294">
        <f>'Incremental_Cost Year 1'!AZ29+'Incremental_Cost Year 2'!AZ29+'Incremental_Cost Year 3'!AZ29+'Incremental_Cost Year 4'!AZ29+'Incremental_Cost Year 5'!AZ29+'Incremental_Cost Year 6'!AZ29+'Incremental_Cost Year 7'!AZ29+'Incremental_Cost Year 8'!AZ29+'Incremental_Cost Year 9'!AZ29+'Incremental_Cost Year 10'!AZ29</f>
        <v>0</v>
      </c>
      <c r="BI29" s="294">
        <f>'Incremental_Cost Year 1'!BA29+'Incremental_Cost Year 2'!BA29+'Incremental_Cost Year 3'!BA29+'Incremental_Cost Year 4'!BA29+'Incremental_Cost Year 5'!BA29+'Incremental_Cost Year 6'!BA29+'Incremental_Cost Year 7'!BA29+'Incremental_Cost Year 8'!BA29+'Incremental_Cost Year 9'!BA29+'Incremental_Cost Year 10'!BA29</f>
        <v>0</v>
      </c>
      <c r="BJ29" s="294">
        <f t="shared" si="22"/>
        <v>0</v>
      </c>
    </row>
    <row r="30" spans="1:62" ht="46.8" outlineLevel="1">
      <c r="A30" s="98"/>
      <c r="B30" s="143"/>
      <c r="C30" s="144"/>
      <c r="D30" s="287" t="s">
        <v>47</v>
      </c>
      <c r="E30" s="287" t="s">
        <v>209</v>
      </c>
      <c r="F30" s="287">
        <v>2021</v>
      </c>
      <c r="G30" s="287">
        <v>2026</v>
      </c>
      <c r="H30" s="287" t="s">
        <v>191</v>
      </c>
      <c r="I30" s="264"/>
      <c r="J30" s="264"/>
      <c r="K30" s="264"/>
      <c r="L30" s="113">
        <f>SUM(L26:L29)</f>
        <v>0</v>
      </c>
      <c r="M30" s="113">
        <f>SUM(M26:M29)</f>
        <v>0</v>
      </c>
      <c r="N30" s="264"/>
      <c r="O30" s="264"/>
      <c r="P30" s="264"/>
      <c r="Q30" s="264"/>
      <c r="R30" s="113">
        <f t="shared" ref="R30:U30" si="46">SUM(R26:R29)</f>
        <v>0</v>
      </c>
      <c r="S30" s="113">
        <f t="shared" si="46"/>
        <v>0</v>
      </c>
      <c r="T30" s="113">
        <f t="shared" si="46"/>
        <v>0</v>
      </c>
      <c r="U30" s="113">
        <f t="shared" si="46"/>
        <v>0</v>
      </c>
      <c r="V30" s="264"/>
      <c r="W30" s="264"/>
      <c r="X30" s="264"/>
      <c r="Y30" s="113">
        <f>SUM(Y26:Y29)</f>
        <v>0</v>
      </c>
      <c r="Z30" s="264"/>
      <c r="AA30" s="264"/>
      <c r="AB30" s="113">
        <f t="shared" ref="AB30:AF30" si="47">SUM(AB26:AB29)</f>
        <v>0</v>
      </c>
      <c r="AC30" s="265">
        <f t="shared" si="47"/>
        <v>0</v>
      </c>
      <c r="AD30" s="265">
        <f t="shared" si="47"/>
        <v>0</v>
      </c>
      <c r="AE30" s="113">
        <f t="shared" si="47"/>
        <v>0</v>
      </c>
      <c r="AF30" s="113">
        <f t="shared" si="47"/>
        <v>0</v>
      </c>
      <c r="AG30" s="264"/>
      <c r="AH30" s="264"/>
      <c r="AI30" s="264"/>
      <c r="AJ30" s="265">
        <f t="shared" ref="AJ30:AL30" si="48">SUM(AJ26:AJ29)</f>
        <v>0</v>
      </c>
      <c r="AK30" s="265">
        <f t="shared" si="48"/>
        <v>0</v>
      </c>
      <c r="AL30" s="265">
        <f t="shared" si="48"/>
        <v>0</v>
      </c>
      <c r="AM30" s="113">
        <f t="shared" ref="AM30:AN30" si="49">SUM(AM26:AM29)</f>
        <v>0</v>
      </c>
      <c r="AN30" s="113">
        <f t="shared" si="49"/>
        <v>0</v>
      </c>
      <c r="AO30" s="131"/>
      <c r="AP30" s="17"/>
      <c r="AQ30" s="113">
        <f t="shared" ref="AQ30:BB30" si="50">SUM(AQ26:AQ29)</f>
        <v>0</v>
      </c>
      <c r="AR30" s="113">
        <f t="shared" si="50"/>
        <v>0</v>
      </c>
      <c r="AS30" s="113">
        <f t="shared" si="50"/>
        <v>0</v>
      </c>
      <c r="AT30" s="113">
        <f t="shared" si="50"/>
        <v>0</v>
      </c>
      <c r="AU30" s="265">
        <f t="shared" si="50"/>
        <v>0</v>
      </c>
      <c r="AV30" s="265">
        <f t="shared" si="50"/>
        <v>0</v>
      </c>
      <c r="AW30" s="265">
        <f t="shared" si="50"/>
        <v>0</v>
      </c>
      <c r="AX30" s="265">
        <f t="shared" si="50"/>
        <v>0</v>
      </c>
      <c r="AY30" s="265">
        <f t="shared" si="50"/>
        <v>0</v>
      </c>
      <c r="AZ30" s="265">
        <f t="shared" si="50"/>
        <v>0</v>
      </c>
      <c r="BA30" s="265">
        <f t="shared" si="50"/>
        <v>0</v>
      </c>
      <c r="BB30" s="113">
        <f t="shared" si="50"/>
        <v>0</v>
      </c>
      <c r="BD30" s="294"/>
      <c r="BE30" s="294"/>
      <c r="BF30" s="294"/>
      <c r="BG30" s="294"/>
      <c r="BH30" s="294"/>
      <c r="BI30" s="294"/>
      <c r="BJ30" s="294"/>
    </row>
    <row r="31" spans="1:62" s="13" customFormat="1" ht="15.6" customHeight="1">
      <c r="A31" s="101"/>
      <c r="B31" s="319" t="s">
        <v>211</v>
      </c>
      <c r="C31" s="320"/>
      <c r="D31" s="320"/>
      <c r="E31" s="321"/>
      <c r="F31" s="292"/>
      <c r="G31" s="292"/>
      <c r="H31" s="292" t="s">
        <v>63</v>
      </c>
      <c r="I31" s="242"/>
      <c r="J31" s="242"/>
      <c r="K31" s="242"/>
      <c r="L31" s="41">
        <f>SUM(L32,L40,L80)</f>
        <v>0</v>
      </c>
      <c r="M31" s="41">
        <f>SUM(M32,M40,M80)</f>
        <v>0</v>
      </c>
      <c r="N31" s="242"/>
      <c r="O31" s="242"/>
      <c r="P31" s="242"/>
      <c r="Q31" s="242"/>
      <c r="R31" s="41">
        <f t="shared" ref="R31:U31" si="51">SUM(R32,R40,R80)</f>
        <v>0</v>
      </c>
      <c r="S31" s="41">
        <f t="shared" si="51"/>
        <v>0</v>
      </c>
      <c r="T31" s="41">
        <f t="shared" si="51"/>
        <v>0</v>
      </c>
      <c r="U31" s="41">
        <f t="shared" si="51"/>
        <v>0</v>
      </c>
      <c r="V31" s="242"/>
      <c r="W31" s="242"/>
      <c r="X31" s="242"/>
      <c r="Y31" s="41">
        <f>SUM(Y32,Y40,Y80)</f>
        <v>0</v>
      </c>
      <c r="Z31" s="242"/>
      <c r="AA31" s="242"/>
      <c r="AB31" s="41">
        <f t="shared" ref="AB31:AF31" si="52">SUM(AB32,AB40,AB80)</f>
        <v>0</v>
      </c>
      <c r="AC31" s="243">
        <f t="shared" si="52"/>
        <v>0</v>
      </c>
      <c r="AD31" s="243">
        <f t="shared" si="52"/>
        <v>0</v>
      </c>
      <c r="AE31" s="41">
        <f t="shared" si="52"/>
        <v>0</v>
      </c>
      <c r="AF31" s="41">
        <f t="shared" si="52"/>
        <v>0</v>
      </c>
      <c r="AG31" s="243"/>
      <c r="AH31" s="243"/>
      <c r="AI31" s="243"/>
      <c r="AJ31" s="243">
        <f t="shared" ref="AJ31:AL31" si="53">SUM(AJ32,AJ40,AJ80)</f>
        <v>0</v>
      </c>
      <c r="AK31" s="243">
        <f t="shared" si="53"/>
        <v>0</v>
      </c>
      <c r="AL31" s="243">
        <f t="shared" si="53"/>
        <v>0</v>
      </c>
      <c r="AM31" s="41">
        <f t="shared" ref="AM31:AN31" si="54">SUM(AM32,AM40,AM80)</f>
        <v>0</v>
      </c>
      <c r="AN31" s="41">
        <f t="shared" si="54"/>
        <v>0</v>
      </c>
      <c r="AO31" s="129"/>
      <c r="AQ31" s="41">
        <f t="shared" ref="AQ31:BB31" si="55">SUM(AQ32,AQ40,AQ80)</f>
        <v>0</v>
      </c>
      <c r="AR31" s="41">
        <f t="shared" si="55"/>
        <v>0</v>
      </c>
      <c r="AS31" s="41">
        <f t="shared" si="55"/>
        <v>0</v>
      </c>
      <c r="AT31" s="41">
        <f t="shared" si="55"/>
        <v>0</v>
      </c>
      <c r="AU31" s="243">
        <f t="shared" si="55"/>
        <v>0</v>
      </c>
      <c r="AV31" s="243">
        <f t="shared" si="55"/>
        <v>0</v>
      </c>
      <c r="AW31" s="243">
        <f t="shared" si="55"/>
        <v>0</v>
      </c>
      <c r="AX31" s="243">
        <f t="shared" si="55"/>
        <v>0</v>
      </c>
      <c r="AY31" s="243">
        <f t="shared" si="55"/>
        <v>0</v>
      </c>
      <c r="AZ31" s="243">
        <f t="shared" si="55"/>
        <v>0</v>
      </c>
      <c r="BA31" s="243">
        <f t="shared" si="55"/>
        <v>0</v>
      </c>
      <c r="BB31" s="41">
        <f t="shared" si="55"/>
        <v>0</v>
      </c>
      <c r="BJ31" s="294"/>
    </row>
    <row r="32" spans="1:62" s="13" customFormat="1" ht="15.6" customHeight="1">
      <c r="A32" s="101"/>
      <c r="B32" s="155"/>
      <c r="C32" s="322" t="s">
        <v>210</v>
      </c>
      <c r="D32" s="322"/>
      <c r="E32" s="323"/>
      <c r="F32" s="299"/>
      <c r="G32" s="299"/>
      <c r="H32" s="293" t="s">
        <v>181</v>
      </c>
      <c r="I32" s="240"/>
      <c r="J32" s="240"/>
      <c r="K32" s="240"/>
      <c r="L32" s="42">
        <f>SUM(L39)</f>
        <v>0</v>
      </c>
      <c r="M32" s="42">
        <f>SUM(M39)</f>
        <v>0</v>
      </c>
      <c r="N32" s="244"/>
      <c r="O32" s="244"/>
      <c r="P32" s="244"/>
      <c r="Q32" s="244"/>
      <c r="R32" s="42">
        <f t="shared" ref="R32:U32" si="56">SUM(R39)</f>
        <v>0</v>
      </c>
      <c r="S32" s="42">
        <f t="shared" si="56"/>
        <v>0</v>
      </c>
      <c r="T32" s="42">
        <f t="shared" si="56"/>
        <v>0</v>
      </c>
      <c r="U32" s="42">
        <f t="shared" si="56"/>
        <v>0</v>
      </c>
      <c r="V32" s="244"/>
      <c r="W32" s="244"/>
      <c r="X32" s="244"/>
      <c r="Y32" s="42">
        <f>SUM(Y39)</f>
        <v>0</v>
      </c>
      <c r="Z32" s="244"/>
      <c r="AA32" s="244"/>
      <c r="AB32" s="42">
        <f t="shared" ref="AB32:AF32" si="57">SUM(AB39)</f>
        <v>0</v>
      </c>
      <c r="AC32" s="244">
        <f t="shared" ref="AC32:AD32" si="58">SUM(AC39)</f>
        <v>0</v>
      </c>
      <c r="AD32" s="244">
        <f t="shared" si="58"/>
        <v>0</v>
      </c>
      <c r="AE32" s="42">
        <f t="shared" si="57"/>
        <v>0</v>
      </c>
      <c r="AF32" s="42">
        <f t="shared" si="57"/>
        <v>0</v>
      </c>
      <c r="AG32" s="244"/>
      <c r="AH32" s="244"/>
      <c r="AI32" s="244"/>
      <c r="AJ32" s="244">
        <f t="shared" ref="AJ32:AL32" si="59">SUM(AJ39)</f>
        <v>0</v>
      </c>
      <c r="AK32" s="244">
        <f t="shared" si="59"/>
        <v>0</v>
      </c>
      <c r="AL32" s="244">
        <f t="shared" si="59"/>
        <v>0</v>
      </c>
      <c r="AM32" s="42">
        <f t="shared" ref="AM32:AN32" si="60">SUM(AM39)</f>
        <v>0</v>
      </c>
      <c r="AN32" s="42">
        <f t="shared" si="60"/>
        <v>0</v>
      </c>
      <c r="AO32" s="130"/>
      <c r="AP32" s="83"/>
      <c r="AQ32" s="42">
        <f t="shared" ref="AQ32:BB32" si="61">SUM(AQ39)</f>
        <v>0</v>
      </c>
      <c r="AR32" s="42">
        <f t="shared" si="61"/>
        <v>0</v>
      </c>
      <c r="AS32" s="42">
        <f t="shared" si="61"/>
        <v>0</v>
      </c>
      <c r="AT32" s="42">
        <f t="shared" si="61"/>
        <v>0</v>
      </c>
      <c r="AU32" s="244">
        <f t="shared" ref="AU32:BA32" si="62">SUM(AU39)</f>
        <v>0</v>
      </c>
      <c r="AV32" s="244">
        <f t="shared" si="62"/>
        <v>0</v>
      </c>
      <c r="AW32" s="244">
        <f t="shared" si="62"/>
        <v>0</v>
      </c>
      <c r="AX32" s="244">
        <f t="shared" si="62"/>
        <v>0</v>
      </c>
      <c r="AY32" s="244">
        <f t="shared" si="62"/>
        <v>0</v>
      </c>
      <c r="AZ32" s="244">
        <f t="shared" si="62"/>
        <v>0</v>
      </c>
      <c r="BA32" s="244">
        <f t="shared" si="62"/>
        <v>0</v>
      </c>
      <c r="BB32" s="42">
        <f t="shared" si="61"/>
        <v>0</v>
      </c>
      <c r="BJ32" s="294"/>
    </row>
    <row r="33" spans="1:62" ht="41.4" outlineLevel="2">
      <c r="A33" s="98"/>
      <c r="B33" s="143"/>
      <c r="C33" s="144"/>
      <c r="D33" s="149"/>
      <c r="E33" s="149"/>
      <c r="F33" s="288"/>
      <c r="G33" s="289"/>
      <c r="H33" s="272"/>
      <c r="I33" s="280"/>
      <c r="J33" s="281"/>
      <c r="K33" s="281"/>
      <c r="L33" s="106" t="str">
        <f>IF(I33&lt;&gt;0,((VLOOKUP(I33,'1. Standard_Cost'!$B$4:$D$11,2)+VLOOKUP(I33,'1. Standard_Cost'!$B$4:$D$11,3))*J33*K33),"0")</f>
        <v>0</v>
      </c>
      <c r="M33" s="106">
        <f>L33*'1. Standard_Cost'!$F$4</f>
        <v>0</v>
      </c>
      <c r="N33" s="260"/>
      <c r="O33" s="260"/>
      <c r="P33" s="260"/>
      <c r="Q33" s="260"/>
      <c r="R33" s="108">
        <f>'1. Standard_Cost'!$B$15*N33*P33</f>
        <v>0</v>
      </c>
      <c r="S33" s="108">
        <f>N33*O33*P33*'1. Standard_Cost'!$C$15</f>
        <v>0</v>
      </c>
      <c r="T33" s="108">
        <f>N33*P33*Q33*'1. Standard_Cost'!$D$15</f>
        <v>0</v>
      </c>
      <c r="U33" s="108">
        <f>N33*O33*'1. Standard_Cost'!$E$15</f>
        <v>0</v>
      </c>
      <c r="V33" s="260"/>
      <c r="W33" s="260"/>
      <c r="X33" s="260"/>
      <c r="Y33" s="108">
        <f>+V33*((X33*'1. Standard_Cost'!$B$19)+(W33*X33*'1. Standard_Cost'!$C$19))</f>
        <v>0</v>
      </c>
      <c r="Z33" s="260"/>
      <c r="AA33" s="260"/>
      <c r="AB33" s="108">
        <f>+Z33*'1. Standard_Cost'!$B$23+AA33*'1. Standard_Cost'!$C$23</f>
        <v>0</v>
      </c>
      <c r="AC33" s="261"/>
      <c r="AD33" s="262"/>
      <c r="AE33" s="108">
        <f>SUM(AD33,AC33,AB33,Y33,U33,T33,S33,R33)*'1. Standard_Cost'!$B$31</f>
        <v>0</v>
      </c>
      <c r="AF33" s="108">
        <f t="shared" ref="AF33:AF38" si="63">SUM(AE33,AD33,AC33,AB33,Y33,U33,T33,S33,R33)</f>
        <v>0</v>
      </c>
      <c r="AG33" s="260"/>
      <c r="AH33" s="260"/>
      <c r="AI33" s="260"/>
      <c r="AJ33" s="263"/>
      <c r="AK33" s="263"/>
      <c r="AL33" s="263"/>
      <c r="AM33" s="108">
        <f>AG33*'1. Standard_Cost'!$B$27+'Incremental_Cost Year 10'!AH33*'1. Standard_Cost'!$C$27+'Incremental_Cost Year 10'!AI33*'1. Standard_Cost'!$D$27+'Incremental_Cost Year 10'!AJ33+'Incremental_Cost Year 10'!AL33+AK33</f>
        <v>0</v>
      </c>
      <c r="AN33" s="108">
        <f>AM33*'1. Standard_Cost'!$C$31</f>
        <v>0</v>
      </c>
      <c r="AO33" s="125" t="s">
        <v>287</v>
      </c>
      <c r="AQ33" s="14">
        <f t="shared" ref="AQ33:AQ38" si="64">L33+M33</f>
        <v>0</v>
      </c>
      <c r="AR33" s="14">
        <f t="shared" ref="AR33:AR38" si="65">AF33</f>
        <v>0</v>
      </c>
      <c r="AS33" s="14">
        <f t="shared" ref="AS33:AS38" si="66">AM33+AN33</f>
        <v>0</v>
      </c>
      <c r="AT33" s="14">
        <f>SUM(AQ33,AR33,AS33)</f>
        <v>0</v>
      </c>
      <c r="AU33" s="234"/>
      <c r="AV33" s="234"/>
      <c r="AW33" s="234"/>
      <c r="AX33" s="234"/>
      <c r="AY33" s="234"/>
      <c r="AZ33" s="234"/>
      <c r="BA33" s="234"/>
      <c r="BB33" s="16">
        <f t="shared" ref="BB33:BB38" si="67">SUM(AU33:BA33)-AT33</f>
        <v>0</v>
      </c>
      <c r="BD33" s="294">
        <f>'Incremental_Cost Year 1'!AV33+'Incremental_Cost Year 2'!AV33+'Incremental_Cost Year 3'!AV33+'Incremental_Cost Year 4'!AV33+'Incremental_Cost Year 5'!AV33+'Incremental_Cost Year 6'!AV33+'Incremental_Cost Year 7'!AV33+'Incremental_Cost Year 8'!AV33+'Incremental_Cost Year 9'!AV33+'Incremental_Cost Year 10'!AV33</f>
        <v>0</v>
      </c>
      <c r="BE33" s="294">
        <f>'Incremental_Cost Year 1'!AW33+'Incremental_Cost Year 2'!AW33+'Incremental_Cost Year 3'!AW33+'Incremental_Cost Year 4'!AW33+'Incremental_Cost Year 5'!AW33+'Incremental_Cost Year 6'!AW33+'Incremental_Cost Year 7'!AW33+'Incremental_Cost Year 8'!AW33+'Incremental_Cost Year 9'!AW33+'Incremental_Cost Year 10'!AW33</f>
        <v>0</v>
      </c>
      <c r="BF33" s="294">
        <f>'Incremental_Cost Year 1'!AX33+'Incremental_Cost Year 2'!AX33+'Incremental_Cost Year 3'!AX33+'Incremental_Cost Year 4'!AX33+'Incremental_Cost Year 5'!AX33+'Incremental_Cost Year 6'!AX33+'Incremental_Cost Year 7'!AX33+'Incremental_Cost Year 8'!AX33+'Incremental_Cost Year 9'!AX33+'Incremental_Cost Year 10'!AX33</f>
        <v>14760000</v>
      </c>
      <c r="BG33" s="294">
        <f>'Incremental_Cost Year 1'!AY33+'Incremental_Cost Year 2'!AY33+'Incremental_Cost Year 3'!AY33+'Incremental_Cost Year 4'!AY33+'Incremental_Cost Year 5'!AY33+'Incremental_Cost Year 6'!AY33+'Incremental_Cost Year 7'!AY33+'Incremental_Cost Year 8'!AY33+'Incremental_Cost Year 9'!AY33+'Incremental_Cost Year 10'!AY33</f>
        <v>0</v>
      </c>
      <c r="BH33" s="294">
        <f>'Incremental_Cost Year 1'!AZ33+'Incremental_Cost Year 2'!AZ33+'Incremental_Cost Year 3'!AZ33+'Incremental_Cost Year 4'!AZ33+'Incremental_Cost Year 5'!AZ33+'Incremental_Cost Year 6'!AZ33+'Incremental_Cost Year 7'!AZ33+'Incremental_Cost Year 8'!AZ33+'Incremental_Cost Year 9'!AZ33+'Incremental_Cost Year 10'!AZ33</f>
        <v>0</v>
      </c>
      <c r="BI33" s="294">
        <f>'Incremental_Cost Year 1'!BA33+'Incremental_Cost Year 2'!BA33+'Incremental_Cost Year 3'!BA33+'Incremental_Cost Year 4'!BA33+'Incremental_Cost Year 5'!BA33+'Incremental_Cost Year 6'!BA33+'Incremental_Cost Year 7'!BA33+'Incremental_Cost Year 8'!BA33+'Incremental_Cost Year 9'!BA33+'Incremental_Cost Year 10'!BA33</f>
        <v>0</v>
      </c>
      <c r="BJ33" s="294">
        <f t="shared" si="22"/>
        <v>14760000</v>
      </c>
    </row>
    <row r="34" spans="1:62" ht="55.2" outlineLevel="2">
      <c r="A34" s="98"/>
      <c r="B34" s="143"/>
      <c r="C34" s="144"/>
      <c r="D34" s="290"/>
      <c r="E34" s="290"/>
      <c r="F34" s="290"/>
      <c r="G34" s="291"/>
      <c r="H34" s="272"/>
      <c r="I34" s="280"/>
      <c r="J34" s="281"/>
      <c r="K34" s="281"/>
      <c r="L34" s="106" t="str">
        <f>IF(I34&lt;&gt;0,((VLOOKUP(I34,'1. Standard_Cost'!$B$4:$D$11,2)+VLOOKUP(I34,'1. Standard_Cost'!$B$4:$D$11,3))*J34*K34),"0")</f>
        <v>0</v>
      </c>
      <c r="M34" s="106">
        <f>L34*'1. Standard_Cost'!$F$4</f>
        <v>0</v>
      </c>
      <c r="N34" s="260"/>
      <c r="O34" s="260"/>
      <c r="P34" s="260"/>
      <c r="Q34" s="260"/>
      <c r="R34" s="108">
        <f>'1. Standard_Cost'!$B$15*N34*P34</f>
        <v>0</v>
      </c>
      <c r="S34" s="108">
        <f>N34*O34*P34*'1. Standard_Cost'!$C$15</f>
        <v>0</v>
      </c>
      <c r="T34" s="108">
        <f>N34*P34*Q34*'1. Standard_Cost'!$D$15</f>
        <v>0</v>
      </c>
      <c r="U34" s="108">
        <f>N34*O34*'1. Standard_Cost'!$E$15</f>
        <v>0</v>
      </c>
      <c r="V34" s="260"/>
      <c r="W34" s="260"/>
      <c r="X34" s="260"/>
      <c r="Y34" s="108">
        <f>+V34*((X34*'1. Standard_Cost'!$B$19)+(W34*X34*'1. Standard_Cost'!$C$19))</f>
        <v>0</v>
      </c>
      <c r="Z34" s="260"/>
      <c r="AA34" s="260"/>
      <c r="AB34" s="108">
        <f>+Z34*'1. Standard_Cost'!$B$23+AA34*'1. Standard_Cost'!$C$23</f>
        <v>0</v>
      </c>
      <c r="AC34" s="261"/>
      <c r="AD34" s="262"/>
      <c r="AE34" s="108">
        <f>SUM(AD34,AC34,AB34,Y34,U34,T34,S34,R34)*'1. Standard_Cost'!$B$31</f>
        <v>0</v>
      </c>
      <c r="AF34" s="108">
        <f t="shared" si="63"/>
        <v>0</v>
      </c>
      <c r="AG34" s="260"/>
      <c r="AH34" s="260"/>
      <c r="AI34" s="260"/>
      <c r="AJ34" s="263"/>
      <c r="AK34" s="263"/>
      <c r="AL34" s="263"/>
      <c r="AM34" s="108">
        <f>AG34*'1. Standard_Cost'!$B$27+'Incremental_Cost Year 10'!AH34*'1. Standard_Cost'!$C$27+'Incremental_Cost Year 10'!AI34*'1. Standard_Cost'!$D$27+'Incremental_Cost Year 10'!AJ34+'Incremental_Cost Year 10'!AL34+AK34</f>
        <v>0</v>
      </c>
      <c r="AN34" s="108">
        <f>AM34*'1. Standard_Cost'!$C$31</f>
        <v>0</v>
      </c>
      <c r="AO34" s="125" t="s">
        <v>288</v>
      </c>
      <c r="AQ34" s="14">
        <f t="shared" si="64"/>
        <v>0</v>
      </c>
      <c r="AR34" s="14">
        <f t="shared" si="65"/>
        <v>0</v>
      </c>
      <c r="AS34" s="14">
        <f t="shared" si="66"/>
        <v>0</v>
      </c>
      <c r="AT34" s="14">
        <f t="shared" ref="AT34:AT38" si="68">SUM(AQ34,AR34,AS34)</f>
        <v>0</v>
      </c>
      <c r="AU34" s="234"/>
      <c r="AV34" s="234"/>
      <c r="AW34" s="234"/>
      <c r="AX34" s="234"/>
      <c r="AY34" s="234"/>
      <c r="AZ34" s="234"/>
      <c r="BA34" s="234"/>
      <c r="BB34" s="16">
        <f t="shared" si="67"/>
        <v>0</v>
      </c>
      <c r="BD34" s="294">
        <f>'Incremental_Cost Year 1'!AV34+'Incremental_Cost Year 2'!AV34+'Incremental_Cost Year 3'!AV34+'Incremental_Cost Year 4'!AV34+'Incremental_Cost Year 5'!AV34+'Incremental_Cost Year 6'!AV34+'Incremental_Cost Year 7'!AV34+'Incremental_Cost Year 8'!AV34+'Incremental_Cost Year 9'!AV34+'Incremental_Cost Year 10'!AV34</f>
        <v>0</v>
      </c>
      <c r="BE34" s="294">
        <f>'Incremental_Cost Year 1'!AW34+'Incremental_Cost Year 2'!AW34+'Incremental_Cost Year 3'!AW34+'Incremental_Cost Year 4'!AW34+'Incremental_Cost Year 5'!AW34+'Incremental_Cost Year 6'!AW34+'Incremental_Cost Year 7'!AW34+'Incremental_Cost Year 8'!AW34+'Incremental_Cost Year 9'!AW34+'Incremental_Cost Year 10'!AW34</f>
        <v>0</v>
      </c>
      <c r="BF34" s="294">
        <f>'Incremental_Cost Year 1'!AX34+'Incremental_Cost Year 2'!AX34+'Incremental_Cost Year 3'!AX34+'Incremental_Cost Year 4'!AX34+'Incremental_Cost Year 5'!AX34+'Incremental_Cost Year 6'!AX34+'Incremental_Cost Year 7'!AX34+'Incremental_Cost Year 8'!AX34+'Incremental_Cost Year 9'!AX34+'Incremental_Cost Year 10'!AX34</f>
        <v>0</v>
      </c>
      <c r="BG34" s="294">
        <f>'Incremental_Cost Year 1'!AY34+'Incremental_Cost Year 2'!AY34+'Incremental_Cost Year 3'!AY34+'Incremental_Cost Year 4'!AY34+'Incremental_Cost Year 5'!AY34+'Incremental_Cost Year 6'!AY34+'Incremental_Cost Year 7'!AY34+'Incremental_Cost Year 8'!AY34+'Incremental_Cost Year 9'!AY34+'Incremental_Cost Year 10'!AY34</f>
        <v>0</v>
      </c>
      <c r="BH34" s="294">
        <f>'Incremental_Cost Year 1'!AZ34+'Incremental_Cost Year 2'!AZ34+'Incremental_Cost Year 3'!AZ34+'Incremental_Cost Year 4'!AZ34+'Incremental_Cost Year 5'!AZ34+'Incremental_Cost Year 6'!AZ34+'Incremental_Cost Year 7'!AZ34+'Incremental_Cost Year 8'!AZ34+'Incremental_Cost Year 9'!AZ34+'Incremental_Cost Year 10'!AZ34</f>
        <v>0</v>
      </c>
      <c r="BI34" s="294">
        <f>'Incremental_Cost Year 1'!BA34+'Incremental_Cost Year 2'!BA34+'Incremental_Cost Year 3'!BA34+'Incremental_Cost Year 4'!BA34+'Incremental_Cost Year 5'!BA34+'Incremental_Cost Year 6'!BA34+'Incremental_Cost Year 7'!BA34+'Incremental_Cost Year 8'!BA34+'Incremental_Cost Year 9'!BA34+'Incremental_Cost Year 10'!BA34</f>
        <v>0</v>
      </c>
      <c r="BJ34" s="294">
        <f t="shared" si="22"/>
        <v>0</v>
      </c>
    </row>
    <row r="35" spans="1:62" ht="27.6" outlineLevel="2">
      <c r="A35" s="98"/>
      <c r="B35" s="143"/>
      <c r="C35" s="144"/>
      <c r="D35" s="290"/>
      <c r="E35" s="290"/>
      <c r="F35" s="290"/>
      <c r="G35" s="291"/>
      <c r="H35" s="272"/>
      <c r="I35" s="258"/>
      <c r="J35" s="259"/>
      <c r="K35" s="259"/>
      <c r="L35" s="106" t="str">
        <f>IF(I35&lt;&gt;0,((VLOOKUP(I35,'1. Standard_Cost'!$B$4:$D$11,2)+VLOOKUP(I35,'1. Standard_Cost'!$B$4:$D$11,3))*J35*K35),"0")</f>
        <v>0</v>
      </c>
      <c r="M35" s="106">
        <f>L35*'1. Standard_Cost'!$F$4</f>
        <v>0</v>
      </c>
      <c r="N35" s="260"/>
      <c r="O35" s="260"/>
      <c r="P35" s="260"/>
      <c r="Q35" s="260"/>
      <c r="R35" s="108">
        <f>'1. Standard_Cost'!$B$15*N35*P35</f>
        <v>0</v>
      </c>
      <c r="S35" s="108">
        <f>N35*O35*P35*'1. Standard_Cost'!$C$15</f>
        <v>0</v>
      </c>
      <c r="T35" s="108">
        <f>N35*P35*Q35*'1. Standard_Cost'!$D$15</f>
        <v>0</v>
      </c>
      <c r="U35" s="108">
        <f>N35*O35*'1. Standard_Cost'!$E$15</f>
        <v>0</v>
      </c>
      <c r="V35" s="260"/>
      <c r="W35" s="260"/>
      <c r="X35" s="260"/>
      <c r="Y35" s="108">
        <f>+V35*((X35*'1. Standard_Cost'!$B$19)+(W35*X35*'1. Standard_Cost'!$C$19))</f>
        <v>0</v>
      </c>
      <c r="Z35" s="260"/>
      <c r="AA35" s="260"/>
      <c r="AB35" s="108">
        <f>+Z35*'1. Standard_Cost'!$B$23+AA35*'1. Standard_Cost'!$C$23</f>
        <v>0</v>
      </c>
      <c r="AC35" s="261"/>
      <c r="AD35" s="262"/>
      <c r="AE35" s="108">
        <f>SUM(AD35,AC35,AB35,Y35,U35,T35,S35,R35)*'1. Standard_Cost'!$B$31</f>
        <v>0</v>
      </c>
      <c r="AF35" s="108">
        <f t="shared" si="63"/>
        <v>0</v>
      </c>
      <c r="AG35" s="260"/>
      <c r="AH35" s="260"/>
      <c r="AI35" s="260"/>
      <c r="AJ35" s="263"/>
      <c r="AK35" s="263"/>
      <c r="AL35" s="263"/>
      <c r="AM35" s="108">
        <f>AG35*'1. Standard_Cost'!$B$27+'Incremental_Cost Year 10'!AH35*'1. Standard_Cost'!$C$27+'Incremental_Cost Year 10'!AI35*'1. Standard_Cost'!$D$27+'Incremental_Cost Year 10'!AJ35+'Incremental_Cost Year 10'!AL35+AK35</f>
        <v>0</v>
      </c>
      <c r="AN35" s="108">
        <f>AM35*'1. Standard_Cost'!$C$31</f>
        <v>0</v>
      </c>
      <c r="AO35" s="125" t="s">
        <v>289</v>
      </c>
      <c r="AQ35" s="14">
        <f t="shared" si="64"/>
        <v>0</v>
      </c>
      <c r="AR35" s="14">
        <f t="shared" si="65"/>
        <v>0</v>
      </c>
      <c r="AS35" s="14">
        <f t="shared" si="66"/>
        <v>0</v>
      </c>
      <c r="AT35" s="14">
        <f t="shared" si="68"/>
        <v>0</v>
      </c>
      <c r="AU35" s="234"/>
      <c r="AV35" s="234"/>
      <c r="AW35" s="234"/>
      <c r="AX35" s="234"/>
      <c r="AY35" s="234"/>
      <c r="AZ35" s="234"/>
      <c r="BA35" s="234"/>
      <c r="BB35" s="16">
        <f t="shared" si="67"/>
        <v>0</v>
      </c>
      <c r="BD35" s="294">
        <f>'Incremental_Cost Year 1'!AV35+'Incremental_Cost Year 2'!AV35+'Incremental_Cost Year 3'!AV35+'Incremental_Cost Year 4'!AV35+'Incremental_Cost Year 5'!AV35+'Incremental_Cost Year 6'!AV35+'Incremental_Cost Year 7'!AV35+'Incremental_Cost Year 8'!AV35+'Incremental_Cost Year 9'!AV35+'Incremental_Cost Year 10'!AV35</f>
        <v>0</v>
      </c>
      <c r="BE35" s="294">
        <f>'Incremental_Cost Year 1'!AW35+'Incremental_Cost Year 2'!AW35+'Incremental_Cost Year 3'!AW35+'Incremental_Cost Year 4'!AW35+'Incremental_Cost Year 5'!AW35+'Incremental_Cost Year 6'!AW35+'Incremental_Cost Year 7'!AW35+'Incremental_Cost Year 8'!AW35+'Incremental_Cost Year 9'!AW35+'Incremental_Cost Year 10'!AW35</f>
        <v>0</v>
      </c>
      <c r="BF35" s="294">
        <f>'Incremental_Cost Year 1'!AX35+'Incremental_Cost Year 2'!AX35+'Incremental_Cost Year 3'!AX35+'Incremental_Cost Year 4'!AX35+'Incremental_Cost Year 5'!AX35+'Incremental_Cost Year 6'!AX35+'Incremental_Cost Year 7'!AX35+'Incremental_Cost Year 8'!AX35+'Incremental_Cost Year 9'!AX35+'Incremental_Cost Year 10'!AX35</f>
        <v>0</v>
      </c>
      <c r="BG35" s="294">
        <f>'Incremental_Cost Year 1'!AY35+'Incremental_Cost Year 2'!AY35+'Incremental_Cost Year 3'!AY35+'Incremental_Cost Year 4'!AY35+'Incremental_Cost Year 5'!AY35+'Incremental_Cost Year 6'!AY35+'Incremental_Cost Year 7'!AY35+'Incremental_Cost Year 8'!AY35+'Incremental_Cost Year 9'!AY35+'Incremental_Cost Year 10'!AY35</f>
        <v>0</v>
      </c>
      <c r="BH35" s="294">
        <f>'Incremental_Cost Year 1'!AZ35+'Incremental_Cost Year 2'!AZ35+'Incremental_Cost Year 3'!AZ35+'Incremental_Cost Year 4'!AZ35+'Incremental_Cost Year 5'!AZ35+'Incremental_Cost Year 6'!AZ35+'Incremental_Cost Year 7'!AZ35+'Incremental_Cost Year 8'!AZ35+'Incremental_Cost Year 9'!AZ35+'Incremental_Cost Year 10'!AZ35</f>
        <v>0</v>
      </c>
      <c r="BI35" s="294">
        <f>'Incremental_Cost Year 1'!BA35+'Incremental_Cost Year 2'!BA35+'Incremental_Cost Year 3'!BA35+'Incremental_Cost Year 4'!BA35+'Incremental_Cost Year 5'!BA35+'Incremental_Cost Year 6'!BA35+'Incremental_Cost Year 7'!BA35+'Incremental_Cost Year 8'!BA35+'Incremental_Cost Year 9'!BA35+'Incremental_Cost Year 10'!BA35</f>
        <v>0</v>
      </c>
      <c r="BJ35" s="294">
        <f t="shared" si="22"/>
        <v>0</v>
      </c>
    </row>
    <row r="36" spans="1:62" ht="55.2" outlineLevel="2">
      <c r="A36" s="98"/>
      <c r="B36" s="143"/>
      <c r="C36" s="144"/>
      <c r="D36" s="290"/>
      <c r="E36" s="290"/>
      <c r="F36" s="290"/>
      <c r="G36" s="291"/>
      <c r="H36" s="272"/>
      <c r="I36" s="280"/>
      <c r="J36" s="281"/>
      <c r="K36" s="281"/>
      <c r="L36" s="106" t="str">
        <f>IF(I36&lt;&gt;0,((VLOOKUP(I36,'1. Standard_Cost'!$B$4:$D$11,2)+VLOOKUP(I36,'1. Standard_Cost'!$B$4:$D$11,3))*J36*K36),"0")</f>
        <v>0</v>
      </c>
      <c r="M36" s="106">
        <f>L36*'1. Standard_Cost'!$F$4</f>
        <v>0</v>
      </c>
      <c r="N36" s="260"/>
      <c r="O36" s="260"/>
      <c r="P36" s="260"/>
      <c r="Q36" s="260"/>
      <c r="R36" s="108">
        <f>'1. Standard_Cost'!$B$15*N36*P36</f>
        <v>0</v>
      </c>
      <c r="S36" s="108">
        <f>N36*O36*P36*'1. Standard_Cost'!$C$15</f>
        <v>0</v>
      </c>
      <c r="T36" s="108">
        <f>N36*P36*Q36*'1. Standard_Cost'!$D$15</f>
        <v>0</v>
      </c>
      <c r="U36" s="108">
        <f>N36*O36*'1. Standard_Cost'!$E$15</f>
        <v>0</v>
      </c>
      <c r="V36" s="260"/>
      <c r="W36" s="260"/>
      <c r="X36" s="260"/>
      <c r="Y36" s="108">
        <f>+V36*((X36*'1. Standard_Cost'!$B$19)+(W36*X36*'1. Standard_Cost'!$C$19))</f>
        <v>0</v>
      </c>
      <c r="Z36" s="260"/>
      <c r="AA36" s="260"/>
      <c r="AB36" s="108">
        <f>+Z36*'1. Standard_Cost'!$B$23+AA36*'1. Standard_Cost'!$C$23</f>
        <v>0</v>
      </c>
      <c r="AC36" s="261"/>
      <c r="AD36" s="262"/>
      <c r="AE36" s="108">
        <f>SUM(AD36,AC36,AB36,Y36,U36,T36,S36,R36)*'1. Standard_Cost'!$B$31</f>
        <v>0</v>
      </c>
      <c r="AF36" s="108">
        <f t="shared" si="63"/>
        <v>0</v>
      </c>
      <c r="AG36" s="260"/>
      <c r="AH36" s="260"/>
      <c r="AI36" s="260"/>
      <c r="AJ36" s="263"/>
      <c r="AK36" s="263"/>
      <c r="AL36" s="263"/>
      <c r="AM36" s="108">
        <f>AG36*'1. Standard_Cost'!$B$27+'Incremental_Cost Year 10'!AH36*'1. Standard_Cost'!$C$27+'Incremental_Cost Year 10'!AI36*'1. Standard_Cost'!$D$27+'Incremental_Cost Year 10'!AJ36+'Incremental_Cost Year 10'!AL36+AK36</f>
        <v>0</v>
      </c>
      <c r="AN36" s="108">
        <f>AM36*'1. Standard_Cost'!$C$31</f>
        <v>0</v>
      </c>
      <c r="AO36" s="125" t="s">
        <v>290</v>
      </c>
      <c r="AQ36" s="14">
        <f t="shared" si="64"/>
        <v>0</v>
      </c>
      <c r="AR36" s="14">
        <f t="shared" si="65"/>
        <v>0</v>
      </c>
      <c r="AS36" s="14">
        <f t="shared" si="66"/>
        <v>0</v>
      </c>
      <c r="AT36" s="14">
        <f t="shared" si="68"/>
        <v>0</v>
      </c>
      <c r="AU36" s="234"/>
      <c r="AV36" s="234"/>
      <c r="AW36" s="234"/>
      <c r="AX36" s="234"/>
      <c r="AY36" s="234"/>
      <c r="AZ36" s="234"/>
      <c r="BA36" s="234"/>
      <c r="BB36" s="16">
        <f t="shared" si="67"/>
        <v>0</v>
      </c>
      <c r="BD36" s="294">
        <f>'Incremental_Cost Year 1'!AV36+'Incremental_Cost Year 2'!AV36+'Incremental_Cost Year 3'!AV36+'Incremental_Cost Year 4'!AV36+'Incremental_Cost Year 5'!AV36+'Incremental_Cost Year 6'!AV36+'Incremental_Cost Year 7'!AV36+'Incremental_Cost Year 8'!AV36+'Incremental_Cost Year 9'!AV36+'Incremental_Cost Year 10'!AV36</f>
        <v>0</v>
      </c>
      <c r="BE36" s="294">
        <f>'Incremental_Cost Year 1'!AW36+'Incremental_Cost Year 2'!AW36+'Incremental_Cost Year 3'!AW36+'Incremental_Cost Year 4'!AW36+'Incremental_Cost Year 5'!AW36+'Incremental_Cost Year 6'!AW36+'Incremental_Cost Year 7'!AW36+'Incremental_Cost Year 8'!AW36+'Incremental_Cost Year 9'!AW36+'Incremental_Cost Year 10'!AW36</f>
        <v>0</v>
      </c>
      <c r="BF36" s="294">
        <f>'Incremental_Cost Year 1'!AX36+'Incremental_Cost Year 2'!AX36+'Incremental_Cost Year 3'!AX36+'Incremental_Cost Year 4'!AX36+'Incremental_Cost Year 5'!AX36+'Incremental_Cost Year 6'!AX36+'Incremental_Cost Year 7'!AX36+'Incremental_Cost Year 8'!AX36+'Incremental_Cost Year 9'!AX36+'Incremental_Cost Year 10'!AX36</f>
        <v>0</v>
      </c>
      <c r="BG36" s="294">
        <f>'Incremental_Cost Year 1'!AY36+'Incremental_Cost Year 2'!AY36+'Incremental_Cost Year 3'!AY36+'Incremental_Cost Year 4'!AY36+'Incremental_Cost Year 5'!AY36+'Incremental_Cost Year 6'!AY36+'Incremental_Cost Year 7'!AY36+'Incremental_Cost Year 8'!AY36+'Incremental_Cost Year 9'!AY36+'Incremental_Cost Year 10'!AY36</f>
        <v>0</v>
      </c>
      <c r="BH36" s="294">
        <f>'Incremental_Cost Year 1'!AZ36+'Incremental_Cost Year 2'!AZ36+'Incremental_Cost Year 3'!AZ36+'Incremental_Cost Year 4'!AZ36+'Incremental_Cost Year 5'!AZ36+'Incremental_Cost Year 6'!AZ36+'Incremental_Cost Year 7'!AZ36+'Incremental_Cost Year 8'!AZ36+'Incremental_Cost Year 9'!AZ36+'Incremental_Cost Year 10'!AZ36</f>
        <v>342000</v>
      </c>
      <c r="BI36" s="294">
        <f>'Incremental_Cost Year 1'!BA36+'Incremental_Cost Year 2'!BA36+'Incremental_Cost Year 3'!BA36+'Incremental_Cost Year 4'!BA36+'Incremental_Cost Year 5'!BA36+'Incremental_Cost Year 6'!BA36+'Incremental_Cost Year 7'!BA36+'Incremental_Cost Year 8'!BA36+'Incremental_Cost Year 9'!BA36+'Incremental_Cost Year 10'!BA36</f>
        <v>0</v>
      </c>
      <c r="BJ36" s="294">
        <f t="shared" si="22"/>
        <v>342000</v>
      </c>
    </row>
    <row r="37" spans="1:62" ht="27.6" outlineLevel="2">
      <c r="A37" s="98"/>
      <c r="B37" s="143"/>
      <c r="C37" s="144"/>
      <c r="D37" s="290"/>
      <c r="E37" s="290"/>
      <c r="F37" s="290"/>
      <c r="G37" s="291"/>
      <c r="H37" s="272"/>
      <c r="I37" s="258"/>
      <c r="J37" s="259"/>
      <c r="K37" s="259"/>
      <c r="L37" s="106" t="str">
        <f>IF(I37&lt;&gt;0,((VLOOKUP(I37,'1. Standard_Cost'!$B$4:$D$11,2)+VLOOKUP(I37,'1. Standard_Cost'!$B$4:$D$11,3))*J37*K37),"0")</f>
        <v>0</v>
      </c>
      <c r="M37" s="106">
        <f>L37*'1. Standard_Cost'!$F$4</f>
        <v>0</v>
      </c>
      <c r="N37" s="260"/>
      <c r="O37" s="260"/>
      <c r="P37" s="260"/>
      <c r="Q37" s="260"/>
      <c r="R37" s="108">
        <f>'1. Standard_Cost'!$B$15*N37*P37</f>
        <v>0</v>
      </c>
      <c r="S37" s="108">
        <f>N37*O37*P37*'1. Standard_Cost'!$C$15</f>
        <v>0</v>
      </c>
      <c r="T37" s="108">
        <f>N37*P37*Q37*'1. Standard_Cost'!$D$15</f>
        <v>0</v>
      </c>
      <c r="U37" s="108">
        <f>N37*O37*'1. Standard_Cost'!$E$15</f>
        <v>0</v>
      </c>
      <c r="V37" s="260"/>
      <c r="W37" s="260"/>
      <c r="X37" s="260"/>
      <c r="Y37" s="108">
        <f>+V37*((X37*'1. Standard_Cost'!$B$19)+(W37*X37*'1. Standard_Cost'!$C$19))</f>
        <v>0</v>
      </c>
      <c r="Z37" s="260"/>
      <c r="AA37" s="260"/>
      <c r="AB37" s="108">
        <f>+Z37*'1. Standard_Cost'!$B$23+AA37*'1. Standard_Cost'!$C$23</f>
        <v>0</v>
      </c>
      <c r="AC37" s="261"/>
      <c r="AD37" s="262"/>
      <c r="AE37" s="108">
        <f>SUM(AD37,AC37,AB37,Y37,U37,T37,S37,R37)*'1. Standard_Cost'!$B$31</f>
        <v>0</v>
      </c>
      <c r="AF37" s="108">
        <f t="shared" si="63"/>
        <v>0</v>
      </c>
      <c r="AG37" s="260"/>
      <c r="AH37" s="260"/>
      <c r="AI37" s="260"/>
      <c r="AJ37" s="263"/>
      <c r="AK37" s="263"/>
      <c r="AL37" s="263"/>
      <c r="AM37" s="108">
        <f>AG37*'1. Standard_Cost'!$B$27+'Incremental_Cost Year 10'!AH37*'1. Standard_Cost'!$C$27+'Incremental_Cost Year 10'!AI37*'1. Standard_Cost'!$D$27+'Incremental_Cost Year 10'!AJ37+'Incremental_Cost Year 10'!AL37+AK37</f>
        <v>0</v>
      </c>
      <c r="AN37" s="108">
        <f>AM37*'1. Standard_Cost'!$C$31</f>
        <v>0</v>
      </c>
      <c r="AO37" s="125" t="s">
        <v>291</v>
      </c>
      <c r="AQ37" s="14">
        <f t="shared" si="64"/>
        <v>0</v>
      </c>
      <c r="AR37" s="14">
        <f t="shared" si="65"/>
        <v>0</v>
      </c>
      <c r="AS37" s="14">
        <f t="shared" si="66"/>
        <v>0</v>
      </c>
      <c r="AT37" s="14">
        <f t="shared" si="68"/>
        <v>0</v>
      </c>
      <c r="AU37" s="234"/>
      <c r="AV37" s="234"/>
      <c r="AW37" s="234"/>
      <c r="AX37" s="234"/>
      <c r="AY37" s="234"/>
      <c r="AZ37" s="234"/>
      <c r="BA37" s="234"/>
      <c r="BB37" s="16">
        <f t="shared" si="67"/>
        <v>0</v>
      </c>
      <c r="BD37" s="294">
        <f>'Incremental_Cost Year 1'!AV37+'Incremental_Cost Year 2'!AV37+'Incremental_Cost Year 3'!AV37+'Incremental_Cost Year 4'!AV37+'Incremental_Cost Year 5'!AV37+'Incremental_Cost Year 6'!AV37+'Incremental_Cost Year 7'!AV37+'Incremental_Cost Year 8'!AV37+'Incremental_Cost Year 9'!AV37+'Incremental_Cost Year 10'!AV37</f>
        <v>0</v>
      </c>
      <c r="BE37" s="294">
        <f>'Incremental_Cost Year 1'!AW37+'Incremental_Cost Year 2'!AW37+'Incremental_Cost Year 3'!AW37+'Incremental_Cost Year 4'!AW37+'Incremental_Cost Year 5'!AW37+'Incremental_Cost Year 6'!AW37+'Incremental_Cost Year 7'!AW37+'Incremental_Cost Year 8'!AW37+'Incremental_Cost Year 9'!AW37+'Incremental_Cost Year 10'!AW37</f>
        <v>0</v>
      </c>
      <c r="BF37" s="294">
        <f>'Incremental_Cost Year 1'!AX37+'Incremental_Cost Year 2'!AX37+'Incremental_Cost Year 3'!AX37+'Incremental_Cost Year 4'!AX37+'Incremental_Cost Year 5'!AX37+'Incremental_Cost Year 6'!AX37+'Incremental_Cost Year 7'!AX37+'Incremental_Cost Year 8'!AX37+'Incremental_Cost Year 9'!AX37+'Incremental_Cost Year 10'!AX37</f>
        <v>0</v>
      </c>
      <c r="BG37" s="294">
        <f>'Incremental_Cost Year 1'!AY37+'Incremental_Cost Year 2'!AY37+'Incremental_Cost Year 3'!AY37+'Incremental_Cost Year 4'!AY37+'Incremental_Cost Year 5'!AY37+'Incremental_Cost Year 6'!AY37+'Incremental_Cost Year 7'!AY37+'Incremental_Cost Year 8'!AY37+'Incremental_Cost Year 9'!AY37+'Incremental_Cost Year 10'!AY37</f>
        <v>0</v>
      </c>
      <c r="BH37" s="294">
        <f>'Incremental_Cost Year 1'!AZ37+'Incremental_Cost Year 2'!AZ37+'Incremental_Cost Year 3'!AZ37+'Incremental_Cost Year 4'!AZ37+'Incremental_Cost Year 5'!AZ37+'Incremental_Cost Year 6'!AZ37+'Incremental_Cost Year 7'!AZ37+'Incremental_Cost Year 8'!AZ37+'Incremental_Cost Year 9'!AZ37+'Incremental_Cost Year 10'!AZ37</f>
        <v>0</v>
      </c>
      <c r="BI37" s="294">
        <f>'Incremental_Cost Year 1'!BA37+'Incremental_Cost Year 2'!BA37+'Incremental_Cost Year 3'!BA37+'Incremental_Cost Year 4'!BA37+'Incremental_Cost Year 5'!BA37+'Incremental_Cost Year 6'!BA37+'Incremental_Cost Year 7'!BA37+'Incremental_Cost Year 8'!BA37+'Incremental_Cost Year 9'!BA37+'Incremental_Cost Year 10'!BA37</f>
        <v>0</v>
      </c>
      <c r="BJ37" s="294">
        <f t="shared" si="22"/>
        <v>0</v>
      </c>
    </row>
    <row r="38" spans="1:62" ht="27.6" outlineLevel="2">
      <c r="A38" s="98"/>
      <c r="B38" s="143"/>
      <c r="C38" s="144"/>
      <c r="D38" s="290"/>
      <c r="E38" s="290"/>
      <c r="F38" s="290"/>
      <c r="G38" s="291"/>
      <c r="H38" s="272"/>
      <c r="I38" s="258"/>
      <c r="J38" s="259"/>
      <c r="K38" s="259"/>
      <c r="L38" s="106" t="str">
        <f>IF(I38&lt;&gt;0,((VLOOKUP(I38,'1. Standard_Cost'!$B$4:$D$11,2)+VLOOKUP(I38,'1. Standard_Cost'!$B$4:$D$11,3))*J38*K38),"0")</f>
        <v>0</v>
      </c>
      <c r="M38" s="106">
        <f>L38*'1. Standard_Cost'!$F$4</f>
        <v>0</v>
      </c>
      <c r="N38" s="260"/>
      <c r="O38" s="260"/>
      <c r="P38" s="260"/>
      <c r="Q38" s="260"/>
      <c r="R38" s="108">
        <f>'1. Standard_Cost'!$B$15*N38*P38</f>
        <v>0</v>
      </c>
      <c r="S38" s="108">
        <f>N38*O38*P38*'1. Standard_Cost'!$C$15</f>
        <v>0</v>
      </c>
      <c r="T38" s="108">
        <f>N38*P38*Q38*'1. Standard_Cost'!$D$15</f>
        <v>0</v>
      </c>
      <c r="U38" s="108">
        <f>N38*O38*'1. Standard_Cost'!$E$15</f>
        <v>0</v>
      </c>
      <c r="V38" s="260"/>
      <c r="W38" s="260"/>
      <c r="X38" s="260"/>
      <c r="Y38" s="108">
        <f>+V38*((X38*'1. Standard_Cost'!$B$19)+(W38*X38*'1. Standard_Cost'!$C$19))</f>
        <v>0</v>
      </c>
      <c r="Z38" s="260"/>
      <c r="AA38" s="260"/>
      <c r="AB38" s="108">
        <f>+Z38*'1. Standard_Cost'!$B$23+AA38*'1. Standard_Cost'!$C$23</f>
        <v>0</v>
      </c>
      <c r="AC38" s="261"/>
      <c r="AD38" s="262"/>
      <c r="AE38" s="108">
        <f>SUM(AD38,AC38,AB38,Y38,U38,T38,S38,R38)*'1. Standard_Cost'!$B$31</f>
        <v>0</v>
      </c>
      <c r="AF38" s="108">
        <f t="shared" si="63"/>
        <v>0</v>
      </c>
      <c r="AG38" s="260"/>
      <c r="AH38" s="260"/>
      <c r="AI38" s="260"/>
      <c r="AJ38" s="263"/>
      <c r="AK38" s="263"/>
      <c r="AL38" s="263"/>
      <c r="AM38" s="108">
        <f>AG38*'1. Standard_Cost'!$B$27+'Incremental_Cost Year 10'!AH38*'1. Standard_Cost'!$C$27+'Incremental_Cost Year 10'!AI38*'1. Standard_Cost'!$D$27+'Incremental_Cost Year 10'!AJ38+'Incremental_Cost Year 10'!AL38+AK38</f>
        <v>0</v>
      </c>
      <c r="AN38" s="108">
        <f>AM38*'1. Standard_Cost'!$C$31</f>
        <v>0</v>
      </c>
      <c r="AO38" s="125" t="s">
        <v>292</v>
      </c>
      <c r="AQ38" s="14">
        <f t="shared" si="64"/>
        <v>0</v>
      </c>
      <c r="AR38" s="14">
        <f t="shared" si="65"/>
        <v>0</v>
      </c>
      <c r="AS38" s="14">
        <f t="shared" si="66"/>
        <v>0</v>
      </c>
      <c r="AT38" s="14">
        <f t="shared" si="68"/>
        <v>0</v>
      </c>
      <c r="AU38" s="234"/>
      <c r="AV38" s="234"/>
      <c r="AW38" s="234"/>
      <c r="AX38" s="234"/>
      <c r="AY38" s="234"/>
      <c r="AZ38" s="234"/>
      <c r="BA38" s="234"/>
      <c r="BB38" s="16">
        <f t="shared" si="67"/>
        <v>0</v>
      </c>
      <c r="BD38" s="294">
        <f>'Incremental_Cost Year 1'!AV38+'Incremental_Cost Year 2'!AV38+'Incremental_Cost Year 3'!AV38+'Incremental_Cost Year 4'!AV38+'Incremental_Cost Year 5'!AV38+'Incremental_Cost Year 6'!AV38+'Incremental_Cost Year 7'!AV38+'Incremental_Cost Year 8'!AV38+'Incremental_Cost Year 9'!AV38+'Incremental_Cost Year 10'!AV38</f>
        <v>0</v>
      </c>
      <c r="BE38" s="294">
        <f>'Incremental_Cost Year 1'!AW38+'Incremental_Cost Year 2'!AW38+'Incremental_Cost Year 3'!AW38+'Incremental_Cost Year 4'!AW38+'Incremental_Cost Year 5'!AW38+'Incremental_Cost Year 6'!AW38+'Incremental_Cost Year 7'!AW38+'Incremental_Cost Year 8'!AW38+'Incremental_Cost Year 9'!AW38+'Incremental_Cost Year 10'!AW38</f>
        <v>0</v>
      </c>
      <c r="BF38" s="294">
        <f>'Incremental_Cost Year 1'!AX38+'Incremental_Cost Year 2'!AX38+'Incremental_Cost Year 3'!AX38+'Incremental_Cost Year 4'!AX38+'Incremental_Cost Year 5'!AX38+'Incremental_Cost Year 6'!AX38+'Incremental_Cost Year 7'!AX38+'Incremental_Cost Year 8'!AX38+'Incremental_Cost Year 9'!AX38+'Incremental_Cost Year 10'!AX38</f>
        <v>0</v>
      </c>
      <c r="BG38" s="294">
        <f>'Incremental_Cost Year 1'!AY38+'Incremental_Cost Year 2'!AY38+'Incremental_Cost Year 3'!AY38+'Incremental_Cost Year 4'!AY38+'Incremental_Cost Year 5'!AY38+'Incremental_Cost Year 6'!AY38+'Incremental_Cost Year 7'!AY38+'Incremental_Cost Year 8'!AY38+'Incremental_Cost Year 9'!AY38+'Incremental_Cost Year 10'!AY38</f>
        <v>0</v>
      </c>
      <c r="BH38" s="294">
        <f>'Incremental_Cost Year 1'!AZ38+'Incremental_Cost Year 2'!AZ38+'Incremental_Cost Year 3'!AZ38+'Incremental_Cost Year 4'!AZ38+'Incremental_Cost Year 5'!AZ38+'Incremental_Cost Year 6'!AZ38+'Incremental_Cost Year 7'!AZ38+'Incremental_Cost Year 8'!AZ38+'Incremental_Cost Year 9'!AZ38+'Incremental_Cost Year 10'!AZ38</f>
        <v>0</v>
      </c>
      <c r="BI38" s="294">
        <f>'Incremental_Cost Year 1'!BA38+'Incremental_Cost Year 2'!BA38+'Incremental_Cost Year 3'!BA38+'Incremental_Cost Year 4'!BA38+'Incremental_Cost Year 5'!BA38+'Incremental_Cost Year 6'!BA38+'Incremental_Cost Year 7'!BA38+'Incremental_Cost Year 8'!BA38+'Incremental_Cost Year 9'!BA38+'Incremental_Cost Year 10'!BA38</f>
        <v>0</v>
      </c>
      <c r="BJ38" s="294">
        <f t="shared" si="22"/>
        <v>0</v>
      </c>
    </row>
    <row r="39" spans="1:62" ht="46.8" outlineLevel="1">
      <c r="A39" s="98"/>
      <c r="B39" s="143"/>
      <c r="C39" s="144"/>
      <c r="D39" s="145" t="s">
        <v>47</v>
      </c>
      <c r="E39" s="145" t="s">
        <v>212</v>
      </c>
      <c r="F39" s="285">
        <v>2021</v>
      </c>
      <c r="G39" s="286">
        <v>2026</v>
      </c>
      <c r="H39" s="287" t="s">
        <v>214</v>
      </c>
      <c r="I39" s="264"/>
      <c r="J39" s="264"/>
      <c r="K39" s="264"/>
      <c r="L39" s="113">
        <f>SUM(L33:L38)</f>
        <v>0</v>
      </c>
      <c r="M39" s="113">
        <f>SUM(M33:M38)</f>
        <v>0</v>
      </c>
      <c r="N39" s="264"/>
      <c r="O39" s="264"/>
      <c r="P39" s="264"/>
      <c r="Q39" s="264"/>
      <c r="R39" s="113">
        <f t="shared" ref="R39:U39" si="69">SUM(R33:R38)</f>
        <v>0</v>
      </c>
      <c r="S39" s="113">
        <f t="shared" si="69"/>
        <v>0</v>
      </c>
      <c r="T39" s="113">
        <f t="shared" si="69"/>
        <v>0</v>
      </c>
      <c r="U39" s="113">
        <f t="shared" si="69"/>
        <v>0</v>
      </c>
      <c r="V39" s="264"/>
      <c r="W39" s="264"/>
      <c r="X39" s="264"/>
      <c r="Y39" s="113">
        <f>SUM(Y33:Y38)</f>
        <v>0</v>
      </c>
      <c r="Z39" s="264"/>
      <c r="AA39" s="264"/>
      <c r="AB39" s="113">
        <f>SUM(AB33:AB38)</f>
        <v>0</v>
      </c>
      <c r="AC39" s="265">
        <f t="shared" ref="AC39:AD39" si="70">SUM(AC33:AC38)</f>
        <v>0</v>
      </c>
      <c r="AD39" s="265">
        <f t="shared" si="70"/>
        <v>0</v>
      </c>
      <c r="AE39" s="113">
        <f t="shared" ref="AE39:AF39" si="71">SUM(AE33:AE38)</f>
        <v>0</v>
      </c>
      <c r="AF39" s="113">
        <f t="shared" si="71"/>
        <v>0</v>
      </c>
      <c r="AG39" s="264"/>
      <c r="AH39" s="264"/>
      <c r="AI39" s="264"/>
      <c r="AJ39" s="265">
        <f t="shared" ref="AJ39:AL39" si="72">SUM(AJ33:AJ38)</f>
        <v>0</v>
      </c>
      <c r="AK39" s="265">
        <f t="shared" si="72"/>
        <v>0</v>
      </c>
      <c r="AL39" s="265">
        <f t="shared" si="72"/>
        <v>0</v>
      </c>
      <c r="AM39" s="113">
        <f t="shared" ref="AM39:AN39" si="73">SUM(AM33:AM38)</f>
        <v>0</v>
      </c>
      <c r="AN39" s="113">
        <f t="shared" si="73"/>
        <v>0</v>
      </c>
      <c r="AO39" s="131"/>
      <c r="AP39" s="17"/>
      <c r="AQ39" s="113">
        <f t="shared" ref="AQ39:BB39" si="74">SUM(AQ33:AQ38)</f>
        <v>0</v>
      </c>
      <c r="AR39" s="113">
        <f t="shared" si="74"/>
        <v>0</v>
      </c>
      <c r="AS39" s="113">
        <f t="shared" si="74"/>
        <v>0</v>
      </c>
      <c r="AT39" s="113">
        <f t="shared" si="74"/>
        <v>0</v>
      </c>
      <c r="AU39" s="265">
        <f t="shared" si="74"/>
        <v>0</v>
      </c>
      <c r="AV39" s="265">
        <f t="shared" si="74"/>
        <v>0</v>
      </c>
      <c r="AW39" s="265">
        <f t="shared" si="74"/>
        <v>0</v>
      </c>
      <c r="AX39" s="265">
        <f t="shared" si="74"/>
        <v>0</v>
      </c>
      <c r="AY39" s="265">
        <f t="shared" si="74"/>
        <v>0</v>
      </c>
      <c r="AZ39" s="265">
        <f t="shared" si="74"/>
        <v>0</v>
      </c>
      <c r="BA39" s="265">
        <f t="shared" si="74"/>
        <v>0</v>
      </c>
      <c r="BB39" s="113">
        <f t="shared" si="74"/>
        <v>0</v>
      </c>
      <c r="BJ39" s="294"/>
    </row>
    <row r="40" spans="1:62" s="24" customFormat="1" ht="13.8" customHeight="1">
      <c r="A40" s="114"/>
      <c r="B40" s="115"/>
      <c r="C40" s="314" t="s">
        <v>192</v>
      </c>
      <c r="D40" s="314"/>
      <c r="E40" s="315"/>
      <c r="F40" s="246"/>
      <c r="G40" s="246"/>
      <c r="H40" s="278" t="s">
        <v>184</v>
      </c>
      <c r="I40" s="266"/>
      <c r="J40" s="266"/>
      <c r="K40" s="266"/>
      <c r="L40" s="117">
        <f>SUM(L59,L79)</f>
        <v>0</v>
      </c>
      <c r="M40" s="117">
        <f>SUM(M59,M79)</f>
        <v>0</v>
      </c>
      <c r="N40" s="266"/>
      <c r="O40" s="266"/>
      <c r="P40" s="266"/>
      <c r="Q40" s="266"/>
      <c r="R40" s="117">
        <f t="shared" ref="R40:U40" si="75">SUM(R59,R79)</f>
        <v>0</v>
      </c>
      <c r="S40" s="117">
        <f t="shared" si="75"/>
        <v>0</v>
      </c>
      <c r="T40" s="117">
        <f t="shared" si="75"/>
        <v>0</v>
      </c>
      <c r="U40" s="117">
        <f t="shared" si="75"/>
        <v>0</v>
      </c>
      <c r="V40" s="266"/>
      <c r="W40" s="266"/>
      <c r="X40" s="266"/>
      <c r="Y40" s="117">
        <f>SUM(Y59,Y79)</f>
        <v>0</v>
      </c>
      <c r="Z40" s="266"/>
      <c r="AA40" s="266"/>
      <c r="AB40" s="117">
        <f t="shared" ref="AB40:AF40" si="76">SUM(AB59,AB79)</f>
        <v>0</v>
      </c>
      <c r="AC40" s="267">
        <f t="shared" si="76"/>
        <v>0</v>
      </c>
      <c r="AD40" s="267">
        <f t="shared" si="76"/>
        <v>0</v>
      </c>
      <c r="AE40" s="117">
        <f t="shared" si="76"/>
        <v>0</v>
      </c>
      <c r="AF40" s="117">
        <f t="shared" si="76"/>
        <v>0</v>
      </c>
      <c r="AG40" s="266"/>
      <c r="AH40" s="266"/>
      <c r="AI40" s="266"/>
      <c r="AJ40" s="267">
        <f t="shared" ref="AJ40:AL40" si="77">SUM(AJ59,AJ79)</f>
        <v>0</v>
      </c>
      <c r="AK40" s="267">
        <f t="shared" si="77"/>
        <v>0</v>
      </c>
      <c r="AL40" s="267">
        <f t="shared" si="77"/>
        <v>0</v>
      </c>
      <c r="AM40" s="117">
        <f t="shared" ref="AM40:AN40" si="78">SUM(AM59,AM79)</f>
        <v>0</v>
      </c>
      <c r="AN40" s="117">
        <f t="shared" si="78"/>
        <v>0</v>
      </c>
      <c r="AO40" s="132"/>
      <c r="AP40" s="25"/>
      <c r="AQ40" s="117">
        <f t="shared" ref="AQ40:BB40" si="79">SUM(AQ59,AQ79)</f>
        <v>0</v>
      </c>
      <c r="AR40" s="117">
        <f t="shared" si="79"/>
        <v>0</v>
      </c>
      <c r="AS40" s="117">
        <f t="shared" si="79"/>
        <v>0</v>
      </c>
      <c r="AT40" s="117">
        <f t="shared" si="79"/>
        <v>0</v>
      </c>
      <c r="AU40" s="267">
        <f t="shared" si="79"/>
        <v>0</v>
      </c>
      <c r="AV40" s="267">
        <f t="shared" si="79"/>
        <v>0</v>
      </c>
      <c r="AW40" s="267">
        <f t="shared" si="79"/>
        <v>0</v>
      </c>
      <c r="AX40" s="267">
        <f t="shared" si="79"/>
        <v>0</v>
      </c>
      <c r="AY40" s="267">
        <f t="shared" si="79"/>
        <v>0</v>
      </c>
      <c r="AZ40" s="267">
        <f t="shared" si="79"/>
        <v>0</v>
      </c>
      <c r="BA40" s="267">
        <f t="shared" si="79"/>
        <v>0</v>
      </c>
      <c r="BB40" s="117">
        <f t="shared" si="79"/>
        <v>0</v>
      </c>
      <c r="BJ40" s="294"/>
    </row>
    <row r="41" spans="1:62" ht="27.6" outlineLevel="2">
      <c r="A41" s="98"/>
      <c r="B41" s="102"/>
      <c r="C41" s="23"/>
      <c r="D41" s="257"/>
      <c r="E41" s="257"/>
      <c r="F41" s="251"/>
      <c r="G41" s="250"/>
      <c r="H41" s="272"/>
      <c r="I41" s="258"/>
      <c r="J41" s="259"/>
      <c r="K41" s="259"/>
      <c r="L41" s="106" t="str">
        <f>IF(I41&lt;&gt;0,((VLOOKUP(I41,'1. Standard_Cost'!$B$4:$D$11,2)+VLOOKUP(I41,'1. Standard_Cost'!$B$4:$D$11,3))*J41*K41),"0")</f>
        <v>0</v>
      </c>
      <c r="M41" s="106">
        <f>L41*'1. Standard_Cost'!$F$4</f>
        <v>0</v>
      </c>
      <c r="N41" s="260"/>
      <c r="O41" s="260"/>
      <c r="P41" s="260"/>
      <c r="Q41" s="260"/>
      <c r="R41" s="108">
        <f>'1. Standard_Cost'!$B$15*N41*P41</f>
        <v>0</v>
      </c>
      <c r="S41" s="108">
        <f>N41*O41*P41*'1. Standard_Cost'!$C$15</f>
        <v>0</v>
      </c>
      <c r="T41" s="108">
        <f>N41*P41*Q41*'1. Standard_Cost'!$D$15</f>
        <v>0</v>
      </c>
      <c r="U41" s="108">
        <f>N41*O41*'1. Standard_Cost'!$E$15</f>
        <v>0</v>
      </c>
      <c r="V41" s="260"/>
      <c r="W41" s="260"/>
      <c r="X41" s="260"/>
      <c r="Y41" s="108">
        <f>+V41*((X41*'1. Standard_Cost'!$B$19)+(W41*X41*'1. Standard_Cost'!$C$19))</f>
        <v>0</v>
      </c>
      <c r="Z41" s="260"/>
      <c r="AA41" s="260"/>
      <c r="AB41" s="108">
        <f>+Z41*'1. Standard_Cost'!$B$23+AA41*'1. Standard_Cost'!$C$23</f>
        <v>0</v>
      </c>
      <c r="AC41" s="261"/>
      <c r="AD41" s="262"/>
      <c r="AE41" s="108">
        <f>SUM(AD41,AC41,AB41,Y41,U41,T41,S41,R41)*'1. Standard_Cost'!$B$31</f>
        <v>0</v>
      </c>
      <c r="AF41" s="108">
        <f t="shared" ref="AF41:AF58" si="80">SUM(AE41,AD41,AC41,AB41,Y41,U41,T41,S41,R41)</f>
        <v>0</v>
      </c>
      <c r="AG41" s="260"/>
      <c r="AH41" s="260"/>
      <c r="AI41" s="260"/>
      <c r="AJ41" s="263"/>
      <c r="AK41" s="263"/>
      <c r="AL41" s="263"/>
      <c r="AM41" s="108">
        <f>AG41*'1. Standard_Cost'!$B$27+'Incremental_Cost Year 10'!AH41*'1. Standard_Cost'!$C$27+'Incremental_Cost Year 10'!AI41*'1. Standard_Cost'!$D$27+'Incremental_Cost Year 10'!AJ41+'Incremental_Cost Year 10'!AL41+AK41</f>
        <v>0</v>
      </c>
      <c r="AN41" s="108">
        <f>AM41*'1. Standard_Cost'!$C$31</f>
        <v>0</v>
      </c>
      <c r="AO41" s="125" t="s">
        <v>293</v>
      </c>
      <c r="AQ41" s="14">
        <f t="shared" ref="AQ41:AQ58" si="81">L41+M41</f>
        <v>0</v>
      </c>
      <c r="AR41" s="14">
        <f t="shared" ref="AR41:AR58" si="82">AF41</f>
        <v>0</v>
      </c>
      <c r="AS41" s="14">
        <f t="shared" ref="AS41:AS58" si="83">AM41+AN41</f>
        <v>0</v>
      </c>
      <c r="AT41" s="14">
        <f>SUM(AQ41,AR41,AS41)</f>
        <v>0</v>
      </c>
      <c r="AU41" s="234"/>
      <c r="AV41" s="234"/>
      <c r="AW41" s="234"/>
      <c r="AX41" s="234"/>
      <c r="AY41" s="234"/>
      <c r="AZ41" s="234"/>
      <c r="BA41" s="234"/>
      <c r="BB41" s="16">
        <f t="shared" ref="BB41:BB58" si="84">SUM(AU41:BA41)-AT41</f>
        <v>0</v>
      </c>
      <c r="BD41" s="294">
        <f>'Incremental_Cost Year 1'!AV41+'Incremental_Cost Year 2'!AV41+'Incremental_Cost Year 3'!AV41+'Incremental_Cost Year 4'!AV41+'Incremental_Cost Year 5'!AV41+'Incremental_Cost Year 6'!AV41+'Incremental_Cost Year 7'!AV41+'Incremental_Cost Year 8'!AV41+'Incremental_Cost Year 9'!AV41+'Incremental_Cost Year 10'!AV41</f>
        <v>0</v>
      </c>
      <c r="BE41" s="294">
        <f>'Incremental_Cost Year 1'!AW41+'Incremental_Cost Year 2'!AW41+'Incremental_Cost Year 3'!AW41+'Incremental_Cost Year 4'!AW41+'Incremental_Cost Year 5'!AW41+'Incremental_Cost Year 6'!AW41+'Incremental_Cost Year 7'!AW41+'Incremental_Cost Year 8'!AW41+'Incremental_Cost Year 9'!AW41+'Incremental_Cost Year 10'!AW41</f>
        <v>0</v>
      </c>
      <c r="BF41" s="294">
        <f>'Incremental_Cost Year 1'!AX41+'Incremental_Cost Year 2'!AX41+'Incremental_Cost Year 3'!AX41+'Incremental_Cost Year 4'!AX41+'Incremental_Cost Year 5'!AX41+'Incremental_Cost Year 6'!AX41+'Incremental_Cost Year 7'!AX41+'Incremental_Cost Year 8'!AX41+'Incremental_Cost Year 9'!AX41+'Incremental_Cost Year 10'!AX41</f>
        <v>0</v>
      </c>
      <c r="BG41" s="294">
        <f>'Incremental_Cost Year 1'!AY41+'Incremental_Cost Year 2'!AY41+'Incremental_Cost Year 3'!AY41+'Incremental_Cost Year 4'!AY41+'Incremental_Cost Year 5'!AY41+'Incremental_Cost Year 6'!AY41+'Incremental_Cost Year 7'!AY41+'Incremental_Cost Year 8'!AY41+'Incremental_Cost Year 9'!AY41+'Incremental_Cost Year 10'!AY41</f>
        <v>0</v>
      </c>
      <c r="BH41" s="294">
        <f>'Incremental_Cost Year 1'!AZ41+'Incremental_Cost Year 2'!AZ41+'Incremental_Cost Year 3'!AZ41+'Incremental_Cost Year 4'!AZ41+'Incremental_Cost Year 5'!AZ41+'Incremental_Cost Year 6'!AZ41+'Incremental_Cost Year 7'!AZ41+'Incremental_Cost Year 8'!AZ41+'Incremental_Cost Year 9'!AZ41+'Incremental_Cost Year 10'!AZ41</f>
        <v>0</v>
      </c>
      <c r="BI41" s="294">
        <f>'Incremental_Cost Year 1'!BA41+'Incremental_Cost Year 2'!BA41+'Incremental_Cost Year 3'!BA41+'Incremental_Cost Year 4'!BA41+'Incremental_Cost Year 5'!BA41+'Incremental_Cost Year 6'!BA41+'Incremental_Cost Year 7'!BA41+'Incremental_Cost Year 8'!BA41+'Incremental_Cost Year 9'!BA41+'Incremental_Cost Year 10'!BA41</f>
        <v>0</v>
      </c>
      <c r="BJ41" s="294">
        <f t="shared" si="22"/>
        <v>0</v>
      </c>
    </row>
    <row r="42" spans="1:62" ht="27.6" outlineLevel="2">
      <c r="A42" s="98"/>
      <c r="B42" s="102"/>
      <c r="C42" s="23"/>
      <c r="D42" s="251"/>
      <c r="E42" s="251"/>
      <c r="F42" s="251"/>
      <c r="G42" s="250"/>
      <c r="H42" s="272"/>
      <c r="I42" s="258"/>
      <c r="J42" s="259"/>
      <c r="K42" s="259"/>
      <c r="L42" s="106" t="str">
        <f>IF(I42&lt;&gt;0,((VLOOKUP(I42,'1. Standard_Cost'!$B$4:$D$11,2)+VLOOKUP(I42,'1. Standard_Cost'!$B$4:$D$11,3))*J42*K42),"0")</f>
        <v>0</v>
      </c>
      <c r="M42" s="106">
        <f>L42*'1. Standard_Cost'!$F$4</f>
        <v>0</v>
      </c>
      <c r="N42" s="260"/>
      <c r="O42" s="260"/>
      <c r="P42" s="260"/>
      <c r="Q42" s="260"/>
      <c r="R42" s="108">
        <f>'1. Standard_Cost'!$B$15*N42*P42</f>
        <v>0</v>
      </c>
      <c r="S42" s="108">
        <f>N42*O42*P42*'1. Standard_Cost'!$C$15</f>
        <v>0</v>
      </c>
      <c r="T42" s="108">
        <f>N42*P42*Q42*'1. Standard_Cost'!$D$15</f>
        <v>0</v>
      </c>
      <c r="U42" s="108">
        <f>N42*O42*'1. Standard_Cost'!$E$15</f>
        <v>0</v>
      </c>
      <c r="V42" s="260"/>
      <c r="W42" s="260"/>
      <c r="X42" s="260"/>
      <c r="Y42" s="108">
        <f>+V42*((X42*'1. Standard_Cost'!$B$19)+(W42*X42*'1. Standard_Cost'!$C$19))</f>
        <v>0</v>
      </c>
      <c r="Z42" s="260"/>
      <c r="AA42" s="260"/>
      <c r="AB42" s="108">
        <f>+Z42*'1. Standard_Cost'!$B$23+AA42*'1. Standard_Cost'!$C$23</f>
        <v>0</v>
      </c>
      <c r="AC42" s="261"/>
      <c r="AD42" s="262"/>
      <c r="AE42" s="108">
        <f>SUM(AD42,AC42,AB42,Y42,U42,T42,S42,R42)*'1. Standard_Cost'!$B$31</f>
        <v>0</v>
      </c>
      <c r="AF42" s="108">
        <f t="shared" si="80"/>
        <v>0</v>
      </c>
      <c r="AG42" s="260"/>
      <c r="AH42" s="260"/>
      <c r="AI42" s="260"/>
      <c r="AJ42" s="263"/>
      <c r="AK42" s="263"/>
      <c r="AL42" s="263"/>
      <c r="AM42" s="108">
        <f>AG42*'1. Standard_Cost'!$B$27+'Incremental_Cost Year 10'!AH42*'1. Standard_Cost'!$C$27+'Incremental_Cost Year 10'!AI42*'1. Standard_Cost'!$D$27+'Incremental_Cost Year 10'!AJ42+'Incremental_Cost Year 10'!AL42+AK42</f>
        <v>0</v>
      </c>
      <c r="AN42" s="108">
        <f>AM42*'1. Standard_Cost'!$C$31</f>
        <v>0</v>
      </c>
      <c r="AO42" s="125" t="s">
        <v>294</v>
      </c>
      <c r="AQ42" s="14">
        <f t="shared" si="81"/>
        <v>0</v>
      </c>
      <c r="AR42" s="14">
        <f t="shared" si="82"/>
        <v>0</v>
      </c>
      <c r="AS42" s="14">
        <f t="shared" si="83"/>
        <v>0</v>
      </c>
      <c r="AT42" s="14">
        <f t="shared" ref="AT42:AT57" si="85">SUM(AQ42,AR42,AS42)</f>
        <v>0</v>
      </c>
      <c r="AU42" s="234"/>
      <c r="AV42" s="234">
        <v>0</v>
      </c>
      <c r="AW42" s="234"/>
      <c r="AX42" s="234"/>
      <c r="AY42" s="234"/>
      <c r="AZ42" s="234"/>
      <c r="BA42" s="234"/>
      <c r="BB42" s="16">
        <f t="shared" si="84"/>
        <v>0</v>
      </c>
      <c r="BD42" s="294">
        <f>'Incremental_Cost Year 1'!AV42+'Incremental_Cost Year 2'!AV42+'Incremental_Cost Year 3'!AV42+'Incremental_Cost Year 4'!AV42+'Incremental_Cost Year 5'!AV42+'Incremental_Cost Year 6'!AV42+'Incremental_Cost Year 7'!AV42+'Incremental_Cost Year 8'!AV42+'Incremental_Cost Year 9'!AV42+'Incremental_Cost Year 10'!AV42</f>
        <v>0</v>
      </c>
      <c r="BE42" s="294">
        <f>'Incremental_Cost Year 1'!AW42+'Incremental_Cost Year 2'!AW42+'Incremental_Cost Year 3'!AW42+'Incremental_Cost Year 4'!AW42+'Incremental_Cost Year 5'!AW42+'Incremental_Cost Year 6'!AW42+'Incremental_Cost Year 7'!AW42+'Incremental_Cost Year 8'!AW42+'Incremental_Cost Year 9'!AW42+'Incremental_Cost Year 10'!AW42</f>
        <v>0</v>
      </c>
      <c r="BF42" s="294">
        <f>'Incremental_Cost Year 1'!AX42+'Incremental_Cost Year 2'!AX42+'Incremental_Cost Year 3'!AX42+'Incremental_Cost Year 4'!AX42+'Incremental_Cost Year 5'!AX42+'Incremental_Cost Year 6'!AX42+'Incremental_Cost Year 7'!AX42+'Incremental_Cost Year 8'!AX42+'Incremental_Cost Year 9'!AX42+'Incremental_Cost Year 10'!AX42</f>
        <v>0</v>
      </c>
      <c r="BG42" s="294">
        <f>'Incremental_Cost Year 1'!AY42+'Incremental_Cost Year 2'!AY42+'Incremental_Cost Year 3'!AY42+'Incremental_Cost Year 4'!AY42+'Incremental_Cost Year 5'!AY42+'Incremental_Cost Year 6'!AY42+'Incremental_Cost Year 7'!AY42+'Incremental_Cost Year 8'!AY42+'Incremental_Cost Year 9'!AY42+'Incremental_Cost Year 10'!AY42</f>
        <v>0</v>
      </c>
      <c r="BH42" s="294">
        <f>'Incremental_Cost Year 1'!AZ42+'Incremental_Cost Year 2'!AZ42+'Incremental_Cost Year 3'!AZ42+'Incremental_Cost Year 4'!AZ42+'Incremental_Cost Year 5'!AZ42+'Incremental_Cost Year 6'!AZ42+'Incremental_Cost Year 7'!AZ42+'Incremental_Cost Year 8'!AZ42+'Incremental_Cost Year 9'!AZ42+'Incremental_Cost Year 10'!AZ42</f>
        <v>0</v>
      </c>
      <c r="BI42" s="294">
        <f>'Incremental_Cost Year 1'!BA42+'Incremental_Cost Year 2'!BA42+'Incremental_Cost Year 3'!BA42+'Incremental_Cost Year 4'!BA42+'Incremental_Cost Year 5'!BA42+'Incremental_Cost Year 6'!BA42+'Incremental_Cost Year 7'!BA42+'Incremental_Cost Year 8'!BA42+'Incremental_Cost Year 9'!BA42+'Incremental_Cost Year 10'!BA42</f>
        <v>0</v>
      </c>
      <c r="BJ42" s="294">
        <f t="shared" si="22"/>
        <v>0</v>
      </c>
    </row>
    <row r="43" spans="1:62" ht="15.6" outlineLevel="2">
      <c r="A43" s="98"/>
      <c r="B43" s="102"/>
      <c r="C43" s="23"/>
      <c r="D43" s="251"/>
      <c r="E43" s="251"/>
      <c r="F43" s="251"/>
      <c r="G43" s="250"/>
      <c r="H43" s="272"/>
      <c r="I43" s="258"/>
      <c r="J43" s="259"/>
      <c r="K43" s="259"/>
      <c r="L43" s="106" t="str">
        <f>IF(I43&lt;&gt;0,((VLOOKUP(I43,'1. Standard_Cost'!$B$4:$D$11,2)+VLOOKUP(I43,'1. Standard_Cost'!$B$4:$D$11,3))*J43*K43),"0")</f>
        <v>0</v>
      </c>
      <c r="M43" s="106">
        <f>L43*'1. Standard_Cost'!$F$4</f>
        <v>0</v>
      </c>
      <c r="N43" s="260"/>
      <c r="O43" s="260"/>
      <c r="P43" s="260"/>
      <c r="Q43" s="260"/>
      <c r="R43" s="108">
        <f>'1. Standard_Cost'!$B$15*N43*P43</f>
        <v>0</v>
      </c>
      <c r="S43" s="108">
        <f>N43*O43*P43*'1. Standard_Cost'!$C$15</f>
        <v>0</v>
      </c>
      <c r="T43" s="108">
        <f>N43*P43*Q43*'1. Standard_Cost'!$D$15</f>
        <v>0</v>
      </c>
      <c r="U43" s="108">
        <f>N43*O43*'1. Standard_Cost'!$E$15</f>
        <v>0</v>
      </c>
      <c r="V43" s="260"/>
      <c r="W43" s="260"/>
      <c r="X43" s="260"/>
      <c r="Y43" s="108">
        <f>+V43*((X43*'1. Standard_Cost'!$B$19)+(W43*X43*'1. Standard_Cost'!$C$19))</f>
        <v>0</v>
      </c>
      <c r="Z43" s="260"/>
      <c r="AA43" s="260"/>
      <c r="AB43" s="108">
        <f>+Z43*'1. Standard_Cost'!$B$23+AA43*'1. Standard_Cost'!$C$23</f>
        <v>0</v>
      </c>
      <c r="AC43" s="261"/>
      <c r="AD43" s="262"/>
      <c r="AE43" s="108">
        <f>SUM(AD43,AC43,AB43,Y43,U43,T43,S43,R43)*'1. Standard_Cost'!$B$31</f>
        <v>0</v>
      </c>
      <c r="AF43" s="108">
        <f t="shared" si="80"/>
        <v>0</v>
      </c>
      <c r="AG43" s="260"/>
      <c r="AH43" s="260"/>
      <c r="AI43" s="260"/>
      <c r="AJ43" s="263"/>
      <c r="AK43" s="263"/>
      <c r="AL43" s="263"/>
      <c r="AM43" s="108">
        <f>AG43*'1. Standard_Cost'!$B$27+'Incremental_Cost Year 10'!AH43*'1. Standard_Cost'!$C$27+'Incremental_Cost Year 10'!AI43*'1. Standard_Cost'!$D$27+'Incremental_Cost Year 10'!AJ43+'Incremental_Cost Year 10'!AL43+AK43</f>
        <v>0</v>
      </c>
      <c r="AN43" s="108">
        <f>AM43*'1. Standard_Cost'!$C$31</f>
        <v>0</v>
      </c>
      <c r="AO43" s="125" t="s">
        <v>295</v>
      </c>
      <c r="AQ43" s="14">
        <f t="shared" si="81"/>
        <v>0</v>
      </c>
      <c r="AR43" s="14">
        <f t="shared" si="82"/>
        <v>0</v>
      </c>
      <c r="AS43" s="14">
        <f t="shared" si="83"/>
        <v>0</v>
      </c>
      <c r="AT43" s="14">
        <f t="shared" si="85"/>
        <v>0</v>
      </c>
      <c r="AU43" s="234"/>
      <c r="AV43" s="234">
        <v>0</v>
      </c>
      <c r="AW43" s="234"/>
      <c r="AX43" s="234"/>
      <c r="AY43" s="234"/>
      <c r="AZ43" s="234"/>
      <c r="BA43" s="234"/>
      <c r="BB43" s="16">
        <f t="shared" si="84"/>
        <v>0</v>
      </c>
      <c r="BD43" s="294">
        <f>'Incremental_Cost Year 1'!AV43+'Incremental_Cost Year 2'!AV43+'Incremental_Cost Year 3'!AV43+'Incremental_Cost Year 4'!AV43+'Incremental_Cost Year 5'!AV43+'Incremental_Cost Year 6'!AV43+'Incremental_Cost Year 7'!AV43+'Incremental_Cost Year 8'!AV43+'Incremental_Cost Year 9'!AV43+'Incremental_Cost Year 10'!AV43</f>
        <v>0</v>
      </c>
      <c r="BE43" s="294">
        <f>'Incremental_Cost Year 1'!AW43+'Incremental_Cost Year 2'!AW43+'Incremental_Cost Year 3'!AW43+'Incremental_Cost Year 4'!AW43+'Incremental_Cost Year 5'!AW43+'Incremental_Cost Year 6'!AW43+'Incremental_Cost Year 7'!AW43+'Incremental_Cost Year 8'!AW43+'Incremental_Cost Year 9'!AW43+'Incremental_Cost Year 10'!AW43</f>
        <v>0</v>
      </c>
      <c r="BF43" s="294">
        <f>'Incremental_Cost Year 1'!AX43+'Incremental_Cost Year 2'!AX43+'Incremental_Cost Year 3'!AX43+'Incremental_Cost Year 4'!AX43+'Incremental_Cost Year 5'!AX43+'Incremental_Cost Year 6'!AX43+'Incremental_Cost Year 7'!AX43+'Incremental_Cost Year 8'!AX43+'Incremental_Cost Year 9'!AX43+'Incremental_Cost Year 10'!AX43</f>
        <v>0</v>
      </c>
      <c r="BG43" s="294">
        <f>'Incremental_Cost Year 1'!AY43+'Incremental_Cost Year 2'!AY43+'Incremental_Cost Year 3'!AY43+'Incremental_Cost Year 4'!AY43+'Incremental_Cost Year 5'!AY43+'Incremental_Cost Year 6'!AY43+'Incremental_Cost Year 7'!AY43+'Incremental_Cost Year 8'!AY43+'Incremental_Cost Year 9'!AY43+'Incremental_Cost Year 10'!AY43</f>
        <v>0</v>
      </c>
      <c r="BH43" s="294">
        <f>'Incremental_Cost Year 1'!AZ43+'Incremental_Cost Year 2'!AZ43+'Incremental_Cost Year 3'!AZ43+'Incremental_Cost Year 4'!AZ43+'Incremental_Cost Year 5'!AZ43+'Incremental_Cost Year 6'!AZ43+'Incremental_Cost Year 7'!AZ43+'Incremental_Cost Year 8'!AZ43+'Incremental_Cost Year 9'!AZ43+'Incremental_Cost Year 10'!AZ43</f>
        <v>0</v>
      </c>
      <c r="BI43" s="294">
        <f>'Incremental_Cost Year 1'!BA43+'Incremental_Cost Year 2'!BA43+'Incremental_Cost Year 3'!BA43+'Incremental_Cost Year 4'!BA43+'Incremental_Cost Year 5'!BA43+'Incremental_Cost Year 6'!BA43+'Incremental_Cost Year 7'!BA43+'Incremental_Cost Year 8'!BA43+'Incremental_Cost Year 9'!BA43+'Incremental_Cost Year 10'!BA43</f>
        <v>0</v>
      </c>
      <c r="BJ43" s="294">
        <f t="shared" si="22"/>
        <v>0</v>
      </c>
    </row>
    <row r="44" spans="1:62" ht="82.8" outlineLevel="2">
      <c r="A44" s="98"/>
      <c r="B44" s="102"/>
      <c r="C44" s="23"/>
      <c r="D44" s="251"/>
      <c r="E44" s="251"/>
      <c r="F44" s="172"/>
      <c r="G44" s="173"/>
      <c r="H44" s="272"/>
      <c r="I44" s="258"/>
      <c r="J44" s="259"/>
      <c r="K44" s="259"/>
      <c r="L44" s="106" t="str">
        <f>IF(I44&lt;&gt;0,((VLOOKUP(I44,'1. Standard_Cost'!$B$4:$D$11,2)+VLOOKUP(I44,'1. Standard_Cost'!$B$4:$D$11,3))*J44*K44),"0")</f>
        <v>0</v>
      </c>
      <c r="M44" s="106">
        <f>L44*'1. Standard_Cost'!$F$4</f>
        <v>0</v>
      </c>
      <c r="N44" s="260"/>
      <c r="O44" s="260"/>
      <c r="P44" s="260"/>
      <c r="Q44" s="260"/>
      <c r="R44" s="108">
        <f>'1. Standard_Cost'!$B$15*N44*P44</f>
        <v>0</v>
      </c>
      <c r="S44" s="108">
        <f>N44*O44*P44*'1. Standard_Cost'!$C$15</f>
        <v>0</v>
      </c>
      <c r="T44" s="108">
        <f>N44*P44*Q44*'1. Standard_Cost'!$D$15</f>
        <v>0</v>
      </c>
      <c r="U44" s="108">
        <f>N44*O44*'1. Standard_Cost'!$E$15</f>
        <v>0</v>
      </c>
      <c r="V44" s="260"/>
      <c r="W44" s="260"/>
      <c r="X44" s="260"/>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80"/>
        <v>0</v>
      </c>
      <c r="AG44" s="260"/>
      <c r="AH44" s="260"/>
      <c r="AI44" s="260"/>
      <c r="AJ44" s="263"/>
      <c r="AK44" s="263"/>
      <c r="AL44" s="263"/>
      <c r="AM44" s="108">
        <f>AG44*'1. Standard_Cost'!$B$27+'Incremental_Cost Year 10'!AH44*'1. Standard_Cost'!$C$27+'Incremental_Cost Year 10'!AI44*'1. Standard_Cost'!$D$27+'Incremental_Cost Year 10'!AJ44+'Incremental_Cost Year 10'!AL44+AK44</f>
        <v>0</v>
      </c>
      <c r="AN44" s="108">
        <f>AM44*'1. Standard_Cost'!$C$31</f>
        <v>0</v>
      </c>
      <c r="AO44" s="125" t="s">
        <v>296</v>
      </c>
      <c r="AQ44" s="14">
        <f t="shared" si="81"/>
        <v>0</v>
      </c>
      <c r="AR44" s="14">
        <f t="shared" si="82"/>
        <v>0</v>
      </c>
      <c r="AS44" s="14">
        <f t="shared" si="83"/>
        <v>0</v>
      </c>
      <c r="AT44" s="14">
        <f t="shared" si="85"/>
        <v>0</v>
      </c>
      <c r="AU44" s="234"/>
      <c r="AV44" s="234"/>
      <c r="AW44" s="234"/>
      <c r="AX44" s="234"/>
      <c r="AY44" s="234"/>
      <c r="AZ44" s="234"/>
      <c r="BA44" s="234"/>
      <c r="BB44" s="16">
        <f t="shared" si="84"/>
        <v>0</v>
      </c>
      <c r="BD44" s="294">
        <f>'Incremental_Cost Year 1'!AV44+'Incremental_Cost Year 2'!AV44+'Incremental_Cost Year 3'!AV44+'Incremental_Cost Year 4'!AV44+'Incremental_Cost Year 5'!AV44+'Incremental_Cost Year 6'!AV44+'Incremental_Cost Year 7'!AV44+'Incremental_Cost Year 8'!AV44+'Incremental_Cost Year 9'!AV44+'Incremental_Cost Year 10'!AV44</f>
        <v>0</v>
      </c>
      <c r="BE44" s="294">
        <f>'Incremental_Cost Year 1'!AW44+'Incremental_Cost Year 2'!AW44+'Incremental_Cost Year 3'!AW44+'Incremental_Cost Year 4'!AW44+'Incremental_Cost Year 5'!AW44+'Incremental_Cost Year 6'!AW44+'Incremental_Cost Year 7'!AW44+'Incremental_Cost Year 8'!AW44+'Incremental_Cost Year 9'!AW44+'Incremental_Cost Year 10'!AW44</f>
        <v>0</v>
      </c>
      <c r="BF44" s="294">
        <f>'Incremental_Cost Year 1'!AX44+'Incremental_Cost Year 2'!AX44+'Incremental_Cost Year 3'!AX44+'Incremental_Cost Year 4'!AX44+'Incremental_Cost Year 5'!AX44+'Incremental_Cost Year 6'!AX44+'Incremental_Cost Year 7'!AX44+'Incremental_Cost Year 8'!AX44+'Incremental_Cost Year 9'!AX44+'Incremental_Cost Year 10'!AX44</f>
        <v>0</v>
      </c>
      <c r="BG44" s="294">
        <f>'Incremental_Cost Year 1'!AY44+'Incremental_Cost Year 2'!AY44+'Incremental_Cost Year 3'!AY44+'Incremental_Cost Year 4'!AY44+'Incremental_Cost Year 5'!AY44+'Incremental_Cost Year 6'!AY44+'Incremental_Cost Year 7'!AY44+'Incremental_Cost Year 8'!AY44+'Incremental_Cost Year 9'!AY44+'Incremental_Cost Year 10'!AY44</f>
        <v>0</v>
      </c>
      <c r="BH44" s="294">
        <f>'Incremental_Cost Year 1'!AZ44+'Incremental_Cost Year 2'!AZ44+'Incremental_Cost Year 3'!AZ44+'Incremental_Cost Year 4'!AZ44+'Incremental_Cost Year 5'!AZ44+'Incremental_Cost Year 6'!AZ44+'Incremental_Cost Year 7'!AZ44+'Incremental_Cost Year 8'!AZ44+'Incremental_Cost Year 9'!AZ44+'Incremental_Cost Year 10'!AZ44</f>
        <v>0</v>
      </c>
      <c r="BI44" s="294">
        <f>'Incremental_Cost Year 1'!BA44+'Incremental_Cost Year 2'!BA44+'Incremental_Cost Year 3'!BA44+'Incremental_Cost Year 4'!BA44+'Incremental_Cost Year 5'!BA44+'Incremental_Cost Year 6'!BA44+'Incremental_Cost Year 7'!BA44+'Incremental_Cost Year 8'!BA44+'Incremental_Cost Year 9'!BA44+'Incremental_Cost Year 10'!BA44</f>
        <v>0</v>
      </c>
      <c r="BJ44" s="294">
        <f t="shared" si="22"/>
        <v>0</v>
      </c>
    </row>
    <row r="45" spans="1:62" ht="15.6" outlineLevel="2">
      <c r="A45" s="98"/>
      <c r="B45" s="102"/>
      <c r="C45" s="23"/>
      <c r="D45" s="251"/>
      <c r="E45" s="251"/>
      <c r="F45" s="251"/>
      <c r="G45" s="250"/>
      <c r="H45" s="272"/>
      <c r="I45" s="258"/>
      <c r="J45" s="259"/>
      <c r="K45" s="259"/>
      <c r="L45" s="106" t="str">
        <f>IF(I45&lt;&gt;0,((VLOOKUP(I45,'1. Standard_Cost'!$B$4:$D$11,2)+VLOOKUP(I45,'1. Standard_Cost'!$B$4:$D$11,3))*J45*K45),"0")</f>
        <v>0</v>
      </c>
      <c r="M45" s="106">
        <f>L45*'1. Standard_Cost'!$F$4</f>
        <v>0</v>
      </c>
      <c r="N45" s="260"/>
      <c r="O45" s="260"/>
      <c r="P45" s="260"/>
      <c r="Q45" s="260"/>
      <c r="R45" s="108">
        <f>'1. Standard_Cost'!$B$15*N45*P45</f>
        <v>0</v>
      </c>
      <c r="S45" s="108">
        <f>N45*O45*P45*'1. Standard_Cost'!$C$15</f>
        <v>0</v>
      </c>
      <c r="T45" s="108">
        <f>N45*P45*Q45*'1. Standard_Cost'!$D$15</f>
        <v>0</v>
      </c>
      <c r="U45" s="108">
        <f>N45*O45*'1. Standard_Cost'!$E$15</f>
        <v>0</v>
      </c>
      <c r="V45" s="260"/>
      <c r="W45" s="260"/>
      <c r="X45" s="260"/>
      <c r="Y45" s="108">
        <f>+V45*((X45*'1. Standard_Cost'!$B$19)+(W45*X45*'1. Standard_Cost'!$C$19))</f>
        <v>0</v>
      </c>
      <c r="Z45" s="260"/>
      <c r="AA45" s="260"/>
      <c r="AB45" s="108">
        <f>+Z45*'1. Standard_Cost'!$B$23+AA45*'1. Standard_Cost'!$C$23</f>
        <v>0</v>
      </c>
      <c r="AC45" s="261"/>
      <c r="AD45" s="262"/>
      <c r="AE45" s="108">
        <f>SUM(AD45,AC45,AB45,Y45,U45,T45,S45,R45)*'1. Standard_Cost'!$B$31</f>
        <v>0</v>
      </c>
      <c r="AF45" s="108">
        <f t="shared" si="80"/>
        <v>0</v>
      </c>
      <c r="AG45" s="260"/>
      <c r="AH45" s="260"/>
      <c r="AI45" s="260"/>
      <c r="AJ45" s="263"/>
      <c r="AK45" s="263"/>
      <c r="AL45" s="263"/>
      <c r="AM45" s="108">
        <f>AG45*'1. Standard_Cost'!$B$27+'Incremental_Cost Year 10'!AH45*'1. Standard_Cost'!$C$27+'Incremental_Cost Year 10'!AI45*'1. Standard_Cost'!$D$27+'Incremental_Cost Year 10'!AJ45+'Incremental_Cost Year 10'!AL45+AK45</f>
        <v>0</v>
      </c>
      <c r="AN45" s="108">
        <f>AM45*'1. Standard_Cost'!$C$31</f>
        <v>0</v>
      </c>
      <c r="AO45" s="125" t="s">
        <v>297</v>
      </c>
      <c r="AQ45" s="14">
        <f t="shared" si="81"/>
        <v>0</v>
      </c>
      <c r="AR45" s="14">
        <f t="shared" si="82"/>
        <v>0</v>
      </c>
      <c r="AS45" s="14">
        <f t="shared" si="83"/>
        <v>0</v>
      </c>
      <c r="AT45" s="14">
        <f t="shared" si="85"/>
        <v>0</v>
      </c>
      <c r="AU45" s="234"/>
      <c r="AV45" s="234">
        <v>0</v>
      </c>
      <c r="AW45" s="234"/>
      <c r="AX45" s="234"/>
      <c r="AY45" s="234"/>
      <c r="AZ45" s="234"/>
      <c r="BA45" s="234"/>
      <c r="BB45" s="16">
        <f t="shared" si="84"/>
        <v>0</v>
      </c>
      <c r="BD45" s="294">
        <f>'Incremental_Cost Year 1'!AV45+'Incremental_Cost Year 2'!AV45+'Incremental_Cost Year 3'!AV45+'Incremental_Cost Year 4'!AV45+'Incremental_Cost Year 5'!AV45+'Incremental_Cost Year 6'!AV45+'Incremental_Cost Year 7'!AV45+'Incremental_Cost Year 8'!AV45+'Incremental_Cost Year 9'!AV45+'Incremental_Cost Year 10'!AV45</f>
        <v>0</v>
      </c>
      <c r="BE45" s="294">
        <f>'Incremental_Cost Year 1'!AW45+'Incremental_Cost Year 2'!AW45+'Incremental_Cost Year 3'!AW45+'Incremental_Cost Year 4'!AW45+'Incremental_Cost Year 5'!AW45+'Incremental_Cost Year 6'!AW45+'Incremental_Cost Year 7'!AW45+'Incremental_Cost Year 8'!AW45+'Incremental_Cost Year 9'!AW45+'Incremental_Cost Year 10'!AW45</f>
        <v>0</v>
      </c>
      <c r="BF45" s="294">
        <f>'Incremental_Cost Year 1'!AX45+'Incremental_Cost Year 2'!AX45+'Incremental_Cost Year 3'!AX45+'Incremental_Cost Year 4'!AX45+'Incremental_Cost Year 5'!AX45+'Incremental_Cost Year 6'!AX45+'Incremental_Cost Year 7'!AX45+'Incremental_Cost Year 8'!AX45+'Incremental_Cost Year 9'!AX45+'Incremental_Cost Year 10'!AX45</f>
        <v>0</v>
      </c>
      <c r="BG45" s="294">
        <f>'Incremental_Cost Year 1'!AY45+'Incremental_Cost Year 2'!AY45+'Incremental_Cost Year 3'!AY45+'Incremental_Cost Year 4'!AY45+'Incremental_Cost Year 5'!AY45+'Incremental_Cost Year 6'!AY45+'Incremental_Cost Year 7'!AY45+'Incremental_Cost Year 8'!AY45+'Incremental_Cost Year 9'!AY45+'Incremental_Cost Year 10'!AY45</f>
        <v>0</v>
      </c>
      <c r="BH45" s="294">
        <f>'Incremental_Cost Year 1'!AZ45+'Incremental_Cost Year 2'!AZ45+'Incremental_Cost Year 3'!AZ45+'Incremental_Cost Year 4'!AZ45+'Incremental_Cost Year 5'!AZ45+'Incremental_Cost Year 6'!AZ45+'Incremental_Cost Year 7'!AZ45+'Incremental_Cost Year 8'!AZ45+'Incremental_Cost Year 9'!AZ45+'Incremental_Cost Year 10'!AZ45</f>
        <v>0</v>
      </c>
      <c r="BI45" s="294">
        <f>'Incremental_Cost Year 1'!BA45+'Incremental_Cost Year 2'!BA45+'Incremental_Cost Year 3'!BA45+'Incremental_Cost Year 4'!BA45+'Incremental_Cost Year 5'!BA45+'Incremental_Cost Year 6'!BA45+'Incremental_Cost Year 7'!BA45+'Incremental_Cost Year 8'!BA45+'Incremental_Cost Year 9'!BA45+'Incremental_Cost Year 10'!BA45</f>
        <v>0</v>
      </c>
      <c r="BJ45" s="294">
        <f t="shared" si="22"/>
        <v>0</v>
      </c>
    </row>
    <row r="46" spans="1:62" ht="15.6" outlineLevel="2">
      <c r="A46" s="98"/>
      <c r="B46" s="102"/>
      <c r="C46" s="23"/>
      <c r="D46" s="251"/>
      <c r="E46" s="251"/>
      <c r="F46" s="251"/>
      <c r="G46" s="250"/>
      <c r="H46" s="272"/>
      <c r="I46" s="258"/>
      <c r="J46" s="259"/>
      <c r="K46" s="259"/>
      <c r="L46" s="106" t="str">
        <f>IF(I46&lt;&gt;0,((VLOOKUP(I46,'1. Standard_Cost'!$B$4:$D$11,2)+VLOOKUP(I46,'1. Standard_Cost'!$B$4:$D$11,3))*J46*K46),"0")</f>
        <v>0</v>
      </c>
      <c r="M46" s="106">
        <f>L46*'1. Standard_Cost'!$F$4</f>
        <v>0</v>
      </c>
      <c r="N46" s="260"/>
      <c r="O46" s="260"/>
      <c r="P46" s="260"/>
      <c r="Q46" s="260"/>
      <c r="R46" s="108">
        <f>'1. Standard_Cost'!$B$15*N46*P46</f>
        <v>0</v>
      </c>
      <c r="S46" s="108">
        <f>N46*O46*P46*'1. Standard_Cost'!$C$15</f>
        <v>0</v>
      </c>
      <c r="T46" s="108">
        <f>N46*P46*Q46*'1. Standard_Cost'!$D$15</f>
        <v>0</v>
      </c>
      <c r="U46" s="108">
        <f>N46*O46*'1. Standard_Cost'!$E$15</f>
        <v>0</v>
      </c>
      <c r="V46" s="260"/>
      <c r="W46" s="260"/>
      <c r="X46" s="260"/>
      <c r="Y46" s="108">
        <f>+V46*((X46*'1. Standard_Cost'!$B$19)+(W46*X46*'1. Standard_Cost'!$C$19))</f>
        <v>0</v>
      </c>
      <c r="Z46" s="260"/>
      <c r="AA46" s="260"/>
      <c r="AB46" s="108">
        <f>+Z46*'1. Standard_Cost'!$B$23+AA46*'1. Standard_Cost'!$C$23</f>
        <v>0</v>
      </c>
      <c r="AC46" s="261"/>
      <c r="AD46" s="262"/>
      <c r="AE46" s="108">
        <f>SUM(AD46,AC46,AB46,Y46,U46,T46,S46,R46)*'1. Standard_Cost'!$B$31</f>
        <v>0</v>
      </c>
      <c r="AF46" s="108">
        <f t="shared" si="80"/>
        <v>0</v>
      </c>
      <c r="AG46" s="260"/>
      <c r="AH46" s="260"/>
      <c r="AI46" s="260"/>
      <c r="AJ46" s="263"/>
      <c r="AK46" s="263"/>
      <c r="AL46" s="263"/>
      <c r="AM46" s="108">
        <f>AG46*'1. Standard_Cost'!$B$27+'Incremental_Cost Year 10'!AH46*'1. Standard_Cost'!$C$27+'Incremental_Cost Year 10'!AI46*'1. Standard_Cost'!$D$27+'Incremental_Cost Year 10'!AJ46+'Incremental_Cost Year 10'!AL46+AK46</f>
        <v>0</v>
      </c>
      <c r="AN46" s="108">
        <f>AM46*'1. Standard_Cost'!$C$31</f>
        <v>0</v>
      </c>
      <c r="AO46" s="125" t="s">
        <v>298</v>
      </c>
      <c r="AQ46" s="14">
        <f t="shared" si="81"/>
        <v>0</v>
      </c>
      <c r="AR46" s="14">
        <f t="shared" si="82"/>
        <v>0</v>
      </c>
      <c r="AS46" s="14">
        <f t="shared" si="83"/>
        <v>0</v>
      </c>
      <c r="AT46" s="14">
        <f t="shared" si="85"/>
        <v>0</v>
      </c>
      <c r="AU46" s="234"/>
      <c r="AV46" s="234"/>
      <c r="AW46" s="234"/>
      <c r="AX46" s="234"/>
      <c r="AY46" s="234"/>
      <c r="AZ46" s="234"/>
      <c r="BA46" s="234"/>
      <c r="BB46" s="16">
        <f t="shared" si="84"/>
        <v>0</v>
      </c>
      <c r="BD46" s="294">
        <f>'Incremental_Cost Year 1'!AV46+'Incremental_Cost Year 2'!AV46+'Incremental_Cost Year 3'!AV46+'Incremental_Cost Year 4'!AV46+'Incremental_Cost Year 5'!AV46+'Incremental_Cost Year 6'!AV46+'Incremental_Cost Year 7'!AV46+'Incremental_Cost Year 8'!AV46+'Incremental_Cost Year 9'!AV46+'Incremental_Cost Year 10'!AV46</f>
        <v>0</v>
      </c>
      <c r="BE46" s="294">
        <f>'Incremental_Cost Year 1'!AW46+'Incremental_Cost Year 2'!AW46+'Incremental_Cost Year 3'!AW46+'Incremental_Cost Year 4'!AW46+'Incremental_Cost Year 5'!AW46+'Incremental_Cost Year 6'!AW46+'Incremental_Cost Year 7'!AW46+'Incremental_Cost Year 8'!AW46+'Incremental_Cost Year 9'!AW46+'Incremental_Cost Year 10'!AW46</f>
        <v>0</v>
      </c>
      <c r="BF46" s="294">
        <f>'Incremental_Cost Year 1'!AX46+'Incremental_Cost Year 2'!AX46+'Incremental_Cost Year 3'!AX46+'Incremental_Cost Year 4'!AX46+'Incremental_Cost Year 5'!AX46+'Incremental_Cost Year 6'!AX46+'Incremental_Cost Year 7'!AX46+'Incremental_Cost Year 8'!AX46+'Incremental_Cost Year 9'!AX46+'Incremental_Cost Year 10'!AX46</f>
        <v>0</v>
      </c>
      <c r="BG46" s="294">
        <f>'Incremental_Cost Year 1'!AY46+'Incremental_Cost Year 2'!AY46+'Incremental_Cost Year 3'!AY46+'Incremental_Cost Year 4'!AY46+'Incremental_Cost Year 5'!AY46+'Incremental_Cost Year 6'!AY46+'Incremental_Cost Year 7'!AY46+'Incremental_Cost Year 8'!AY46+'Incremental_Cost Year 9'!AY46+'Incremental_Cost Year 10'!AY46</f>
        <v>0</v>
      </c>
      <c r="BH46" s="294">
        <f>'Incremental_Cost Year 1'!AZ46+'Incremental_Cost Year 2'!AZ46+'Incremental_Cost Year 3'!AZ46+'Incremental_Cost Year 4'!AZ46+'Incremental_Cost Year 5'!AZ46+'Incremental_Cost Year 6'!AZ46+'Incremental_Cost Year 7'!AZ46+'Incremental_Cost Year 8'!AZ46+'Incremental_Cost Year 9'!AZ46+'Incremental_Cost Year 10'!AZ46</f>
        <v>0</v>
      </c>
      <c r="BI46" s="294">
        <f>'Incremental_Cost Year 1'!BA46+'Incremental_Cost Year 2'!BA46+'Incremental_Cost Year 3'!BA46+'Incremental_Cost Year 4'!BA46+'Incremental_Cost Year 5'!BA46+'Incremental_Cost Year 6'!BA46+'Incremental_Cost Year 7'!BA46+'Incremental_Cost Year 8'!BA46+'Incremental_Cost Year 9'!BA46+'Incremental_Cost Year 10'!BA46</f>
        <v>0</v>
      </c>
      <c r="BJ46" s="294">
        <f t="shared" si="22"/>
        <v>0</v>
      </c>
    </row>
    <row r="47" spans="1:62" ht="15.6" outlineLevel="2">
      <c r="A47" s="98"/>
      <c r="B47" s="102"/>
      <c r="C47" s="23"/>
      <c r="D47" s="251"/>
      <c r="E47" s="251"/>
      <c r="F47" s="172"/>
      <c r="G47" s="173"/>
      <c r="H47" s="272"/>
      <c r="I47" s="258"/>
      <c r="J47" s="259"/>
      <c r="K47" s="259"/>
      <c r="L47" s="106" t="str">
        <f>IF(I47&lt;&gt;0,((VLOOKUP(I47,'1. Standard_Cost'!$B$4:$D$11,2)+VLOOKUP(I47,'1. Standard_Cost'!$B$4:$D$11,3))*J47*K47),"0")</f>
        <v>0</v>
      </c>
      <c r="M47" s="106">
        <f>L47*'1. Standard_Cost'!$F$4</f>
        <v>0</v>
      </c>
      <c r="N47" s="260"/>
      <c r="O47" s="260"/>
      <c r="P47" s="260"/>
      <c r="Q47" s="260"/>
      <c r="R47" s="108">
        <f>'1. Standard_Cost'!$B$15*N47*P47</f>
        <v>0</v>
      </c>
      <c r="S47" s="108">
        <f>N47*O47*P47*'1. Standard_Cost'!$C$15</f>
        <v>0</v>
      </c>
      <c r="T47" s="108">
        <f>N47*P47*Q47*'1. Standard_Cost'!$D$15</f>
        <v>0</v>
      </c>
      <c r="U47" s="108">
        <f>N47*O47*'1. Standard_Cost'!$E$15</f>
        <v>0</v>
      </c>
      <c r="V47" s="260"/>
      <c r="W47" s="260"/>
      <c r="X47" s="260"/>
      <c r="Y47" s="108">
        <f>+V47*((X47*'1. Standard_Cost'!$B$19)+(W47*X47*'1. Standard_Cost'!$C$19))</f>
        <v>0</v>
      </c>
      <c r="Z47" s="260"/>
      <c r="AA47" s="260"/>
      <c r="AB47" s="108">
        <f>+Z47*'1. Standard_Cost'!$B$23+AA47*'1. Standard_Cost'!$C$23</f>
        <v>0</v>
      </c>
      <c r="AC47" s="261"/>
      <c r="AD47" s="262"/>
      <c r="AE47" s="108">
        <f>SUM(AD47,AC47,AB47,Y47,U47,T47,S47,R47)*'1. Standard_Cost'!$B$31</f>
        <v>0</v>
      </c>
      <c r="AF47" s="108">
        <f t="shared" si="80"/>
        <v>0</v>
      </c>
      <c r="AG47" s="260"/>
      <c r="AH47" s="260"/>
      <c r="AI47" s="260"/>
      <c r="AJ47" s="263"/>
      <c r="AK47" s="263"/>
      <c r="AL47" s="263"/>
      <c r="AM47" s="108">
        <f>AG47*'1. Standard_Cost'!$B$27+'Incremental_Cost Year 10'!AH47*'1. Standard_Cost'!$C$27+'Incremental_Cost Year 10'!AI47*'1. Standard_Cost'!$D$27+'Incremental_Cost Year 10'!AJ47+'Incremental_Cost Year 10'!AL47+AK47</f>
        <v>0</v>
      </c>
      <c r="AN47" s="108">
        <f>AM47*'1. Standard_Cost'!$C$31</f>
        <v>0</v>
      </c>
      <c r="AO47" s="125" t="s">
        <v>298</v>
      </c>
      <c r="AQ47" s="14">
        <f t="shared" si="81"/>
        <v>0</v>
      </c>
      <c r="AR47" s="14">
        <f t="shared" si="82"/>
        <v>0</v>
      </c>
      <c r="AS47" s="14">
        <f t="shared" si="83"/>
        <v>0</v>
      </c>
      <c r="AT47" s="14">
        <f t="shared" si="85"/>
        <v>0</v>
      </c>
      <c r="AU47" s="234"/>
      <c r="AV47" s="234">
        <v>0</v>
      </c>
      <c r="AW47" s="234"/>
      <c r="AX47" s="234"/>
      <c r="AY47" s="234"/>
      <c r="AZ47" s="234"/>
      <c r="BA47" s="234"/>
      <c r="BB47" s="16">
        <f t="shared" si="84"/>
        <v>0</v>
      </c>
      <c r="BD47" s="294">
        <f>'Incremental_Cost Year 1'!AV47+'Incremental_Cost Year 2'!AV47+'Incremental_Cost Year 3'!AV47+'Incremental_Cost Year 4'!AV47+'Incremental_Cost Year 5'!AV47+'Incremental_Cost Year 6'!AV47+'Incremental_Cost Year 7'!AV47+'Incremental_Cost Year 8'!AV47+'Incremental_Cost Year 9'!AV47+'Incremental_Cost Year 10'!AV47</f>
        <v>0</v>
      </c>
      <c r="BE47" s="294">
        <f>'Incremental_Cost Year 1'!AW47+'Incremental_Cost Year 2'!AW47+'Incremental_Cost Year 3'!AW47+'Incremental_Cost Year 4'!AW47+'Incremental_Cost Year 5'!AW47+'Incremental_Cost Year 6'!AW47+'Incremental_Cost Year 7'!AW47+'Incremental_Cost Year 8'!AW47+'Incremental_Cost Year 9'!AW47+'Incremental_Cost Year 10'!AW47</f>
        <v>0</v>
      </c>
      <c r="BF47" s="294">
        <f>'Incremental_Cost Year 1'!AX47+'Incremental_Cost Year 2'!AX47+'Incremental_Cost Year 3'!AX47+'Incremental_Cost Year 4'!AX47+'Incremental_Cost Year 5'!AX47+'Incremental_Cost Year 6'!AX47+'Incremental_Cost Year 7'!AX47+'Incremental_Cost Year 8'!AX47+'Incremental_Cost Year 9'!AX47+'Incremental_Cost Year 10'!AX47</f>
        <v>0</v>
      </c>
      <c r="BG47" s="294">
        <f>'Incremental_Cost Year 1'!AY47+'Incremental_Cost Year 2'!AY47+'Incremental_Cost Year 3'!AY47+'Incremental_Cost Year 4'!AY47+'Incremental_Cost Year 5'!AY47+'Incremental_Cost Year 6'!AY47+'Incremental_Cost Year 7'!AY47+'Incremental_Cost Year 8'!AY47+'Incremental_Cost Year 9'!AY47+'Incremental_Cost Year 10'!AY47</f>
        <v>0</v>
      </c>
      <c r="BH47" s="294">
        <f>'Incremental_Cost Year 1'!AZ47+'Incremental_Cost Year 2'!AZ47+'Incremental_Cost Year 3'!AZ47+'Incremental_Cost Year 4'!AZ47+'Incremental_Cost Year 5'!AZ47+'Incremental_Cost Year 6'!AZ47+'Incremental_Cost Year 7'!AZ47+'Incremental_Cost Year 8'!AZ47+'Incremental_Cost Year 9'!AZ47+'Incremental_Cost Year 10'!AZ47</f>
        <v>0</v>
      </c>
      <c r="BI47" s="294">
        <f>'Incremental_Cost Year 1'!BA47+'Incremental_Cost Year 2'!BA47+'Incremental_Cost Year 3'!BA47+'Incremental_Cost Year 4'!BA47+'Incremental_Cost Year 5'!BA47+'Incremental_Cost Year 6'!BA47+'Incremental_Cost Year 7'!BA47+'Incremental_Cost Year 8'!BA47+'Incremental_Cost Year 9'!BA47+'Incremental_Cost Year 10'!BA47</f>
        <v>0</v>
      </c>
      <c r="BJ47" s="294">
        <f t="shared" si="22"/>
        <v>0</v>
      </c>
    </row>
    <row r="48" spans="1:62" ht="15.6" outlineLevel="2">
      <c r="A48" s="98"/>
      <c r="B48" s="102"/>
      <c r="C48" s="23"/>
      <c r="D48" s="251"/>
      <c r="E48" s="251"/>
      <c r="F48" s="172"/>
      <c r="G48" s="173"/>
      <c r="H48" s="272"/>
      <c r="I48" s="258"/>
      <c r="J48" s="259"/>
      <c r="K48" s="259"/>
      <c r="L48" s="106" t="str">
        <f>IF(I48&lt;&gt;0,((VLOOKUP(I48,'1. Standard_Cost'!$B$4:$D$11,2)+VLOOKUP(I48,'1. Standard_Cost'!$B$4:$D$11,3))*J48*K48),"0")</f>
        <v>0</v>
      </c>
      <c r="M48" s="106">
        <f>L48*'1. Standard_Cost'!$F$4</f>
        <v>0</v>
      </c>
      <c r="N48" s="260"/>
      <c r="O48" s="260"/>
      <c r="P48" s="260"/>
      <c r="Q48" s="260"/>
      <c r="R48" s="108">
        <f>'1. Standard_Cost'!$B$15*N48*P48</f>
        <v>0</v>
      </c>
      <c r="S48" s="108">
        <f>N48*O48*P48*'1. Standard_Cost'!$C$15</f>
        <v>0</v>
      </c>
      <c r="T48" s="108">
        <f>N48*P48*Q48*'1. Standard_Cost'!$D$15</f>
        <v>0</v>
      </c>
      <c r="U48" s="108">
        <f>N48*O48*'1. Standard_Cost'!$E$15</f>
        <v>0</v>
      </c>
      <c r="V48" s="260"/>
      <c r="W48" s="260"/>
      <c r="X48" s="260"/>
      <c r="Y48" s="108">
        <f>+V48*((X48*'1. Standard_Cost'!$B$19)+(W48*X48*'1. Standard_Cost'!$C$19))</f>
        <v>0</v>
      </c>
      <c r="Z48" s="260"/>
      <c r="AA48" s="260"/>
      <c r="AB48" s="108">
        <f>+Z48*'1. Standard_Cost'!$B$23+AA48*'1. Standard_Cost'!$C$23</f>
        <v>0</v>
      </c>
      <c r="AC48" s="261"/>
      <c r="AD48" s="262"/>
      <c r="AE48" s="108">
        <f>SUM(AD48,AC48,AB48,Y48,U48,T48,S48,R48)*'1. Standard_Cost'!$B$31</f>
        <v>0</v>
      </c>
      <c r="AF48" s="108">
        <f t="shared" si="80"/>
        <v>0</v>
      </c>
      <c r="AG48" s="260"/>
      <c r="AH48" s="260"/>
      <c r="AI48" s="260"/>
      <c r="AJ48" s="263"/>
      <c r="AK48" s="263"/>
      <c r="AL48" s="263"/>
      <c r="AM48" s="108">
        <f>AG48*'1. Standard_Cost'!$B$27+'Incremental_Cost Year 10'!AH48*'1. Standard_Cost'!$C$27+'Incremental_Cost Year 10'!AI48*'1. Standard_Cost'!$D$27+'Incremental_Cost Year 10'!AJ48+'Incremental_Cost Year 10'!AL48+AK48</f>
        <v>0</v>
      </c>
      <c r="AN48" s="108">
        <f>AM48*'1. Standard_Cost'!$C$31</f>
        <v>0</v>
      </c>
      <c r="AO48" s="125" t="s">
        <v>298</v>
      </c>
      <c r="AQ48" s="14">
        <f t="shared" si="81"/>
        <v>0</v>
      </c>
      <c r="AR48" s="14">
        <f t="shared" si="82"/>
        <v>0</v>
      </c>
      <c r="AS48" s="14">
        <f t="shared" si="83"/>
        <v>0</v>
      </c>
      <c r="AT48" s="14">
        <f t="shared" si="85"/>
        <v>0</v>
      </c>
      <c r="AU48" s="234"/>
      <c r="AV48" s="234"/>
      <c r="AW48" s="234"/>
      <c r="AX48" s="234"/>
      <c r="AY48" s="234"/>
      <c r="AZ48" s="234"/>
      <c r="BA48" s="234"/>
      <c r="BB48" s="16">
        <f t="shared" si="84"/>
        <v>0</v>
      </c>
      <c r="BD48" s="294">
        <f>'Incremental_Cost Year 1'!AV48+'Incremental_Cost Year 2'!AV48+'Incremental_Cost Year 3'!AV48+'Incremental_Cost Year 4'!AV48+'Incremental_Cost Year 5'!AV48+'Incremental_Cost Year 6'!AV48+'Incremental_Cost Year 7'!AV48+'Incremental_Cost Year 8'!AV48+'Incremental_Cost Year 9'!AV48+'Incremental_Cost Year 10'!AV48</f>
        <v>0</v>
      </c>
      <c r="BE48" s="294">
        <f>'Incremental_Cost Year 1'!AW48+'Incremental_Cost Year 2'!AW48+'Incremental_Cost Year 3'!AW48+'Incremental_Cost Year 4'!AW48+'Incremental_Cost Year 5'!AW48+'Incremental_Cost Year 6'!AW48+'Incremental_Cost Year 7'!AW48+'Incremental_Cost Year 8'!AW48+'Incremental_Cost Year 9'!AW48+'Incremental_Cost Year 10'!AW48</f>
        <v>0</v>
      </c>
      <c r="BF48" s="294">
        <f>'Incremental_Cost Year 1'!AX48+'Incremental_Cost Year 2'!AX48+'Incremental_Cost Year 3'!AX48+'Incremental_Cost Year 4'!AX48+'Incremental_Cost Year 5'!AX48+'Incremental_Cost Year 6'!AX48+'Incremental_Cost Year 7'!AX48+'Incremental_Cost Year 8'!AX48+'Incremental_Cost Year 9'!AX48+'Incremental_Cost Year 10'!AX48</f>
        <v>0</v>
      </c>
      <c r="BG48" s="294">
        <f>'Incremental_Cost Year 1'!AY48+'Incremental_Cost Year 2'!AY48+'Incremental_Cost Year 3'!AY48+'Incremental_Cost Year 4'!AY48+'Incremental_Cost Year 5'!AY48+'Incremental_Cost Year 6'!AY48+'Incremental_Cost Year 7'!AY48+'Incremental_Cost Year 8'!AY48+'Incremental_Cost Year 9'!AY48+'Incremental_Cost Year 10'!AY48</f>
        <v>0</v>
      </c>
      <c r="BH48" s="294">
        <f>'Incremental_Cost Year 1'!AZ48+'Incremental_Cost Year 2'!AZ48+'Incremental_Cost Year 3'!AZ48+'Incremental_Cost Year 4'!AZ48+'Incremental_Cost Year 5'!AZ48+'Incremental_Cost Year 6'!AZ48+'Incremental_Cost Year 7'!AZ48+'Incremental_Cost Year 8'!AZ48+'Incremental_Cost Year 9'!AZ48+'Incremental_Cost Year 10'!AZ48</f>
        <v>0</v>
      </c>
      <c r="BI48" s="294">
        <f>'Incremental_Cost Year 1'!BA48+'Incremental_Cost Year 2'!BA48+'Incremental_Cost Year 3'!BA48+'Incremental_Cost Year 4'!BA48+'Incremental_Cost Year 5'!BA48+'Incremental_Cost Year 6'!BA48+'Incremental_Cost Year 7'!BA48+'Incremental_Cost Year 8'!BA48+'Incremental_Cost Year 9'!BA48+'Incremental_Cost Year 10'!BA48</f>
        <v>0</v>
      </c>
      <c r="BJ48" s="294">
        <f t="shared" si="22"/>
        <v>0</v>
      </c>
    </row>
    <row r="49" spans="1:62" ht="15.6" outlineLevel="2">
      <c r="A49" s="98"/>
      <c r="B49" s="102"/>
      <c r="C49" s="23"/>
      <c r="D49" s="251"/>
      <c r="E49" s="251"/>
      <c r="F49" s="251"/>
      <c r="G49" s="250"/>
      <c r="H49" s="272"/>
      <c r="I49" s="258"/>
      <c r="J49" s="259"/>
      <c r="K49" s="259"/>
      <c r="L49" s="106" t="str">
        <f>IF(I49&lt;&gt;0,((VLOOKUP(I49,'1. Standard_Cost'!$B$4:$D$11,2)+VLOOKUP(I49,'1. Standard_Cost'!$B$4:$D$11,3))*J49*K49),"0")</f>
        <v>0</v>
      </c>
      <c r="M49" s="106">
        <f>L49*'1. Standard_Cost'!$F$4</f>
        <v>0</v>
      </c>
      <c r="N49" s="260"/>
      <c r="O49" s="260"/>
      <c r="P49" s="260"/>
      <c r="Q49" s="260"/>
      <c r="R49" s="108">
        <f>'1. Standard_Cost'!$B$15*N49*P49</f>
        <v>0</v>
      </c>
      <c r="S49" s="108">
        <f>N49*O49*P49*'1. Standard_Cost'!$C$15</f>
        <v>0</v>
      </c>
      <c r="T49" s="108">
        <f>N49*P49*Q49*'1. Standard_Cost'!$D$15</f>
        <v>0</v>
      </c>
      <c r="U49" s="108">
        <f>N49*O49*'1. Standard_Cost'!$E$15</f>
        <v>0</v>
      </c>
      <c r="V49" s="260"/>
      <c r="W49" s="260"/>
      <c r="X49" s="260"/>
      <c r="Y49" s="108">
        <f>+V49*((X49*'1. Standard_Cost'!$B$19)+(W49*X49*'1. Standard_Cost'!$C$19))</f>
        <v>0</v>
      </c>
      <c r="Z49" s="260"/>
      <c r="AA49" s="260"/>
      <c r="AB49" s="108">
        <f>+Z49*'1. Standard_Cost'!$B$23+AA49*'1. Standard_Cost'!$C$23</f>
        <v>0</v>
      </c>
      <c r="AC49" s="261"/>
      <c r="AD49" s="262"/>
      <c r="AE49" s="108">
        <f>SUM(AD49,AC49,AB49,Y49,U49,T49,S49,R49)*'1. Standard_Cost'!$B$31</f>
        <v>0</v>
      </c>
      <c r="AF49" s="108">
        <f t="shared" si="80"/>
        <v>0</v>
      </c>
      <c r="AG49" s="260"/>
      <c r="AH49" s="260"/>
      <c r="AI49" s="260"/>
      <c r="AJ49" s="263"/>
      <c r="AK49" s="263"/>
      <c r="AL49" s="263"/>
      <c r="AM49" s="108">
        <f>AG49*'1. Standard_Cost'!$B$27+'Incremental_Cost Year 10'!AH49*'1. Standard_Cost'!$C$27+'Incremental_Cost Year 10'!AI49*'1. Standard_Cost'!$D$27+'Incremental_Cost Year 10'!AJ49+'Incremental_Cost Year 10'!AL49+AK49</f>
        <v>0</v>
      </c>
      <c r="AN49" s="108">
        <f>AM49*'1. Standard_Cost'!$C$31</f>
        <v>0</v>
      </c>
      <c r="AO49" s="125" t="s">
        <v>299</v>
      </c>
      <c r="AQ49" s="14">
        <f t="shared" si="81"/>
        <v>0</v>
      </c>
      <c r="AR49" s="14">
        <f t="shared" si="82"/>
        <v>0</v>
      </c>
      <c r="AS49" s="14">
        <f t="shared" si="83"/>
        <v>0</v>
      </c>
      <c r="AT49" s="14">
        <f t="shared" si="85"/>
        <v>0</v>
      </c>
      <c r="AU49" s="234"/>
      <c r="AV49" s="234">
        <v>0</v>
      </c>
      <c r="AW49" s="234"/>
      <c r="AX49" s="234"/>
      <c r="AY49" s="234"/>
      <c r="AZ49" s="234"/>
      <c r="BA49" s="234"/>
      <c r="BB49" s="16">
        <f t="shared" si="84"/>
        <v>0</v>
      </c>
      <c r="BD49" s="294">
        <f>'Incremental_Cost Year 1'!AV49+'Incremental_Cost Year 2'!AV49+'Incremental_Cost Year 3'!AV49+'Incremental_Cost Year 4'!AV49+'Incremental_Cost Year 5'!AV49+'Incremental_Cost Year 6'!AV49+'Incremental_Cost Year 7'!AV49+'Incremental_Cost Year 8'!AV49+'Incremental_Cost Year 9'!AV49+'Incremental_Cost Year 10'!AV49</f>
        <v>0</v>
      </c>
      <c r="BE49" s="294">
        <f>'Incremental_Cost Year 1'!AW49+'Incremental_Cost Year 2'!AW49+'Incremental_Cost Year 3'!AW49+'Incremental_Cost Year 4'!AW49+'Incremental_Cost Year 5'!AW49+'Incremental_Cost Year 6'!AW49+'Incremental_Cost Year 7'!AW49+'Incremental_Cost Year 8'!AW49+'Incremental_Cost Year 9'!AW49+'Incremental_Cost Year 10'!AW49</f>
        <v>0</v>
      </c>
      <c r="BF49" s="294">
        <f>'Incremental_Cost Year 1'!AX49+'Incremental_Cost Year 2'!AX49+'Incremental_Cost Year 3'!AX49+'Incremental_Cost Year 4'!AX49+'Incremental_Cost Year 5'!AX49+'Incremental_Cost Year 6'!AX49+'Incremental_Cost Year 7'!AX49+'Incremental_Cost Year 8'!AX49+'Incremental_Cost Year 9'!AX49+'Incremental_Cost Year 10'!AX49</f>
        <v>0</v>
      </c>
      <c r="BG49" s="294">
        <f>'Incremental_Cost Year 1'!AY49+'Incremental_Cost Year 2'!AY49+'Incremental_Cost Year 3'!AY49+'Incremental_Cost Year 4'!AY49+'Incremental_Cost Year 5'!AY49+'Incremental_Cost Year 6'!AY49+'Incremental_Cost Year 7'!AY49+'Incremental_Cost Year 8'!AY49+'Incremental_Cost Year 9'!AY49+'Incremental_Cost Year 10'!AY49</f>
        <v>0</v>
      </c>
      <c r="BH49" s="294">
        <f>'Incremental_Cost Year 1'!AZ49+'Incremental_Cost Year 2'!AZ49+'Incremental_Cost Year 3'!AZ49+'Incremental_Cost Year 4'!AZ49+'Incremental_Cost Year 5'!AZ49+'Incremental_Cost Year 6'!AZ49+'Incremental_Cost Year 7'!AZ49+'Incremental_Cost Year 8'!AZ49+'Incremental_Cost Year 9'!AZ49+'Incremental_Cost Year 10'!AZ49</f>
        <v>0</v>
      </c>
      <c r="BI49" s="294">
        <f>'Incremental_Cost Year 1'!BA49+'Incremental_Cost Year 2'!BA49+'Incremental_Cost Year 3'!BA49+'Incremental_Cost Year 4'!BA49+'Incremental_Cost Year 5'!BA49+'Incremental_Cost Year 6'!BA49+'Incremental_Cost Year 7'!BA49+'Incremental_Cost Year 8'!BA49+'Incremental_Cost Year 9'!BA49+'Incremental_Cost Year 10'!BA49</f>
        <v>0</v>
      </c>
      <c r="BJ49" s="294">
        <f t="shared" si="22"/>
        <v>0</v>
      </c>
    </row>
    <row r="50" spans="1:62" ht="156" customHeight="1" outlineLevel="2">
      <c r="A50" s="98"/>
      <c r="B50" s="102"/>
      <c r="C50" s="23"/>
      <c r="D50" s="251"/>
      <c r="E50" s="251"/>
      <c r="F50" s="172"/>
      <c r="G50" s="173"/>
      <c r="H50" s="272"/>
      <c r="I50" s="258"/>
      <c r="J50" s="259"/>
      <c r="K50" s="259"/>
      <c r="L50" s="106" t="str">
        <f>IF(I50&lt;&gt;0,((VLOOKUP(I50,'1. Standard_Cost'!$B$4:$D$11,2)+VLOOKUP(I50,'1. Standard_Cost'!$B$4:$D$11,3))*J50*K50),"0")</f>
        <v>0</v>
      </c>
      <c r="M50" s="106">
        <f>L50*'1. Standard_Cost'!$F$4</f>
        <v>0</v>
      </c>
      <c r="N50" s="260"/>
      <c r="O50" s="260"/>
      <c r="P50" s="260"/>
      <c r="Q50" s="260"/>
      <c r="R50" s="108">
        <f>'1. Standard_Cost'!$B$15*N50*P50</f>
        <v>0</v>
      </c>
      <c r="S50" s="108">
        <f>N50*O50*P50*'1. Standard_Cost'!$C$15</f>
        <v>0</v>
      </c>
      <c r="T50" s="108">
        <f>N50*P50*Q50*'1. Standard_Cost'!$D$15</f>
        <v>0</v>
      </c>
      <c r="U50" s="108">
        <f>N50*O50*'1. Standard_Cost'!$E$15</f>
        <v>0</v>
      </c>
      <c r="V50" s="260"/>
      <c r="W50" s="260"/>
      <c r="X50" s="260"/>
      <c r="Y50" s="108">
        <f>+V50*((X50*'1. Standard_Cost'!$B$19)+(W50*X50*'1. Standard_Cost'!$C$19))</f>
        <v>0</v>
      </c>
      <c r="Z50" s="260"/>
      <c r="AA50" s="260"/>
      <c r="AB50" s="108">
        <f>+Z50*'1. Standard_Cost'!$B$23+AA50*'1. Standard_Cost'!$C$23</f>
        <v>0</v>
      </c>
      <c r="AC50" s="261"/>
      <c r="AD50" s="262"/>
      <c r="AE50" s="108">
        <f>SUM(AD50,AC50,AB50,Y50,U50,T50,S50,R50)*'1. Standard_Cost'!$B$31</f>
        <v>0</v>
      </c>
      <c r="AF50" s="108">
        <f t="shared" si="80"/>
        <v>0</v>
      </c>
      <c r="AG50" s="260"/>
      <c r="AH50" s="260"/>
      <c r="AI50" s="260"/>
      <c r="AJ50" s="263"/>
      <c r="AK50" s="263"/>
      <c r="AL50" s="263"/>
      <c r="AM50" s="108">
        <f>AG50*'1. Standard_Cost'!$B$27+'Incremental_Cost Year 10'!AH50*'1. Standard_Cost'!$C$27+'Incremental_Cost Year 10'!AI50*'1. Standard_Cost'!$D$27+'Incremental_Cost Year 10'!AJ50+'Incremental_Cost Year 10'!AL50+AK50</f>
        <v>0</v>
      </c>
      <c r="AN50" s="108">
        <f>AM50*'1. Standard_Cost'!$C$31</f>
        <v>0</v>
      </c>
      <c r="AO50" s="125" t="s">
        <v>300</v>
      </c>
      <c r="AQ50" s="14">
        <f t="shared" si="81"/>
        <v>0</v>
      </c>
      <c r="AR50" s="14">
        <f t="shared" si="82"/>
        <v>0</v>
      </c>
      <c r="AS50" s="14">
        <f t="shared" si="83"/>
        <v>0</v>
      </c>
      <c r="AT50" s="14">
        <f t="shared" si="85"/>
        <v>0</v>
      </c>
      <c r="AU50" s="234"/>
      <c r="AV50" s="234">
        <v>0</v>
      </c>
      <c r="AW50" s="234"/>
      <c r="AX50" s="234"/>
      <c r="AY50" s="234"/>
      <c r="AZ50" s="234"/>
      <c r="BA50" s="234"/>
      <c r="BB50" s="16">
        <f t="shared" si="84"/>
        <v>0</v>
      </c>
      <c r="BD50" s="294">
        <f>'Incremental_Cost Year 1'!AV50+'Incremental_Cost Year 2'!AV50+'Incremental_Cost Year 3'!AV50+'Incremental_Cost Year 4'!AV50+'Incremental_Cost Year 5'!AV50+'Incremental_Cost Year 6'!AV50+'Incremental_Cost Year 7'!AV50+'Incremental_Cost Year 8'!AV50+'Incremental_Cost Year 9'!AV50+'Incremental_Cost Year 10'!AV50</f>
        <v>0</v>
      </c>
      <c r="BE50" s="294">
        <f>'Incremental_Cost Year 1'!AW50+'Incremental_Cost Year 2'!AW50+'Incremental_Cost Year 3'!AW50+'Incremental_Cost Year 4'!AW50+'Incremental_Cost Year 5'!AW50+'Incremental_Cost Year 6'!AW50+'Incremental_Cost Year 7'!AW50+'Incremental_Cost Year 8'!AW50+'Incremental_Cost Year 9'!AW50+'Incremental_Cost Year 10'!AW50</f>
        <v>0</v>
      </c>
      <c r="BF50" s="294">
        <f>'Incremental_Cost Year 1'!AX50+'Incremental_Cost Year 2'!AX50+'Incremental_Cost Year 3'!AX50+'Incremental_Cost Year 4'!AX50+'Incremental_Cost Year 5'!AX50+'Incremental_Cost Year 6'!AX50+'Incremental_Cost Year 7'!AX50+'Incremental_Cost Year 8'!AX50+'Incremental_Cost Year 9'!AX50+'Incremental_Cost Year 10'!AX50</f>
        <v>0</v>
      </c>
      <c r="BG50" s="294">
        <f>'Incremental_Cost Year 1'!AY50+'Incremental_Cost Year 2'!AY50+'Incremental_Cost Year 3'!AY50+'Incremental_Cost Year 4'!AY50+'Incremental_Cost Year 5'!AY50+'Incremental_Cost Year 6'!AY50+'Incremental_Cost Year 7'!AY50+'Incremental_Cost Year 8'!AY50+'Incremental_Cost Year 9'!AY50+'Incremental_Cost Year 10'!AY50</f>
        <v>0</v>
      </c>
      <c r="BH50" s="294">
        <f>'Incremental_Cost Year 1'!AZ50+'Incremental_Cost Year 2'!AZ50+'Incremental_Cost Year 3'!AZ50+'Incremental_Cost Year 4'!AZ50+'Incremental_Cost Year 5'!AZ50+'Incremental_Cost Year 6'!AZ50+'Incremental_Cost Year 7'!AZ50+'Incremental_Cost Year 8'!AZ50+'Incremental_Cost Year 9'!AZ50+'Incremental_Cost Year 10'!AZ50</f>
        <v>0</v>
      </c>
      <c r="BI50" s="294">
        <f>'Incremental_Cost Year 1'!BA50+'Incremental_Cost Year 2'!BA50+'Incremental_Cost Year 3'!BA50+'Incremental_Cost Year 4'!BA50+'Incremental_Cost Year 5'!BA50+'Incremental_Cost Year 6'!BA50+'Incremental_Cost Year 7'!BA50+'Incremental_Cost Year 8'!BA50+'Incremental_Cost Year 9'!BA50+'Incremental_Cost Year 10'!BA50</f>
        <v>0</v>
      </c>
      <c r="BJ50" s="294">
        <f t="shared" si="22"/>
        <v>0</v>
      </c>
    </row>
    <row r="51" spans="1:62" ht="15.6" outlineLevel="2">
      <c r="A51" s="98"/>
      <c r="B51" s="102"/>
      <c r="C51" s="23"/>
      <c r="D51" s="251"/>
      <c r="E51" s="251"/>
      <c r="F51" s="251"/>
      <c r="G51" s="173"/>
      <c r="H51" s="272"/>
      <c r="I51" s="258"/>
      <c r="J51" s="259"/>
      <c r="K51" s="259"/>
      <c r="L51" s="106" t="str">
        <f>IF(I51&lt;&gt;0,((VLOOKUP(I51,'1. Standard_Cost'!$B$4:$D$11,2)+VLOOKUP(I51,'1. Standard_Cost'!$B$4:$D$11,3))*J51*K51),"0")</f>
        <v>0</v>
      </c>
      <c r="M51" s="106">
        <f>L51*'1. Standard_Cost'!$F$4</f>
        <v>0</v>
      </c>
      <c r="N51" s="260"/>
      <c r="O51" s="260"/>
      <c r="P51" s="260"/>
      <c r="Q51" s="260"/>
      <c r="R51" s="108">
        <f>'1. Standard_Cost'!$B$15*N51*P51</f>
        <v>0</v>
      </c>
      <c r="S51" s="108">
        <f>N51*O51*P51*'1. Standard_Cost'!$C$15</f>
        <v>0</v>
      </c>
      <c r="T51" s="108">
        <f>N51*P51*Q51*'1. Standard_Cost'!$D$15</f>
        <v>0</v>
      </c>
      <c r="U51" s="108">
        <f>N51*O51*'1. Standard_Cost'!$E$15</f>
        <v>0</v>
      </c>
      <c r="V51" s="260"/>
      <c r="W51" s="260"/>
      <c r="X51" s="260"/>
      <c r="Y51" s="108">
        <f>+V51*((X51*'1. Standard_Cost'!$B$19)+(W51*X51*'1. Standard_Cost'!$C$19))</f>
        <v>0</v>
      </c>
      <c r="Z51" s="260"/>
      <c r="AA51" s="260"/>
      <c r="AB51" s="108">
        <f>+Z51*'1. Standard_Cost'!$B$23+AA51*'1. Standard_Cost'!$C$23</f>
        <v>0</v>
      </c>
      <c r="AC51" s="261"/>
      <c r="AD51" s="262"/>
      <c r="AE51" s="108">
        <f>SUM(AD51,AC51,AB51,Y51,U51,T51,S51,R51)*'1. Standard_Cost'!$B$31</f>
        <v>0</v>
      </c>
      <c r="AF51" s="108">
        <f t="shared" si="80"/>
        <v>0</v>
      </c>
      <c r="AG51" s="260"/>
      <c r="AH51" s="260"/>
      <c r="AI51" s="260"/>
      <c r="AJ51" s="263"/>
      <c r="AK51" s="263"/>
      <c r="AL51" s="263"/>
      <c r="AM51" s="108">
        <f>AG51*'1. Standard_Cost'!$B$27+'Incremental_Cost Year 10'!AH51*'1. Standard_Cost'!$C$27+'Incremental_Cost Year 10'!AI51*'1. Standard_Cost'!$D$27+'Incremental_Cost Year 10'!AJ51+'Incremental_Cost Year 10'!AL51+AK51</f>
        <v>0</v>
      </c>
      <c r="AN51" s="108">
        <f>AM51*'1. Standard_Cost'!$C$31</f>
        <v>0</v>
      </c>
      <c r="AO51" s="125" t="s">
        <v>301</v>
      </c>
      <c r="AQ51" s="14">
        <f t="shared" si="81"/>
        <v>0</v>
      </c>
      <c r="AR51" s="14">
        <f t="shared" si="82"/>
        <v>0</v>
      </c>
      <c r="AS51" s="14">
        <f t="shared" si="83"/>
        <v>0</v>
      </c>
      <c r="AT51" s="14">
        <f t="shared" si="85"/>
        <v>0</v>
      </c>
      <c r="AU51" s="234"/>
      <c r="AV51" s="234"/>
      <c r="AW51" s="234"/>
      <c r="AX51" s="234"/>
      <c r="AY51" s="234"/>
      <c r="AZ51" s="234"/>
      <c r="BA51" s="234"/>
      <c r="BB51" s="16">
        <f t="shared" si="84"/>
        <v>0</v>
      </c>
      <c r="BD51" s="294">
        <f>'Incremental_Cost Year 1'!AV51+'Incremental_Cost Year 2'!AV51+'Incremental_Cost Year 3'!AV51+'Incremental_Cost Year 4'!AV51+'Incremental_Cost Year 5'!AV51+'Incremental_Cost Year 6'!AV51+'Incremental_Cost Year 7'!AV51+'Incremental_Cost Year 8'!AV51+'Incremental_Cost Year 9'!AV51+'Incremental_Cost Year 10'!AV51</f>
        <v>0</v>
      </c>
      <c r="BE51" s="294">
        <f>'Incremental_Cost Year 1'!AW51+'Incremental_Cost Year 2'!AW51+'Incremental_Cost Year 3'!AW51+'Incremental_Cost Year 4'!AW51+'Incremental_Cost Year 5'!AW51+'Incremental_Cost Year 6'!AW51+'Incremental_Cost Year 7'!AW51+'Incremental_Cost Year 8'!AW51+'Incremental_Cost Year 9'!AW51+'Incremental_Cost Year 10'!AW51</f>
        <v>0</v>
      </c>
      <c r="BF51" s="294">
        <f>'Incremental_Cost Year 1'!AX51+'Incremental_Cost Year 2'!AX51+'Incremental_Cost Year 3'!AX51+'Incremental_Cost Year 4'!AX51+'Incremental_Cost Year 5'!AX51+'Incremental_Cost Year 6'!AX51+'Incremental_Cost Year 7'!AX51+'Incremental_Cost Year 8'!AX51+'Incremental_Cost Year 9'!AX51+'Incremental_Cost Year 10'!AX51</f>
        <v>342000</v>
      </c>
      <c r="BG51" s="294">
        <f>'Incremental_Cost Year 1'!AY51+'Incremental_Cost Year 2'!AY51+'Incremental_Cost Year 3'!AY51+'Incremental_Cost Year 4'!AY51+'Incremental_Cost Year 5'!AY51+'Incremental_Cost Year 6'!AY51+'Incremental_Cost Year 7'!AY51+'Incremental_Cost Year 8'!AY51+'Incremental_Cost Year 9'!AY51+'Incremental_Cost Year 10'!AY51</f>
        <v>0</v>
      </c>
      <c r="BH51" s="294">
        <f>'Incremental_Cost Year 1'!AZ51+'Incremental_Cost Year 2'!AZ51+'Incremental_Cost Year 3'!AZ51+'Incremental_Cost Year 4'!AZ51+'Incremental_Cost Year 5'!AZ51+'Incremental_Cost Year 6'!AZ51+'Incremental_Cost Year 7'!AZ51+'Incremental_Cost Year 8'!AZ51+'Incremental_Cost Year 9'!AZ51+'Incremental_Cost Year 10'!AZ51</f>
        <v>0</v>
      </c>
      <c r="BI51" s="294">
        <f>'Incremental_Cost Year 1'!BA51+'Incremental_Cost Year 2'!BA51+'Incremental_Cost Year 3'!BA51+'Incremental_Cost Year 4'!BA51+'Incremental_Cost Year 5'!BA51+'Incremental_Cost Year 6'!BA51+'Incremental_Cost Year 7'!BA51+'Incremental_Cost Year 8'!BA51+'Incremental_Cost Year 9'!BA51+'Incremental_Cost Year 10'!BA51</f>
        <v>0</v>
      </c>
      <c r="BJ51" s="294">
        <f t="shared" si="22"/>
        <v>342000</v>
      </c>
    </row>
    <row r="52" spans="1:62" ht="15.6" outlineLevel="2">
      <c r="A52" s="98"/>
      <c r="B52" s="102"/>
      <c r="C52" s="23"/>
      <c r="D52" s="251"/>
      <c r="E52" s="251"/>
      <c r="F52" s="251"/>
      <c r="G52" s="250"/>
      <c r="H52" s="272"/>
      <c r="I52" s="258"/>
      <c r="J52" s="259"/>
      <c r="K52" s="259"/>
      <c r="L52" s="106" t="str">
        <f>IF(I52&lt;&gt;0,((VLOOKUP(I52,'1. Standard_Cost'!$B$4:$D$11,2)+VLOOKUP(I52,'1. Standard_Cost'!$B$4:$D$11,3))*J52*K52),"0")</f>
        <v>0</v>
      </c>
      <c r="M52" s="106">
        <f>L52*'1. Standard_Cost'!$F$4</f>
        <v>0</v>
      </c>
      <c r="N52" s="260"/>
      <c r="O52" s="260"/>
      <c r="P52" s="260"/>
      <c r="Q52" s="260"/>
      <c r="R52" s="108">
        <f>'1. Standard_Cost'!$B$15*N52*P52</f>
        <v>0</v>
      </c>
      <c r="S52" s="108">
        <f>N52*O52*P52*'1. Standard_Cost'!$C$15</f>
        <v>0</v>
      </c>
      <c r="T52" s="108">
        <f>N52*P52*Q52*'1. Standard_Cost'!$D$15</f>
        <v>0</v>
      </c>
      <c r="U52" s="108">
        <f>N52*O52*'1. Standard_Cost'!$E$15</f>
        <v>0</v>
      </c>
      <c r="V52" s="260"/>
      <c r="W52" s="260"/>
      <c r="X52" s="260"/>
      <c r="Y52" s="108">
        <f>+V52*((X52*'1. Standard_Cost'!$B$19)+(W52*X52*'1. Standard_Cost'!$C$19))</f>
        <v>0</v>
      </c>
      <c r="Z52" s="260"/>
      <c r="AA52" s="260"/>
      <c r="AB52" s="108">
        <f>+Z52*'1. Standard_Cost'!$B$23+AA52*'1. Standard_Cost'!$C$23</f>
        <v>0</v>
      </c>
      <c r="AC52" s="261"/>
      <c r="AD52" s="262"/>
      <c r="AE52" s="108">
        <f>SUM(AD52,AC52,AB52,Y52,U52,T52,S52,R52)*'1. Standard_Cost'!$B$31</f>
        <v>0</v>
      </c>
      <c r="AF52" s="108">
        <f t="shared" si="80"/>
        <v>0</v>
      </c>
      <c r="AG52" s="260"/>
      <c r="AH52" s="260"/>
      <c r="AI52" s="260"/>
      <c r="AJ52" s="263"/>
      <c r="AK52" s="263"/>
      <c r="AL52" s="263"/>
      <c r="AM52" s="108">
        <f>AG52*'1. Standard_Cost'!$B$27+'Incremental_Cost Year 10'!AH52*'1. Standard_Cost'!$C$27+'Incremental_Cost Year 10'!AI52*'1. Standard_Cost'!$D$27+'Incremental_Cost Year 10'!AJ52+'Incremental_Cost Year 10'!AL52+AK52</f>
        <v>0</v>
      </c>
      <c r="AN52" s="108">
        <f>AM52*'1. Standard_Cost'!$C$31</f>
        <v>0</v>
      </c>
      <c r="AO52" s="125" t="s">
        <v>302</v>
      </c>
      <c r="AQ52" s="14">
        <f t="shared" si="81"/>
        <v>0</v>
      </c>
      <c r="AR52" s="14">
        <f t="shared" si="82"/>
        <v>0</v>
      </c>
      <c r="AS52" s="14">
        <f t="shared" si="83"/>
        <v>0</v>
      </c>
      <c r="AT52" s="14">
        <f t="shared" si="85"/>
        <v>0</v>
      </c>
      <c r="AU52" s="234"/>
      <c r="AV52" s="234">
        <v>0</v>
      </c>
      <c r="AW52" s="234"/>
      <c r="AX52" s="234"/>
      <c r="AY52" s="234"/>
      <c r="AZ52" s="234"/>
      <c r="BA52" s="234"/>
      <c r="BB52" s="16">
        <f t="shared" si="84"/>
        <v>0</v>
      </c>
      <c r="BD52" s="294">
        <f>'Incremental_Cost Year 1'!AV52+'Incremental_Cost Year 2'!AV52+'Incremental_Cost Year 3'!AV52+'Incremental_Cost Year 4'!AV52+'Incremental_Cost Year 5'!AV52+'Incremental_Cost Year 6'!AV52+'Incremental_Cost Year 7'!AV52+'Incremental_Cost Year 8'!AV52+'Incremental_Cost Year 9'!AV52+'Incremental_Cost Year 10'!AV52</f>
        <v>0</v>
      </c>
      <c r="BE52" s="294">
        <f>'Incremental_Cost Year 1'!AW52+'Incremental_Cost Year 2'!AW52+'Incremental_Cost Year 3'!AW52+'Incremental_Cost Year 4'!AW52+'Incremental_Cost Year 5'!AW52+'Incremental_Cost Year 6'!AW52+'Incremental_Cost Year 7'!AW52+'Incremental_Cost Year 8'!AW52+'Incremental_Cost Year 9'!AW52+'Incremental_Cost Year 10'!AW52</f>
        <v>0</v>
      </c>
      <c r="BF52" s="294">
        <f>'Incremental_Cost Year 1'!AX52+'Incremental_Cost Year 2'!AX52+'Incremental_Cost Year 3'!AX52+'Incremental_Cost Year 4'!AX52+'Incremental_Cost Year 5'!AX52+'Incremental_Cost Year 6'!AX52+'Incremental_Cost Year 7'!AX52+'Incremental_Cost Year 8'!AX52+'Incremental_Cost Year 9'!AX52+'Incremental_Cost Year 10'!AX52</f>
        <v>0</v>
      </c>
      <c r="BG52" s="294">
        <f>'Incremental_Cost Year 1'!AY52+'Incremental_Cost Year 2'!AY52+'Incremental_Cost Year 3'!AY52+'Incremental_Cost Year 4'!AY52+'Incremental_Cost Year 5'!AY52+'Incremental_Cost Year 6'!AY52+'Incremental_Cost Year 7'!AY52+'Incremental_Cost Year 8'!AY52+'Incremental_Cost Year 9'!AY52+'Incremental_Cost Year 10'!AY52</f>
        <v>0</v>
      </c>
      <c r="BH52" s="294">
        <f>'Incremental_Cost Year 1'!AZ52+'Incremental_Cost Year 2'!AZ52+'Incremental_Cost Year 3'!AZ52+'Incremental_Cost Year 4'!AZ52+'Incremental_Cost Year 5'!AZ52+'Incremental_Cost Year 6'!AZ52+'Incremental_Cost Year 7'!AZ52+'Incremental_Cost Year 8'!AZ52+'Incremental_Cost Year 9'!AZ52+'Incremental_Cost Year 10'!AZ52</f>
        <v>684000</v>
      </c>
      <c r="BI52" s="294">
        <f>'Incremental_Cost Year 1'!BA52+'Incremental_Cost Year 2'!BA52+'Incremental_Cost Year 3'!BA52+'Incremental_Cost Year 4'!BA52+'Incremental_Cost Year 5'!BA52+'Incremental_Cost Year 6'!BA52+'Incremental_Cost Year 7'!BA52+'Incremental_Cost Year 8'!BA52+'Incremental_Cost Year 9'!BA52+'Incremental_Cost Year 10'!BA52</f>
        <v>0</v>
      </c>
      <c r="BJ52" s="294">
        <f t="shared" si="22"/>
        <v>684000</v>
      </c>
    </row>
    <row r="53" spans="1:62" ht="15.6" outlineLevel="2">
      <c r="A53" s="98"/>
      <c r="B53" s="102"/>
      <c r="C53" s="23"/>
      <c r="D53" s="251"/>
      <c r="E53" s="251"/>
      <c r="F53" s="172"/>
      <c r="G53" s="173"/>
      <c r="H53" s="272"/>
      <c r="I53" s="258"/>
      <c r="J53" s="259"/>
      <c r="K53" s="259"/>
      <c r="L53" s="106" t="str">
        <f>IF(I53&lt;&gt;0,((VLOOKUP(I53,'1. Standard_Cost'!$B$4:$D$11,2)+VLOOKUP(I53,'1. Standard_Cost'!$B$4:$D$11,3))*J53*K53),"0")</f>
        <v>0</v>
      </c>
      <c r="M53" s="106">
        <f>L53*'1. Standard_Cost'!$F$4</f>
        <v>0</v>
      </c>
      <c r="N53" s="260"/>
      <c r="O53" s="260"/>
      <c r="P53" s="260"/>
      <c r="Q53" s="260"/>
      <c r="R53" s="108">
        <f>'1. Standard_Cost'!$B$15*N53*P53</f>
        <v>0</v>
      </c>
      <c r="S53" s="108">
        <f>N53*O53*P53*'1. Standard_Cost'!$C$15</f>
        <v>0</v>
      </c>
      <c r="T53" s="108">
        <f>N53*P53*Q53*'1. Standard_Cost'!$D$15</f>
        <v>0</v>
      </c>
      <c r="U53" s="108">
        <f>N53*O53*'1. Standard_Cost'!$E$15</f>
        <v>0</v>
      </c>
      <c r="V53" s="260"/>
      <c r="W53" s="260"/>
      <c r="X53" s="260"/>
      <c r="Y53" s="108">
        <f>+V53*((X53*'1. Standard_Cost'!$B$19)+(W53*X53*'1. Standard_Cost'!$C$19))</f>
        <v>0</v>
      </c>
      <c r="Z53" s="260"/>
      <c r="AA53" s="260"/>
      <c r="AB53" s="108">
        <f>+Z53*'1. Standard_Cost'!$B$23+AA53*'1. Standard_Cost'!$C$23</f>
        <v>0</v>
      </c>
      <c r="AC53" s="261"/>
      <c r="AD53" s="262"/>
      <c r="AE53" s="108">
        <f>SUM(AD53,AC53,AB53,Y53,U53,T53,S53,R53)*'1. Standard_Cost'!$B$31</f>
        <v>0</v>
      </c>
      <c r="AF53" s="108">
        <f t="shared" si="80"/>
        <v>0</v>
      </c>
      <c r="AG53" s="260"/>
      <c r="AH53" s="260"/>
      <c r="AI53" s="260"/>
      <c r="AJ53" s="263"/>
      <c r="AK53" s="263"/>
      <c r="AL53" s="263"/>
      <c r="AM53" s="108">
        <f>AG53*'1. Standard_Cost'!$B$27+'Incremental_Cost Year 10'!AH53*'1. Standard_Cost'!$C$27+'Incremental_Cost Year 10'!AI53*'1. Standard_Cost'!$D$27+'Incremental_Cost Year 10'!AJ53+'Incremental_Cost Year 10'!AL53+AK53</f>
        <v>0</v>
      </c>
      <c r="AN53" s="108">
        <f>AM53*'1. Standard_Cost'!$C$31</f>
        <v>0</v>
      </c>
      <c r="AO53" s="125" t="s">
        <v>302</v>
      </c>
      <c r="AQ53" s="14">
        <f t="shared" si="81"/>
        <v>0</v>
      </c>
      <c r="AR53" s="14">
        <f t="shared" si="82"/>
        <v>0</v>
      </c>
      <c r="AS53" s="14">
        <f t="shared" si="83"/>
        <v>0</v>
      </c>
      <c r="AT53" s="14">
        <f t="shared" si="85"/>
        <v>0</v>
      </c>
      <c r="AU53" s="234"/>
      <c r="AV53" s="234"/>
      <c r="AW53" s="234"/>
      <c r="AX53" s="234"/>
      <c r="AY53" s="234"/>
      <c r="AZ53" s="234"/>
      <c r="BA53" s="234"/>
      <c r="BB53" s="16">
        <f t="shared" si="84"/>
        <v>0</v>
      </c>
      <c r="BD53" s="294">
        <f>'Incremental_Cost Year 1'!AV53+'Incremental_Cost Year 2'!AV53+'Incremental_Cost Year 3'!AV53+'Incremental_Cost Year 4'!AV53+'Incremental_Cost Year 5'!AV53+'Incremental_Cost Year 6'!AV53+'Incremental_Cost Year 7'!AV53+'Incremental_Cost Year 8'!AV53+'Incremental_Cost Year 9'!AV53+'Incremental_Cost Year 10'!AV53</f>
        <v>0</v>
      </c>
      <c r="BE53" s="294">
        <f>'Incremental_Cost Year 1'!AW53+'Incremental_Cost Year 2'!AW53+'Incremental_Cost Year 3'!AW53+'Incremental_Cost Year 4'!AW53+'Incremental_Cost Year 5'!AW53+'Incremental_Cost Year 6'!AW53+'Incremental_Cost Year 7'!AW53+'Incremental_Cost Year 8'!AW53+'Incremental_Cost Year 9'!AW53+'Incremental_Cost Year 10'!AW53</f>
        <v>0</v>
      </c>
      <c r="BF53" s="294">
        <f>'Incremental_Cost Year 1'!AX53+'Incremental_Cost Year 2'!AX53+'Incremental_Cost Year 3'!AX53+'Incremental_Cost Year 4'!AX53+'Incremental_Cost Year 5'!AX53+'Incremental_Cost Year 6'!AX53+'Incremental_Cost Year 7'!AX53+'Incremental_Cost Year 8'!AX53+'Incremental_Cost Year 9'!AX53+'Incremental_Cost Year 10'!AX53</f>
        <v>0</v>
      </c>
      <c r="BG53" s="294">
        <f>'Incremental_Cost Year 1'!AY53+'Incremental_Cost Year 2'!AY53+'Incremental_Cost Year 3'!AY53+'Incremental_Cost Year 4'!AY53+'Incremental_Cost Year 5'!AY53+'Incremental_Cost Year 6'!AY53+'Incremental_Cost Year 7'!AY53+'Incremental_Cost Year 8'!AY53+'Incremental_Cost Year 9'!AY53+'Incremental_Cost Year 10'!AY53</f>
        <v>0</v>
      </c>
      <c r="BH53" s="294">
        <f>'Incremental_Cost Year 1'!AZ53+'Incremental_Cost Year 2'!AZ53+'Incremental_Cost Year 3'!AZ53+'Incremental_Cost Year 4'!AZ53+'Incremental_Cost Year 5'!AZ53+'Incremental_Cost Year 6'!AZ53+'Incremental_Cost Year 7'!AZ53+'Incremental_Cost Year 8'!AZ53+'Incremental_Cost Year 9'!AZ53+'Incremental_Cost Year 10'!AZ53</f>
        <v>0</v>
      </c>
      <c r="BI53" s="294">
        <f>'Incremental_Cost Year 1'!BA53+'Incremental_Cost Year 2'!BA53+'Incremental_Cost Year 3'!BA53+'Incremental_Cost Year 4'!BA53+'Incremental_Cost Year 5'!BA53+'Incremental_Cost Year 6'!BA53+'Incremental_Cost Year 7'!BA53+'Incremental_Cost Year 8'!BA53+'Incremental_Cost Year 9'!BA53+'Incremental_Cost Year 10'!BA53</f>
        <v>0</v>
      </c>
      <c r="BJ53" s="294">
        <f t="shared" si="22"/>
        <v>0</v>
      </c>
    </row>
    <row r="54" spans="1:62" ht="15.6" outlineLevel="2">
      <c r="A54" s="98"/>
      <c r="B54" s="102"/>
      <c r="C54" s="23"/>
      <c r="D54" s="251"/>
      <c r="E54" s="251"/>
      <c r="F54" s="172"/>
      <c r="G54" s="173"/>
      <c r="H54" s="272"/>
      <c r="I54" s="258"/>
      <c r="J54" s="259"/>
      <c r="K54" s="259"/>
      <c r="L54" s="106" t="str">
        <f>IF(I54&lt;&gt;0,((VLOOKUP(I54,'1. Standard_Cost'!$B$4:$D$11,2)+VLOOKUP(I54,'1. Standard_Cost'!$B$4:$D$11,3))*J54*K54),"0")</f>
        <v>0</v>
      </c>
      <c r="M54" s="106">
        <f>L54*'1. Standard_Cost'!$F$4</f>
        <v>0</v>
      </c>
      <c r="N54" s="260"/>
      <c r="O54" s="260"/>
      <c r="P54" s="260"/>
      <c r="Q54" s="260"/>
      <c r="R54" s="108">
        <f>'1. Standard_Cost'!$B$15*N54*P54</f>
        <v>0</v>
      </c>
      <c r="S54" s="108">
        <f>N54*O54*P54*'1. Standard_Cost'!$C$15</f>
        <v>0</v>
      </c>
      <c r="T54" s="108">
        <f>N54*P54*Q54*'1. Standard_Cost'!$D$15</f>
        <v>0</v>
      </c>
      <c r="U54" s="108">
        <f>N54*O54*'1. Standard_Cost'!$E$15</f>
        <v>0</v>
      </c>
      <c r="V54" s="260"/>
      <c r="W54" s="260"/>
      <c r="X54" s="260"/>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80"/>
        <v>0</v>
      </c>
      <c r="AG54" s="260"/>
      <c r="AH54" s="260"/>
      <c r="AI54" s="260"/>
      <c r="AJ54" s="263"/>
      <c r="AK54" s="263"/>
      <c r="AL54" s="263"/>
      <c r="AM54" s="108">
        <f>AG54*'1. Standard_Cost'!$B$27+'Incremental_Cost Year 10'!AH54*'1. Standard_Cost'!$C$27+'Incremental_Cost Year 10'!AI54*'1. Standard_Cost'!$D$27+'Incremental_Cost Year 10'!AJ54+'Incremental_Cost Year 10'!AL54+AK54</f>
        <v>0</v>
      </c>
      <c r="AN54" s="108">
        <f>AM54*'1. Standard_Cost'!$C$31</f>
        <v>0</v>
      </c>
      <c r="AO54" s="125" t="s">
        <v>300</v>
      </c>
      <c r="AQ54" s="14">
        <f t="shared" si="81"/>
        <v>0</v>
      </c>
      <c r="AR54" s="14">
        <f t="shared" si="82"/>
        <v>0</v>
      </c>
      <c r="AS54" s="14">
        <f t="shared" si="83"/>
        <v>0</v>
      </c>
      <c r="AT54" s="14">
        <f t="shared" si="85"/>
        <v>0</v>
      </c>
      <c r="AU54" s="234"/>
      <c r="AV54" s="234">
        <v>0</v>
      </c>
      <c r="AW54" s="234"/>
      <c r="AX54" s="234"/>
      <c r="AY54" s="234"/>
      <c r="AZ54" s="234"/>
      <c r="BA54" s="234"/>
      <c r="BB54" s="16">
        <f t="shared" si="84"/>
        <v>0</v>
      </c>
      <c r="BD54" s="294">
        <f>'Incremental_Cost Year 1'!AV54+'Incremental_Cost Year 2'!AV54+'Incremental_Cost Year 3'!AV54+'Incremental_Cost Year 4'!AV54+'Incremental_Cost Year 5'!AV54+'Incremental_Cost Year 6'!AV54+'Incremental_Cost Year 7'!AV54+'Incremental_Cost Year 8'!AV54+'Incremental_Cost Year 9'!AV54+'Incremental_Cost Year 10'!AV54</f>
        <v>0</v>
      </c>
      <c r="BE54" s="294">
        <f>'Incremental_Cost Year 1'!AW54+'Incremental_Cost Year 2'!AW54+'Incremental_Cost Year 3'!AW54+'Incremental_Cost Year 4'!AW54+'Incremental_Cost Year 5'!AW54+'Incremental_Cost Year 6'!AW54+'Incremental_Cost Year 7'!AW54+'Incremental_Cost Year 8'!AW54+'Incremental_Cost Year 9'!AW54+'Incremental_Cost Year 10'!AW54</f>
        <v>0</v>
      </c>
      <c r="BF54" s="294">
        <f>'Incremental_Cost Year 1'!AX54+'Incremental_Cost Year 2'!AX54+'Incremental_Cost Year 3'!AX54+'Incremental_Cost Year 4'!AX54+'Incremental_Cost Year 5'!AX54+'Incremental_Cost Year 6'!AX54+'Incremental_Cost Year 7'!AX54+'Incremental_Cost Year 8'!AX54+'Incremental_Cost Year 9'!AX54+'Incremental_Cost Year 10'!AX54</f>
        <v>0</v>
      </c>
      <c r="BG54" s="294">
        <f>'Incremental_Cost Year 1'!AY54+'Incremental_Cost Year 2'!AY54+'Incremental_Cost Year 3'!AY54+'Incremental_Cost Year 4'!AY54+'Incremental_Cost Year 5'!AY54+'Incremental_Cost Year 6'!AY54+'Incremental_Cost Year 7'!AY54+'Incremental_Cost Year 8'!AY54+'Incremental_Cost Year 9'!AY54+'Incremental_Cost Year 10'!AY54</f>
        <v>0</v>
      </c>
      <c r="BH54" s="294">
        <f>'Incremental_Cost Year 1'!AZ54+'Incremental_Cost Year 2'!AZ54+'Incremental_Cost Year 3'!AZ54+'Incremental_Cost Year 4'!AZ54+'Incremental_Cost Year 5'!AZ54+'Incremental_Cost Year 6'!AZ54+'Incremental_Cost Year 7'!AZ54+'Incremental_Cost Year 8'!AZ54+'Incremental_Cost Year 9'!AZ54+'Incremental_Cost Year 10'!AZ54</f>
        <v>0</v>
      </c>
      <c r="BI54" s="294">
        <f>'Incremental_Cost Year 1'!BA54+'Incremental_Cost Year 2'!BA54+'Incremental_Cost Year 3'!BA54+'Incremental_Cost Year 4'!BA54+'Incremental_Cost Year 5'!BA54+'Incremental_Cost Year 6'!BA54+'Incremental_Cost Year 7'!BA54+'Incremental_Cost Year 8'!BA54+'Incremental_Cost Year 9'!BA54+'Incremental_Cost Year 10'!BA54</f>
        <v>0</v>
      </c>
      <c r="BJ54" s="294">
        <f t="shared" si="22"/>
        <v>0</v>
      </c>
    </row>
    <row r="55" spans="1:62" ht="15.6" outlineLevel="2">
      <c r="A55" s="98"/>
      <c r="B55" s="102"/>
      <c r="C55" s="23"/>
      <c r="D55" s="251"/>
      <c r="E55" s="251"/>
      <c r="F55" s="251"/>
      <c r="G55" s="173"/>
      <c r="H55" s="272"/>
      <c r="I55" s="258"/>
      <c r="J55" s="259"/>
      <c r="K55" s="259"/>
      <c r="L55" s="106" t="str">
        <f>IF(I55&lt;&gt;0,((VLOOKUP(I55,'1. Standard_Cost'!$B$4:$D$11,2)+VLOOKUP(I55,'1. Standard_Cost'!$B$4:$D$11,3))*J55*K55),"0")</f>
        <v>0</v>
      </c>
      <c r="M55" s="106">
        <f>L55*'1. Standard_Cost'!$F$4</f>
        <v>0</v>
      </c>
      <c r="N55" s="260"/>
      <c r="O55" s="260"/>
      <c r="P55" s="260"/>
      <c r="Q55" s="260"/>
      <c r="R55" s="108">
        <f>'1. Standard_Cost'!$B$15*N55*P55</f>
        <v>0</v>
      </c>
      <c r="S55" s="108">
        <f>N55*O55*P55*'1. Standard_Cost'!$C$15</f>
        <v>0</v>
      </c>
      <c r="T55" s="108">
        <f>N55*P55*Q55*'1. Standard_Cost'!$D$15</f>
        <v>0</v>
      </c>
      <c r="U55" s="108">
        <f>N55*O55*'1. Standard_Cost'!$E$15</f>
        <v>0</v>
      </c>
      <c r="V55" s="260"/>
      <c r="W55" s="260"/>
      <c r="X55" s="260"/>
      <c r="Y55" s="108">
        <f>+V55*((X55*'1. Standard_Cost'!$B$19)+(W55*X55*'1. Standard_Cost'!$C$19))</f>
        <v>0</v>
      </c>
      <c r="Z55" s="260"/>
      <c r="AA55" s="260"/>
      <c r="AB55" s="108">
        <f>+Z55*'1. Standard_Cost'!$B$23+AA55*'1. Standard_Cost'!$C$23</f>
        <v>0</v>
      </c>
      <c r="AC55" s="261"/>
      <c r="AD55" s="262"/>
      <c r="AE55" s="108">
        <f>SUM(AD55,AC55,AB55,Y55,U55,T55,S55,R55)*'1. Standard_Cost'!$B$31</f>
        <v>0</v>
      </c>
      <c r="AF55" s="108">
        <f t="shared" si="80"/>
        <v>0</v>
      </c>
      <c r="AG55" s="260"/>
      <c r="AH55" s="260"/>
      <c r="AI55" s="260"/>
      <c r="AJ55" s="263"/>
      <c r="AK55" s="263"/>
      <c r="AL55" s="263"/>
      <c r="AM55" s="108">
        <f>AG55*'1. Standard_Cost'!$B$27+'Incremental_Cost Year 10'!AH55*'1. Standard_Cost'!$C$27+'Incremental_Cost Year 10'!AI55*'1. Standard_Cost'!$D$27+'Incremental_Cost Year 10'!AJ55+'Incremental_Cost Year 10'!AL55+AK55</f>
        <v>0</v>
      </c>
      <c r="AN55" s="108">
        <f>AM55*'1. Standard_Cost'!$C$31</f>
        <v>0</v>
      </c>
      <c r="AO55" s="125" t="s">
        <v>303</v>
      </c>
      <c r="AQ55" s="14">
        <f t="shared" si="81"/>
        <v>0</v>
      </c>
      <c r="AR55" s="14">
        <f t="shared" si="82"/>
        <v>0</v>
      </c>
      <c r="AS55" s="14">
        <f t="shared" si="83"/>
        <v>0</v>
      </c>
      <c r="AT55" s="14">
        <f t="shared" si="85"/>
        <v>0</v>
      </c>
      <c r="AU55" s="234"/>
      <c r="AV55" s="234"/>
      <c r="AW55" s="234"/>
      <c r="AX55" s="234"/>
      <c r="AY55" s="234"/>
      <c r="AZ55" s="234"/>
      <c r="BA55" s="234"/>
      <c r="BB55" s="16">
        <f t="shared" si="84"/>
        <v>0</v>
      </c>
      <c r="BD55" s="294">
        <f>'Incremental_Cost Year 1'!AV55+'Incremental_Cost Year 2'!AV55+'Incremental_Cost Year 3'!AV55+'Incremental_Cost Year 4'!AV55+'Incremental_Cost Year 5'!AV55+'Incremental_Cost Year 6'!AV55+'Incremental_Cost Year 7'!AV55+'Incremental_Cost Year 8'!AV55+'Incremental_Cost Year 9'!AV55+'Incremental_Cost Year 10'!AV55</f>
        <v>0</v>
      </c>
      <c r="BE55" s="294">
        <f>'Incremental_Cost Year 1'!AW55+'Incremental_Cost Year 2'!AW55+'Incremental_Cost Year 3'!AW55+'Incremental_Cost Year 4'!AW55+'Incremental_Cost Year 5'!AW55+'Incremental_Cost Year 6'!AW55+'Incremental_Cost Year 7'!AW55+'Incremental_Cost Year 8'!AW55+'Incremental_Cost Year 9'!AW55+'Incremental_Cost Year 10'!AW55</f>
        <v>0</v>
      </c>
      <c r="BF55" s="294">
        <f>'Incremental_Cost Year 1'!AX55+'Incremental_Cost Year 2'!AX55+'Incremental_Cost Year 3'!AX55+'Incremental_Cost Year 4'!AX55+'Incremental_Cost Year 5'!AX55+'Incremental_Cost Year 6'!AX55+'Incremental_Cost Year 7'!AX55+'Incremental_Cost Year 8'!AX55+'Incremental_Cost Year 9'!AX55+'Incremental_Cost Year 10'!AX55</f>
        <v>456000</v>
      </c>
      <c r="BG55" s="294">
        <f>'Incremental_Cost Year 1'!AY55+'Incremental_Cost Year 2'!AY55+'Incremental_Cost Year 3'!AY55+'Incremental_Cost Year 4'!AY55+'Incremental_Cost Year 5'!AY55+'Incremental_Cost Year 6'!AY55+'Incremental_Cost Year 7'!AY55+'Incremental_Cost Year 8'!AY55+'Incremental_Cost Year 9'!AY55+'Incremental_Cost Year 10'!AY55</f>
        <v>0</v>
      </c>
      <c r="BH55" s="294">
        <f>'Incremental_Cost Year 1'!AZ55+'Incremental_Cost Year 2'!AZ55+'Incremental_Cost Year 3'!AZ55+'Incremental_Cost Year 4'!AZ55+'Incremental_Cost Year 5'!AZ55+'Incremental_Cost Year 6'!AZ55+'Incremental_Cost Year 7'!AZ55+'Incremental_Cost Year 8'!AZ55+'Incremental_Cost Year 9'!AZ55+'Incremental_Cost Year 10'!AZ55</f>
        <v>0</v>
      </c>
      <c r="BI55" s="294">
        <f>'Incremental_Cost Year 1'!BA55+'Incremental_Cost Year 2'!BA55+'Incremental_Cost Year 3'!BA55+'Incremental_Cost Year 4'!BA55+'Incremental_Cost Year 5'!BA55+'Incremental_Cost Year 6'!BA55+'Incremental_Cost Year 7'!BA55+'Incremental_Cost Year 8'!BA55+'Incremental_Cost Year 9'!BA55+'Incremental_Cost Year 10'!BA55</f>
        <v>0</v>
      </c>
      <c r="BJ55" s="294">
        <f t="shared" si="22"/>
        <v>456000</v>
      </c>
    </row>
    <row r="56" spans="1:62" ht="15.6" outlineLevel="2">
      <c r="A56" s="98"/>
      <c r="B56" s="102"/>
      <c r="C56" s="23"/>
      <c r="D56" s="251"/>
      <c r="E56" s="251"/>
      <c r="F56" s="251"/>
      <c r="G56" s="173"/>
      <c r="H56" s="272"/>
      <c r="I56" s="258"/>
      <c r="J56" s="259"/>
      <c r="K56" s="259"/>
      <c r="L56" s="106" t="str">
        <f>IF(I56&lt;&gt;0,((VLOOKUP(I56,'1. Standard_Cost'!$B$4:$D$11,2)+VLOOKUP(I56,'1. Standard_Cost'!$B$4:$D$11,3))*J56*K56),"0")</f>
        <v>0</v>
      </c>
      <c r="M56" s="106">
        <f>L56*'1. Standard_Cost'!$F$4</f>
        <v>0</v>
      </c>
      <c r="N56" s="260"/>
      <c r="O56" s="260"/>
      <c r="P56" s="260"/>
      <c r="Q56" s="260"/>
      <c r="R56" s="108">
        <f>'1. Standard_Cost'!$B$15*N56*P56</f>
        <v>0</v>
      </c>
      <c r="S56" s="108">
        <f>N56*O56*P56*'1. Standard_Cost'!$C$15</f>
        <v>0</v>
      </c>
      <c r="T56" s="108">
        <f>N56*P56*Q56*'1. Standard_Cost'!$D$15</f>
        <v>0</v>
      </c>
      <c r="U56" s="108">
        <f>N56*O56*'1. Standard_Cost'!$E$15</f>
        <v>0</v>
      </c>
      <c r="V56" s="260"/>
      <c r="W56" s="260"/>
      <c r="X56" s="260"/>
      <c r="Y56" s="108">
        <f>+V56*((X56*'1. Standard_Cost'!$B$19)+(W56*X56*'1. Standard_Cost'!$C$19))</f>
        <v>0</v>
      </c>
      <c r="Z56" s="260"/>
      <c r="AA56" s="260"/>
      <c r="AB56" s="108">
        <f>+Z56*'1. Standard_Cost'!$B$23+AA56*'1. Standard_Cost'!$C$23</f>
        <v>0</v>
      </c>
      <c r="AC56" s="261"/>
      <c r="AD56" s="262"/>
      <c r="AE56" s="108">
        <f>SUM(AD56,AC56,AB56,Y56,U56,T56,S56,R56)*'1. Standard_Cost'!$B$31</f>
        <v>0</v>
      </c>
      <c r="AF56" s="108">
        <f t="shared" si="80"/>
        <v>0</v>
      </c>
      <c r="AG56" s="260"/>
      <c r="AH56" s="260"/>
      <c r="AI56" s="260"/>
      <c r="AJ56" s="263"/>
      <c r="AK56" s="263"/>
      <c r="AL56" s="263"/>
      <c r="AM56" s="108">
        <f>AG56*'1. Standard_Cost'!$B$27+'Incremental_Cost Year 10'!AH56*'1. Standard_Cost'!$C$27+'Incremental_Cost Year 10'!AI56*'1. Standard_Cost'!$D$27+'Incremental_Cost Year 10'!AJ56+'Incremental_Cost Year 10'!AL56+AK56</f>
        <v>0</v>
      </c>
      <c r="AN56" s="108">
        <f>AM56*'1. Standard_Cost'!$C$31</f>
        <v>0</v>
      </c>
      <c r="AO56" s="125" t="s">
        <v>304</v>
      </c>
      <c r="AQ56" s="14">
        <f t="shared" si="81"/>
        <v>0</v>
      </c>
      <c r="AR56" s="14">
        <f t="shared" si="82"/>
        <v>0</v>
      </c>
      <c r="AS56" s="14">
        <f t="shared" si="83"/>
        <v>0</v>
      </c>
      <c r="AT56" s="14">
        <f t="shared" si="85"/>
        <v>0</v>
      </c>
      <c r="AU56" s="234"/>
      <c r="AV56" s="234">
        <v>0</v>
      </c>
      <c r="AW56" s="234"/>
      <c r="AX56" s="234"/>
      <c r="AY56" s="234"/>
      <c r="AZ56" s="234"/>
      <c r="BA56" s="234"/>
      <c r="BB56" s="16">
        <f t="shared" si="84"/>
        <v>0</v>
      </c>
      <c r="BD56" s="294">
        <f>'Incremental_Cost Year 1'!AV56+'Incremental_Cost Year 2'!AV56+'Incremental_Cost Year 3'!AV56+'Incremental_Cost Year 4'!AV56+'Incremental_Cost Year 5'!AV56+'Incremental_Cost Year 6'!AV56+'Incremental_Cost Year 7'!AV56+'Incremental_Cost Year 8'!AV56+'Incremental_Cost Year 9'!AV56+'Incremental_Cost Year 10'!AV56</f>
        <v>0</v>
      </c>
      <c r="BE56" s="294">
        <f>'Incremental_Cost Year 1'!AW56+'Incremental_Cost Year 2'!AW56+'Incremental_Cost Year 3'!AW56+'Incremental_Cost Year 4'!AW56+'Incremental_Cost Year 5'!AW56+'Incremental_Cost Year 6'!AW56+'Incremental_Cost Year 7'!AW56+'Incremental_Cost Year 8'!AW56+'Incremental_Cost Year 9'!AW56+'Incremental_Cost Year 10'!AW56</f>
        <v>0</v>
      </c>
      <c r="BF56" s="294">
        <f>'Incremental_Cost Year 1'!AX56+'Incremental_Cost Year 2'!AX56+'Incremental_Cost Year 3'!AX56+'Incremental_Cost Year 4'!AX56+'Incremental_Cost Year 5'!AX56+'Incremental_Cost Year 6'!AX56+'Incremental_Cost Year 7'!AX56+'Incremental_Cost Year 8'!AX56+'Incremental_Cost Year 9'!AX56+'Incremental_Cost Year 10'!AX56</f>
        <v>684000</v>
      </c>
      <c r="BG56" s="294">
        <f>'Incremental_Cost Year 1'!AY56+'Incremental_Cost Year 2'!AY56+'Incremental_Cost Year 3'!AY56+'Incremental_Cost Year 4'!AY56+'Incremental_Cost Year 5'!AY56+'Incremental_Cost Year 6'!AY56+'Incremental_Cost Year 7'!AY56+'Incremental_Cost Year 8'!AY56+'Incremental_Cost Year 9'!AY56+'Incremental_Cost Year 10'!AY56</f>
        <v>0</v>
      </c>
      <c r="BH56" s="294">
        <f>'Incremental_Cost Year 1'!AZ56+'Incremental_Cost Year 2'!AZ56+'Incremental_Cost Year 3'!AZ56+'Incremental_Cost Year 4'!AZ56+'Incremental_Cost Year 5'!AZ56+'Incremental_Cost Year 6'!AZ56+'Incremental_Cost Year 7'!AZ56+'Incremental_Cost Year 8'!AZ56+'Incremental_Cost Year 9'!AZ56+'Incremental_Cost Year 10'!AZ56</f>
        <v>0</v>
      </c>
      <c r="BI56" s="294">
        <f>'Incremental_Cost Year 1'!BA56+'Incremental_Cost Year 2'!BA56+'Incremental_Cost Year 3'!BA56+'Incremental_Cost Year 4'!BA56+'Incremental_Cost Year 5'!BA56+'Incremental_Cost Year 6'!BA56+'Incremental_Cost Year 7'!BA56+'Incremental_Cost Year 8'!BA56+'Incremental_Cost Year 9'!BA56+'Incremental_Cost Year 10'!BA56</f>
        <v>0</v>
      </c>
      <c r="BJ56" s="294">
        <f t="shared" si="22"/>
        <v>684000</v>
      </c>
    </row>
    <row r="57" spans="1:62" ht="55.2" outlineLevel="2">
      <c r="A57" s="98"/>
      <c r="B57" s="102"/>
      <c r="C57" s="23"/>
      <c r="D57" s="251"/>
      <c r="E57" s="251"/>
      <c r="F57" s="251"/>
      <c r="G57" s="250"/>
      <c r="H57" s="272"/>
      <c r="I57" s="258"/>
      <c r="J57" s="259"/>
      <c r="K57" s="259"/>
      <c r="L57" s="106" t="str">
        <f>IF(I57&lt;&gt;0,((VLOOKUP(I57,'1. Standard_Cost'!$B$4:$D$11,2)+VLOOKUP(I57,'1. Standard_Cost'!$B$4:$D$11,3))*J57*K57),"0")</f>
        <v>0</v>
      </c>
      <c r="M57" s="106">
        <f>L57*'1. Standard_Cost'!$F$4</f>
        <v>0</v>
      </c>
      <c r="N57" s="260"/>
      <c r="O57" s="260"/>
      <c r="P57" s="260"/>
      <c r="Q57" s="260"/>
      <c r="R57" s="108">
        <f>'1. Standard_Cost'!$B$15*N57*P57</f>
        <v>0</v>
      </c>
      <c r="S57" s="108">
        <f>N57*O57*P57*'1. Standard_Cost'!$C$15</f>
        <v>0</v>
      </c>
      <c r="T57" s="108">
        <f>N57*P57*Q57*'1. Standard_Cost'!$D$15</f>
        <v>0</v>
      </c>
      <c r="U57" s="108">
        <f>N57*O57*'1. Standard_Cost'!$E$15</f>
        <v>0</v>
      </c>
      <c r="V57" s="260"/>
      <c r="W57" s="260"/>
      <c r="X57" s="260"/>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80"/>
        <v>0</v>
      </c>
      <c r="AG57" s="260"/>
      <c r="AH57" s="260"/>
      <c r="AI57" s="260"/>
      <c r="AJ57" s="263"/>
      <c r="AK57" s="263"/>
      <c r="AL57" s="263"/>
      <c r="AM57" s="108">
        <f>AG57*'1. Standard_Cost'!$B$27+'Incremental_Cost Year 10'!AH57*'1. Standard_Cost'!$C$27+'Incremental_Cost Year 10'!AI57*'1. Standard_Cost'!$D$27+'Incremental_Cost Year 10'!AJ57+'Incremental_Cost Year 10'!AL57+AK57</f>
        <v>0</v>
      </c>
      <c r="AN57" s="108">
        <f>AM57*'1. Standard_Cost'!$C$31</f>
        <v>0</v>
      </c>
      <c r="AO57" s="125" t="s">
        <v>305</v>
      </c>
      <c r="AQ57" s="14">
        <f t="shared" si="81"/>
        <v>0</v>
      </c>
      <c r="AR57" s="14">
        <f t="shared" si="82"/>
        <v>0</v>
      </c>
      <c r="AS57" s="14">
        <f t="shared" si="83"/>
        <v>0</v>
      </c>
      <c r="AT57" s="14">
        <f t="shared" si="85"/>
        <v>0</v>
      </c>
      <c r="AU57" s="234"/>
      <c r="AV57" s="234"/>
      <c r="AW57" s="234"/>
      <c r="AX57" s="234"/>
      <c r="AY57" s="234"/>
      <c r="AZ57" s="234"/>
      <c r="BA57" s="234"/>
      <c r="BB57" s="16">
        <f t="shared" si="84"/>
        <v>0</v>
      </c>
      <c r="BD57" s="294">
        <f>'Incremental_Cost Year 1'!AV57+'Incremental_Cost Year 2'!AV57+'Incremental_Cost Year 3'!AV57+'Incremental_Cost Year 4'!AV57+'Incremental_Cost Year 5'!AV57+'Incremental_Cost Year 6'!AV57+'Incremental_Cost Year 7'!AV57+'Incremental_Cost Year 8'!AV57+'Incremental_Cost Year 9'!AV57+'Incremental_Cost Year 10'!AV57</f>
        <v>0</v>
      </c>
      <c r="BE57" s="294">
        <f>'Incremental_Cost Year 1'!AW57+'Incremental_Cost Year 2'!AW57+'Incremental_Cost Year 3'!AW57+'Incremental_Cost Year 4'!AW57+'Incremental_Cost Year 5'!AW57+'Incremental_Cost Year 6'!AW57+'Incremental_Cost Year 7'!AW57+'Incremental_Cost Year 8'!AW57+'Incremental_Cost Year 9'!AW57+'Incremental_Cost Year 10'!AW57</f>
        <v>0</v>
      </c>
      <c r="BF57" s="294">
        <f>'Incremental_Cost Year 1'!AX57+'Incremental_Cost Year 2'!AX57+'Incremental_Cost Year 3'!AX57+'Incremental_Cost Year 4'!AX57+'Incremental_Cost Year 5'!AX57+'Incremental_Cost Year 6'!AX57+'Incremental_Cost Year 7'!AX57+'Incremental_Cost Year 8'!AX57+'Incremental_Cost Year 9'!AX57+'Incremental_Cost Year 10'!AX57</f>
        <v>0</v>
      </c>
      <c r="BG57" s="294">
        <f>'Incremental_Cost Year 1'!AY57+'Incremental_Cost Year 2'!AY57+'Incremental_Cost Year 3'!AY57+'Incremental_Cost Year 4'!AY57+'Incremental_Cost Year 5'!AY57+'Incremental_Cost Year 6'!AY57+'Incremental_Cost Year 7'!AY57+'Incremental_Cost Year 8'!AY57+'Incremental_Cost Year 9'!AY57+'Incremental_Cost Year 10'!AY57</f>
        <v>0</v>
      </c>
      <c r="BH57" s="294">
        <f>'Incremental_Cost Year 1'!AZ57+'Incremental_Cost Year 2'!AZ57+'Incremental_Cost Year 3'!AZ57+'Incremental_Cost Year 4'!AZ57+'Incremental_Cost Year 5'!AZ57+'Incremental_Cost Year 6'!AZ57+'Incremental_Cost Year 7'!AZ57+'Incremental_Cost Year 8'!AZ57+'Incremental_Cost Year 9'!AZ57+'Incremental_Cost Year 10'!AZ57</f>
        <v>0</v>
      </c>
      <c r="BI57" s="294">
        <f>'Incremental_Cost Year 1'!BA57+'Incremental_Cost Year 2'!BA57+'Incremental_Cost Year 3'!BA57+'Incremental_Cost Year 4'!BA57+'Incremental_Cost Year 5'!BA57+'Incremental_Cost Year 6'!BA57+'Incremental_Cost Year 7'!BA57+'Incremental_Cost Year 8'!BA57+'Incremental_Cost Year 9'!BA57+'Incremental_Cost Year 10'!BA57</f>
        <v>34276542</v>
      </c>
      <c r="BJ57" s="294">
        <f t="shared" si="22"/>
        <v>34276542</v>
      </c>
    </row>
    <row r="58" spans="1:62" ht="41.4" outlineLevel="2">
      <c r="A58" s="98"/>
      <c r="B58" s="102"/>
      <c r="C58" s="23"/>
      <c r="D58" s="251"/>
      <c r="E58" s="251"/>
      <c r="F58" s="251"/>
      <c r="G58" s="250"/>
      <c r="H58" s="272"/>
      <c r="I58" s="258"/>
      <c r="J58" s="259"/>
      <c r="K58" s="259"/>
      <c r="L58" s="106" t="str">
        <f>IF(I58&lt;&gt;0,((VLOOKUP(I58,'1. Standard_Cost'!$B$4:$D$11,2)+VLOOKUP(I58,'1. Standard_Cost'!$B$4:$D$11,3))*J58*K58),"0")</f>
        <v>0</v>
      </c>
      <c r="M58" s="106">
        <f>L58*'1. Standard_Cost'!$F$4</f>
        <v>0</v>
      </c>
      <c r="N58" s="260"/>
      <c r="O58" s="260"/>
      <c r="P58" s="260"/>
      <c r="Q58" s="260"/>
      <c r="R58" s="108">
        <f>'1. Standard_Cost'!$B$15*N58*P58</f>
        <v>0</v>
      </c>
      <c r="S58" s="108">
        <f>N58*O58*P58*'1. Standard_Cost'!$C$15</f>
        <v>0</v>
      </c>
      <c r="T58" s="108">
        <f>N58*P58*Q58*'1. Standard_Cost'!$D$15</f>
        <v>0</v>
      </c>
      <c r="U58" s="108">
        <f>N58*O58*'1. Standard_Cost'!$E$15</f>
        <v>0</v>
      </c>
      <c r="V58" s="260"/>
      <c r="W58" s="260"/>
      <c r="X58" s="260"/>
      <c r="Y58" s="108">
        <f>+V58*((X58*'1. Standard_Cost'!$B$19)+(W58*X58*'1. Standard_Cost'!$C$19))</f>
        <v>0</v>
      </c>
      <c r="Z58" s="260"/>
      <c r="AA58" s="260"/>
      <c r="AB58" s="108">
        <f>+Z58*'1. Standard_Cost'!$B$23+AA58*'1. Standard_Cost'!$C$23</f>
        <v>0</v>
      </c>
      <c r="AC58" s="261"/>
      <c r="AD58" s="262"/>
      <c r="AE58" s="108">
        <f>SUM(AD58,AC58,AB58,Y58,U58,T58,S58,R58)*'1. Standard_Cost'!$B$31</f>
        <v>0</v>
      </c>
      <c r="AF58" s="108">
        <f t="shared" si="80"/>
        <v>0</v>
      </c>
      <c r="AG58" s="260"/>
      <c r="AH58" s="260"/>
      <c r="AI58" s="260"/>
      <c r="AJ58" s="263"/>
      <c r="AK58" s="263"/>
      <c r="AL58" s="263"/>
      <c r="AM58" s="108">
        <f>AG58*'1. Standard_Cost'!$B$27+'Incremental_Cost Year 10'!AH58*'1. Standard_Cost'!$C$27+'Incremental_Cost Year 10'!AI58*'1. Standard_Cost'!$D$27+'Incremental_Cost Year 10'!AJ58+'Incremental_Cost Year 10'!AL58+AK58</f>
        <v>0</v>
      </c>
      <c r="AN58" s="108">
        <f>AM58*'1. Standard_Cost'!$C$31</f>
        <v>0</v>
      </c>
      <c r="AO58" s="125" t="s">
        <v>306</v>
      </c>
      <c r="AQ58" s="14">
        <f t="shared" si="81"/>
        <v>0</v>
      </c>
      <c r="AR58" s="14">
        <f t="shared" si="82"/>
        <v>0</v>
      </c>
      <c r="AS58" s="14">
        <f t="shared" si="83"/>
        <v>0</v>
      </c>
      <c r="AT58" s="14">
        <f>SUM(AQ58,AR58,AS58)</f>
        <v>0</v>
      </c>
      <c r="AU58" s="234"/>
      <c r="AV58" s="234"/>
      <c r="AW58" s="234"/>
      <c r="AX58" s="234"/>
      <c r="AY58" s="234"/>
      <c r="AZ58" s="234"/>
      <c r="BA58" s="234"/>
      <c r="BB58" s="16">
        <f t="shared" si="84"/>
        <v>0</v>
      </c>
      <c r="BD58" s="294">
        <f>'Incremental_Cost Year 1'!AV58+'Incremental_Cost Year 2'!AV58+'Incremental_Cost Year 3'!AV58+'Incremental_Cost Year 4'!AV58+'Incremental_Cost Year 5'!AV58+'Incremental_Cost Year 6'!AV58+'Incremental_Cost Year 7'!AV58+'Incremental_Cost Year 8'!AV58+'Incremental_Cost Year 9'!AV58+'Incremental_Cost Year 10'!AV58</f>
        <v>0</v>
      </c>
      <c r="BE58" s="294">
        <f>'Incremental_Cost Year 1'!AW58+'Incremental_Cost Year 2'!AW58+'Incremental_Cost Year 3'!AW58+'Incremental_Cost Year 4'!AW58+'Incremental_Cost Year 5'!AW58+'Incremental_Cost Year 6'!AW58+'Incremental_Cost Year 7'!AW58+'Incremental_Cost Year 8'!AW58+'Incremental_Cost Year 9'!AW58+'Incremental_Cost Year 10'!AW58</f>
        <v>0</v>
      </c>
      <c r="BF58" s="294">
        <f>'Incremental_Cost Year 1'!AX58+'Incremental_Cost Year 2'!AX58+'Incremental_Cost Year 3'!AX58+'Incremental_Cost Year 4'!AX58+'Incremental_Cost Year 5'!AX58+'Incremental_Cost Year 6'!AX58+'Incremental_Cost Year 7'!AX58+'Incremental_Cost Year 8'!AX58+'Incremental_Cost Year 9'!AX58+'Incremental_Cost Year 10'!AX58</f>
        <v>0</v>
      </c>
      <c r="BG58" s="294">
        <f>'Incremental_Cost Year 1'!AY58+'Incremental_Cost Year 2'!AY58+'Incremental_Cost Year 3'!AY58+'Incremental_Cost Year 4'!AY58+'Incremental_Cost Year 5'!AY58+'Incremental_Cost Year 6'!AY58+'Incremental_Cost Year 7'!AY58+'Incremental_Cost Year 8'!AY58+'Incremental_Cost Year 9'!AY58+'Incremental_Cost Year 10'!AY58</f>
        <v>0</v>
      </c>
      <c r="BH58" s="294">
        <f>'Incremental_Cost Year 1'!AZ58+'Incremental_Cost Year 2'!AZ58+'Incremental_Cost Year 3'!AZ58+'Incremental_Cost Year 4'!AZ58+'Incremental_Cost Year 5'!AZ58+'Incremental_Cost Year 6'!AZ58+'Incremental_Cost Year 7'!AZ58+'Incremental_Cost Year 8'!AZ58+'Incremental_Cost Year 9'!AZ58+'Incremental_Cost Year 10'!AZ58</f>
        <v>0</v>
      </c>
      <c r="BI58" s="294">
        <f>'Incremental_Cost Year 1'!BA58+'Incremental_Cost Year 2'!BA58+'Incremental_Cost Year 3'!BA58+'Incremental_Cost Year 4'!BA58+'Incremental_Cost Year 5'!BA58+'Incremental_Cost Year 6'!BA58+'Incremental_Cost Year 7'!BA58+'Incremental_Cost Year 8'!BA58+'Incremental_Cost Year 9'!BA58+'Incremental_Cost Year 10'!BA58</f>
        <v>0</v>
      </c>
      <c r="BJ58" s="294">
        <f t="shared" si="22"/>
        <v>0</v>
      </c>
    </row>
    <row r="59" spans="1:62" ht="27.6" outlineLevel="1">
      <c r="A59" s="98"/>
      <c r="B59" s="102"/>
      <c r="C59" s="23"/>
      <c r="D59" s="56" t="s">
        <v>47</v>
      </c>
      <c r="E59" s="56" t="s">
        <v>213</v>
      </c>
      <c r="F59" s="253">
        <v>2021</v>
      </c>
      <c r="G59" s="254">
        <v>2026</v>
      </c>
      <c r="H59" s="277" t="s">
        <v>183</v>
      </c>
      <c r="I59" s="264"/>
      <c r="J59" s="264"/>
      <c r="K59" s="264"/>
      <c r="L59" s="113">
        <f>SUM(L41:L58)</f>
        <v>0</v>
      </c>
      <c r="M59" s="113">
        <f>SUM(M41:M58)</f>
        <v>0</v>
      </c>
      <c r="N59" s="264"/>
      <c r="O59" s="264"/>
      <c r="P59" s="264"/>
      <c r="Q59" s="264"/>
      <c r="R59" s="113">
        <f>SUM(R41:R58)</f>
        <v>0</v>
      </c>
      <c r="S59" s="113">
        <f>SUM(S41:S58)</f>
        <v>0</v>
      </c>
      <c r="T59" s="113">
        <f>SUM(T41:T58)</f>
        <v>0</v>
      </c>
      <c r="U59" s="113">
        <f>SUM(U41:U58)</f>
        <v>0</v>
      </c>
      <c r="V59" s="264"/>
      <c r="W59" s="264"/>
      <c r="X59" s="264"/>
      <c r="Y59" s="113">
        <f>SUM(Y41:Y58)</f>
        <v>0</v>
      </c>
      <c r="Z59" s="265">
        <f>SUM(Z41:Z58)</f>
        <v>0</v>
      </c>
      <c r="AA59" s="264"/>
      <c r="AB59" s="113">
        <f>SUM(AB41:AB58)</f>
        <v>0</v>
      </c>
      <c r="AC59" s="265">
        <f>SUM(AC41:AC58)</f>
        <v>0</v>
      </c>
      <c r="AD59" s="265">
        <f>SUM(AD41:AD58)</f>
        <v>0</v>
      </c>
      <c r="AE59" s="113">
        <f>SUM(AE41:AE58)</f>
        <v>0</v>
      </c>
      <c r="AF59" s="113">
        <f>SUM(AF41:AF58)</f>
        <v>0</v>
      </c>
      <c r="AG59" s="264"/>
      <c r="AH59" s="264"/>
      <c r="AI59" s="264"/>
      <c r="AJ59" s="265">
        <f>SUM(AJ41:AJ58)</f>
        <v>0</v>
      </c>
      <c r="AK59" s="265">
        <f>SUM(AK41:AK58)</f>
        <v>0</v>
      </c>
      <c r="AL59" s="265">
        <f>SUM(AL41:AL58)</f>
        <v>0</v>
      </c>
      <c r="AM59" s="113">
        <f>SUM(AM41:AM58)</f>
        <v>0</v>
      </c>
      <c r="AN59" s="113">
        <f>SUM(AN41:AN58)</f>
        <v>0</v>
      </c>
      <c r="AO59" s="131"/>
      <c r="AP59" s="17"/>
      <c r="AQ59" s="113">
        <f t="shared" ref="AQ59:BB59" si="86">SUM(AQ41:AQ58)</f>
        <v>0</v>
      </c>
      <c r="AR59" s="113">
        <f t="shared" si="86"/>
        <v>0</v>
      </c>
      <c r="AS59" s="113">
        <f t="shared" si="86"/>
        <v>0</v>
      </c>
      <c r="AT59" s="113">
        <f t="shared" si="86"/>
        <v>0</v>
      </c>
      <c r="AU59" s="265">
        <f t="shared" si="86"/>
        <v>0</v>
      </c>
      <c r="AV59" s="265">
        <f t="shared" si="86"/>
        <v>0</v>
      </c>
      <c r="AW59" s="265">
        <f t="shared" si="86"/>
        <v>0</v>
      </c>
      <c r="AX59" s="265">
        <f t="shared" si="86"/>
        <v>0</v>
      </c>
      <c r="AY59" s="265">
        <f t="shared" si="86"/>
        <v>0</v>
      </c>
      <c r="AZ59" s="265">
        <f t="shared" si="86"/>
        <v>0</v>
      </c>
      <c r="BA59" s="265">
        <f t="shared" si="86"/>
        <v>0</v>
      </c>
      <c r="BB59" s="113">
        <f t="shared" si="86"/>
        <v>0</v>
      </c>
      <c r="BJ59" s="294"/>
    </row>
    <row r="60" spans="1:62" ht="15.6" outlineLevel="2">
      <c r="A60" s="98"/>
      <c r="B60" s="102"/>
      <c r="C60" s="23"/>
      <c r="D60" s="257"/>
      <c r="E60" s="257"/>
      <c r="F60" s="251"/>
      <c r="G60" s="250"/>
      <c r="H60" s="272"/>
      <c r="I60" s="258"/>
      <c r="J60" s="259"/>
      <c r="K60" s="259"/>
      <c r="L60" s="106" t="str">
        <f>IF(I60&lt;&gt;0,((VLOOKUP(I60,'1. Standard_Cost'!$B$4:$D$11,2)+VLOOKUP(I60,'1. Standard_Cost'!$B$4:$D$11,3))*J60*K60),"0")</f>
        <v>0</v>
      </c>
      <c r="M60" s="106">
        <f>L60*'1. Standard_Cost'!$F$4</f>
        <v>0</v>
      </c>
      <c r="N60" s="260"/>
      <c r="O60" s="260"/>
      <c r="P60" s="260"/>
      <c r="Q60" s="260"/>
      <c r="R60" s="108">
        <f>'1. Standard_Cost'!$B$15*N60*P60</f>
        <v>0</v>
      </c>
      <c r="S60" s="108">
        <f>N60*O60*P60*'1. Standard_Cost'!$C$15</f>
        <v>0</v>
      </c>
      <c r="T60" s="108">
        <f>N60*P60*Q60*'1. Standard_Cost'!$D$15</f>
        <v>0</v>
      </c>
      <c r="U60" s="108">
        <f>N60*O60*'1. Standard_Cost'!$E$15</f>
        <v>0</v>
      </c>
      <c r="V60" s="260"/>
      <c r="W60" s="260"/>
      <c r="X60" s="260"/>
      <c r="Y60" s="108">
        <f>+V60*((X60*'1. Standard_Cost'!$B$19)+(W60*X60*'1. Standard_Cost'!$C$19))</f>
        <v>0</v>
      </c>
      <c r="Z60" s="260"/>
      <c r="AA60" s="260"/>
      <c r="AB60" s="108">
        <f>+Z60*'1. Standard_Cost'!$B$23+AA60*'1. Standard_Cost'!$C$23</f>
        <v>0</v>
      </c>
      <c r="AC60" s="261"/>
      <c r="AD60" s="262"/>
      <c r="AE60" s="108">
        <f>SUM(AD60,AC60,AB60,Y60,U60,T60,S60,R60)*'1. Standard_Cost'!$B$31</f>
        <v>0</v>
      </c>
      <c r="AF60" s="108">
        <f t="shared" ref="AF60:AF78" si="87">SUM(AE60,AD60,AC60,AB60,Y60,U60,T60,S60,R60)</f>
        <v>0</v>
      </c>
      <c r="AG60" s="260"/>
      <c r="AH60" s="260"/>
      <c r="AI60" s="260"/>
      <c r="AJ60" s="263"/>
      <c r="AK60" s="263"/>
      <c r="AL60" s="263"/>
      <c r="AM60" s="108">
        <f>AG60*'1. Standard_Cost'!$B$27+'Incremental_Cost Year 10'!AH60*'1. Standard_Cost'!$C$27+'Incremental_Cost Year 10'!AI60*'1. Standard_Cost'!$D$27+'Incremental_Cost Year 10'!AJ60+'Incremental_Cost Year 10'!AL60+AK60</f>
        <v>0</v>
      </c>
      <c r="AN60" s="108">
        <f>AM60*'1. Standard_Cost'!$C$31</f>
        <v>0</v>
      </c>
      <c r="AO60" s="125" t="s">
        <v>307</v>
      </c>
      <c r="AQ60" s="14">
        <f t="shared" ref="AQ60:AQ78" si="88">L60+M60</f>
        <v>0</v>
      </c>
      <c r="AR60" s="14">
        <f t="shared" ref="AR60:AR78" si="89">AF60</f>
        <v>0</v>
      </c>
      <c r="AS60" s="14">
        <f t="shared" ref="AS60:AS78" si="90">AM60+AN60</f>
        <v>0</v>
      </c>
      <c r="AT60" s="14">
        <f>SUM(AQ60,AR60,AS60)</f>
        <v>0</v>
      </c>
      <c r="AU60" s="234"/>
      <c r="AV60" s="234"/>
      <c r="AW60" s="234"/>
      <c r="AX60" s="234"/>
      <c r="AY60" s="234"/>
      <c r="AZ60" s="234"/>
      <c r="BA60" s="234"/>
      <c r="BB60" s="16">
        <f t="shared" ref="BB60:BB78" si="91">SUM(AU60:BA60)-AT60</f>
        <v>0</v>
      </c>
      <c r="BD60" s="294">
        <f>'Incremental_Cost Year 1'!AV60+'Incremental_Cost Year 2'!AV60+'Incremental_Cost Year 3'!AV60+'Incremental_Cost Year 4'!AV60+'Incremental_Cost Year 5'!AV60+'Incremental_Cost Year 6'!AV60+'Incremental_Cost Year 7'!AV60+'Incremental_Cost Year 8'!AV60+'Incremental_Cost Year 9'!AV60+'Incremental_Cost Year 10'!AV60</f>
        <v>0</v>
      </c>
      <c r="BE60" s="294">
        <f>'Incremental_Cost Year 1'!AW60+'Incremental_Cost Year 2'!AW60+'Incremental_Cost Year 3'!AW60+'Incremental_Cost Year 4'!AW60+'Incremental_Cost Year 5'!AW60+'Incremental_Cost Year 6'!AW60+'Incremental_Cost Year 7'!AW60+'Incremental_Cost Year 8'!AW60+'Incremental_Cost Year 9'!AW60+'Incremental_Cost Year 10'!AW60</f>
        <v>0</v>
      </c>
      <c r="BF60" s="294">
        <f>'Incremental_Cost Year 1'!AX60+'Incremental_Cost Year 2'!AX60+'Incremental_Cost Year 3'!AX60+'Incremental_Cost Year 4'!AX60+'Incremental_Cost Year 5'!AX60+'Incremental_Cost Year 6'!AX60+'Incremental_Cost Year 7'!AX60+'Incremental_Cost Year 8'!AX60+'Incremental_Cost Year 9'!AX60+'Incremental_Cost Year 10'!AX60</f>
        <v>0</v>
      </c>
      <c r="BG60" s="294">
        <f>'Incremental_Cost Year 1'!AY60+'Incremental_Cost Year 2'!AY60+'Incremental_Cost Year 3'!AY60+'Incremental_Cost Year 4'!AY60+'Incremental_Cost Year 5'!AY60+'Incremental_Cost Year 6'!AY60+'Incremental_Cost Year 7'!AY60+'Incremental_Cost Year 8'!AY60+'Incremental_Cost Year 9'!AY60+'Incremental_Cost Year 10'!AY60</f>
        <v>0</v>
      </c>
      <c r="BH60" s="294">
        <f>'Incremental_Cost Year 1'!AZ60+'Incremental_Cost Year 2'!AZ60+'Incremental_Cost Year 3'!AZ60+'Incremental_Cost Year 4'!AZ60+'Incremental_Cost Year 5'!AZ60+'Incremental_Cost Year 6'!AZ60+'Incremental_Cost Year 7'!AZ60+'Incremental_Cost Year 8'!AZ60+'Incremental_Cost Year 9'!AZ60+'Incremental_Cost Year 10'!AZ60</f>
        <v>123000</v>
      </c>
      <c r="BI60" s="294">
        <f>'Incremental_Cost Year 1'!BA60+'Incremental_Cost Year 2'!BA60+'Incremental_Cost Year 3'!BA60+'Incremental_Cost Year 4'!BA60+'Incremental_Cost Year 5'!BA60+'Incremental_Cost Year 6'!BA60+'Incremental_Cost Year 7'!BA60+'Incremental_Cost Year 8'!BA60+'Incremental_Cost Year 9'!BA60+'Incremental_Cost Year 10'!BA60</f>
        <v>0</v>
      </c>
      <c r="BJ60" s="294">
        <f t="shared" si="22"/>
        <v>123000</v>
      </c>
    </row>
    <row r="61" spans="1:62" ht="15.6" outlineLevel="2">
      <c r="A61" s="98"/>
      <c r="B61" s="102"/>
      <c r="C61" s="23"/>
      <c r="D61" s="269"/>
      <c r="E61" s="269"/>
      <c r="F61" s="251"/>
      <c r="G61" s="250"/>
      <c r="H61" s="272"/>
      <c r="I61" s="258"/>
      <c r="J61" s="259"/>
      <c r="K61" s="259"/>
      <c r="L61" s="106" t="str">
        <f>IF(I61&lt;&gt;0,((VLOOKUP(I61,'1. Standard_Cost'!$B$4:$D$11,2)+VLOOKUP(I61,'1. Standard_Cost'!$B$4:$D$11,3))*J61*K61),"0")</f>
        <v>0</v>
      </c>
      <c r="M61" s="106">
        <f>L61*'1. Standard_Cost'!$F$4</f>
        <v>0</v>
      </c>
      <c r="N61" s="260"/>
      <c r="O61" s="260"/>
      <c r="P61" s="260"/>
      <c r="Q61" s="260"/>
      <c r="R61" s="108">
        <f>'1. Standard_Cost'!$B$15*N61*P61</f>
        <v>0</v>
      </c>
      <c r="S61" s="108">
        <f>N61*O61*P61*'1. Standard_Cost'!$C$15</f>
        <v>0</v>
      </c>
      <c r="T61" s="108">
        <f>N61*P61*Q61*'1. Standard_Cost'!$D$15</f>
        <v>0</v>
      </c>
      <c r="U61" s="108">
        <f>N61*O61*'1. Standard_Cost'!$E$15</f>
        <v>0</v>
      </c>
      <c r="V61" s="260"/>
      <c r="W61" s="260"/>
      <c r="X61" s="260"/>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87"/>
        <v>0</v>
      </c>
      <c r="AG61" s="260"/>
      <c r="AH61" s="260"/>
      <c r="AI61" s="260"/>
      <c r="AJ61" s="263"/>
      <c r="AK61" s="263"/>
      <c r="AL61" s="263"/>
      <c r="AM61" s="108">
        <f>AG61*'1. Standard_Cost'!$B$27+'Incremental_Cost Year 10'!AH61*'1. Standard_Cost'!$C$27+'Incremental_Cost Year 10'!AI61*'1. Standard_Cost'!$D$27+'Incremental_Cost Year 10'!AJ61+'Incremental_Cost Year 10'!AL61+AK61</f>
        <v>0</v>
      </c>
      <c r="AN61" s="108">
        <f>AM61*'1. Standard_Cost'!$C$31</f>
        <v>0</v>
      </c>
      <c r="AO61" s="125" t="s">
        <v>308</v>
      </c>
      <c r="AQ61" s="14">
        <f t="shared" si="88"/>
        <v>0</v>
      </c>
      <c r="AR61" s="14">
        <f t="shared" si="89"/>
        <v>0</v>
      </c>
      <c r="AS61" s="14">
        <f t="shared" si="90"/>
        <v>0</v>
      </c>
      <c r="AT61" s="14">
        <f t="shared" ref="AT61:AT78" si="92">SUM(AQ61,AR61,AS61)</f>
        <v>0</v>
      </c>
      <c r="AU61" s="234"/>
      <c r="AV61" s="234"/>
      <c r="AW61" s="234"/>
      <c r="AX61" s="234"/>
      <c r="AY61" s="234"/>
      <c r="AZ61" s="234"/>
      <c r="BA61" s="234"/>
      <c r="BB61" s="16">
        <f t="shared" si="91"/>
        <v>0</v>
      </c>
      <c r="BD61" s="294">
        <f>'Incremental_Cost Year 1'!AV61+'Incremental_Cost Year 2'!AV61+'Incremental_Cost Year 3'!AV61+'Incremental_Cost Year 4'!AV61+'Incremental_Cost Year 5'!AV61+'Incremental_Cost Year 6'!AV61+'Incremental_Cost Year 7'!AV61+'Incremental_Cost Year 8'!AV61+'Incremental_Cost Year 9'!AV61+'Incremental_Cost Year 10'!AV61</f>
        <v>0</v>
      </c>
      <c r="BE61" s="294">
        <f>'Incremental_Cost Year 1'!AW61+'Incremental_Cost Year 2'!AW61+'Incremental_Cost Year 3'!AW61+'Incremental_Cost Year 4'!AW61+'Incremental_Cost Year 5'!AW61+'Incremental_Cost Year 6'!AW61+'Incremental_Cost Year 7'!AW61+'Incremental_Cost Year 8'!AW61+'Incremental_Cost Year 9'!AW61+'Incremental_Cost Year 10'!AW61</f>
        <v>0</v>
      </c>
      <c r="BF61" s="294">
        <f>'Incremental_Cost Year 1'!AX61+'Incremental_Cost Year 2'!AX61+'Incremental_Cost Year 3'!AX61+'Incremental_Cost Year 4'!AX61+'Incremental_Cost Year 5'!AX61+'Incremental_Cost Year 6'!AX61+'Incremental_Cost Year 7'!AX61+'Incremental_Cost Year 8'!AX61+'Incremental_Cost Year 9'!AX61+'Incremental_Cost Year 10'!AX61</f>
        <v>0</v>
      </c>
      <c r="BG61" s="294">
        <f>'Incremental_Cost Year 1'!AY61+'Incremental_Cost Year 2'!AY61+'Incremental_Cost Year 3'!AY61+'Incremental_Cost Year 4'!AY61+'Incremental_Cost Year 5'!AY61+'Incremental_Cost Year 6'!AY61+'Incremental_Cost Year 7'!AY61+'Incremental_Cost Year 8'!AY61+'Incremental_Cost Year 9'!AY61+'Incremental_Cost Year 10'!AY61</f>
        <v>0</v>
      </c>
      <c r="BH61" s="294">
        <f>'Incremental_Cost Year 1'!AZ61+'Incremental_Cost Year 2'!AZ61+'Incremental_Cost Year 3'!AZ61+'Incremental_Cost Year 4'!AZ61+'Incremental_Cost Year 5'!AZ61+'Incremental_Cost Year 6'!AZ61+'Incremental_Cost Year 7'!AZ61+'Incremental_Cost Year 8'!AZ61+'Incremental_Cost Year 9'!AZ61+'Incremental_Cost Year 10'!AZ61</f>
        <v>0</v>
      </c>
      <c r="BI61" s="294">
        <f>'Incremental_Cost Year 1'!BA61+'Incremental_Cost Year 2'!BA61+'Incremental_Cost Year 3'!BA61+'Incremental_Cost Year 4'!BA61+'Incremental_Cost Year 5'!BA61+'Incremental_Cost Year 6'!BA61+'Incremental_Cost Year 7'!BA61+'Incremental_Cost Year 8'!BA61+'Incremental_Cost Year 9'!BA61+'Incremental_Cost Year 10'!BA61</f>
        <v>0</v>
      </c>
      <c r="BJ61" s="294">
        <f t="shared" si="22"/>
        <v>0</v>
      </c>
    </row>
    <row r="62" spans="1:62" ht="69" outlineLevel="2">
      <c r="A62" s="98"/>
      <c r="B62" s="102"/>
      <c r="C62" s="23"/>
      <c r="D62" s="269"/>
      <c r="E62" s="269"/>
      <c r="F62" s="251"/>
      <c r="G62" s="250"/>
      <c r="H62" s="272"/>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260"/>
      <c r="W62" s="260"/>
      <c r="X62" s="260"/>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87"/>
        <v>0</v>
      </c>
      <c r="AG62" s="260"/>
      <c r="AH62" s="260"/>
      <c r="AI62" s="260"/>
      <c r="AJ62" s="263"/>
      <c r="AK62" s="263"/>
      <c r="AL62" s="263"/>
      <c r="AM62" s="108">
        <f>AG62*'1. Standard_Cost'!$B$27+'Incremental_Cost Year 10'!AH62*'1. Standard_Cost'!$C$27+'Incremental_Cost Year 10'!AI62*'1. Standard_Cost'!$D$27+'Incremental_Cost Year 10'!AJ62+'Incremental_Cost Year 10'!AL62+AK62</f>
        <v>0</v>
      </c>
      <c r="AN62" s="108">
        <f>AM62*'1. Standard_Cost'!$C$31</f>
        <v>0</v>
      </c>
      <c r="AO62" s="125" t="s">
        <v>309</v>
      </c>
      <c r="AQ62" s="14">
        <f t="shared" si="88"/>
        <v>0</v>
      </c>
      <c r="AR62" s="14">
        <f t="shared" si="89"/>
        <v>0</v>
      </c>
      <c r="AS62" s="14">
        <f t="shared" si="90"/>
        <v>0</v>
      </c>
      <c r="AT62" s="14">
        <f t="shared" si="92"/>
        <v>0</v>
      </c>
      <c r="AU62" s="234"/>
      <c r="AV62" s="234"/>
      <c r="AW62" s="234"/>
      <c r="AX62" s="234"/>
      <c r="AY62" s="234"/>
      <c r="AZ62" s="234"/>
      <c r="BA62" s="234"/>
      <c r="BB62" s="16">
        <f t="shared" si="91"/>
        <v>0</v>
      </c>
      <c r="BD62" s="294">
        <f>'Incremental_Cost Year 1'!AV62+'Incremental_Cost Year 2'!AV62+'Incremental_Cost Year 3'!AV62+'Incremental_Cost Year 4'!AV62+'Incremental_Cost Year 5'!AV62+'Incremental_Cost Year 6'!AV62+'Incremental_Cost Year 7'!AV62+'Incremental_Cost Year 8'!AV62+'Incremental_Cost Year 9'!AV62+'Incremental_Cost Year 10'!AV62</f>
        <v>0</v>
      </c>
      <c r="BE62" s="294">
        <f>'Incremental_Cost Year 1'!AW62+'Incremental_Cost Year 2'!AW62+'Incremental_Cost Year 3'!AW62+'Incremental_Cost Year 4'!AW62+'Incremental_Cost Year 5'!AW62+'Incremental_Cost Year 6'!AW62+'Incremental_Cost Year 7'!AW62+'Incremental_Cost Year 8'!AW62+'Incremental_Cost Year 9'!AW62+'Incremental_Cost Year 10'!AW62</f>
        <v>0</v>
      </c>
      <c r="BF62" s="294">
        <f>'Incremental_Cost Year 1'!AX62+'Incremental_Cost Year 2'!AX62+'Incremental_Cost Year 3'!AX62+'Incremental_Cost Year 4'!AX62+'Incremental_Cost Year 5'!AX62+'Incremental_Cost Year 6'!AX62+'Incremental_Cost Year 7'!AX62+'Incremental_Cost Year 8'!AX62+'Incremental_Cost Year 9'!AX62+'Incremental_Cost Year 10'!AX62</f>
        <v>0</v>
      </c>
      <c r="BG62" s="294">
        <f>'Incremental_Cost Year 1'!AY62+'Incremental_Cost Year 2'!AY62+'Incremental_Cost Year 3'!AY62+'Incremental_Cost Year 4'!AY62+'Incremental_Cost Year 5'!AY62+'Incremental_Cost Year 6'!AY62+'Incremental_Cost Year 7'!AY62+'Incremental_Cost Year 8'!AY62+'Incremental_Cost Year 9'!AY62+'Incremental_Cost Year 10'!AY62</f>
        <v>0</v>
      </c>
      <c r="BH62" s="294">
        <f>'Incremental_Cost Year 1'!AZ62+'Incremental_Cost Year 2'!AZ62+'Incremental_Cost Year 3'!AZ62+'Incremental_Cost Year 4'!AZ62+'Incremental_Cost Year 5'!AZ62+'Incremental_Cost Year 6'!AZ62+'Incremental_Cost Year 7'!AZ62+'Incremental_Cost Year 8'!AZ62+'Incremental_Cost Year 9'!AZ62+'Incremental_Cost Year 10'!AZ62</f>
        <v>136800</v>
      </c>
      <c r="BI62" s="294">
        <f>'Incremental_Cost Year 1'!BA62+'Incremental_Cost Year 2'!BA62+'Incremental_Cost Year 3'!BA62+'Incremental_Cost Year 4'!BA62+'Incremental_Cost Year 5'!BA62+'Incremental_Cost Year 6'!BA62+'Incremental_Cost Year 7'!BA62+'Incremental_Cost Year 8'!BA62+'Incremental_Cost Year 9'!BA62+'Incremental_Cost Year 10'!BA62</f>
        <v>0</v>
      </c>
      <c r="BJ62" s="294">
        <f t="shared" si="22"/>
        <v>136800</v>
      </c>
    </row>
    <row r="63" spans="1:62" ht="27.6" outlineLevel="2">
      <c r="A63" s="98"/>
      <c r="B63" s="102"/>
      <c r="C63" s="23"/>
      <c r="D63" s="269"/>
      <c r="E63" s="269"/>
      <c r="F63" s="251"/>
      <c r="G63" s="250"/>
      <c r="H63" s="272"/>
      <c r="I63" s="258"/>
      <c r="J63" s="259"/>
      <c r="K63" s="259"/>
      <c r="L63" s="106" t="str">
        <f>IF(I63&lt;&gt;0,((VLOOKUP(I63,'1. Standard_Cost'!$B$4:$D$11,2)+VLOOKUP(I63,'1. Standard_Cost'!$B$4:$D$11,3))*J63*K63),"0")</f>
        <v>0</v>
      </c>
      <c r="M63" s="106">
        <f>L63*'1. Standard_Cost'!$F$4</f>
        <v>0</v>
      </c>
      <c r="N63" s="260"/>
      <c r="O63" s="260"/>
      <c r="P63" s="260"/>
      <c r="Q63" s="260"/>
      <c r="R63" s="108">
        <f>'1. Standard_Cost'!$B$15*N63*P63</f>
        <v>0</v>
      </c>
      <c r="S63" s="108">
        <f>N63*O63*P63*'1. Standard_Cost'!$C$15</f>
        <v>0</v>
      </c>
      <c r="T63" s="108">
        <f>N63*P63*Q63*'1. Standard_Cost'!$D$15</f>
        <v>0</v>
      </c>
      <c r="U63" s="108">
        <f>N63*O63*'1. Standard_Cost'!$E$15</f>
        <v>0</v>
      </c>
      <c r="V63" s="260"/>
      <c r="W63" s="260"/>
      <c r="X63" s="260"/>
      <c r="Y63" s="108">
        <f>+V63*((X63*'1. Standard_Cost'!$B$19)+(W63*X63*'1. Standard_Cost'!$C$19))</f>
        <v>0</v>
      </c>
      <c r="Z63" s="260"/>
      <c r="AA63" s="260"/>
      <c r="AB63" s="108">
        <f>+Z63*'1. Standard_Cost'!$B$23+AA63*'1. Standard_Cost'!$C$23</f>
        <v>0</v>
      </c>
      <c r="AC63" s="261"/>
      <c r="AD63" s="262"/>
      <c r="AE63" s="108">
        <f>SUM(AD63,AC63,AB63,Y63,U63,T63,S63,R63)*'1. Standard_Cost'!$B$31</f>
        <v>0</v>
      </c>
      <c r="AF63" s="108">
        <f t="shared" si="87"/>
        <v>0</v>
      </c>
      <c r="AG63" s="260"/>
      <c r="AH63" s="260"/>
      <c r="AI63" s="260"/>
      <c r="AJ63" s="263"/>
      <c r="AK63" s="263"/>
      <c r="AL63" s="263"/>
      <c r="AM63" s="108">
        <f>AG63*'1. Standard_Cost'!$B$27+'Incremental_Cost Year 10'!AH63*'1. Standard_Cost'!$C$27+'Incremental_Cost Year 10'!AI63*'1. Standard_Cost'!$D$27+'Incremental_Cost Year 10'!AJ63+'Incremental_Cost Year 10'!AL63+AK63</f>
        <v>0</v>
      </c>
      <c r="AN63" s="108">
        <f>AM63*'1. Standard_Cost'!$C$31</f>
        <v>0</v>
      </c>
      <c r="AO63" s="125" t="s">
        <v>310</v>
      </c>
      <c r="AQ63" s="14">
        <f t="shared" si="88"/>
        <v>0</v>
      </c>
      <c r="AR63" s="14">
        <f t="shared" si="89"/>
        <v>0</v>
      </c>
      <c r="AS63" s="14">
        <f t="shared" si="90"/>
        <v>0</v>
      </c>
      <c r="AT63" s="14">
        <f t="shared" si="92"/>
        <v>0</v>
      </c>
      <c r="AU63" s="234"/>
      <c r="AV63" s="234"/>
      <c r="AW63" s="234"/>
      <c r="AX63" s="234"/>
      <c r="AY63" s="234"/>
      <c r="AZ63" s="234"/>
      <c r="BA63" s="234"/>
      <c r="BB63" s="16">
        <f t="shared" si="91"/>
        <v>0</v>
      </c>
      <c r="BD63" s="294">
        <f>'Incremental_Cost Year 1'!AV63+'Incremental_Cost Year 2'!AV63+'Incremental_Cost Year 3'!AV63+'Incremental_Cost Year 4'!AV63+'Incremental_Cost Year 5'!AV63+'Incremental_Cost Year 6'!AV63+'Incremental_Cost Year 7'!AV63+'Incremental_Cost Year 8'!AV63+'Incremental_Cost Year 9'!AV63+'Incremental_Cost Year 10'!AV63</f>
        <v>0</v>
      </c>
      <c r="BE63" s="294">
        <f>'Incremental_Cost Year 1'!AW63+'Incremental_Cost Year 2'!AW63+'Incremental_Cost Year 3'!AW63+'Incremental_Cost Year 4'!AW63+'Incremental_Cost Year 5'!AW63+'Incremental_Cost Year 6'!AW63+'Incremental_Cost Year 7'!AW63+'Incremental_Cost Year 8'!AW63+'Incremental_Cost Year 9'!AW63+'Incremental_Cost Year 10'!AW63</f>
        <v>0</v>
      </c>
      <c r="BF63" s="294">
        <f>'Incremental_Cost Year 1'!AX63+'Incremental_Cost Year 2'!AX63+'Incremental_Cost Year 3'!AX63+'Incremental_Cost Year 4'!AX63+'Incremental_Cost Year 5'!AX63+'Incremental_Cost Year 6'!AX63+'Incremental_Cost Year 7'!AX63+'Incremental_Cost Year 8'!AX63+'Incremental_Cost Year 9'!AX63+'Incremental_Cost Year 10'!AX63</f>
        <v>0</v>
      </c>
      <c r="BG63" s="294">
        <f>'Incremental_Cost Year 1'!AY63+'Incremental_Cost Year 2'!AY63+'Incremental_Cost Year 3'!AY63+'Incremental_Cost Year 4'!AY63+'Incremental_Cost Year 5'!AY63+'Incremental_Cost Year 6'!AY63+'Incremental_Cost Year 7'!AY63+'Incremental_Cost Year 8'!AY63+'Incremental_Cost Year 9'!AY63+'Incremental_Cost Year 10'!AY63</f>
        <v>0</v>
      </c>
      <c r="BH63" s="294">
        <f>'Incremental_Cost Year 1'!AZ63+'Incremental_Cost Year 2'!AZ63+'Incremental_Cost Year 3'!AZ63+'Incremental_Cost Year 4'!AZ63+'Incremental_Cost Year 5'!AZ63+'Incremental_Cost Year 6'!AZ63+'Incremental_Cost Year 7'!AZ63+'Incremental_Cost Year 8'!AZ63+'Incremental_Cost Year 9'!AZ63+'Incremental_Cost Year 10'!AZ63</f>
        <v>1368000</v>
      </c>
      <c r="BI63" s="294">
        <f>'Incremental_Cost Year 1'!BA63+'Incremental_Cost Year 2'!BA63+'Incremental_Cost Year 3'!BA63+'Incremental_Cost Year 4'!BA63+'Incremental_Cost Year 5'!BA63+'Incremental_Cost Year 6'!BA63+'Incremental_Cost Year 7'!BA63+'Incremental_Cost Year 8'!BA63+'Incremental_Cost Year 9'!BA63+'Incremental_Cost Year 10'!BA63</f>
        <v>0</v>
      </c>
      <c r="BJ63" s="294">
        <f t="shared" si="22"/>
        <v>1368000</v>
      </c>
    </row>
    <row r="64" spans="1:62" ht="41.4" outlineLevel="2">
      <c r="A64" s="98"/>
      <c r="B64" s="102"/>
      <c r="C64" s="23"/>
      <c r="D64" s="269"/>
      <c r="E64" s="269"/>
      <c r="F64" s="251"/>
      <c r="G64" s="250"/>
      <c r="H64" s="272"/>
      <c r="I64" s="258"/>
      <c r="J64" s="259"/>
      <c r="K64" s="259"/>
      <c r="L64" s="106" t="str">
        <f>IF(I64&lt;&gt;0,((VLOOKUP(I64,'1. Standard_Cost'!$B$4:$D$11,2)+VLOOKUP(I64,'1. Standard_Cost'!$B$4:$D$11,3))*J64*K64),"0")</f>
        <v>0</v>
      </c>
      <c r="M64" s="106">
        <f>L64*'1. Standard_Cost'!$F$4</f>
        <v>0</v>
      </c>
      <c r="N64" s="260"/>
      <c r="O64" s="260"/>
      <c r="P64" s="260"/>
      <c r="Q64" s="260"/>
      <c r="R64" s="108">
        <f>'1. Standard_Cost'!$B$15*N64*P64</f>
        <v>0</v>
      </c>
      <c r="S64" s="108">
        <f>N64*O64*P64*'1. Standard_Cost'!$C$15</f>
        <v>0</v>
      </c>
      <c r="T64" s="108">
        <f>N64*P64*Q64*'1. Standard_Cost'!$D$15</f>
        <v>0</v>
      </c>
      <c r="U64" s="108">
        <f>N64*O64*'1. Standard_Cost'!$E$15</f>
        <v>0</v>
      </c>
      <c r="V64" s="260"/>
      <c r="W64" s="260"/>
      <c r="X64" s="260"/>
      <c r="Y64" s="108">
        <f>+V64*((X64*'1. Standard_Cost'!$B$19)+(W64*X64*'1. Standard_Cost'!$C$19))</f>
        <v>0</v>
      </c>
      <c r="Z64" s="260"/>
      <c r="AA64" s="260"/>
      <c r="AB64" s="108">
        <f>+Z64*'1. Standard_Cost'!$B$23+AA64*'1. Standard_Cost'!$C$23</f>
        <v>0</v>
      </c>
      <c r="AC64" s="261"/>
      <c r="AD64" s="262"/>
      <c r="AE64" s="108">
        <f>SUM(AD64,AC64,AB64,Y64,U64,T64,S64,R64)*'1. Standard_Cost'!$B$31</f>
        <v>0</v>
      </c>
      <c r="AF64" s="108">
        <f t="shared" si="87"/>
        <v>0</v>
      </c>
      <c r="AG64" s="260"/>
      <c r="AH64" s="260"/>
      <c r="AI64" s="260"/>
      <c r="AJ64" s="263"/>
      <c r="AK64" s="263"/>
      <c r="AL64" s="263"/>
      <c r="AM64" s="108">
        <f>AG64*'1. Standard_Cost'!$B$27+'Incremental_Cost Year 10'!AH64*'1. Standard_Cost'!$C$27+'Incremental_Cost Year 10'!AI64*'1. Standard_Cost'!$D$27+'Incremental_Cost Year 10'!AJ64+'Incremental_Cost Year 10'!AL64+AK64</f>
        <v>0</v>
      </c>
      <c r="AN64" s="108">
        <f>AM64*'1. Standard_Cost'!$C$31</f>
        <v>0</v>
      </c>
      <c r="AO64" s="125" t="s">
        <v>311</v>
      </c>
      <c r="AQ64" s="14">
        <f t="shared" si="88"/>
        <v>0</v>
      </c>
      <c r="AR64" s="14">
        <f t="shared" si="89"/>
        <v>0</v>
      </c>
      <c r="AS64" s="14">
        <f t="shared" si="90"/>
        <v>0</v>
      </c>
      <c r="AT64" s="14">
        <f t="shared" si="92"/>
        <v>0</v>
      </c>
      <c r="AU64" s="234"/>
      <c r="AV64" s="234"/>
      <c r="AW64" s="234"/>
      <c r="AX64" s="234"/>
      <c r="AY64" s="234"/>
      <c r="AZ64" s="234"/>
      <c r="BA64" s="234"/>
      <c r="BB64" s="16">
        <f t="shared" si="91"/>
        <v>0</v>
      </c>
      <c r="BD64" s="294">
        <f>'Incremental_Cost Year 1'!AV64+'Incremental_Cost Year 2'!AV64+'Incremental_Cost Year 3'!AV64+'Incremental_Cost Year 4'!AV64+'Incremental_Cost Year 5'!AV64+'Incremental_Cost Year 6'!AV64+'Incremental_Cost Year 7'!AV64+'Incremental_Cost Year 8'!AV64+'Incremental_Cost Year 9'!AV64+'Incremental_Cost Year 10'!AV64</f>
        <v>0</v>
      </c>
      <c r="BE64" s="294">
        <f>'Incremental_Cost Year 1'!AW64+'Incremental_Cost Year 2'!AW64+'Incremental_Cost Year 3'!AW64+'Incremental_Cost Year 4'!AW64+'Incremental_Cost Year 5'!AW64+'Incremental_Cost Year 6'!AW64+'Incremental_Cost Year 7'!AW64+'Incremental_Cost Year 8'!AW64+'Incremental_Cost Year 9'!AW64+'Incremental_Cost Year 10'!AW64</f>
        <v>0</v>
      </c>
      <c r="BF64" s="294">
        <f>'Incremental_Cost Year 1'!AX64+'Incremental_Cost Year 2'!AX64+'Incremental_Cost Year 3'!AX64+'Incremental_Cost Year 4'!AX64+'Incremental_Cost Year 5'!AX64+'Incremental_Cost Year 6'!AX64+'Incremental_Cost Year 7'!AX64+'Incremental_Cost Year 8'!AX64+'Incremental_Cost Year 9'!AX64+'Incremental_Cost Year 10'!AX64</f>
        <v>0</v>
      </c>
      <c r="BG64" s="294">
        <f>'Incremental_Cost Year 1'!AY64+'Incremental_Cost Year 2'!AY64+'Incremental_Cost Year 3'!AY64+'Incremental_Cost Year 4'!AY64+'Incremental_Cost Year 5'!AY64+'Incremental_Cost Year 6'!AY64+'Incremental_Cost Year 7'!AY64+'Incremental_Cost Year 8'!AY64+'Incremental_Cost Year 9'!AY64+'Incremental_Cost Year 10'!AY64</f>
        <v>0</v>
      </c>
      <c r="BH64" s="294">
        <f>'Incremental_Cost Year 1'!AZ64+'Incremental_Cost Year 2'!AZ64+'Incremental_Cost Year 3'!AZ64+'Incremental_Cost Year 4'!AZ64+'Incremental_Cost Year 5'!AZ64+'Incremental_Cost Year 6'!AZ64+'Incremental_Cost Year 7'!AZ64+'Incremental_Cost Year 8'!AZ64+'Incremental_Cost Year 9'!AZ64+'Incremental_Cost Year 10'!AZ64</f>
        <v>1368000</v>
      </c>
      <c r="BI64" s="294">
        <f>'Incremental_Cost Year 1'!BA64+'Incremental_Cost Year 2'!BA64+'Incremental_Cost Year 3'!BA64+'Incremental_Cost Year 4'!BA64+'Incremental_Cost Year 5'!BA64+'Incremental_Cost Year 6'!BA64+'Incremental_Cost Year 7'!BA64+'Incremental_Cost Year 8'!BA64+'Incremental_Cost Year 9'!BA64+'Incremental_Cost Year 10'!BA64</f>
        <v>0</v>
      </c>
      <c r="BJ64" s="294">
        <f t="shared" si="22"/>
        <v>1368000</v>
      </c>
    </row>
    <row r="65" spans="1:62" ht="15.6" outlineLevel="2">
      <c r="A65" s="98"/>
      <c r="B65" s="102"/>
      <c r="C65" s="23"/>
      <c r="D65" s="269"/>
      <c r="E65" s="269"/>
      <c r="F65" s="251"/>
      <c r="G65" s="250"/>
      <c r="H65" s="272"/>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260"/>
      <c r="W65" s="260"/>
      <c r="X65" s="260"/>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87"/>
        <v>0</v>
      </c>
      <c r="AG65" s="260"/>
      <c r="AH65" s="260"/>
      <c r="AI65" s="260"/>
      <c r="AJ65" s="263"/>
      <c r="AK65" s="263"/>
      <c r="AL65" s="263"/>
      <c r="AM65" s="108">
        <f>AG65*'1. Standard_Cost'!$B$27+'Incremental_Cost Year 10'!AH65*'1. Standard_Cost'!$C$27+'Incremental_Cost Year 10'!AI65*'1. Standard_Cost'!$D$27+'Incremental_Cost Year 10'!AJ65+'Incremental_Cost Year 10'!AL65+AK65</f>
        <v>0</v>
      </c>
      <c r="AN65" s="108">
        <f>AM65*'1. Standard_Cost'!$C$31</f>
        <v>0</v>
      </c>
      <c r="AO65" s="125" t="s">
        <v>312</v>
      </c>
      <c r="AQ65" s="14">
        <f t="shared" si="88"/>
        <v>0</v>
      </c>
      <c r="AR65" s="14">
        <f t="shared" si="89"/>
        <v>0</v>
      </c>
      <c r="AS65" s="14">
        <f t="shared" si="90"/>
        <v>0</v>
      </c>
      <c r="AT65" s="14">
        <f t="shared" si="92"/>
        <v>0</v>
      </c>
      <c r="AU65" s="234"/>
      <c r="AV65" s="234"/>
      <c r="AW65" s="234"/>
      <c r="AX65" s="234"/>
      <c r="AY65" s="234"/>
      <c r="AZ65" s="234"/>
      <c r="BA65" s="234"/>
      <c r="BB65" s="16">
        <f t="shared" si="91"/>
        <v>0</v>
      </c>
      <c r="BD65" s="294">
        <f>'Incremental_Cost Year 1'!AV65+'Incremental_Cost Year 2'!AV65+'Incremental_Cost Year 3'!AV65+'Incremental_Cost Year 4'!AV65+'Incremental_Cost Year 5'!AV65+'Incremental_Cost Year 6'!AV65+'Incremental_Cost Year 7'!AV65+'Incremental_Cost Year 8'!AV65+'Incremental_Cost Year 9'!AV65+'Incremental_Cost Year 10'!AV65</f>
        <v>0</v>
      </c>
      <c r="BE65" s="294">
        <f>'Incremental_Cost Year 1'!AW65+'Incremental_Cost Year 2'!AW65+'Incremental_Cost Year 3'!AW65+'Incremental_Cost Year 4'!AW65+'Incremental_Cost Year 5'!AW65+'Incremental_Cost Year 6'!AW65+'Incremental_Cost Year 7'!AW65+'Incremental_Cost Year 8'!AW65+'Incremental_Cost Year 9'!AW65+'Incremental_Cost Year 10'!AW65</f>
        <v>0</v>
      </c>
      <c r="BF65" s="294">
        <f>'Incremental_Cost Year 1'!AX65+'Incremental_Cost Year 2'!AX65+'Incremental_Cost Year 3'!AX65+'Incremental_Cost Year 4'!AX65+'Incremental_Cost Year 5'!AX65+'Incremental_Cost Year 6'!AX65+'Incremental_Cost Year 7'!AX65+'Incremental_Cost Year 8'!AX65+'Incremental_Cost Year 9'!AX65+'Incremental_Cost Year 10'!AX65</f>
        <v>0</v>
      </c>
      <c r="BG65" s="294">
        <f>'Incremental_Cost Year 1'!AY65+'Incremental_Cost Year 2'!AY65+'Incremental_Cost Year 3'!AY65+'Incremental_Cost Year 4'!AY65+'Incremental_Cost Year 5'!AY65+'Incremental_Cost Year 6'!AY65+'Incremental_Cost Year 7'!AY65+'Incremental_Cost Year 8'!AY65+'Incremental_Cost Year 9'!AY65+'Incremental_Cost Year 10'!AY65</f>
        <v>0</v>
      </c>
      <c r="BH65" s="294">
        <f>'Incremental_Cost Year 1'!AZ65+'Incremental_Cost Year 2'!AZ65+'Incremental_Cost Year 3'!AZ65+'Incremental_Cost Year 4'!AZ65+'Incremental_Cost Year 5'!AZ65+'Incremental_Cost Year 6'!AZ65+'Incremental_Cost Year 7'!AZ65+'Incremental_Cost Year 8'!AZ65+'Incremental_Cost Year 9'!AZ65+'Incremental_Cost Year 10'!AZ65</f>
        <v>0</v>
      </c>
      <c r="BI65" s="294">
        <f>'Incremental_Cost Year 1'!BA65+'Incremental_Cost Year 2'!BA65+'Incremental_Cost Year 3'!BA65+'Incremental_Cost Year 4'!BA65+'Incremental_Cost Year 5'!BA65+'Incremental_Cost Year 6'!BA65+'Incremental_Cost Year 7'!BA65+'Incremental_Cost Year 8'!BA65+'Incremental_Cost Year 9'!BA65+'Incremental_Cost Year 10'!BA65</f>
        <v>0</v>
      </c>
      <c r="BJ65" s="294">
        <f t="shared" si="22"/>
        <v>0</v>
      </c>
    </row>
    <row r="66" spans="1:62" ht="15.6" outlineLevel="2">
      <c r="A66" s="98"/>
      <c r="B66" s="102"/>
      <c r="C66" s="23"/>
      <c r="D66" s="269"/>
      <c r="E66" s="269"/>
      <c r="F66" s="251"/>
      <c r="G66" s="250"/>
      <c r="H66" s="272"/>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260"/>
      <c r="W66" s="260"/>
      <c r="X66" s="260"/>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87"/>
        <v>0</v>
      </c>
      <c r="AG66" s="260"/>
      <c r="AH66" s="260"/>
      <c r="AI66" s="260"/>
      <c r="AJ66" s="263"/>
      <c r="AK66" s="263"/>
      <c r="AL66" s="263"/>
      <c r="AM66" s="108">
        <f>AG66*'1. Standard_Cost'!$B$27+'Incremental_Cost Year 10'!AH66*'1. Standard_Cost'!$C$27+'Incremental_Cost Year 10'!AI66*'1. Standard_Cost'!$D$27+'Incremental_Cost Year 10'!AJ66+'Incremental_Cost Year 10'!AL66+AK66</f>
        <v>0</v>
      </c>
      <c r="AN66" s="108">
        <f>AM66*'1. Standard_Cost'!$C$31</f>
        <v>0</v>
      </c>
      <c r="AO66" s="125" t="s">
        <v>313</v>
      </c>
      <c r="AQ66" s="14">
        <f t="shared" si="88"/>
        <v>0</v>
      </c>
      <c r="AR66" s="14">
        <f t="shared" si="89"/>
        <v>0</v>
      </c>
      <c r="AS66" s="14">
        <f t="shared" si="90"/>
        <v>0</v>
      </c>
      <c r="AT66" s="14">
        <f t="shared" si="92"/>
        <v>0</v>
      </c>
      <c r="AU66" s="234"/>
      <c r="AV66" s="234"/>
      <c r="AW66" s="234"/>
      <c r="AX66" s="234"/>
      <c r="AY66" s="234"/>
      <c r="AZ66" s="234"/>
      <c r="BA66" s="234"/>
      <c r="BB66" s="16">
        <f t="shared" si="91"/>
        <v>0</v>
      </c>
      <c r="BD66" s="294">
        <f>'Incremental_Cost Year 1'!AV66+'Incremental_Cost Year 2'!AV66+'Incremental_Cost Year 3'!AV66+'Incremental_Cost Year 4'!AV66+'Incremental_Cost Year 5'!AV66+'Incremental_Cost Year 6'!AV66+'Incremental_Cost Year 7'!AV66+'Incremental_Cost Year 8'!AV66+'Incremental_Cost Year 9'!AV66+'Incremental_Cost Year 10'!AV66</f>
        <v>0</v>
      </c>
      <c r="BE66" s="294">
        <f>'Incremental_Cost Year 1'!AW66+'Incremental_Cost Year 2'!AW66+'Incremental_Cost Year 3'!AW66+'Incremental_Cost Year 4'!AW66+'Incremental_Cost Year 5'!AW66+'Incremental_Cost Year 6'!AW66+'Incremental_Cost Year 7'!AW66+'Incremental_Cost Year 8'!AW66+'Incremental_Cost Year 9'!AW66+'Incremental_Cost Year 10'!AW66</f>
        <v>0</v>
      </c>
      <c r="BF66" s="294">
        <f>'Incremental_Cost Year 1'!AX66+'Incremental_Cost Year 2'!AX66+'Incremental_Cost Year 3'!AX66+'Incremental_Cost Year 4'!AX66+'Incremental_Cost Year 5'!AX66+'Incremental_Cost Year 6'!AX66+'Incremental_Cost Year 7'!AX66+'Incremental_Cost Year 8'!AX66+'Incremental_Cost Year 9'!AX66+'Incremental_Cost Year 10'!AX66</f>
        <v>0</v>
      </c>
      <c r="BG66" s="294">
        <f>'Incremental_Cost Year 1'!AY66+'Incremental_Cost Year 2'!AY66+'Incremental_Cost Year 3'!AY66+'Incremental_Cost Year 4'!AY66+'Incremental_Cost Year 5'!AY66+'Incremental_Cost Year 6'!AY66+'Incremental_Cost Year 7'!AY66+'Incremental_Cost Year 8'!AY66+'Incremental_Cost Year 9'!AY66+'Incremental_Cost Year 10'!AY66</f>
        <v>0</v>
      </c>
      <c r="BH66" s="294">
        <f>'Incremental_Cost Year 1'!AZ66+'Incremental_Cost Year 2'!AZ66+'Incremental_Cost Year 3'!AZ66+'Incremental_Cost Year 4'!AZ66+'Incremental_Cost Year 5'!AZ66+'Incremental_Cost Year 6'!AZ66+'Incremental_Cost Year 7'!AZ66+'Incremental_Cost Year 8'!AZ66+'Incremental_Cost Year 9'!AZ66+'Incremental_Cost Year 10'!AZ66</f>
        <v>0</v>
      </c>
      <c r="BI66" s="294">
        <f>'Incremental_Cost Year 1'!BA66+'Incremental_Cost Year 2'!BA66+'Incremental_Cost Year 3'!BA66+'Incremental_Cost Year 4'!BA66+'Incremental_Cost Year 5'!BA66+'Incremental_Cost Year 6'!BA66+'Incremental_Cost Year 7'!BA66+'Incremental_Cost Year 8'!BA66+'Incremental_Cost Year 9'!BA66+'Incremental_Cost Year 10'!BA66</f>
        <v>0</v>
      </c>
      <c r="BJ66" s="294">
        <f t="shared" si="22"/>
        <v>0</v>
      </c>
    </row>
    <row r="67" spans="1:62" ht="15.6" outlineLevel="2">
      <c r="A67" s="98"/>
      <c r="B67" s="102"/>
      <c r="C67" s="23"/>
      <c r="D67" s="269"/>
      <c r="E67" s="269"/>
      <c r="F67" s="251"/>
      <c r="G67" s="173"/>
      <c r="H67" s="272"/>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260"/>
      <c r="W67" s="260"/>
      <c r="X67" s="260"/>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87"/>
        <v>0</v>
      </c>
      <c r="AG67" s="260"/>
      <c r="AH67" s="260"/>
      <c r="AI67" s="260"/>
      <c r="AJ67" s="263"/>
      <c r="AK67" s="263"/>
      <c r="AL67" s="263"/>
      <c r="AM67" s="108">
        <f>AG67*'1. Standard_Cost'!$B$27+'Incremental_Cost Year 10'!AH67*'1. Standard_Cost'!$C$27+'Incremental_Cost Year 10'!AI67*'1. Standard_Cost'!$D$27+'Incremental_Cost Year 10'!AJ67+'Incremental_Cost Year 10'!AL67+AK67</f>
        <v>0</v>
      </c>
      <c r="AN67" s="108">
        <f>AM67*'1. Standard_Cost'!$C$31</f>
        <v>0</v>
      </c>
      <c r="AO67" s="125" t="s">
        <v>313</v>
      </c>
      <c r="AQ67" s="14">
        <f t="shared" si="88"/>
        <v>0</v>
      </c>
      <c r="AR67" s="14">
        <f t="shared" si="89"/>
        <v>0</v>
      </c>
      <c r="AS67" s="14">
        <f t="shared" si="90"/>
        <v>0</v>
      </c>
      <c r="AT67" s="14">
        <f t="shared" si="92"/>
        <v>0</v>
      </c>
      <c r="AU67" s="234"/>
      <c r="AV67" s="234"/>
      <c r="AW67" s="234"/>
      <c r="AX67" s="234"/>
      <c r="AY67" s="234"/>
      <c r="AZ67" s="234"/>
      <c r="BA67" s="234"/>
      <c r="BB67" s="16">
        <f t="shared" si="91"/>
        <v>0</v>
      </c>
      <c r="BD67" s="294">
        <f>'Incremental_Cost Year 1'!AV67+'Incremental_Cost Year 2'!AV67+'Incremental_Cost Year 3'!AV67+'Incremental_Cost Year 4'!AV67+'Incremental_Cost Year 5'!AV67+'Incremental_Cost Year 6'!AV67+'Incremental_Cost Year 7'!AV67+'Incremental_Cost Year 8'!AV67+'Incremental_Cost Year 9'!AV67+'Incremental_Cost Year 10'!AV67</f>
        <v>0</v>
      </c>
      <c r="BE67" s="294">
        <f>'Incremental_Cost Year 1'!AW67+'Incremental_Cost Year 2'!AW67+'Incremental_Cost Year 3'!AW67+'Incremental_Cost Year 4'!AW67+'Incremental_Cost Year 5'!AW67+'Incremental_Cost Year 6'!AW67+'Incremental_Cost Year 7'!AW67+'Incremental_Cost Year 8'!AW67+'Incremental_Cost Year 9'!AW67+'Incremental_Cost Year 10'!AW67</f>
        <v>0</v>
      </c>
      <c r="BF67" s="294">
        <f>'Incremental_Cost Year 1'!AX67+'Incremental_Cost Year 2'!AX67+'Incremental_Cost Year 3'!AX67+'Incremental_Cost Year 4'!AX67+'Incremental_Cost Year 5'!AX67+'Incremental_Cost Year 6'!AX67+'Incremental_Cost Year 7'!AX67+'Incremental_Cost Year 8'!AX67+'Incremental_Cost Year 9'!AX67+'Incremental_Cost Year 10'!AX67</f>
        <v>0</v>
      </c>
      <c r="BG67" s="294">
        <f>'Incremental_Cost Year 1'!AY67+'Incremental_Cost Year 2'!AY67+'Incremental_Cost Year 3'!AY67+'Incremental_Cost Year 4'!AY67+'Incremental_Cost Year 5'!AY67+'Incremental_Cost Year 6'!AY67+'Incremental_Cost Year 7'!AY67+'Incremental_Cost Year 8'!AY67+'Incremental_Cost Year 9'!AY67+'Incremental_Cost Year 10'!AY67</f>
        <v>0</v>
      </c>
      <c r="BH67" s="294">
        <f>'Incremental_Cost Year 1'!AZ67+'Incremental_Cost Year 2'!AZ67+'Incremental_Cost Year 3'!AZ67+'Incremental_Cost Year 4'!AZ67+'Incremental_Cost Year 5'!AZ67+'Incremental_Cost Year 6'!AZ67+'Incremental_Cost Year 7'!AZ67+'Incremental_Cost Year 8'!AZ67+'Incremental_Cost Year 9'!AZ67+'Incremental_Cost Year 10'!AZ67</f>
        <v>0</v>
      </c>
      <c r="BI67" s="294">
        <f>'Incremental_Cost Year 1'!BA67+'Incremental_Cost Year 2'!BA67+'Incremental_Cost Year 3'!BA67+'Incremental_Cost Year 4'!BA67+'Incremental_Cost Year 5'!BA67+'Incremental_Cost Year 6'!BA67+'Incremental_Cost Year 7'!BA67+'Incremental_Cost Year 8'!BA67+'Incremental_Cost Year 9'!BA67+'Incremental_Cost Year 10'!BA67</f>
        <v>0</v>
      </c>
      <c r="BJ67" s="294">
        <f t="shared" si="22"/>
        <v>0</v>
      </c>
    </row>
    <row r="68" spans="1:62" ht="15.6" outlineLevel="2">
      <c r="A68" s="98"/>
      <c r="B68" s="102"/>
      <c r="C68" s="23"/>
      <c r="D68" s="269"/>
      <c r="E68" s="269"/>
      <c r="F68" s="251"/>
      <c r="G68" s="173"/>
      <c r="H68" s="272"/>
      <c r="I68" s="258"/>
      <c r="J68" s="259"/>
      <c r="K68" s="259"/>
      <c r="L68" s="106" t="str">
        <f>IF(I68&lt;&gt;0,((VLOOKUP(I68,'1. Standard_Cost'!$B$4:$D$11,2)+VLOOKUP(I68,'1. Standard_Cost'!$B$4:$D$11,3))*J68*K68),"0")</f>
        <v>0</v>
      </c>
      <c r="M68" s="106">
        <f>L68*'1. Standard_Cost'!$F$4</f>
        <v>0</v>
      </c>
      <c r="N68" s="260"/>
      <c r="O68" s="260"/>
      <c r="P68" s="260"/>
      <c r="Q68" s="260"/>
      <c r="R68" s="108">
        <f>'1. Standard_Cost'!$B$15*N68*P68</f>
        <v>0</v>
      </c>
      <c r="S68" s="108">
        <f>N68*O68*P68*'1. Standard_Cost'!$C$15</f>
        <v>0</v>
      </c>
      <c r="T68" s="108">
        <f>N68*P68*Q68*'1. Standard_Cost'!$D$15</f>
        <v>0</v>
      </c>
      <c r="U68" s="108">
        <f>N68*O68*'1. Standard_Cost'!$E$15</f>
        <v>0</v>
      </c>
      <c r="V68" s="260"/>
      <c r="W68" s="260"/>
      <c r="X68" s="260"/>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87"/>
        <v>0</v>
      </c>
      <c r="AG68" s="260"/>
      <c r="AH68" s="260"/>
      <c r="AI68" s="260"/>
      <c r="AJ68" s="263"/>
      <c r="AK68" s="263"/>
      <c r="AL68" s="263"/>
      <c r="AM68" s="108">
        <f>AG68*'1. Standard_Cost'!$B$27+'Incremental_Cost Year 10'!AH68*'1. Standard_Cost'!$C$27+'Incremental_Cost Year 10'!AI68*'1. Standard_Cost'!$D$27+'Incremental_Cost Year 10'!AJ68+'Incremental_Cost Year 10'!AL68+AK68</f>
        <v>0</v>
      </c>
      <c r="AN68" s="108">
        <f>AM68*'1. Standard_Cost'!$C$31</f>
        <v>0</v>
      </c>
      <c r="AO68" s="125" t="s">
        <v>314</v>
      </c>
      <c r="AQ68" s="14">
        <f t="shared" si="88"/>
        <v>0</v>
      </c>
      <c r="AR68" s="14">
        <f t="shared" si="89"/>
        <v>0</v>
      </c>
      <c r="AS68" s="14">
        <f t="shared" si="90"/>
        <v>0</v>
      </c>
      <c r="AT68" s="14">
        <f t="shared" si="92"/>
        <v>0</v>
      </c>
      <c r="AU68" s="234"/>
      <c r="AV68" s="234"/>
      <c r="AW68" s="234"/>
      <c r="AX68" s="234"/>
      <c r="AY68" s="234"/>
      <c r="AZ68" s="234"/>
      <c r="BA68" s="234"/>
      <c r="BB68" s="16">
        <f t="shared" si="91"/>
        <v>0</v>
      </c>
      <c r="BD68" s="294">
        <f>'Incremental_Cost Year 1'!AV68+'Incremental_Cost Year 2'!AV68+'Incremental_Cost Year 3'!AV68+'Incremental_Cost Year 4'!AV68+'Incremental_Cost Year 5'!AV68+'Incremental_Cost Year 6'!AV68+'Incremental_Cost Year 7'!AV68+'Incremental_Cost Year 8'!AV68+'Incremental_Cost Year 9'!AV68+'Incremental_Cost Year 10'!AV68</f>
        <v>0</v>
      </c>
      <c r="BE68" s="294">
        <f>'Incremental_Cost Year 1'!AW68+'Incremental_Cost Year 2'!AW68+'Incremental_Cost Year 3'!AW68+'Incremental_Cost Year 4'!AW68+'Incremental_Cost Year 5'!AW68+'Incremental_Cost Year 6'!AW68+'Incremental_Cost Year 7'!AW68+'Incremental_Cost Year 8'!AW68+'Incremental_Cost Year 9'!AW68+'Incremental_Cost Year 10'!AW68</f>
        <v>0</v>
      </c>
      <c r="BF68" s="294">
        <f>'Incremental_Cost Year 1'!AX68+'Incremental_Cost Year 2'!AX68+'Incremental_Cost Year 3'!AX68+'Incremental_Cost Year 4'!AX68+'Incremental_Cost Year 5'!AX68+'Incremental_Cost Year 6'!AX68+'Incremental_Cost Year 7'!AX68+'Incremental_Cost Year 8'!AX68+'Incremental_Cost Year 9'!AX68+'Incremental_Cost Year 10'!AX68</f>
        <v>0</v>
      </c>
      <c r="BG68" s="294">
        <f>'Incremental_Cost Year 1'!AY68+'Incremental_Cost Year 2'!AY68+'Incremental_Cost Year 3'!AY68+'Incremental_Cost Year 4'!AY68+'Incremental_Cost Year 5'!AY68+'Incremental_Cost Year 6'!AY68+'Incremental_Cost Year 7'!AY68+'Incremental_Cost Year 8'!AY68+'Incremental_Cost Year 9'!AY68+'Incremental_Cost Year 10'!AY68</f>
        <v>0</v>
      </c>
      <c r="BH68" s="294">
        <f>'Incremental_Cost Year 1'!AZ68+'Incremental_Cost Year 2'!AZ68+'Incremental_Cost Year 3'!AZ68+'Incremental_Cost Year 4'!AZ68+'Incremental_Cost Year 5'!AZ68+'Incremental_Cost Year 6'!AZ68+'Incremental_Cost Year 7'!AZ68+'Incremental_Cost Year 8'!AZ68+'Incremental_Cost Year 9'!AZ68+'Incremental_Cost Year 10'!AZ68</f>
        <v>0</v>
      </c>
      <c r="BI68" s="294">
        <f>'Incremental_Cost Year 1'!BA68+'Incremental_Cost Year 2'!BA68+'Incremental_Cost Year 3'!BA68+'Incremental_Cost Year 4'!BA68+'Incremental_Cost Year 5'!BA68+'Incremental_Cost Year 6'!BA68+'Incremental_Cost Year 7'!BA68+'Incremental_Cost Year 8'!BA68+'Incremental_Cost Year 9'!BA68+'Incremental_Cost Year 10'!BA68</f>
        <v>0</v>
      </c>
      <c r="BJ68" s="294">
        <f t="shared" si="22"/>
        <v>0</v>
      </c>
    </row>
    <row r="69" spans="1:62" ht="27.6" outlineLevel="2">
      <c r="A69" s="98"/>
      <c r="B69" s="102"/>
      <c r="C69" s="23"/>
      <c r="D69" s="269"/>
      <c r="E69" s="269"/>
      <c r="F69" s="251"/>
      <c r="G69" s="250"/>
      <c r="H69" s="272"/>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260"/>
      <c r="W69" s="260"/>
      <c r="X69" s="260"/>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87"/>
        <v>0</v>
      </c>
      <c r="AG69" s="260"/>
      <c r="AH69" s="260"/>
      <c r="AI69" s="260"/>
      <c r="AJ69" s="263"/>
      <c r="AK69" s="263"/>
      <c r="AL69" s="263"/>
      <c r="AM69" s="108">
        <f>AG69*'1. Standard_Cost'!$B$27+'Incremental_Cost Year 10'!AH69*'1. Standard_Cost'!$C$27+'Incremental_Cost Year 10'!AI69*'1. Standard_Cost'!$D$27+'Incremental_Cost Year 10'!AJ69+'Incremental_Cost Year 10'!AL69+AK69</f>
        <v>0</v>
      </c>
      <c r="AN69" s="108">
        <f>AM69*'1. Standard_Cost'!$C$31</f>
        <v>0</v>
      </c>
      <c r="AO69" s="125" t="s">
        <v>315</v>
      </c>
      <c r="AQ69" s="14">
        <f t="shared" si="88"/>
        <v>0</v>
      </c>
      <c r="AR69" s="14">
        <f t="shared" si="89"/>
        <v>0</v>
      </c>
      <c r="AS69" s="14">
        <f t="shared" si="90"/>
        <v>0</v>
      </c>
      <c r="AT69" s="14">
        <f t="shared" si="92"/>
        <v>0</v>
      </c>
      <c r="AU69" s="234"/>
      <c r="AV69" s="234"/>
      <c r="AW69" s="234"/>
      <c r="AX69" s="234"/>
      <c r="AY69" s="234"/>
      <c r="AZ69" s="234"/>
      <c r="BA69" s="234"/>
      <c r="BB69" s="16">
        <f t="shared" si="91"/>
        <v>0</v>
      </c>
      <c r="BD69" s="294">
        <f>'Incremental_Cost Year 1'!AV69+'Incremental_Cost Year 2'!AV69+'Incremental_Cost Year 3'!AV69+'Incremental_Cost Year 4'!AV69+'Incremental_Cost Year 5'!AV69+'Incremental_Cost Year 6'!AV69+'Incremental_Cost Year 7'!AV69+'Incremental_Cost Year 8'!AV69+'Incremental_Cost Year 9'!AV69+'Incremental_Cost Year 10'!AV69</f>
        <v>0</v>
      </c>
      <c r="BE69" s="294">
        <f>'Incremental_Cost Year 1'!AW69+'Incremental_Cost Year 2'!AW69+'Incremental_Cost Year 3'!AW69+'Incremental_Cost Year 4'!AW69+'Incremental_Cost Year 5'!AW69+'Incremental_Cost Year 6'!AW69+'Incremental_Cost Year 7'!AW69+'Incremental_Cost Year 8'!AW69+'Incremental_Cost Year 9'!AW69+'Incremental_Cost Year 10'!AW69</f>
        <v>0</v>
      </c>
      <c r="BF69" s="294">
        <f>'Incremental_Cost Year 1'!AX69+'Incremental_Cost Year 2'!AX69+'Incremental_Cost Year 3'!AX69+'Incremental_Cost Year 4'!AX69+'Incremental_Cost Year 5'!AX69+'Incremental_Cost Year 6'!AX69+'Incremental_Cost Year 7'!AX69+'Incremental_Cost Year 8'!AX69+'Incremental_Cost Year 9'!AX69+'Incremental_Cost Year 10'!AX69</f>
        <v>0</v>
      </c>
      <c r="BG69" s="294">
        <f>'Incremental_Cost Year 1'!AY69+'Incremental_Cost Year 2'!AY69+'Incremental_Cost Year 3'!AY69+'Incremental_Cost Year 4'!AY69+'Incremental_Cost Year 5'!AY69+'Incremental_Cost Year 6'!AY69+'Incremental_Cost Year 7'!AY69+'Incremental_Cost Year 8'!AY69+'Incremental_Cost Year 9'!AY69+'Incremental_Cost Year 10'!AY69</f>
        <v>0</v>
      </c>
      <c r="BH69" s="294">
        <f>'Incremental_Cost Year 1'!AZ69+'Incremental_Cost Year 2'!AZ69+'Incremental_Cost Year 3'!AZ69+'Incremental_Cost Year 4'!AZ69+'Incremental_Cost Year 5'!AZ69+'Incremental_Cost Year 6'!AZ69+'Incremental_Cost Year 7'!AZ69+'Incremental_Cost Year 8'!AZ69+'Incremental_Cost Year 9'!AZ69+'Incremental_Cost Year 10'!AZ69</f>
        <v>0</v>
      </c>
      <c r="BI69" s="294">
        <f>'Incremental_Cost Year 1'!BA69+'Incremental_Cost Year 2'!BA69+'Incremental_Cost Year 3'!BA69+'Incremental_Cost Year 4'!BA69+'Incremental_Cost Year 5'!BA69+'Incremental_Cost Year 6'!BA69+'Incremental_Cost Year 7'!BA69+'Incremental_Cost Year 8'!BA69+'Incremental_Cost Year 9'!BA69+'Incremental_Cost Year 10'!BA69</f>
        <v>0</v>
      </c>
      <c r="BJ69" s="294">
        <f t="shared" si="22"/>
        <v>0</v>
      </c>
    </row>
    <row r="70" spans="1:62" ht="27.6" outlineLevel="2">
      <c r="A70" s="98"/>
      <c r="B70" s="102"/>
      <c r="C70" s="23"/>
      <c r="D70" s="269"/>
      <c r="E70" s="269"/>
      <c r="F70" s="251"/>
      <c r="G70" s="250"/>
      <c r="H70" s="272"/>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260"/>
      <c r="W70" s="260"/>
      <c r="X70" s="260"/>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87"/>
        <v>0</v>
      </c>
      <c r="AG70" s="260"/>
      <c r="AH70" s="260"/>
      <c r="AI70" s="260"/>
      <c r="AJ70" s="263"/>
      <c r="AK70" s="263"/>
      <c r="AL70" s="263"/>
      <c r="AM70" s="108">
        <f>AG70*'1. Standard_Cost'!$B$27+'Incremental_Cost Year 10'!AH70*'1. Standard_Cost'!$C$27+'Incremental_Cost Year 10'!AI70*'1. Standard_Cost'!$D$27+'Incremental_Cost Year 10'!AJ70+'Incremental_Cost Year 10'!AL70+AK70</f>
        <v>0</v>
      </c>
      <c r="AN70" s="108">
        <f>AM70*'1. Standard_Cost'!$C$31</f>
        <v>0</v>
      </c>
      <c r="AO70" s="125" t="s">
        <v>315</v>
      </c>
      <c r="AQ70" s="14">
        <f t="shared" si="88"/>
        <v>0</v>
      </c>
      <c r="AR70" s="14">
        <f t="shared" si="89"/>
        <v>0</v>
      </c>
      <c r="AS70" s="14">
        <f t="shared" si="90"/>
        <v>0</v>
      </c>
      <c r="AT70" s="14">
        <f t="shared" si="92"/>
        <v>0</v>
      </c>
      <c r="AU70" s="234"/>
      <c r="AV70" s="234"/>
      <c r="AW70" s="234"/>
      <c r="AX70" s="234"/>
      <c r="AY70" s="234"/>
      <c r="AZ70" s="234"/>
      <c r="BA70" s="234"/>
      <c r="BB70" s="16">
        <f t="shared" si="91"/>
        <v>0</v>
      </c>
      <c r="BD70" s="294">
        <f>'Incremental_Cost Year 1'!AV70+'Incremental_Cost Year 2'!AV70+'Incremental_Cost Year 3'!AV70+'Incremental_Cost Year 4'!AV70+'Incremental_Cost Year 5'!AV70+'Incremental_Cost Year 6'!AV70+'Incremental_Cost Year 7'!AV70+'Incremental_Cost Year 8'!AV70+'Incremental_Cost Year 9'!AV70+'Incremental_Cost Year 10'!AV70</f>
        <v>0</v>
      </c>
      <c r="BE70" s="294">
        <f>'Incremental_Cost Year 1'!AW70+'Incremental_Cost Year 2'!AW70+'Incremental_Cost Year 3'!AW70+'Incremental_Cost Year 4'!AW70+'Incremental_Cost Year 5'!AW70+'Incremental_Cost Year 6'!AW70+'Incremental_Cost Year 7'!AW70+'Incremental_Cost Year 8'!AW70+'Incremental_Cost Year 9'!AW70+'Incremental_Cost Year 10'!AW70</f>
        <v>0</v>
      </c>
      <c r="BF70" s="294">
        <f>'Incremental_Cost Year 1'!AX70+'Incremental_Cost Year 2'!AX70+'Incremental_Cost Year 3'!AX70+'Incremental_Cost Year 4'!AX70+'Incremental_Cost Year 5'!AX70+'Incremental_Cost Year 6'!AX70+'Incremental_Cost Year 7'!AX70+'Incremental_Cost Year 8'!AX70+'Incremental_Cost Year 9'!AX70+'Incremental_Cost Year 10'!AX70</f>
        <v>0</v>
      </c>
      <c r="BG70" s="294">
        <f>'Incremental_Cost Year 1'!AY70+'Incremental_Cost Year 2'!AY70+'Incremental_Cost Year 3'!AY70+'Incremental_Cost Year 4'!AY70+'Incremental_Cost Year 5'!AY70+'Incremental_Cost Year 6'!AY70+'Incremental_Cost Year 7'!AY70+'Incremental_Cost Year 8'!AY70+'Incremental_Cost Year 9'!AY70+'Incremental_Cost Year 10'!AY70</f>
        <v>0</v>
      </c>
      <c r="BH70" s="294">
        <f>'Incremental_Cost Year 1'!AZ70+'Incremental_Cost Year 2'!AZ70+'Incremental_Cost Year 3'!AZ70+'Incremental_Cost Year 4'!AZ70+'Incremental_Cost Year 5'!AZ70+'Incremental_Cost Year 6'!AZ70+'Incremental_Cost Year 7'!AZ70+'Incremental_Cost Year 8'!AZ70+'Incremental_Cost Year 9'!AZ70+'Incremental_Cost Year 10'!AZ70</f>
        <v>0</v>
      </c>
      <c r="BI70" s="294">
        <f>'Incremental_Cost Year 1'!BA70+'Incremental_Cost Year 2'!BA70+'Incremental_Cost Year 3'!BA70+'Incremental_Cost Year 4'!BA70+'Incremental_Cost Year 5'!BA70+'Incremental_Cost Year 6'!BA70+'Incremental_Cost Year 7'!BA70+'Incremental_Cost Year 8'!BA70+'Incremental_Cost Year 9'!BA70+'Incremental_Cost Year 10'!BA70</f>
        <v>0</v>
      </c>
      <c r="BJ70" s="294">
        <f t="shared" si="22"/>
        <v>0</v>
      </c>
    </row>
    <row r="71" spans="1:62" ht="27.6" outlineLevel="2">
      <c r="A71" s="98"/>
      <c r="B71" s="102"/>
      <c r="C71" s="23"/>
      <c r="D71" s="269"/>
      <c r="E71" s="269"/>
      <c r="F71" s="251"/>
      <c r="G71" s="250"/>
      <c r="H71" s="272"/>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260"/>
      <c r="W71" s="260"/>
      <c r="X71" s="260"/>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87"/>
        <v>0</v>
      </c>
      <c r="AG71" s="260"/>
      <c r="AH71" s="260"/>
      <c r="AI71" s="260"/>
      <c r="AJ71" s="263"/>
      <c r="AK71" s="263"/>
      <c r="AL71" s="263"/>
      <c r="AM71" s="108">
        <f>AG71*'1. Standard_Cost'!$B$27+'Incremental_Cost Year 10'!AH71*'1. Standard_Cost'!$C$27+'Incremental_Cost Year 10'!AI71*'1. Standard_Cost'!$D$27+'Incremental_Cost Year 10'!AJ71+'Incremental_Cost Year 10'!AL71+AK71</f>
        <v>0</v>
      </c>
      <c r="AN71" s="108">
        <f>AM71*'1. Standard_Cost'!$C$31</f>
        <v>0</v>
      </c>
      <c r="AO71" s="125" t="s">
        <v>316</v>
      </c>
      <c r="AQ71" s="14">
        <f t="shared" si="88"/>
        <v>0</v>
      </c>
      <c r="AR71" s="14">
        <f t="shared" si="89"/>
        <v>0</v>
      </c>
      <c r="AS71" s="14">
        <f t="shared" si="90"/>
        <v>0</v>
      </c>
      <c r="AT71" s="14">
        <f t="shared" si="92"/>
        <v>0</v>
      </c>
      <c r="AU71" s="234"/>
      <c r="AV71" s="234"/>
      <c r="AW71" s="234"/>
      <c r="AX71" s="234"/>
      <c r="AY71" s="234"/>
      <c r="AZ71" s="234"/>
      <c r="BA71" s="234"/>
      <c r="BB71" s="16">
        <f t="shared" si="91"/>
        <v>0</v>
      </c>
      <c r="BD71" s="294">
        <f>'Incremental_Cost Year 1'!AV71+'Incremental_Cost Year 2'!AV71+'Incremental_Cost Year 3'!AV71+'Incremental_Cost Year 4'!AV71+'Incremental_Cost Year 5'!AV71+'Incremental_Cost Year 6'!AV71+'Incremental_Cost Year 7'!AV71+'Incremental_Cost Year 8'!AV71+'Incremental_Cost Year 9'!AV71+'Incremental_Cost Year 10'!AV71</f>
        <v>0</v>
      </c>
      <c r="BE71" s="294">
        <f>'Incremental_Cost Year 1'!AW71+'Incremental_Cost Year 2'!AW71+'Incremental_Cost Year 3'!AW71+'Incremental_Cost Year 4'!AW71+'Incremental_Cost Year 5'!AW71+'Incremental_Cost Year 6'!AW71+'Incremental_Cost Year 7'!AW71+'Incremental_Cost Year 8'!AW71+'Incremental_Cost Year 9'!AW71+'Incremental_Cost Year 10'!AW71</f>
        <v>0</v>
      </c>
      <c r="BF71" s="294">
        <f>'Incremental_Cost Year 1'!AX71+'Incremental_Cost Year 2'!AX71+'Incremental_Cost Year 3'!AX71+'Incremental_Cost Year 4'!AX71+'Incremental_Cost Year 5'!AX71+'Incremental_Cost Year 6'!AX71+'Incremental_Cost Year 7'!AX71+'Incremental_Cost Year 8'!AX71+'Incremental_Cost Year 9'!AX71+'Incremental_Cost Year 10'!AX71</f>
        <v>0</v>
      </c>
      <c r="BG71" s="294">
        <f>'Incremental_Cost Year 1'!AY71+'Incremental_Cost Year 2'!AY71+'Incremental_Cost Year 3'!AY71+'Incremental_Cost Year 4'!AY71+'Incremental_Cost Year 5'!AY71+'Incremental_Cost Year 6'!AY71+'Incremental_Cost Year 7'!AY71+'Incremental_Cost Year 8'!AY71+'Incremental_Cost Year 9'!AY71+'Incremental_Cost Year 10'!AY71</f>
        <v>0</v>
      </c>
      <c r="BH71" s="294">
        <f>'Incremental_Cost Year 1'!AZ71+'Incremental_Cost Year 2'!AZ71+'Incremental_Cost Year 3'!AZ71+'Incremental_Cost Year 4'!AZ71+'Incremental_Cost Year 5'!AZ71+'Incremental_Cost Year 6'!AZ71+'Incremental_Cost Year 7'!AZ71+'Incremental_Cost Year 8'!AZ71+'Incremental_Cost Year 9'!AZ71+'Incremental_Cost Year 10'!AZ71</f>
        <v>0</v>
      </c>
      <c r="BI71" s="294">
        <f>'Incremental_Cost Year 1'!BA71+'Incremental_Cost Year 2'!BA71+'Incremental_Cost Year 3'!BA71+'Incremental_Cost Year 4'!BA71+'Incremental_Cost Year 5'!BA71+'Incremental_Cost Year 6'!BA71+'Incremental_Cost Year 7'!BA71+'Incremental_Cost Year 8'!BA71+'Incremental_Cost Year 9'!BA71+'Incremental_Cost Year 10'!BA71</f>
        <v>0</v>
      </c>
      <c r="BJ71" s="294">
        <f t="shared" si="22"/>
        <v>0</v>
      </c>
    </row>
    <row r="72" spans="1:62" ht="15.6" outlineLevel="2">
      <c r="A72" s="98"/>
      <c r="B72" s="102"/>
      <c r="C72" s="23"/>
      <c r="D72" s="269"/>
      <c r="E72" s="269"/>
      <c r="F72" s="251"/>
      <c r="G72" s="250"/>
      <c r="H72" s="272"/>
      <c r="I72" s="258"/>
      <c r="J72" s="259"/>
      <c r="K72" s="259"/>
      <c r="L72" s="106" t="str">
        <f>IF(I72&lt;&gt;0,((VLOOKUP(I72,'1. Standard_Cost'!$B$4:$D$11,2)+VLOOKUP(I72,'1. Standard_Cost'!$B$4:$D$11,3))*J72*K72),"0")</f>
        <v>0</v>
      </c>
      <c r="M72" s="106">
        <f>L72*'1. Standard_Cost'!$F$4</f>
        <v>0</v>
      </c>
      <c r="N72" s="260"/>
      <c r="O72" s="260"/>
      <c r="P72" s="260"/>
      <c r="Q72" s="260"/>
      <c r="R72" s="108">
        <f>'1. Standard_Cost'!$B$15*N72*P72</f>
        <v>0</v>
      </c>
      <c r="S72" s="108">
        <f>N72*O72*P72*'1. Standard_Cost'!$C$15</f>
        <v>0</v>
      </c>
      <c r="T72" s="108">
        <f>N72*P72*Q72*'1. Standard_Cost'!$D$15</f>
        <v>0</v>
      </c>
      <c r="U72" s="108">
        <f>N72*O72*'1. Standard_Cost'!$E$15</f>
        <v>0</v>
      </c>
      <c r="V72" s="260"/>
      <c r="W72" s="260"/>
      <c r="X72" s="260"/>
      <c r="Y72" s="108">
        <f>+V72*((X72*'1. Standard_Cost'!$B$19)+(W72*X72*'1. Standard_Cost'!$C$19))</f>
        <v>0</v>
      </c>
      <c r="Z72" s="260"/>
      <c r="AA72" s="260"/>
      <c r="AB72" s="108">
        <f>+Z72*'1. Standard_Cost'!$B$23+AA72*'1. Standard_Cost'!$C$23</f>
        <v>0</v>
      </c>
      <c r="AC72" s="261"/>
      <c r="AD72" s="262"/>
      <c r="AE72" s="108">
        <f>SUM(AD72,AC72,AB72,Y72,U72,T72,S72,R72)*'1. Standard_Cost'!$B$31</f>
        <v>0</v>
      </c>
      <c r="AF72" s="108">
        <f t="shared" si="87"/>
        <v>0</v>
      </c>
      <c r="AG72" s="260"/>
      <c r="AH72" s="260"/>
      <c r="AI72" s="260"/>
      <c r="AJ72" s="263"/>
      <c r="AK72" s="263"/>
      <c r="AL72" s="263"/>
      <c r="AM72" s="108">
        <f>AG72*'1. Standard_Cost'!$B$27+'Incremental_Cost Year 10'!AH72*'1. Standard_Cost'!$C$27+'Incremental_Cost Year 10'!AI72*'1. Standard_Cost'!$D$27+'Incremental_Cost Year 10'!AJ72+'Incremental_Cost Year 10'!AL72+AK72</f>
        <v>0</v>
      </c>
      <c r="AN72" s="108">
        <f>AM72*'1. Standard_Cost'!$C$31</f>
        <v>0</v>
      </c>
      <c r="AO72" s="125" t="s">
        <v>317</v>
      </c>
      <c r="AQ72" s="14">
        <f t="shared" si="88"/>
        <v>0</v>
      </c>
      <c r="AR72" s="14">
        <f t="shared" si="89"/>
        <v>0</v>
      </c>
      <c r="AS72" s="14">
        <f t="shared" si="90"/>
        <v>0</v>
      </c>
      <c r="AT72" s="14">
        <f t="shared" si="92"/>
        <v>0</v>
      </c>
      <c r="AU72" s="234"/>
      <c r="AV72" s="234"/>
      <c r="AW72" s="234"/>
      <c r="AX72" s="234"/>
      <c r="AY72" s="234"/>
      <c r="AZ72" s="234"/>
      <c r="BA72" s="234"/>
      <c r="BB72" s="16">
        <f t="shared" si="91"/>
        <v>0</v>
      </c>
      <c r="BD72" s="294">
        <f>'Incremental_Cost Year 1'!AV72+'Incremental_Cost Year 2'!AV72+'Incremental_Cost Year 3'!AV72+'Incremental_Cost Year 4'!AV72+'Incremental_Cost Year 5'!AV72+'Incremental_Cost Year 6'!AV72+'Incremental_Cost Year 7'!AV72+'Incremental_Cost Year 8'!AV72+'Incremental_Cost Year 9'!AV72+'Incremental_Cost Year 10'!AV72</f>
        <v>0</v>
      </c>
      <c r="BE72" s="294">
        <f>'Incremental_Cost Year 1'!AW72+'Incremental_Cost Year 2'!AW72+'Incremental_Cost Year 3'!AW72+'Incremental_Cost Year 4'!AW72+'Incremental_Cost Year 5'!AW72+'Incremental_Cost Year 6'!AW72+'Incremental_Cost Year 7'!AW72+'Incremental_Cost Year 8'!AW72+'Incremental_Cost Year 9'!AW72+'Incremental_Cost Year 10'!AW72</f>
        <v>0</v>
      </c>
      <c r="BF72" s="294">
        <f>'Incremental_Cost Year 1'!AX72+'Incremental_Cost Year 2'!AX72+'Incremental_Cost Year 3'!AX72+'Incremental_Cost Year 4'!AX72+'Incremental_Cost Year 5'!AX72+'Incremental_Cost Year 6'!AX72+'Incremental_Cost Year 7'!AX72+'Incremental_Cost Year 8'!AX72+'Incremental_Cost Year 9'!AX72+'Incremental_Cost Year 10'!AX72</f>
        <v>0</v>
      </c>
      <c r="BG72" s="294">
        <f>'Incremental_Cost Year 1'!AY72+'Incremental_Cost Year 2'!AY72+'Incremental_Cost Year 3'!AY72+'Incremental_Cost Year 4'!AY72+'Incremental_Cost Year 5'!AY72+'Incremental_Cost Year 6'!AY72+'Incremental_Cost Year 7'!AY72+'Incremental_Cost Year 8'!AY72+'Incremental_Cost Year 9'!AY72+'Incremental_Cost Year 10'!AY72</f>
        <v>0</v>
      </c>
      <c r="BH72" s="294">
        <f>'Incremental_Cost Year 1'!AZ72+'Incremental_Cost Year 2'!AZ72+'Incremental_Cost Year 3'!AZ72+'Incremental_Cost Year 4'!AZ72+'Incremental_Cost Year 5'!AZ72+'Incremental_Cost Year 6'!AZ72+'Incremental_Cost Year 7'!AZ72+'Incremental_Cost Year 8'!AZ72+'Incremental_Cost Year 9'!AZ72+'Incremental_Cost Year 10'!AZ72</f>
        <v>387600</v>
      </c>
      <c r="BI72" s="294">
        <f>'Incremental_Cost Year 1'!BA72+'Incremental_Cost Year 2'!BA72+'Incremental_Cost Year 3'!BA72+'Incremental_Cost Year 4'!BA72+'Incremental_Cost Year 5'!BA72+'Incremental_Cost Year 6'!BA72+'Incremental_Cost Year 7'!BA72+'Incremental_Cost Year 8'!BA72+'Incremental_Cost Year 9'!BA72+'Incremental_Cost Year 10'!BA72</f>
        <v>0</v>
      </c>
      <c r="BJ72" s="294">
        <f t="shared" ref="BJ72:BJ135" si="93">SUM(BD72:BI72)</f>
        <v>387600</v>
      </c>
    </row>
    <row r="73" spans="1:62" ht="27.6" outlineLevel="2">
      <c r="A73" s="98"/>
      <c r="B73" s="102"/>
      <c r="C73" s="23"/>
      <c r="D73" s="251"/>
      <c r="E73" s="251"/>
      <c r="F73" s="251"/>
      <c r="G73" s="173"/>
      <c r="H73" s="272"/>
      <c r="I73" s="258"/>
      <c r="J73" s="259"/>
      <c r="K73" s="259"/>
      <c r="L73" s="106" t="str">
        <f>IF(I73&lt;&gt;0,((VLOOKUP(I73,'1. Standard_Cost'!$B$4:$D$11,2)+VLOOKUP(I73,'1. Standard_Cost'!$B$4:$D$11,3))*J73*K73),"0")</f>
        <v>0</v>
      </c>
      <c r="M73" s="106">
        <f>L73*'1. Standard_Cost'!$F$4</f>
        <v>0</v>
      </c>
      <c r="N73" s="260"/>
      <c r="O73" s="260"/>
      <c r="P73" s="260"/>
      <c r="Q73" s="260"/>
      <c r="R73" s="108">
        <f>'1. Standard_Cost'!$B$15*N73*P73</f>
        <v>0</v>
      </c>
      <c r="S73" s="108">
        <f>N73*O73*P73*'1. Standard_Cost'!$C$15</f>
        <v>0</v>
      </c>
      <c r="T73" s="108">
        <f>N73*P73*Q73*'1. Standard_Cost'!$D$15</f>
        <v>0</v>
      </c>
      <c r="U73" s="108">
        <f>N73*O73*'1. Standard_Cost'!$E$15</f>
        <v>0</v>
      </c>
      <c r="V73" s="260"/>
      <c r="W73" s="260"/>
      <c r="X73" s="260"/>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87"/>
        <v>0</v>
      </c>
      <c r="AG73" s="260"/>
      <c r="AH73" s="260"/>
      <c r="AI73" s="260"/>
      <c r="AJ73" s="263"/>
      <c r="AK73" s="263"/>
      <c r="AL73" s="263"/>
      <c r="AM73" s="108">
        <f>AG73*'1. Standard_Cost'!$B$27+'Incremental_Cost Year 10'!AH73*'1. Standard_Cost'!$C$27+'Incremental_Cost Year 10'!AI73*'1. Standard_Cost'!$D$27+'Incremental_Cost Year 10'!AJ73+'Incremental_Cost Year 10'!AL73+AK73</f>
        <v>0</v>
      </c>
      <c r="AN73" s="108">
        <f>AM73*'1. Standard_Cost'!$C$31</f>
        <v>0</v>
      </c>
      <c r="AO73" s="125" t="s">
        <v>318</v>
      </c>
      <c r="AQ73" s="14">
        <f t="shared" si="88"/>
        <v>0</v>
      </c>
      <c r="AR73" s="14">
        <f t="shared" si="89"/>
        <v>0</v>
      </c>
      <c r="AS73" s="14">
        <f t="shared" si="90"/>
        <v>0</v>
      </c>
      <c r="AT73" s="14">
        <f t="shared" si="92"/>
        <v>0</v>
      </c>
      <c r="AU73" s="234"/>
      <c r="AV73" s="234"/>
      <c r="AW73" s="234"/>
      <c r="AX73" s="234"/>
      <c r="AY73" s="234"/>
      <c r="AZ73" s="234"/>
      <c r="BA73" s="234"/>
      <c r="BB73" s="16">
        <f t="shared" si="91"/>
        <v>0</v>
      </c>
      <c r="BD73" s="294">
        <f>'Incremental_Cost Year 1'!AV73+'Incremental_Cost Year 2'!AV73+'Incremental_Cost Year 3'!AV73+'Incremental_Cost Year 4'!AV73+'Incremental_Cost Year 5'!AV73+'Incremental_Cost Year 6'!AV73+'Incremental_Cost Year 7'!AV73+'Incremental_Cost Year 8'!AV73+'Incremental_Cost Year 9'!AV73+'Incremental_Cost Year 10'!AV73</f>
        <v>0</v>
      </c>
      <c r="BE73" s="294">
        <f>'Incremental_Cost Year 1'!AW73+'Incremental_Cost Year 2'!AW73+'Incremental_Cost Year 3'!AW73+'Incremental_Cost Year 4'!AW73+'Incremental_Cost Year 5'!AW73+'Incremental_Cost Year 6'!AW73+'Incremental_Cost Year 7'!AW73+'Incremental_Cost Year 8'!AW73+'Incremental_Cost Year 9'!AW73+'Incremental_Cost Year 10'!AW73</f>
        <v>0</v>
      </c>
      <c r="BF73" s="294">
        <f>'Incremental_Cost Year 1'!AX73+'Incremental_Cost Year 2'!AX73+'Incremental_Cost Year 3'!AX73+'Incremental_Cost Year 4'!AX73+'Incremental_Cost Year 5'!AX73+'Incremental_Cost Year 6'!AX73+'Incremental_Cost Year 7'!AX73+'Incremental_Cost Year 8'!AX73+'Incremental_Cost Year 9'!AX73+'Incremental_Cost Year 10'!AX73</f>
        <v>0</v>
      </c>
      <c r="BG73" s="294">
        <f>'Incremental_Cost Year 1'!AY73+'Incremental_Cost Year 2'!AY73+'Incremental_Cost Year 3'!AY73+'Incremental_Cost Year 4'!AY73+'Incremental_Cost Year 5'!AY73+'Incremental_Cost Year 6'!AY73+'Incremental_Cost Year 7'!AY73+'Incremental_Cost Year 8'!AY73+'Incremental_Cost Year 9'!AY73+'Incremental_Cost Year 10'!AY73</f>
        <v>0</v>
      </c>
      <c r="BH73" s="294">
        <f>'Incremental_Cost Year 1'!AZ73+'Incremental_Cost Year 2'!AZ73+'Incremental_Cost Year 3'!AZ73+'Incremental_Cost Year 4'!AZ73+'Incremental_Cost Year 5'!AZ73+'Incremental_Cost Year 6'!AZ73+'Incremental_Cost Year 7'!AZ73+'Incremental_Cost Year 8'!AZ73+'Incremental_Cost Year 9'!AZ73+'Incremental_Cost Year 10'!AZ73</f>
        <v>0</v>
      </c>
      <c r="BI73" s="294">
        <f>'Incremental_Cost Year 1'!BA73+'Incremental_Cost Year 2'!BA73+'Incremental_Cost Year 3'!BA73+'Incremental_Cost Year 4'!BA73+'Incremental_Cost Year 5'!BA73+'Incremental_Cost Year 6'!BA73+'Incremental_Cost Year 7'!BA73+'Incremental_Cost Year 8'!BA73+'Incremental_Cost Year 9'!BA73+'Incremental_Cost Year 10'!BA73</f>
        <v>0</v>
      </c>
      <c r="BJ73" s="294">
        <f t="shared" si="93"/>
        <v>0</v>
      </c>
    </row>
    <row r="74" spans="1:62" ht="41.4" outlineLevel="2">
      <c r="A74" s="98"/>
      <c r="B74" s="102"/>
      <c r="C74" s="23"/>
      <c r="D74" s="251"/>
      <c r="E74" s="251"/>
      <c r="F74" s="251"/>
      <c r="G74" s="250"/>
      <c r="H74" s="272"/>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260"/>
      <c r="W74" s="260"/>
      <c r="X74" s="260"/>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87"/>
        <v>0</v>
      </c>
      <c r="AG74" s="260"/>
      <c r="AH74" s="260"/>
      <c r="AI74" s="260"/>
      <c r="AJ74" s="263"/>
      <c r="AK74" s="263"/>
      <c r="AL74" s="263"/>
      <c r="AM74" s="108">
        <f>AG74*'1. Standard_Cost'!$B$27+'Incremental_Cost Year 10'!AH74*'1. Standard_Cost'!$C$27+'Incremental_Cost Year 10'!AI74*'1. Standard_Cost'!$D$27+'Incremental_Cost Year 10'!AJ74+'Incremental_Cost Year 10'!AL74+AK74</f>
        <v>0</v>
      </c>
      <c r="AN74" s="108">
        <f>AM74*'1. Standard_Cost'!$C$31</f>
        <v>0</v>
      </c>
      <c r="AO74" s="125" t="s">
        <v>319</v>
      </c>
      <c r="AQ74" s="14">
        <f t="shared" si="88"/>
        <v>0</v>
      </c>
      <c r="AR74" s="14">
        <f t="shared" si="89"/>
        <v>0</v>
      </c>
      <c r="AS74" s="14">
        <f t="shared" si="90"/>
        <v>0</v>
      </c>
      <c r="AT74" s="14">
        <f t="shared" si="92"/>
        <v>0</v>
      </c>
      <c r="AU74" s="234"/>
      <c r="AV74" s="234"/>
      <c r="AW74" s="234"/>
      <c r="AX74" s="234"/>
      <c r="AY74" s="234"/>
      <c r="AZ74" s="234"/>
      <c r="BA74" s="234"/>
      <c r="BB74" s="16">
        <f t="shared" si="91"/>
        <v>0</v>
      </c>
      <c r="BD74" s="294">
        <f>'Incremental_Cost Year 1'!AV74+'Incremental_Cost Year 2'!AV74+'Incremental_Cost Year 3'!AV74+'Incremental_Cost Year 4'!AV74+'Incremental_Cost Year 5'!AV74+'Incremental_Cost Year 6'!AV74+'Incremental_Cost Year 7'!AV74+'Incremental_Cost Year 8'!AV74+'Incremental_Cost Year 9'!AV74+'Incremental_Cost Year 10'!AV74</f>
        <v>0</v>
      </c>
      <c r="BE74" s="294">
        <f>'Incremental_Cost Year 1'!AW74+'Incremental_Cost Year 2'!AW74+'Incremental_Cost Year 3'!AW74+'Incremental_Cost Year 4'!AW74+'Incremental_Cost Year 5'!AW74+'Incremental_Cost Year 6'!AW74+'Incremental_Cost Year 7'!AW74+'Incremental_Cost Year 8'!AW74+'Incremental_Cost Year 9'!AW74+'Incremental_Cost Year 10'!AW74</f>
        <v>0</v>
      </c>
      <c r="BF74" s="294">
        <f>'Incremental_Cost Year 1'!AX74+'Incremental_Cost Year 2'!AX74+'Incremental_Cost Year 3'!AX74+'Incremental_Cost Year 4'!AX74+'Incremental_Cost Year 5'!AX74+'Incremental_Cost Year 6'!AX74+'Incremental_Cost Year 7'!AX74+'Incremental_Cost Year 8'!AX74+'Incremental_Cost Year 9'!AX74+'Incremental_Cost Year 10'!AX74</f>
        <v>0</v>
      </c>
      <c r="BG74" s="294">
        <f>'Incremental_Cost Year 1'!AY74+'Incremental_Cost Year 2'!AY74+'Incremental_Cost Year 3'!AY74+'Incremental_Cost Year 4'!AY74+'Incremental_Cost Year 5'!AY74+'Incremental_Cost Year 6'!AY74+'Incremental_Cost Year 7'!AY74+'Incremental_Cost Year 8'!AY74+'Incremental_Cost Year 9'!AY74+'Incremental_Cost Year 10'!AY74</f>
        <v>0</v>
      </c>
      <c r="BH74" s="294">
        <f>'Incremental_Cost Year 1'!AZ74+'Incremental_Cost Year 2'!AZ74+'Incremental_Cost Year 3'!AZ74+'Incremental_Cost Year 4'!AZ74+'Incremental_Cost Year 5'!AZ74+'Incremental_Cost Year 6'!AZ74+'Incremental_Cost Year 7'!AZ74+'Incremental_Cost Year 8'!AZ74+'Incremental_Cost Year 9'!AZ74+'Incremental_Cost Year 10'!AZ74</f>
        <v>0</v>
      </c>
      <c r="BI74" s="294">
        <f>'Incremental_Cost Year 1'!BA74+'Incremental_Cost Year 2'!BA74+'Incremental_Cost Year 3'!BA74+'Incremental_Cost Year 4'!BA74+'Incremental_Cost Year 5'!BA74+'Incremental_Cost Year 6'!BA74+'Incremental_Cost Year 7'!BA74+'Incremental_Cost Year 8'!BA74+'Incremental_Cost Year 9'!BA74+'Incremental_Cost Year 10'!BA74</f>
        <v>0</v>
      </c>
      <c r="BJ74" s="294">
        <f t="shared" si="93"/>
        <v>0</v>
      </c>
    </row>
    <row r="75" spans="1:62" ht="15.6" outlineLevel="2">
      <c r="A75" s="98"/>
      <c r="B75" s="102"/>
      <c r="C75" s="23"/>
      <c r="D75" s="251"/>
      <c r="E75" s="251"/>
      <c r="F75" s="251"/>
      <c r="G75" s="250"/>
      <c r="H75" s="272"/>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260"/>
      <c r="W75" s="260"/>
      <c r="X75" s="260"/>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87"/>
        <v>0</v>
      </c>
      <c r="AG75" s="260"/>
      <c r="AH75" s="260"/>
      <c r="AI75" s="260"/>
      <c r="AJ75" s="263"/>
      <c r="AK75" s="263"/>
      <c r="AL75" s="263"/>
      <c r="AM75" s="108">
        <f>AG75*'1. Standard_Cost'!$B$27+'Incremental_Cost Year 10'!AH75*'1. Standard_Cost'!$C$27+'Incremental_Cost Year 10'!AI75*'1. Standard_Cost'!$D$27+'Incremental_Cost Year 10'!AJ75+'Incremental_Cost Year 10'!AL75+AK75</f>
        <v>0</v>
      </c>
      <c r="AN75" s="108">
        <f>AM75*'1. Standard_Cost'!$C$31</f>
        <v>0</v>
      </c>
      <c r="AO75" s="125" t="s">
        <v>320</v>
      </c>
      <c r="AQ75" s="14">
        <f t="shared" si="88"/>
        <v>0</v>
      </c>
      <c r="AR75" s="14">
        <f t="shared" si="89"/>
        <v>0</v>
      </c>
      <c r="AS75" s="14">
        <f t="shared" si="90"/>
        <v>0</v>
      </c>
      <c r="AT75" s="14">
        <f t="shared" si="92"/>
        <v>0</v>
      </c>
      <c r="AU75" s="234"/>
      <c r="AV75" s="234"/>
      <c r="AW75" s="234"/>
      <c r="AX75" s="234"/>
      <c r="AY75" s="234"/>
      <c r="AZ75" s="234"/>
      <c r="BA75" s="234"/>
      <c r="BB75" s="16">
        <f t="shared" si="91"/>
        <v>0</v>
      </c>
      <c r="BD75" s="294">
        <f>'Incremental_Cost Year 1'!AV75+'Incremental_Cost Year 2'!AV75+'Incremental_Cost Year 3'!AV75+'Incremental_Cost Year 4'!AV75+'Incremental_Cost Year 5'!AV75+'Incremental_Cost Year 6'!AV75+'Incremental_Cost Year 7'!AV75+'Incremental_Cost Year 8'!AV75+'Incremental_Cost Year 9'!AV75+'Incremental_Cost Year 10'!AV75</f>
        <v>0</v>
      </c>
      <c r="BE75" s="294">
        <f>'Incremental_Cost Year 1'!AW75+'Incremental_Cost Year 2'!AW75+'Incremental_Cost Year 3'!AW75+'Incremental_Cost Year 4'!AW75+'Incremental_Cost Year 5'!AW75+'Incremental_Cost Year 6'!AW75+'Incremental_Cost Year 7'!AW75+'Incremental_Cost Year 8'!AW75+'Incremental_Cost Year 9'!AW75+'Incremental_Cost Year 10'!AW75</f>
        <v>0</v>
      </c>
      <c r="BF75" s="294">
        <f>'Incremental_Cost Year 1'!AX75+'Incremental_Cost Year 2'!AX75+'Incremental_Cost Year 3'!AX75+'Incremental_Cost Year 4'!AX75+'Incremental_Cost Year 5'!AX75+'Incremental_Cost Year 6'!AX75+'Incremental_Cost Year 7'!AX75+'Incremental_Cost Year 8'!AX75+'Incremental_Cost Year 9'!AX75+'Incremental_Cost Year 10'!AX75</f>
        <v>0</v>
      </c>
      <c r="BG75" s="294">
        <f>'Incremental_Cost Year 1'!AY75+'Incremental_Cost Year 2'!AY75+'Incremental_Cost Year 3'!AY75+'Incremental_Cost Year 4'!AY75+'Incremental_Cost Year 5'!AY75+'Incremental_Cost Year 6'!AY75+'Incremental_Cost Year 7'!AY75+'Incremental_Cost Year 8'!AY75+'Incremental_Cost Year 9'!AY75+'Incremental_Cost Year 10'!AY75</f>
        <v>0</v>
      </c>
      <c r="BH75" s="294">
        <f>'Incremental_Cost Year 1'!AZ75+'Incremental_Cost Year 2'!AZ75+'Incremental_Cost Year 3'!AZ75+'Incremental_Cost Year 4'!AZ75+'Incremental_Cost Year 5'!AZ75+'Incremental_Cost Year 6'!AZ75+'Incremental_Cost Year 7'!AZ75+'Incremental_Cost Year 8'!AZ75+'Incremental_Cost Year 9'!AZ75+'Incremental_Cost Year 10'!AZ75</f>
        <v>0</v>
      </c>
      <c r="BI75" s="294">
        <f>'Incremental_Cost Year 1'!BA75+'Incremental_Cost Year 2'!BA75+'Incremental_Cost Year 3'!BA75+'Incremental_Cost Year 4'!BA75+'Incremental_Cost Year 5'!BA75+'Incremental_Cost Year 6'!BA75+'Incremental_Cost Year 7'!BA75+'Incremental_Cost Year 8'!BA75+'Incremental_Cost Year 9'!BA75+'Incremental_Cost Year 10'!BA75</f>
        <v>0</v>
      </c>
      <c r="BJ75" s="294">
        <f t="shared" si="93"/>
        <v>0</v>
      </c>
    </row>
    <row r="76" spans="1:62" ht="69" outlineLevel="2">
      <c r="A76" s="98"/>
      <c r="B76" s="102"/>
      <c r="C76" s="23"/>
      <c r="D76" s="251"/>
      <c r="E76" s="251"/>
      <c r="F76" s="251"/>
      <c r="G76" s="250"/>
      <c r="H76" s="272"/>
      <c r="I76" s="258"/>
      <c r="J76" s="259"/>
      <c r="K76" s="259"/>
      <c r="L76" s="106" t="str">
        <f>IF(I76&lt;&gt;0,((VLOOKUP(I76,'1. Standard_Cost'!$B$4:$D$11,2)+VLOOKUP(I76,'1. Standard_Cost'!$B$4:$D$11,3))*J76*K76),"0")</f>
        <v>0</v>
      </c>
      <c r="M76" s="106">
        <f>L76*'1. Standard_Cost'!$F$4</f>
        <v>0</v>
      </c>
      <c r="N76" s="260"/>
      <c r="O76" s="260"/>
      <c r="P76" s="260"/>
      <c r="Q76" s="260"/>
      <c r="R76" s="108">
        <f>'1. Standard_Cost'!$B$15*N76*P76</f>
        <v>0</v>
      </c>
      <c r="S76" s="108">
        <f>N76*O76*P76*'1. Standard_Cost'!$C$15</f>
        <v>0</v>
      </c>
      <c r="T76" s="108">
        <f>N76*P76*Q76*'1. Standard_Cost'!$D$15</f>
        <v>0</v>
      </c>
      <c r="U76" s="108">
        <f>N76*O76*'1. Standard_Cost'!$E$15</f>
        <v>0</v>
      </c>
      <c r="V76" s="260"/>
      <c r="W76" s="260"/>
      <c r="X76" s="260"/>
      <c r="Y76" s="108">
        <f>+V76*((X76*'1. Standard_Cost'!$B$19)+(W76*X76*'1. Standard_Cost'!$C$19))</f>
        <v>0</v>
      </c>
      <c r="Z76" s="260"/>
      <c r="AA76" s="260"/>
      <c r="AB76" s="108">
        <f>+Z76*'1. Standard_Cost'!$B$23+AA76*'1. Standard_Cost'!$C$23</f>
        <v>0</v>
      </c>
      <c r="AC76" s="261"/>
      <c r="AD76" s="262"/>
      <c r="AE76" s="108">
        <f>SUM(AD76,AC76,AB76,Y76,U76,T76,S76,R76)*'1. Standard_Cost'!$B$31</f>
        <v>0</v>
      </c>
      <c r="AF76" s="108">
        <f t="shared" si="87"/>
        <v>0</v>
      </c>
      <c r="AG76" s="260"/>
      <c r="AH76" s="260"/>
      <c r="AI76" s="260"/>
      <c r="AJ76" s="263"/>
      <c r="AK76" s="263"/>
      <c r="AL76" s="263"/>
      <c r="AM76" s="108">
        <f>AG76*'1. Standard_Cost'!$B$27+'Incremental_Cost Year 10'!AH76*'1. Standard_Cost'!$C$27+'Incremental_Cost Year 10'!AI76*'1. Standard_Cost'!$D$27+'Incremental_Cost Year 10'!AJ76+'Incremental_Cost Year 10'!AL76+AK76</f>
        <v>0</v>
      </c>
      <c r="AN76" s="108">
        <f>AM76*'1. Standard_Cost'!$C$31</f>
        <v>0</v>
      </c>
      <c r="AO76" s="125" t="s">
        <v>321</v>
      </c>
      <c r="AQ76" s="14">
        <f t="shared" si="88"/>
        <v>0</v>
      </c>
      <c r="AR76" s="14">
        <f t="shared" si="89"/>
        <v>0</v>
      </c>
      <c r="AS76" s="14">
        <f t="shared" si="90"/>
        <v>0</v>
      </c>
      <c r="AT76" s="14">
        <f t="shared" si="92"/>
        <v>0</v>
      </c>
      <c r="AU76" s="234"/>
      <c r="AV76" s="234"/>
      <c r="AW76" s="234"/>
      <c r="AX76" s="234"/>
      <c r="AY76" s="234"/>
      <c r="AZ76" s="234"/>
      <c r="BA76" s="234"/>
      <c r="BB76" s="16">
        <f t="shared" si="91"/>
        <v>0</v>
      </c>
      <c r="BD76" s="294">
        <f>'Incremental_Cost Year 1'!AV76+'Incremental_Cost Year 2'!AV76+'Incremental_Cost Year 3'!AV76+'Incremental_Cost Year 4'!AV76+'Incremental_Cost Year 5'!AV76+'Incremental_Cost Year 6'!AV76+'Incremental_Cost Year 7'!AV76+'Incremental_Cost Year 8'!AV76+'Incremental_Cost Year 9'!AV76+'Incremental_Cost Year 10'!AV76</f>
        <v>0</v>
      </c>
      <c r="BE76" s="294">
        <f>'Incremental_Cost Year 1'!AW76+'Incremental_Cost Year 2'!AW76+'Incremental_Cost Year 3'!AW76+'Incremental_Cost Year 4'!AW76+'Incremental_Cost Year 5'!AW76+'Incremental_Cost Year 6'!AW76+'Incremental_Cost Year 7'!AW76+'Incremental_Cost Year 8'!AW76+'Incremental_Cost Year 9'!AW76+'Incremental_Cost Year 10'!AW76</f>
        <v>0</v>
      </c>
      <c r="BF76" s="294">
        <f>'Incremental_Cost Year 1'!AX76+'Incremental_Cost Year 2'!AX76+'Incremental_Cost Year 3'!AX76+'Incremental_Cost Year 4'!AX76+'Incremental_Cost Year 5'!AX76+'Incremental_Cost Year 6'!AX76+'Incremental_Cost Year 7'!AX76+'Incremental_Cost Year 8'!AX76+'Incremental_Cost Year 9'!AX76+'Incremental_Cost Year 10'!AX76</f>
        <v>0</v>
      </c>
      <c r="BG76" s="294">
        <f>'Incremental_Cost Year 1'!AY76+'Incremental_Cost Year 2'!AY76+'Incremental_Cost Year 3'!AY76+'Incremental_Cost Year 4'!AY76+'Incremental_Cost Year 5'!AY76+'Incremental_Cost Year 6'!AY76+'Incremental_Cost Year 7'!AY76+'Incremental_Cost Year 8'!AY76+'Incremental_Cost Year 9'!AY76+'Incremental_Cost Year 10'!AY76</f>
        <v>0</v>
      </c>
      <c r="BH76" s="294">
        <f>'Incremental_Cost Year 1'!AZ76+'Incremental_Cost Year 2'!AZ76+'Incremental_Cost Year 3'!AZ76+'Incremental_Cost Year 4'!AZ76+'Incremental_Cost Year 5'!AZ76+'Incremental_Cost Year 6'!AZ76+'Incremental_Cost Year 7'!AZ76+'Incremental_Cost Year 8'!AZ76+'Incremental_Cost Year 9'!AZ76+'Incremental_Cost Year 10'!AZ76</f>
        <v>5142000</v>
      </c>
      <c r="BI76" s="294">
        <f>'Incremental_Cost Year 1'!BA76+'Incremental_Cost Year 2'!BA76+'Incremental_Cost Year 3'!BA76+'Incremental_Cost Year 4'!BA76+'Incremental_Cost Year 5'!BA76+'Incremental_Cost Year 6'!BA76+'Incremental_Cost Year 7'!BA76+'Incremental_Cost Year 8'!BA76+'Incremental_Cost Year 9'!BA76+'Incremental_Cost Year 10'!BA76</f>
        <v>0</v>
      </c>
      <c r="BJ76" s="294">
        <f t="shared" si="93"/>
        <v>5142000</v>
      </c>
    </row>
    <row r="77" spans="1:62" ht="27.6" outlineLevel="2">
      <c r="A77" s="98"/>
      <c r="B77" s="102"/>
      <c r="C77" s="23"/>
      <c r="D77" s="251"/>
      <c r="E77" s="251"/>
      <c r="F77" s="251"/>
      <c r="G77" s="250"/>
      <c r="H77" s="272"/>
      <c r="I77" s="258"/>
      <c r="J77" s="259"/>
      <c r="K77" s="259"/>
      <c r="L77" s="106" t="str">
        <f>IF(I77&lt;&gt;0,((VLOOKUP(I77,'1. Standard_Cost'!$B$4:$D$11,2)+VLOOKUP(I77,'1. Standard_Cost'!$B$4:$D$11,3))*J77*K77),"0")</f>
        <v>0</v>
      </c>
      <c r="M77" s="106">
        <f>L77*'1. Standard_Cost'!$F$4</f>
        <v>0</v>
      </c>
      <c r="N77" s="260"/>
      <c r="O77" s="260"/>
      <c r="P77" s="260"/>
      <c r="Q77" s="260"/>
      <c r="R77" s="108">
        <f>'1. Standard_Cost'!$B$15*N77*P77</f>
        <v>0</v>
      </c>
      <c r="S77" s="108">
        <f>N77*O77*P77*'1. Standard_Cost'!$C$15</f>
        <v>0</v>
      </c>
      <c r="T77" s="108">
        <f>N77*P77*Q77*'1. Standard_Cost'!$D$15</f>
        <v>0</v>
      </c>
      <c r="U77" s="108">
        <f>N77*O77*'1. Standard_Cost'!$E$15</f>
        <v>0</v>
      </c>
      <c r="V77" s="260"/>
      <c r="W77" s="260"/>
      <c r="X77" s="260"/>
      <c r="Y77" s="108">
        <f>+V77*((X77*'1. Standard_Cost'!$B$19)+(W77*X77*'1. Standard_Cost'!$C$19))</f>
        <v>0</v>
      </c>
      <c r="Z77" s="260"/>
      <c r="AA77" s="260"/>
      <c r="AB77" s="108">
        <f>+Z77*'1. Standard_Cost'!$B$23+AA77*'1. Standard_Cost'!$C$23</f>
        <v>0</v>
      </c>
      <c r="AC77" s="261"/>
      <c r="AD77" s="262"/>
      <c r="AE77" s="108">
        <f>SUM(AD77,AC77,AB77,Y77,U77,T77,S77,R77)*'1. Standard_Cost'!$B$31</f>
        <v>0</v>
      </c>
      <c r="AF77" s="108">
        <f t="shared" si="87"/>
        <v>0</v>
      </c>
      <c r="AG77" s="260"/>
      <c r="AH77" s="260"/>
      <c r="AI77" s="260"/>
      <c r="AJ77" s="263"/>
      <c r="AK77" s="263"/>
      <c r="AL77" s="263"/>
      <c r="AM77" s="108">
        <f>AG77*'1. Standard_Cost'!$B$27+'Incremental_Cost Year 10'!AH77*'1. Standard_Cost'!$C$27+'Incremental_Cost Year 10'!AI77*'1. Standard_Cost'!$D$27+'Incremental_Cost Year 10'!AJ77+'Incremental_Cost Year 10'!AL77+AK77</f>
        <v>0</v>
      </c>
      <c r="AN77" s="108">
        <f>AM77*'1. Standard_Cost'!$C$31</f>
        <v>0</v>
      </c>
      <c r="AO77" s="125" t="s">
        <v>322</v>
      </c>
      <c r="AQ77" s="14">
        <f t="shared" si="88"/>
        <v>0</v>
      </c>
      <c r="AR77" s="14">
        <f t="shared" si="89"/>
        <v>0</v>
      </c>
      <c r="AS77" s="14">
        <f t="shared" si="90"/>
        <v>0</v>
      </c>
      <c r="AT77" s="14">
        <f t="shared" si="92"/>
        <v>0</v>
      </c>
      <c r="AU77" s="234"/>
      <c r="AV77" s="234"/>
      <c r="AW77" s="234"/>
      <c r="AX77" s="234"/>
      <c r="AY77" s="234"/>
      <c r="AZ77" s="234"/>
      <c r="BA77" s="234"/>
      <c r="BB77" s="16">
        <f t="shared" si="91"/>
        <v>0</v>
      </c>
      <c r="BD77" s="294">
        <f>'Incremental_Cost Year 1'!AV77+'Incremental_Cost Year 2'!AV77+'Incremental_Cost Year 3'!AV77+'Incremental_Cost Year 4'!AV77+'Incremental_Cost Year 5'!AV77+'Incremental_Cost Year 6'!AV77+'Incremental_Cost Year 7'!AV77+'Incremental_Cost Year 8'!AV77+'Incremental_Cost Year 9'!AV77+'Incremental_Cost Year 10'!AV77</f>
        <v>0</v>
      </c>
      <c r="BE77" s="294">
        <f>'Incremental_Cost Year 1'!AW77+'Incremental_Cost Year 2'!AW77+'Incremental_Cost Year 3'!AW77+'Incremental_Cost Year 4'!AW77+'Incremental_Cost Year 5'!AW77+'Incremental_Cost Year 6'!AW77+'Incremental_Cost Year 7'!AW77+'Incremental_Cost Year 8'!AW77+'Incremental_Cost Year 9'!AW77+'Incremental_Cost Year 10'!AW77</f>
        <v>0</v>
      </c>
      <c r="BF77" s="294">
        <f>'Incremental_Cost Year 1'!AX77+'Incremental_Cost Year 2'!AX77+'Incremental_Cost Year 3'!AX77+'Incremental_Cost Year 4'!AX77+'Incremental_Cost Year 5'!AX77+'Incremental_Cost Year 6'!AX77+'Incremental_Cost Year 7'!AX77+'Incremental_Cost Year 8'!AX77+'Incremental_Cost Year 9'!AX77+'Incremental_Cost Year 10'!AX77</f>
        <v>0</v>
      </c>
      <c r="BG77" s="294">
        <f>'Incremental_Cost Year 1'!AY77+'Incremental_Cost Year 2'!AY77+'Incremental_Cost Year 3'!AY77+'Incremental_Cost Year 4'!AY77+'Incremental_Cost Year 5'!AY77+'Incremental_Cost Year 6'!AY77+'Incremental_Cost Year 7'!AY77+'Incremental_Cost Year 8'!AY77+'Incremental_Cost Year 9'!AY77+'Incremental_Cost Year 10'!AY77</f>
        <v>0</v>
      </c>
      <c r="BH77" s="294">
        <f>'Incremental_Cost Year 1'!AZ77+'Incremental_Cost Year 2'!AZ77+'Incremental_Cost Year 3'!AZ77+'Incremental_Cost Year 4'!AZ77+'Incremental_Cost Year 5'!AZ77+'Incremental_Cost Year 6'!AZ77+'Incremental_Cost Year 7'!AZ77+'Incremental_Cost Year 8'!AZ77+'Incremental_Cost Year 9'!AZ77+'Incremental_Cost Year 10'!AZ77</f>
        <v>674400</v>
      </c>
      <c r="BI77" s="294">
        <f>'Incremental_Cost Year 1'!BA77+'Incremental_Cost Year 2'!BA77+'Incremental_Cost Year 3'!BA77+'Incremental_Cost Year 4'!BA77+'Incremental_Cost Year 5'!BA77+'Incremental_Cost Year 6'!BA77+'Incremental_Cost Year 7'!BA77+'Incremental_Cost Year 8'!BA77+'Incremental_Cost Year 9'!BA77+'Incremental_Cost Year 10'!BA77</f>
        <v>0</v>
      </c>
      <c r="BJ77" s="294">
        <f t="shared" si="93"/>
        <v>674400</v>
      </c>
    </row>
    <row r="78" spans="1:62" ht="27.6" outlineLevel="2">
      <c r="A78" s="98"/>
      <c r="B78" s="102"/>
      <c r="C78" s="23"/>
      <c r="D78" s="251"/>
      <c r="E78" s="251"/>
      <c r="F78" s="251"/>
      <c r="G78" s="250"/>
      <c r="H78" s="272"/>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260"/>
      <c r="W78" s="260"/>
      <c r="X78" s="260"/>
      <c r="Y78" s="108">
        <f>+V78*((X78*'1. Standard_Cost'!$B$19)+(W78*X78*'1. Standard_Cost'!$C$19))</f>
        <v>0</v>
      </c>
      <c r="Z78" s="260"/>
      <c r="AA78" s="260"/>
      <c r="AB78" s="108">
        <f>+Z78*'1. Standard_Cost'!$B$23+AA78*'1. Standard_Cost'!$C$23</f>
        <v>0</v>
      </c>
      <c r="AC78" s="261"/>
      <c r="AD78" s="262"/>
      <c r="AE78" s="108">
        <f>SUM(AD78,AC78,AB78,Y78,U78,T78,S78,R78)*'1. Standard_Cost'!$B$31</f>
        <v>0</v>
      </c>
      <c r="AF78" s="108">
        <f t="shared" si="87"/>
        <v>0</v>
      </c>
      <c r="AG78" s="260"/>
      <c r="AH78" s="260"/>
      <c r="AI78" s="260"/>
      <c r="AJ78" s="263"/>
      <c r="AK78" s="263"/>
      <c r="AL78" s="263"/>
      <c r="AM78" s="108">
        <f>AG78*'1. Standard_Cost'!$B$27+'Incremental_Cost Year 10'!AH78*'1. Standard_Cost'!$C$27+'Incremental_Cost Year 10'!AI78*'1. Standard_Cost'!$D$27+'Incremental_Cost Year 10'!AJ78+'Incremental_Cost Year 10'!AL78+AK78</f>
        <v>0</v>
      </c>
      <c r="AN78" s="108">
        <f>AM78*'1. Standard_Cost'!$C$31</f>
        <v>0</v>
      </c>
      <c r="AO78" s="125" t="s">
        <v>323</v>
      </c>
      <c r="AQ78" s="14">
        <f t="shared" si="88"/>
        <v>0</v>
      </c>
      <c r="AR78" s="14">
        <f t="shared" si="89"/>
        <v>0</v>
      </c>
      <c r="AS78" s="14">
        <f t="shared" si="90"/>
        <v>0</v>
      </c>
      <c r="AT78" s="14">
        <f t="shared" si="92"/>
        <v>0</v>
      </c>
      <c r="AU78" s="234"/>
      <c r="AV78" s="234"/>
      <c r="AW78" s="234"/>
      <c r="AX78" s="234"/>
      <c r="AY78" s="234"/>
      <c r="AZ78" s="234"/>
      <c r="BA78" s="234"/>
      <c r="BB78" s="16">
        <f t="shared" si="91"/>
        <v>0</v>
      </c>
      <c r="BD78" s="294">
        <f>'Incremental_Cost Year 1'!AV78+'Incremental_Cost Year 2'!AV78+'Incremental_Cost Year 3'!AV78+'Incremental_Cost Year 4'!AV78+'Incremental_Cost Year 5'!AV78+'Incremental_Cost Year 6'!AV78+'Incremental_Cost Year 7'!AV78+'Incremental_Cost Year 8'!AV78+'Incremental_Cost Year 9'!AV78+'Incremental_Cost Year 10'!AV78</f>
        <v>0</v>
      </c>
      <c r="BE78" s="294">
        <f>'Incremental_Cost Year 1'!AW78+'Incremental_Cost Year 2'!AW78+'Incremental_Cost Year 3'!AW78+'Incremental_Cost Year 4'!AW78+'Incremental_Cost Year 5'!AW78+'Incremental_Cost Year 6'!AW78+'Incremental_Cost Year 7'!AW78+'Incremental_Cost Year 8'!AW78+'Incremental_Cost Year 9'!AW78+'Incremental_Cost Year 10'!AW78</f>
        <v>0</v>
      </c>
      <c r="BF78" s="294">
        <f>'Incremental_Cost Year 1'!AX78+'Incremental_Cost Year 2'!AX78+'Incremental_Cost Year 3'!AX78+'Incremental_Cost Year 4'!AX78+'Incremental_Cost Year 5'!AX78+'Incremental_Cost Year 6'!AX78+'Incremental_Cost Year 7'!AX78+'Incremental_Cost Year 8'!AX78+'Incremental_Cost Year 9'!AX78+'Incremental_Cost Year 10'!AX78</f>
        <v>0</v>
      </c>
      <c r="BG78" s="294">
        <f>'Incremental_Cost Year 1'!AY78+'Incremental_Cost Year 2'!AY78+'Incremental_Cost Year 3'!AY78+'Incremental_Cost Year 4'!AY78+'Incremental_Cost Year 5'!AY78+'Incremental_Cost Year 6'!AY78+'Incremental_Cost Year 7'!AY78+'Incremental_Cost Year 8'!AY78+'Incremental_Cost Year 9'!AY78+'Incremental_Cost Year 10'!AY78</f>
        <v>0</v>
      </c>
      <c r="BH78" s="294">
        <f>'Incremental_Cost Year 1'!AZ78+'Incremental_Cost Year 2'!AZ78+'Incremental_Cost Year 3'!AZ78+'Incremental_Cost Year 4'!AZ78+'Incremental_Cost Year 5'!AZ78+'Incremental_Cost Year 6'!AZ78+'Incremental_Cost Year 7'!AZ78+'Incremental_Cost Year 8'!AZ78+'Incremental_Cost Year 9'!AZ78+'Incremental_Cost Year 10'!AZ78</f>
        <v>0</v>
      </c>
      <c r="BI78" s="294">
        <f>'Incremental_Cost Year 1'!BA78+'Incremental_Cost Year 2'!BA78+'Incremental_Cost Year 3'!BA78+'Incremental_Cost Year 4'!BA78+'Incremental_Cost Year 5'!BA78+'Incremental_Cost Year 6'!BA78+'Incremental_Cost Year 7'!BA78+'Incremental_Cost Year 8'!BA78+'Incremental_Cost Year 9'!BA78+'Incremental_Cost Year 10'!BA78</f>
        <v>0</v>
      </c>
      <c r="BJ78" s="294">
        <f t="shared" si="93"/>
        <v>0</v>
      </c>
    </row>
    <row r="79" spans="1:62" ht="27.6" outlineLevel="1">
      <c r="A79" s="98"/>
      <c r="B79" s="102"/>
      <c r="C79" s="23"/>
      <c r="D79" s="56" t="s">
        <v>47</v>
      </c>
      <c r="E79" s="56" t="s">
        <v>215</v>
      </c>
      <c r="F79" s="253"/>
      <c r="G79" s="254"/>
      <c r="H79" s="277" t="s">
        <v>182</v>
      </c>
      <c r="I79" s="264"/>
      <c r="J79" s="264"/>
      <c r="K79" s="264"/>
      <c r="L79" s="113">
        <f>SUM(L60:L78)</f>
        <v>0</v>
      </c>
      <c r="M79" s="113">
        <f>SUM(M60:M78)</f>
        <v>0</v>
      </c>
      <c r="N79" s="264"/>
      <c r="O79" s="264"/>
      <c r="P79" s="264"/>
      <c r="Q79" s="264"/>
      <c r="R79" s="113">
        <f t="shared" ref="R79:U79" si="94">SUM(R60:R78)</f>
        <v>0</v>
      </c>
      <c r="S79" s="113">
        <f t="shared" si="94"/>
        <v>0</v>
      </c>
      <c r="T79" s="113">
        <f t="shared" si="94"/>
        <v>0</v>
      </c>
      <c r="U79" s="113">
        <f t="shared" si="94"/>
        <v>0</v>
      </c>
      <c r="V79" s="264"/>
      <c r="W79" s="264"/>
      <c r="X79" s="264"/>
      <c r="Y79" s="113">
        <f>SUM(Y60:Y78)</f>
        <v>0</v>
      </c>
      <c r="Z79" s="264"/>
      <c r="AA79" s="264"/>
      <c r="AB79" s="113">
        <f t="shared" ref="AB79:AF79" si="95">SUM(AB60:AB78)</f>
        <v>0</v>
      </c>
      <c r="AC79" s="265">
        <f t="shared" si="95"/>
        <v>0</v>
      </c>
      <c r="AD79" s="265">
        <f t="shared" si="95"/>
        <v>0</v>
      </c>
      <c r="AE79" s="113">
        <f t="shared" si="95"/>
        <v>0</v>
      </c>
      <c r="AF79" s="113">
        <f t="shared" si="95"/>
        <v>0</v>
      </c>
      <c r="AG79" s="264"/>
      <c r="AH79" s="264"/>
      <c r="AI79" s="264"/>
      <c r="AJ79" s="265">
        <f t="shared" ref="AJ79:AL79" si="96">SUM(AJ60:AJ78)</f>
        <v>0</v>
      </c>
      <c r="AK79" s="265">
        <f t="shared" si="96"/>
        <v>0</v>
      </c>
      <c r="AL79" s="265">
        <f t="shared" si="96"/>
        <v>0</v>
      </c>
      <c r="AM79" s="113">
        <f t="shared" ref="AM79:AN79" si="97">SUM(AM60:AM78)</f>
        <v>0</v>
      </c>
      <c r="AN79" s="113">
        <f t="shared" si="97"/>
        <v>0</v>
      </c>
      <c r="AO79" s="131"/>
      <c r="AP79" s="17"/>
      <c r="AQ79" s="113">
        <f>SUM(AQ60:AQ78)</f>
        <v>0</v>
      </c>
      <c r="AR79" s="113">
        <f t="shared" ref="AR79:BB79" si="98">SUM(AR60:AR78)</f>
        <v>0</v>
      </c>
      <c r="AS79" s="113">
        <f t="shared" si="98"/>
        <v>0</v>
      </c>
      <c r="AT79" s="113">
        <f t="shared" si="98"/>
        <v>0</v>
      </c>
      <c r="AU79" s="265">
        <f t="shared" si="98"/>
        <v>0</v>
      </c>
      <c r="AV79" s="265">
        <f t="shared" si="98"/>
        <v>0</v>
      </c>
      <c r="AW79" s="265">
        <f t="shared" si="98"/>
        <v>0</v>
      </c>
      <c r="AX79" s="265">
        <f t="shared" si="98"/>
        <v>0</v>
      </c>
      <c r="AY79" s="265">
        <f t="shared" si="98"/>
        <v>0</v>
      </c>
      <c r="AZ79" s="265">
        <f t="shared" si="98"/>
        <v>0</v>
      </c>
      <c r="BA79" s="265">
        <f t="shared" si="98"/>
        <v>0</v>
      </c>
      <c r="BB79" s="113">
        <f t="shared" si="98"/>
        <v>0</v>
      </c>
      <c r="BJ79" s="294"/>
    </row>
    <row r="80" spans="1:62" s="24" customFormat="1" ht="13.8" customHeight="1">
      <c r="A80" s="114"/>
      <c r="B80" s="115"/>
      <c r="C80" s="314" t="s">
        <v>216</v>
      </c>
      <c r="D80" s="314"/>
      <c r="E80" s="315"/>
      <c r="F80" s="246"/>
      <c r="G80" s="246"/>
      <c r="H80" s="278" t="s">
        <v>219</v>
      </c>
      <c r="I80" s="266"/>
      <c r="J80" s="266"/>
      <c r="K80" s="266"/>
      <c r="L80" s="117">
        <f>L91</f>
        <v>0</v>
      </c>
      <c r="M80" s="117">
        <f>M91</f>
        <v>0</v>
      </c>
      <c r="N80" s="266"/>
      <c r="O80" s="266"/>
      <c r="P80" s="266"/>
      <c r="Q80" s="266"/>
      <c r="R80" s="117">
        <f t="shared" ref="R80:U80" si="99">R91</f>
        <v>0</v>
      </c>
      <c r="S80" s="117">
        <f t="shared" si="99"/>
        <v>0</v>
      </c>
      <c r="T80" s="117">
        <f t="shared" si="99"/>
        <v>0</v>
      </c>
      <c r="U80" s="117">
        <f t="shared" si="99"/>
        <v>0</v>
      </c>
      <c r="V80" s="266"/>
      <c r="W80" s="266"/>
      <c r="X80" s="266"/>
      <c r="Y80" s="117">
        <f>Y91</f>
        <v>0</v>
      </c>
      <c r="Z80" s="266"/>
      <c r="AA80" s="266"/>
      <c r="AB80" s="117">
        <f t="shared" ref="AB80:AF80" si="100">AB91</f>
        <v>0</v>
      </c>
      <c r="AC80" s="267">
        <f t="shared" si="100"/>
        <v>0</v>
      </c>
      <c r="AD80" s="267">
        <f t="shared" si="100"/>
        <v>0</v>
      </c>
      <c r="AE80" s="117">
        <f t="shared" si="100"/>
        <v>0</v>
      </c>
      <c r="AF80" s="117">
        <f t="shared" si="100"/>
        <v>0</v>
      </c>
      <c r="AG80" s="266"/>
      <c r="AH80" s="266"/>
      <c r="AI80" s="266"/>
      <c r="AJ80" s="267">
        <f t="shared" ref="AJ80:AL80" si="101">AJ91</f>
        <v>0</v>
      </c>
      <c r="AK80" s="267">
        <f t="shared" si="101"/>
        <v>0</v>
      </c>
      <c r="AL80" s="267">
        <f t="shared" si="101"/>
        <v>0</v>
      </c>
      <c r="AM80" s="117">
        <f t="shared" ref="AM80:AN80" si="102">AM91</f>
        <v>0</v>
      </c>
      <c r="AN80" s="117">
        <f t="shared" si="102"/>
        <v>0</v>
      </c>
      <c r="AO80" s="132"/>
      <c r="AP80" s="25"/>
      <c r="AQ80" s="117">
        <f t="shared" ref="AQ80:BB80" si="103">AQ91</f>
        <v>0</v>
      </c>
      <c r="AR80" s="117">
        <f t="shared" si="103"/>
        <v>0</v>
      </c>
      <c r="AS80" s="117">
        <f t="shared" si="103"/>
        <v>0</v>
      </c>
      <c r="AT80" s="117">
        <f t="shared" si="103"/>
        <v>0</v>
      </c>
      <c r="AU80" s="267">
        <f t="shared" si="103"/>
        <v>0</v>
      </c>
      <c r="AV80" s="267">
        <f t="shared" si="103"/>
        <v>0</v>
      </c>
      <c r="AW80" s="267">
        <f t="shared" si="103"/>
        <v>0</v>
      </c>
      <c r="AX80" s="267">
        <f t="shared" si="103"/>
        <v>0</v>
      </c>
      <c r="AY80" s="267">
        <f t="shared" si="103"/>
        <v>0</v>
      </c>
      <c r="AZ80" s="267">
        <f t="shared" si="103"/>
        <v>0</v>
      </c>
      <c r="BA80" s="267">
        <f t="shared" si="103"/>
        <v>0</v>
      </c>
      <c r="BB80" s="117">
        <f t="shared" si="103"/>
        <v>0</v>
      </c>
      <c r="BJ80" s="294"/>
    </row>
    <row r="81" spans="1:62" ht="15.6" outlineLevel="2">
      <c r="A81" s="98"/>
      <c r="B81" s="102"/>
      <c r="C81" s="23"/>
      <c r="D81" s="257"/>
      <c r="E81" s="257"/>
      <c r="F81" s="252"/>
      <c r="G81" s="249"/>
      <c r="H81" s="272"/>
      <c r="I81" s="282"/>
      <c r="J81" s="259"/>
      <c r="K81" s="259"/>
      <c r="L81" s="106" t="str">
        <f>IF(I81&lt;&gt;0,((VLOOKUP(I81,'1. Standard_Cost'!$B$4:$D$11,2)+VLOOKUP(I81,'1. Standard_Cost'!$B$4:$D$11,3))*J81*K81),"0")</f>
        <v>0</v>
      </c>
      <c r="M81" s="106">
        <f>L81*'1. Standard_Cost'!$F$4</f>
        <v>0</v>
      </c>
      <c r="N81" s="260"/>
      <c r="O81" s="260"/>
      <c r="P81" s="260"/>
      <c r="Q81" s="260"/>
      <c r="R81" s="108">
        <f>'1. Standard_Cost'!$B$15*N81*P81</f>
        <v>0</v>
      </c>
      <c r="S81" s="108">
        <f>N81*O81*P81*'1. Standard_Cost'!$C$15</f>
        <v>0</v>
      </c>
      <c r="T81" s="108">
        <f>N81*P81*Q81*'1. Standard_Cost'!$D$15</f>
        <v>0</v>
      </c>
      <c r="U81" s="108">
        <f>N81*O81*'1. Standard_Cost'!$E$15</f>
        <v>0</v>
      </c>
      <c r="V81" s="260"/>
      <c r="W81" s="260"/>
      <c r="X81" s="260"/>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104">SUM(AE81,AD81,AC81,AB81,Y81,U81,T81,S81,R81)</f>
        <v>0</v>
      </c>
      <c r="AG81" s="260"/>
      <c r="AH81" s="260"/>
      <c r="AI81" s="260"/>
      <c r="AJ81" s="263"/>
      <c r="AK81" s="263"/>
      <c r="AL81" s="263"/>
      <c r="AM81" s="108">
        <f>AG81*'1. Standard_Cost'!$B$27+'Incremental_Cost Year 10'!AH81*'1. Standard_Cost'!$C$27+'Incremental_Cost Year 10'!AI81*'1. Standard_Cost'!$D$27+'Incremental_Cost Year 10'!AJ81+'Incremental_Cost Year 10'!AL81+AK81</f>
        <v>0</v>
      </c>
      <c r="AN81" s="108">
        <f>AM81*'1. Standard_Cost'!$C$31</f>
        <v>0</v>
      </c>
      <c r="AO81" s="125" t="s">
        <v>300</v>
      </c>
      <c r="AQ81" s="14">
        <f t="shared" ref="AQ81:AQ90" si="105">L81+M81</f>
        <v>0</v>
      </c>
      <c r="AR81" s="14">
        <f t="shared" ref="AR81:AR90" si="106">AF81</f>
        <v>0</v>
      </c>
      <c r="AS81" s="14">
        <f t="shared" ref="AS81:AS90" si="107">AM81+AN81</f>
        <v>0</v>
      </c>
      <c r="AT81" s="14">
        <f>SUM(AQ81,AR81,AS81)</f>
        <v>0</v>
      </c>
      <c r="AU81" s="234"/>
      <c r="AV81" s="234"/>
      <c r="AW81" s="234"/>
      <c r="AX81" s="234"/>
      <c r="AY81" s="234"/>
      <c r="AZ81" s="234"/>
      <c r="BA81" s="234"/>
      <c r="BB81" s="16">
        <f t="shared" ref="BB81:BB90" si="108">SUM(AU81:BA81)-AT81</f>
        <v>0</v>
      </c>
      <c r="BD81" s="294">
        <f>'Incremental_Cost Year 1'!AV81+'Incremental_Cost Year 2'!AV81+'Incremental_Cost Year 3'!AV81+'Incremental_Cost Year 4'!AV81+'Incremental_Cost Year 5'!AV81+'Incremental_Cost Year 6'!AV81+'Incremental_Cost Year 7'!AV81+'Incremental_Cost Year 8'!AV81+'Incremental_Cost Year 9'!AV81+'Incremental_Cost Year 10'!AV81</f>
        <v>0</v>
      </c>
      <c r="BE81" s="294">
        <f>'Incremental_Cost Year 1'!AW81+'Incremental_Cost Year 2'!AW81+'Incremental_Cost Year 3'!AW81+'Incremental_Cost Year 4'!AW81+'Incremental_Cost Year 5'!AW81+'Incremental_Cost Year 6'!AW81+'Incremental_Cost Year 7'!AW81+'Incremental_Cost Year 8'!AW81+'Incremental_Cost Year 9'!AW81+'Incremental_Cost Year 10'!AW81</f>
        <v>0</v>
      </c>
      <c r="BF81" s="294">
        <f>'Incremental_Cost Year 1'!AX81+'Incremental_Cost Year 2'!AX81+'Incremental_Cost Year 3'!AX81+'Incremental_Cost Year 4'!AX81+'Incremental_Cost Year 5'!AX81+'Incremental_Cost Year 6'!AX81+'Incremental_Cost Year 7'!AX81+'Incremental_Cost Year 8'!AX81+'Incremental_Cost Year 9'!AX81+'Incremental_Cost Year 10'!AX81</f>
        <v>3348000</v>
      </c>
      <c r="BG81" s="294">
        <f>'Incremental_Cost Year 1'!AY81+'Incremental_Cost Year 2'!AY81+'Incremental_Cost Year 3'!AY81+'Incremental_Cost Year 4'!AY81+'Incremental_Cost Year 5'!AY81+'Incremental_Cost Year 6'!AY81+'Incremental_Cost Year 7'!AY81+'Incremental_Cost Year 8'!AY81+'Incremental_Cost Year 9'!AY81+'Incremental_Cost Year 10'!AY81</f>
        <v>0</v>
      </c>
      <c r="BH81" s="294">
        <f>'Incremental_Cost Year 1'!AZ81+'Incremental_Cost Year 2'!AZ81+'Incremental_Cost Year 3'!AZ81+'Incremental_Cost Year 4'!AZ81+'Incremental_Cost Year 5'!AZ81+'Incremental_Cost Year 6'!AZ81+'Incremental_Cost Year 7'!AZ81+'Incremental_Cost Year 8'!AZ81+'Incremental_Cost Year 9'!AZ81+'Incremental_Cost Year 10'!AZ81</f>
        <v>0</v>
      </c>
      <c r="BI81" s="294">
        <f>'Incremental_Cost Year 1'!BA81+'Incremental_Cost Year 2'!BA81+'Incremental_Cost Year 3'!BA81+'Incremental_Cost Year 4'!BA81+'Incremental_Cost Year 5'!BA81+'Incremental_Cost Year 6'!BA81+'Incremental_Cost Year 7'!BA81+'Incremental_Cost Year 8'!BA81+'Incremental_Cost Year 9'!BA81+'Incremental_Cost Year 10'!BA81</f>
        <v>0</v>
      </c>
      <c r="BJ81" s="294">
        <f t="shared" si="93"/>
        <v>3348000</v>
      </c>
    </row>
    <row r="82" spans="1:62" ht="27.6" outlineLevel="2">
      <c r="A82" s="98"/>
      <c r="B82" s="102"/>
      <c r="C82" s="23"/>
      <c r="D82" s="269"/>
      <c r="E82" s="269"/>
      <c r="F82" s="251"/>
      <c r="G82" s="250"/>
      <c r="H82" s="272"/>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260"/>
      <c r="W82" s="260"/>
      <c r="X82" s="260"/>
      <c r="Y82" s="108">
        <f>+V82*((X82*'1. Standard_Cost'!$B$19)+(W82*X82*'1. Standard_Cost'!$C$19))</f>
        <v>0</v>
      </c>
      <c r="Z82" s="260"/>
      <c r="AA82" s="260"/>
      <c r="AB82" s="108">
        <f>+Z82*'1. Standard_Cost'!$B$23+AA82*'1. Standard_Cost'!$C$23</f>
        <v>0</v>
      </c>
      <c r="AC82" s="261"/>
      <c r="AD82" s="262"/>
      <c r="AE82" s="108">
        <f>SUM(AD82,AC82,AB82,Y82,U82,T82,S82,R82)*'1. Standard_Cost'!$B$31</f>
        <v>0</v>
      </c>
      <c r="AF82" s="108">
        <f t="shared" si="104"/>
        <v>0</v>
      </c>
      <c r="AG82" s="260"/>
      <c r="AH82" s="260"/>
      <c r="AI82" s="260"/>
      <c r="AJ82" s="263"/>
      <c r="AK82" s="263"/>
      <c r="AL82" s="263"/>
      <c r="AM82" s="108">
        <f>AG82*'1. Standard_Cost'!$B$27+'Incremental_Cost Year 10'!AH82*'1. Standard_Cost'!$C$27+'Incremental_Cost Year 10'!AI82*'1. Standard_Cost'!$D$27+'Incremental_Cost Year 10'!AJ82+'Incremental_Cost Year 10'!AL82+AK82</f>
        <v>0</v>
      </c>
      <c r="AN82" s="108">
        <f>AM82*'1. Standard_Cost'!$C$31</f>
        <v>0</v>
      </c>
      <c r="AO82" s="125" t="s">
        <v>324</v>
      </c>
      <c r="AQ82" s="14">
        <f t="shared" si="105"/>
        <v>0</v>
      </c>
      <c r="AR82" s="14">
        <f t="shared" si="106"/>
        <v>0</v>
      </c>
      <c r="AS82" s="14">
        <f t="shared" si="107"/>
        <v>0</v>
      </c>
      <c r="AT82" s="14">
        <f t="shared" ref="AT82:AT90" si="109">SUM(AQ82,AR82,AS82)</f>
        <v>0</v>
      </c>
      <c r="AU82" s="234"/>
      <c r="AV82" s="234"/>
      <c r="AW82" s="234"/>
      <c r="AX82" s="234"/>
      <c r="AY82" s="234"/>
      <c r="AZ82" s="234"/>
      <c r="BA82" s="234"/>
      <c r="BB82" s="16">
        <f t="shared" si="108"/>
        <v>0</v>
      </c>
      <c r="BD82" s="294">
        <f>'Incremental_Cost Year 1'!AV82+'Incremental_Cost Year 2'!AV82+'Incremental_Cost Year 3'!AV82+'Incremental_Cost Year 4'!AV82+'Incremental_Cost Year 5'!AV82+'Incremental_Cost Year 6'!AV82+'Incremental_Cost Year 7'!AV82+'Incremental_Cost Year 8'!AV82+'Incremental_Cost Year 9'!AV82+'Incremental_Cost Year 10'!AV82</f>
        <v>0</v>
      </c>
      <c r="BE82" s="294">
        <f>'Incremental_Cost Year 1'!AW82+'Incremental_Cost Year 2'!AW82+'Incremental_Cost Year 3'!AW82+'Incremental_Cost Year 4'!AW82+'Incremental_Cost Year 5'!AW82+'Incremental_Cost Year 6'!AW82+'Incremental_Cost Year 7'!AW82+'Incremental_Cost Year 8'!AW82+'Incremental_Cost Year 9'!AW82+'Incremental_Cost Year 10'!AW82</f>
        <v>0</v>
      </c>
      <c r="BF82" s="294">
        <f>'Incremental_Cost Year 1'!AX82+'Incremental_Cost Year 2'!AX82+'Incremental_Cost Year 3'!AX82+'Incremental_Cost Year 4'!AX82+'Incremental_Cost Year 5'!AX82+'Incremental_Cost Year 6'!AX82+'Incremental_Cost Year 7'!AX82+'Incremental_Cost Year 8'!AX82+'Incremental_Cost Year 9'!AX82+'Incremental_Cost Year 10'!AX82</f>
        <v>22484400</v>
      </c>
      <c r="BG82" s="294">
        <f>'Incremental_Cost Year 1'!AY82+'Incremental_Cost Year 2'!AY82+'Incremental_Cost Year 3'!AY82+'Incremental_Cost Year 4'!AY82+'Incremental_Cost Year 5'!AY82+'Incremental_Cost Year 6'!AY82+'Incremental_Cost Year 7'!AY82+'Incremental_Cost Year 8'!AY82+'Incremental_Cost Year 9'!AY82+'Incremental_Cost Year 10'!AY82</f>
        <v>0</v>
      </c>
      <c r="BH82" s="294">
        <f>'Incremental_Cost Year 1'!AZ82+'Incremental_Cost Year 2'!AZ82+'Incremental_Cost Year 3'!AZ82+'Incremental_Cost Year 4'!AZ82+'Incremental_Cost Year 5'!AZ82+'Incremental_Cost Year 6'!AZ82+'Incremental_Cost Year 7'!AZ82+'Incremental_Cost Year 8'!AZ82+'Incremental_Cost Year 9'!AZ82+'Incremental_Cost Year 10'!AZ82</f>
        <v>0</v>
      </c>
      <c r="BI82" s="294">
        <f>'Incremental_Cost Year 1'!BA82+'Incremental_Cost Year 2'!BA82+'Incremental_Cost Year 3'!BA82+'Incremental_Cost Year 4'!BA82+'Incremental_Cost Year 5'!BA82+'Incremental_Cost Year 6'!BA82+'Incremental_Cost Year 7'!BA82+'Incremental_Cost Year 8'!BA82+'Incremental_Cost Year 9'!BA82+'Incremental_Cost Year 10'!BA82</f>
        <v>0</v>
      </c>
      <c r="BJ82" s="294">
        <f t="shared" si="93"/>
        <v>22484400</v>
      </c>
    </row>
    <row r="83" spans="1:62" ht="15.6" outlineLevel="2">
      <c r="A83" s="98"/>
      <c r="B83" s="102"/>
      <c r="C83" s="23"/>
      <c r="D83" s="269"/>
      <c r="E83" s="269"/>
      <c r="F83" s="251"/>
      <c r="G83" s="250"/>
      <c r="H83" s="272"/>
      <c r="I83" s="282"/>
      <c r="J83" s="259"/>
      <c r="K83" s="259"/>
      <c r="L83" s="106" t="str">
        <f>IF(I83&lt;&gt;0,((VLOOKUP(I83,'1. Standard_Cost'!$B$4:$D$11,2)+VLOOKUP(I83,'1. Standard_Cost'!$B$4:$D$11,3))*J83*K83),"0")</f>
        <v>0</v>
      </c>
      <c r="M83" s="106">
        <f>L83*'1. Standard_Cost'!$F$4</f>
        <v>0</v>
      </c>
      <c r="N83" s="260"/>
      <c r="O83" s="260"/>
      <c r="P83" s="260"/>
      <c r="Q83" s="260"/>
      <c r="R83" s="108">
        <f>'1. Standard_Cost'!$B$15*N83*P83</f>
        <v>0</v>
      </c>
      <c r="S83" s="108">
        <f>N83*O83*P83*'1. Standard_Cost'!$C$15</f>
        <v>0</v>
      </c>
      <c r="T83" s="108">
        <f>N83*P83*Q83*'1. Standard_Cost'!$D$15</f>
        <v>0</v>
      </c>
      <c r="U83" s="108">
        <f>N83*O83*'1. Standard_Cost'!$E$15</f>
        <v>0</v>
      </c>
      <c r="V83" s="260"/>
      <c r="W83" s="260"/>
      <c r="X83" s="260"/>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104"/>
        <v>0</v>
      </c>
      <c r="AG83" s="260"/>
      <c r="AH83" s="260"/>
      <c r="AI83" s="260"/>
      <c r="AJ83" s="263"/>
      <c r="AK83" s="263"/>
      <c r="AL83" s="263"/>
      <c r="AM83" s="108">
        <f>AG83*'1. Standard_Cost'!$B$27+'Incremental_Cost Year 10'!AH83*'1. Standard_Cost'!$C$27+'Incremental_Cost Year 10'!AI83*'1. Standard_Cost'!$D$27+'Incremental_Cost Year 10'!AJ83+'Incremental_Cost Year 10'!AL83+AK83</f>
        <v>0</v>
      </c>
      <c r="AN83" s="108">
        <f>AM83*'1. Standard_Cost'!$C$31</f>
        <v>0</v>
      </c>
      <c r="AO83" s="125" t="s">
        <v>325</v>
      </c>
      <c r="AQ83" s="14">
        <f t="shared" si="105"/>
        <v>0</v>
      </c>
      <c r="AR83" s="14">
        <f t="shared" si="106"/>
        <v>0</v>
      </c>
      <c r="AS83" s="14">
        <f t="shared" si="107"/>
        <v>0</v>
      </c>
      <c r="AT83" s="14">
        <f t="shared" si="109"/>
        <v>0</v>
      </c>
      <c r="AU83" s="234"/>
      <c r="AV83" s="234"/>
      <c r="AW83" s="234"/>
      <c r="AX83" s="234"/>
      <c r="AY83" s="234"/>
      <c r="AZ83" s="234"/>
      <c r="BA83" s="234"/>
      <c r="BB83" s="16">
        <f t="shared" si="108"/>
        <v>0</v>
      </c>
      <c r="BD83" s="294">
        <f>'Incremental_Cost Year 1'!AV83+'Incremental_Cost Year 2'!AV83+'Incremental_Cost Year 3'!AV83+'Incremental_Cost Year 4'!AV83+'Incremental_Cost Year 5'!AV83+'Incremental_Cost Year 6'!AV83+'Incremental_Cost Year 7'!AV83+'Incremental_Cost Year 8'!AV83+'Incremental_Cost Year 9'!AV83+'Incremental_Cost Year 10'!AV83</f>
        <v>0</v>
      </c>
      <c r="BE83" s="294">
        <f>'Incremental_Cost Year 1'!AW83+'Incremental_Cost Year 2'!AW83+'Incremental_Cost Year 3'!AW83+'Incremental_Cost Year 4'!AW83+'Incremental_Cost Year 5'!AW83+'Incremental_Cost Year 6'!AW83+'Incremental_Cost Year 7'!AW83+'Incremental_Cost Year 8'!AW83+'Incremental_Cost Year 9'!AW83+'Incremental_Cost Year 10'!AW83</f>
        <v>0</v>
      </c>
      <c r="BF83" s="294">
        <f>'Incremental_Cost Year 1'!AX83+'Incremental_Cost Year 2'!AX83+'Incremental_Cost Year 3'!AX83+'Incremental_Cost Year 4'!AX83+'Incremental_Cost Year 5'!AX83+'Incremental_Cost Year 6'!AX83+'Incremental_Cost Year 7'!AX83+'Incremental_Cost Year 8'!AX83+'Incremental_Cost Year 9'!AX83+'Incremental_Cost Year 10'!AX83</f>
        <v>0</v>
      </c>
      <c r="BG83" s="294">
        <f>'Incremental_Cost Year 1'!AY83+'Incremental_Cost Year 2'!AY83+'Incremental_Cost Year 3'!AY83+'Incremental_Cost Year 4'!AY83+'Incremental_Cost Year 5'!AY83+'Incremental_Cost Year 6'!AY83+'Incremental_Cost Year 7'!AY83+'Incremental_Cost Year 8'!AY83+'Incremental_Cost Year 9'!AY83+'Incremental_Cost Year 10'!AY83</f>
        <v>0</v>
      </c>
      <c r="BH83" s="294">
        <f>'Incremental_Cost Year 1'!AZ83+'Incremental_Cost Year 2'!AZ83+'Incremental_Cost Year 3'!AZ83+'Incremental_Cost Year 4'!AZ83+'Incremental_Cost Year 5'!AZ83+'Incremental_Cost Year 6'!AZ83+'Incremental_Cost Year 7'!AZ83+'Incremental_Cost Year 8'!AZ83+'Incremental_Cost Year 9'!AZ83+'Incremental_Cost Year 10'!AZ83</f>
        <v>0</v>
      </c>
      <c r="BI83" s="294">
        <f>'Incremental_Cost Year 1'!BA83+'Incremental_Cost Year 2'!BA83+'Incremental_Cost Year 3'!BA83+'Incremental_Cost Year 4'!BA83+'Incremental_Cost Year 5'!BA83+'Incremental_Cost Year 6'!BA83+'Incremental_Cost Year 7'!BA83+'Incremental_Cost Year 8'!BA83+'Incremental_Cost Year 9'!BA83+'Incremental_Cost Year 10'!BA83</f>
        <v>0</v>
      </c>
      <c r="BJ83" s="294">
        <f t="shared" si="93"/>
        <v>0</v>
      </c>
    </row>
    <row r="84" spans="1:62" ht="15.6" outlineLevel="2">
      <c r="A84" s="98"/>
      <c r="B84" s="102"/>
      <c r="C84" s="23"/>
      <c r="D84" s="269"/>
      <c r="E84" s="269"/>
      <c r="F84" s="251"/>
      <c r="G84" s="250"/>
      <c r="H84" s="272"/>
      <c r="I84" s="258"/>
      <c r="J84" s="259"/>
      <c r="K84" s="259"/>
      <c r="L84" s="106" t="str">
        <f>IF(I84&lt;&gt;0,((VLOOKUP(I84,'1. Standard_Cost'!$B$4:$D$11,2)+VLOOKUP(I84,'1. Standard_Cost'!$B$4:$D$11,3))*J84*K84),"0")</f>
        <v>0</v>
      </c>
      <c r="M84" s="106">
        <f>L84*'1. Standard_Cost'!$F$4</f>
        <v>0</v>
      </c>
      <c r="N84" s="260"/>
      <c r="O84" s="260"/>
      <c r="P84" s="260"/>
      <c r="Q84" s="260"/>
      <c r="R84" s="108">
        <f>'1. Standard_Cost'!$B$15*N84*P84</f>
        <v>0</v>
      </c>
      <c r="S84" s="108">
        <f>N84*O84*P84*'1. Standard_Cost'!$C$15</f>
        <v>0</v>
      </c>
      <c r="T84" s="108">
        <f>N84*P84*Q84*'1. Standard_Cost'!$D$15</f>
        <v>0</v>
      </c>
      <c r="U84" s="108">
        <f>N84*O84*'1. Standard_Cost'!$E$15</f>
        <v>0</v>
      </c>
      <c r="V84" s="260"/>
      <c r="W84" s="260"/>
      <c r="X84" s="260"/>
      <c r="Y84" s="108">
        <f>+V84*((X84*'1. Standard_Cost'!$B$19)+(W84*X84*'1. Standard_Cost'!$C$19))</f>
        <v>0</v>
      </c>
      <c r="Z84" s="260"/>
      <c r="AA84" s="260"/>
      <c r="AB84" s="108">
        <f>+Z84*'1. Standard_Cost'!$B$23+AA84*'1. Standard_Cost'!$C$23</f>
        <v>0</v>
      </c>
      <c r="AC84" s="261"/>
      <c r="AD84" s="262"/>
      <c r="AE84" s="108">
        <f>SUM(AD84,AC84,AB84,Y84,U84,T84,S84,R84)*'1. Standard_Cost'!$B$31</f>
        <v>0</v>
      </c>
      <c r="AF84" s="108">
        <f t="shared" si="104"/>
        <v>0</v>
      </c>
      <c r="AG84" s="260"/>
      <c r="AH84" s="260"/>
      <c r="AI84" s="260"/>
      <c r="AJ84" s="263"/>
      <c r="AK84" s="263"/>
      <c r="AL84" s="263"/>
      <c r="AM84" s="108">
        <f>AG84*'1. Standard_Cost'!$B$27+'Incremental_Cost Year 10'!AH84*'1. Standard_Cost'!$C$27+'Incremental_Cost Year 10'!AI84*'1. Standard_Cost'!$D$27+'Incremental_Cost Year 10'!AJ84+'Incremental_Cost Year 10'!AL84+AK84</f>
        <v>0</v>
      </c>
      <c r="AN84" s="108">
        <f>AM84*'1. Standard_Cost'!$C$31</f>
        <v>0</v>
      </c>
      <c r="AO84" s="125" t="s">
        <v>326</v>
      </c>
      <c r="AQ84" s="14">
        <f t="shared" si="105"/>
        <v>0</v>
      </c>
      <c r="AR84" s="14">
        <f t="shared" si="106"/>
        <v>0</v>
      </c>
      <c r="AS84" s="14">
        <f t="shared" si="107"/>
        <v>0</v>
      </c>
      <c r="AT84" s="14">
        <f t="shared" si="109"/>
        <v>0</v>
      </c>
      <c r="AU84" s="234"/>
      <c r="AV84" s="234"/>
      <c r="AW84" s="234"/>
      <c r="AX84" s="234"/>
      <c r="AY84" s="234"/>
      <c r="AZ84" s="234"/>
      <c r="BA84" s="234"/>
      <c r="BB84" s="16">
        <f t="shared" si="108"/>
        <v>0</v>
      </c>
      <c r="BD84" s="294">
        <f>'Incremental_Cost Year 1'!AV84+'Incremental_Cost Year 2'!AV84+'Incremental_Cost Year 3'!AV84+'Incremental_Cost Year 4'!AV84+'Incremental_Cost Year 5'!AV84+'Incremental_Cost Year 6'!AV84+'Incremental_Cost Year 7'!AV84+'Incremental_Cost Year 8'!AV84+'Incremental_Cost Year 9'!AV84+'Incremental_Cost Year 10'!AV84</f>
        <v>0</v>
      </c>
      <c r="BE84" s="294">
        <f>'Incremental_Cost Year 1'!AW84+'Incremental_Cost Year 2'!AW84+'Incremental_Cost Year 3'!AW84+'Incremental_Cost Year 4'!AW84+'Incremental_Cost Year 5'!AW84+'Incremental_Cost Year 6'!AW84+'Incremental_Cost Year 7'!AW84+'Incremental_Cost Year 8'!AW84+'Incremental_Cost Year 9'!AW84+'Incremental_Cost Year 10'!AW84</f>
        <v>0</v>
      </c>
      <c r="BF84" s="294">
        <f>'Incremental_Cost Year 1'!AX84+'Incremental_Cost Year 2'!AX84+'Incremental_Cost Year 3'!AX84+'Incremental_Cost Year 4'!AX84+'Incremental_Cost Year 5'!AX84+'Incremental_Cost Year 6'!AX84+'Incremental_Cost Year 7'!AX84+'Incremental_Cost Year 8'!AX84+'Incremental_Cost Year 9'!AX84+'Incremental_Cost Year 10'!AX84</f>
        <v>3648000</v>
      </c>
      <c r="BG84" s="294">
        <f>'Incremental_Cost Year 1'!AY84+'Incremental_Cost Year 2'!AY84+'Incremental_Cost Year 3'!AY84+'Incremental_Cost Year 4'!AY84+'Incremental_Cost Year 5'!AY84+'Incremental_Cost Year 6'!AY84+'Incremental_Cost Year 7'!AY84+'Incremental_Cost Year 8'!AY84+'Incremental_Cost Year 9'!AY84+'Incremental_Cost Year 10'!AY84</f>
        <v>0</v>
      </c>
      <c r="BH84" s="294">
        <f>'Incremental_Cost Year 1'!AZ84+'Incremental_Cost Year 2'!AZ84+'Incremental_Cost Year 3'!AZ84+'Incremental_Cost Year 4'!AZ84+'Incremental_Cost Year 5'!AZ84+'Incremental_Cost Year 6'!AZ84+'Incremental_Cost Year 7'!AZ84+'Incremental_Cost Year 8'!AZ84+'Incremental_Cost Year 9'!AZ84+'Incremental_Cost Year 10'!AZ84</f>
        <v>0</v>
      </c>
      <c r="BI84" s="294">
        <f>'Incremental_Cost Year 1'!BA84+'Incremental_Cost Year 2'!BA84+'Incremental_Cost Year 3'!BA84+'Incremental_Cost Year 4'!BA84+'Incremental_Cost Year 5'!BA84+'Incremental_Cost Year 6'!BA84+'Incremental_Cost Year 7'!BA84+'Incremental_Cost Year 8'!BA84+'Incremental_Cost Year 9'!BA84+'Incremental_Cost Year 10'!BA84</f>
        <v>0</v>
      </c>
      <c r="BJ84" s="294">
        <f t="shared" si="93"/>
        <v>3648000</v>
      </c>
    </row>
    <row r="85" spans="1:62" ht="15.6" outlineLevel="2">
      <c r="A85" s="98"/>
      <c r="B85" s="102"/>
      <c r="C85" s="23"/>
      <c r="D85" s="269"/>
      <c r="E85" s="269"/>
      <c r="F85" s="251"/>
      <c r="G85" s="250"/>
      <c r="H85" s="272"/>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260"/>
      <c r="W85" s="260"/>
      <c r="X85" s="260"/>
      <c r="Y85" s="108">
        <f>+V85*((X85*'1. Standard_Cost'!$B$19)+(W85*X85*'1. Standard_Cost'!$C$19))</f>
        <v>0</v>
      </c>
      <c r="Z85" s="260"/>
      <c r="AA85" s="260"/>
      <c r="AB85" s="108">
        <f>+Z85*'1. Standard_Cost'!$B$23+AA85*'1. Standard_Cost'!$C$23</f>
        <v>0</v>
      </c>
      <c r="AC85" s="261"/>
      <c r="AD85" s="262"/>
      <c r="AE85" s="108">
        <f>SUM(AD85,AC85,AB85,Y85,U85,T85,S85,R85)*'1. Standard_Cost'!$B$31</f>
        <v>0</v>
      </c>
      <c r="AF85" s="108">
        <f t="shared" si="104"/>
        <v>0</v>
      </c>
      <c r="AG85" s="260"/>
      <c r="AH85" s="260"/>
      <c r="AI85" s="260"/>
      <c r="AJ85" s="263"/>
      <c r="AK85" s="263"/>
      <c r="AL85" s="263"/>
      <c r="AM85" s="108">
        <f>AG85*'1. Standard_Cost'!$B$27+'Incremental_Cost Year 10'!AH85*'1. Standard_Cost'!$C$27+'Incremental_Cost Year 10'!AI85*'1. Standard_Cost'!$D$27+'Incremental_Cost Year 10'!AJ85+'Incremental_Cost Year 10'!AL85+AK85</f>
        <v>0</v>
      </c>
      <c r="AN85" s="108">
        <f>AM85*'1. Standard_Cost'!$C$31</f>
        <v>0</v>
      </c>
      <c r="AO85" s="125" t="s">
        <v>327</v>
      </c>
      <c r="AQ85" s="14">
        <f t="shared" si="105"/>
        <v>0</v>
      </c>
      <c r="AR85" s="14">
        <f t="shared" si="106"/>
        <v>0</v>
      </c>
      <c r="AS85" s="14">
        <f t="shared" si="107"/>
        <v>0</v>
      </c>
      <c r="AT85" s="14">
        <f t="shared" si="109"/>
        <v>0</v>
      </c>
      <c r="AU85" s="234"/>
      <c r="AV85" s="234"/>
      <c r="AW85" s="234"/>
      <c r="AX85" s="234"/>
      <c r="AY85" s="234"/>
      <c r="AZ85" s="234"/>
      <c r="BA85" s="234"/>
      <c r="BB85" s="16">
        <f t="shared" si="108"/>
        <v>0</v>
      </c>
      <c r="BD85" s="294">
        <f>'Incremental_Cost Year 1'!AV85+'Incremental_Cost Year 2'!AV85+'Incremental_Cost Year 3'!AV85+'Incremental_Cost Year 4'!AV85+'Incremental_Cost Year 5'!AV85+'Incremental_Cost Year 6'!AV85+'Incremental_Cost Year 7'!AV85+'Incremental_Cost Year 8'!AV85+'Incremental_Cost Year 9'!AV85+'Incremental_Cost Year 10'!AV85</f>
        <v>0</v>
      </c>
      <c r="BE85" s="294">
        <f>'Incremental_Cost Year 1'!AW85+'Incremental_Cost Year 2'!AW85+'Incremental_Cost Year 3'!AW85+'Incremental_Cost Year 4'!AW85+'Incremental_Cost Year 5'!AW85+'Incremental_Cost Year 6'!AW85+'Incremental_Cost Year 7'!AW85+'Incremental_Cost Year 8'!AW85+'Incremental_Cost Year 9'!AW85+'Incremental_Cost Year 10'!AW85</f>
        <v>0</v>
      </c>
      <c r="BF85" s="294">
        <f>'Incremental_Cost Year 1'!AX85+'Incremental_Cost Year 2'!AX85+'Incremental_Cost Year 3'!AX85+'Incremental_Cost Year 4'!AX85+'Incremental_Cost Year 5'!AX85+'Incremental_Cost Year 6'!AX85+'Incremental_Cost Year 7'!AX85+'Incremental_Cost Year 8'!AX85+'Incremental_Cost Year 9'!AX85+'Incremental_Cost Year 10'!AX85</f>
        <v>0</v>
      </c>
      <c r="BG85" s="294">
        <f>'Incremental_Cost Year 1'!AY85+'Incremental_Cost Year 2'!AY85+'Incremental_Cost Year 3'!AY85+'Incremental_Cost Year 4'!AY85+'Incremental_Cost Year 5'!AY85+'Incremental_Cost Year 6'!AY85+'Incremental_Cost Year 7'!AY85+'Incremental_Cost Year 8'!AY85+'Incremental_Cost Year 9'!AY85+'Incremental_Cost Year 10'!AY85</f>
        <v>0</v>
      </c>
      <c r="BH85" s="294">
        <f>'Incremental_Cost Year 1'!AZ85+'Incremental_Cost Year 2'!AZ85+'Incremental_Cost Year 3'!AZ85+'Incremental_Cost Year 4'!AZ85+'Incremental_Cost Year 5'!AZ85+'Incremental_Cost Year 6'!AZ85+'Incremental_Cost Year 7'!AZ85+'Incremental_Cost Year 8'!AZ85+'Incremental_Cost Year 9'!AZ85+'Incremental_Cost Year 10'!AZ85</f>
        <v>0</v>
      </c>
      <c r="BI85" s="294">
        <f>'Incremental_Cost Year 1'!BA85+'Incremental_Cost Year 2'!BA85+'Incremental_Cost Year 3'!BA85+'Incremental_Cost Year 4'!BA85+'Incremental_Cost Year 5'!BA85+'Incremental_Cost Year 6'!BA85+'Incremental_Cost Year 7'!BA85+'Incremental_Cost Year 8'!BA85+'Incremental_Cost Year 9'!BA85+'Incremental_Cost Year 10'!BA85</f>
        <v>0</v>
      </c>
      <c r="BJ85" s="294">
        <f t="shared" si="93"/>
        <v>0</v>
      </c>
    </row>
    <row r="86" spans="1:62" ht="15.6" outlineLevel="2">
      <c r="A86" s="98"/>
      <c r="B86" s="102"/>
      <c r="C86" s="23"/>
      <c r="D86" s="269"/>
      <c r="E86" s="269"/>
      <c r="F86" s="251"/>
      <c r="G86" s="250"/>
      <c r="H86" s="272"/>
      <c r="I86" s="258"/>
      <c r="J86" s="259"/>
      <c r="K86" s="259"/>
      <c r="L86" s="106" t="str">
        <f>IF(I86&lt;&gt;0,((VLOOKUP(I86,'1. Standard_Cost'!$B$4:$D$11,2)+VLOOKUP(I86,'1. Standard_Cost'!$B$4:$D$11,3))*J86*K86),"0")</f>
        <v>0</v>
      </c>
      <c r="M86" s="106">
        <f>L86*'1. Standard_Cost'!$F$4</f>
        <v>0</v>
      </c>
      <c r="N86" s="260"/>
      <c r="O86" s="260"/>
      <c r="P86" s="260"/>
      <c r="Q86" s="260"/>
      <c r="R86" s="108">
        <f>'1. Standard_Cost'!$B$15*N86*P86</f>
        <v>0</v>
      </c>
      <c r="S86" s="108">
        <f>N86*O86*P86*'1. Standard_Cost'!$C$15</f>
        <v>0</v>
      </c>
      <c r="T86" s="108">
        <f>N86*P86*Q86*'1. Standard_Cost'!$D$15</f>
        <v>0</v>
      </c>
      <c r="U86" s="108">
        <f>N86*O86*'1. Standard_Cost'!$E$15</f>
        <v>0</v>
      </c>
      <c r="V86" s="260"/>
      <c r="W86" s="260"/>
      <c r="X86" s="260"/>
      <c r="Y86" s="108">
        <f>+V86*((X86*'1. Standard_Cost'!$B$19)+(W86*X86*'1. Standard_Cost'!$C$19))</f>
        <v>0</v>
      </c>
      <c r="Z86" s="260"/>
      <c r="AA86" s="260"/>
      <c r="AB86" s="108">
        <f>+Z86*'1. Standard_Cost'!$B$23+AA86*'1. Standard_Cost'!$C$23</f>
        <v>0</v>
      </c>
      <c r="AC86" s="261"/>
      <c r="AD86" s="262"/>
      <c r="AE86" s="108">
        <f>SUM(AD86,AC86,AB86,Y86,U86,T86,S86,R86)*'1. Standard_Cost'!$B$31</f>
        <v>0</v>
      </c>
      <c r="AF86" s="108">
        <f t="shared" si="104"/>
        <v>0</v>
      </c>
      <c r="AG86" s="260"/>
      <c r="AH86" s="260"/>
      <c r="AI86" s="260"/>
      <c r="AJ86" s="263"/>
      <c r="AK86" s="263"/>
      <c r="AL86" s="263"/>
      <c r="AM86" s="108">
        <f>AG86*'1. Standard_Cost'!$B$27+'Incremental_Cost Year 10'!AH86*'1. Standard_Cost'!$C$27+'Incremental_Cost Year 10'!AI86*'1. Standard_Cost'!$D$27+'Incremental_Cost Year 10'!AJ86+'Incremental_Cost Year 10'!AL86+AK86</f>
        <v>0</v>
      </c>
      <c r="AN86" s="108">
        <f>AM86*'1. Standard_Cost'!$C$31</f>
        <v>0</v>
      </c>
      <c r="AO86" s="125" t="s">
        <v>328</v>
      </c>
      <c r="AQ86" s="14">
        <f t="shared" si="105"/>
        <v>0</v>
      </c>
      <c r="AR86" s="14">
        <f t="shared" si="106"/>
        <v>0</v>
      </c>
      <c r="AS86" s="14">
        <f t="shared" si="107"/>
        <v>0</v>
      </c>
      <c r="AT86" s="14">
        <f t="shared" si="109"/>
        <v>0</v>
      </c>
      <c r="AU86" s="234"/>
      <c r="AV86" s="234"/>
      <c r="AW86" s="234"/>
      <c r="AX86" s="234"/>
      <c r="AY86" s="234"/>
      <c r="AZ86" s="234"/>
      <c r="BA86" s="234"/>
      <c r="BB86" s="16">
        <f t="shared" si="108"/>
        <v>0</v>
      </c>
      <c r="BD86" s="294">
        <f>'Incremental_Cost Year 1'!AV86+'Incremental_Cost Year 2'!AV86+'Incremental_Cost Year 3'!AV86+'Incremental_Cost Year 4'!AV86+'Incremental_Cost Year 5'!AV86+'Incremental_Cost Year 6'!AV86+'Incremental_Cost Year 7'!AV86+'Incremental_Cost Year 8'!AV86+'Incremental_Cost Year 9'!AV86+'Incremental_Cost Year 10'!AV86</f>
        <v>0</v>
      </c>
      <c r="BE86" s="294">
        <f>'Incremental_Cost Year 1'!AW86+'Incremental_Cost Year 2'!AW86+'Incremental_Cost Year 3'!AW86+'Incremental_Cost Year 4'!AW86+'Incremental_Cost Year 5'!AW86+'Incremental_Cost Year 6'!AW86+'Incremental_Cost Year 7'!AW86+'Incremental_Cost Year 8'!AW86+'Incremental_Cost Year 9'!AW86+'Incremental_Cost Year 10'!AW86</f>
        <v>0</v>
      </c>
      <c r="BF86" s="294">
        <f>'Incremental_Cost Year 1'!AX86+'Incremental_Cost Year 2'!AX86+'Incremental_Cost Year 3'!AX86+'Incremental_Cost Year 4'!AX86+'Incremental_Cost Year 5'!AX86+'Incremental_Cost Year 6'!AX86+'Incremental_Cost Year 7'!AX86+'Incremental_Cost Year 8'!AX86+'Incremental_Cost Year 9'!AX86+'Incremental_Cost Year 10'!AX86</f>
        <v>0</v>
      </c>
      <c r="BG86" s="294">
        <f>'Incremental_Cost Year 1'!AY86+'Incremental_Cost Year 2'!AY86+'Incremental_Cost Year 3'!AY86+'Incremental_Cost Year 4'!AY86+'Incremental_Cost Year 5'!AY86+'Incremental_Cost Year 6'!AY86+'Incremental_Cost Year 7'!AY86+'Incremental_Cost Year 8'!AY86+'Incremental_Cost Year 9'!AY86+'Incremental_Cost Year 10'!AY86</f>
        <v>0</v>
      </c>
      <c r="BH86" s="294">
        <f>'Incremental_Cost Year 1'!AZ86+'Incremental_Cost Year 2'!AZ86+'Incremental_Cost Year 3'!AZ86+'Incremental_Cost Year 4'!AZ86+'Incremental_Cost Year 5'!AZ86+'Incremental_Cost Year 6'!AZ86+'Incremental_Cost Year 7'!AZ86+'Incremental_Cost Year 8'!AZ86+'Incremental_Cost Year 9'!AZ86+'Incremental_Cost Year 10'!AZ86</f>
        <v>0</v>
      </c>
      <c r="BI86" s="294">
        <f>'Incremental_Cost Year 1'!BA86+'Incremental_Cost Year 2'!BA86+'Incremental_Cost Year 3'!BA86+'Incremental_Cost Year 4'!BA86+'Incremental_Cost Year 5'!BA86+'Incremental_Cost Year 6'!BA86+'Incremental_Cost Year 7'!BA86+'Incremental_Cost Year 8'!BA86+'Incremental_Cost Year 9'!BA86+'Incremental_Cost Year 10'!BA86</f>
        <v>0</v>
      </c>
      <c r="BJ86" s="294">
        <f t="shared" si="93"/>
        <v>0</v>
      </c>
    </row>
    <row r="87" spans="1:62" ht="15.6" outlineLevel="2">
      <c r="A87" s="98"/>
      <c r="B87" s="102"/>
      <c r="C87" s="23"/>
      <c r="D87" s="269"/>
      <c r="E87" s="269"/>
      <c r="F87" s="251"/>
      <c r="G87" s="250"/>
      <c r="H87" s="272"/>
      <c r="I87" s="258"/>
      <c r="J87" s="259"/>
      <c r="K87" s="259"/>
      <c r="L87" s="106" t="str">
        <f>IF(I87&lt;&gt;0,((VLOOKUP(I87,'1. Standard_Cost'!$B$4:$D$11,2)+VLOOKUP(I87,'1. Standard_Cost'!$B$4:$D$11,3))*J87*K87),"0")</f>
        <v>0</v>
      </c>
      <c r="M87" s="106">
        <f>L87*'1. Standard_Cost'!$F$4</f>
        <v>0</v>
      </c>
      <c r="N87" s="260"/>
      <c r="O87" s="260"/>
      <c r="P87" s="260"/>
      <c r="Q87" s="260"/>
      <c r="R87" s="108">
        <f>'1. Standard_Cost'!$B$15*N87*P87</f>
        <v>0</v>
      </c>
      <c r="S87" s="108">
        <f>N87*O87*P87*'1. Standard_Cost'!$C$15</f>
        <v>0</v>
      </c>
      <c r="T87" s="108">
        <f>N87*P87*Q87*'1. Standard_Cost'!$D$15</f>
        <v>0</v>
      </c>
      <c r="U87" s="108">
        <f>N87*O87*'1. Standard_Cost'!$E$15</f>
        <v>0</v>
      </c>
      <c r="V87" s="260"/>
      <c r="W87" s="260"/>
      <c r="X87" s="260"/>
      <c r="Y87" s="108">
        <f>+V87*((X87*'1. Standard_Cost'!$B$19)+(W87*X87*'1. Standard_Cost'!$C$19))</f>
        <v>0</v>
      </c>
      <c r="Z87" s="260"/>
      <c r="AA87" s="260"/>
      <c r="AB87" s="108">
        <f>+Z87*'1. Standard_Cost'!$B$23+AA87*'1. Standard_Cost'!$C$23</f>
        <v>0</v>
      </c>
      <c r="AC87" s="261"/>
      <c r="AD87" s="262"/>
      <c r="AE87" s="108">
        <f>SUM(AD87,AC87,AB87,Y87,U87,T87,S87,R87)*'1. Standard_Cost'!$B$31</f>
        <v>0</v>
      </c>
      <c r="AF87" s="108">
        <f t="shared" si="104"/>
        <v>0</v>
      </c>
      <c r="AG87" s="260"/>
      <c r="AH87" s="260"/>
      <c r="AI87" s="260"/>
      <c r="AJ87" s="263"/>
      <c r="AK87" s="263"/>
      <c r="AL87" s="263"/>
      <c r="AM87" s="108">
        <f>AG87*'1. Standard_Cost'!$B$27+'Incremental_Cost Year 10'!AH87*'1. Standard_Cost'!$C$27+'Incremental_Cost Year 10'!AI87*'1. Standard_Cost'!$D$27+'Incremental_Cost Year 10'!AJ87+'Incremental_Cost Year 10'!AL87+AK87</f>
        <v>0</v>
      </c>
      <c r="AN87" s="108">
        <f>AM87*'1. Standard_Cost'!$C$31</f>
        <v>0</v>
      </c>
      <c r="AO87" s="125" t="s">
        <v>329</v>
      </c>
      <c r="AQ87" s="14">
        <f t="shared" si="105"/>
        <v>0</v>
      </c>
      <c r="AR87" s="14">
        <f t="shared" si="106"/>
        <v>0</v>
      </c>
      <c r="AS87" s="14">
        <f t="shared" si="107"/>
        <v>0</v>
      </c>
      <c r="AT87" s="14">
        <f t="shared" si="109"/>
        <v>0</v>
      </c>
      <c r="AU87" s="234"/>
      <c r="AV87" s="234"/>
      <c r="AW87" s="234"/>
      <c r="AX87" s="234"/>
      <c r="AY87" s="234"/>
      <c r="AZ87" s="234"/>
      <c r="BA87" s="234"/>
      <c r="BB87" s="16">
        <f t="shared" si="108"/>
        <v>0</v>
      </c>
      <c r="BD87" s="294">
        <f>'Incremental_Cost Year 1'!AV87+'Incremental_Cost Year 2'!AV87+'Incremental_Cost Year 3'!AV87+'Incremental_Cost Year 4'!AV87+'Incremental_Cost Year 5'!AV87+'Incremental_Cost Year 6'!AV87+'Incremental_Cost Year 7'!AV87+'Incremental_Cost Year 8'!AV87+'Incremental_Cost Year 9'!AV87+'Incremental_Cost Year 10'!AV87</f>
        <v>0</v>
      </c>
      <c r="BE87" s="294">
        <f>'Incremental_Cost Year 1'!AW87+'Incremental_Cost Year 2'!AW87+'Incremental_Cost Year 3'!AW87+'Incremental_Cost Year 4'!AW87+'Incremental_Cost Year 5'!AW87+'Incremental_Cost Year 6'!AW87+'Incremental_Cost Year 7'!AW87+'Incremental_Cost Year 8'!AW87+'Incremental_Cost Year 9'!AW87+'Incremental_Cost Year 10'!AW87</f>
        <v>0</v>
      </c>
      <c r="BF87" s="294">
        <f>'Incremental_Cost Year 1'!AX87+'Incremental_Cost Year 2'!AX87+'Incremental_Cost Year 3'!AX87+'Incremental_Cost Year 4'!AX87+'Incremental_Cost Year 5'!AX87+'Incremental_Cost Year 6'!AX87+'Incremental_Cost Year 7'!AX87+'Incremental_Cost Year 8'!AX87+'Incremental_Cost Year 9'!AX87+'Incremental_Cost Year 10'!AX87</f>
        <v>0</v>
      </c>
      <c r="BG87" s="294">
        <f>'Incremental_Cost Year 1'!AY87+'Incremental_Cost Year 2'!AY87+'Incremental_Cost Year 3'!AY87+'Incremental_Cost Year 4'!AY87+'Incremental_Cost Year 5'!AY87+'Incremental_Cost Year 6'!AY87+'Incremental_Cost Year 7'!AY87+'Incremental_Cost Year 8'!AY87+'Incremental_Cost Year 9'!AY87+'Incremental_Cost Year 10'!AY87</f>
        <v>0</v>
      </c>
      <c r="BH87" s="294">
        <f>'Incremental_Cost Year 1'!AZ87+'Incremental_Cost Year 2'!AZ87+'Incremental_Cost Year 3'!AZ87+'Incremental_Cost Year 4'!AZ87+'Incremental_Cost Year 5'!AZ87+'Incremental_Cost Year 6'!AZ87+'Incremental_Cost Year 7'!AZ87+'Incremental_Cost Year 8'!AZ87+'Incremental_Cost Year 9'!AZ87+'Incremental_Cost Year 10'!AZ87</f>
        <v>0</v>
      </c>
      <c r="BI87" s="294">
        <f>'Incremental_Cost Year 1'!BA87+'Incremental_Cost Year 2'!BA87+'Incremental_Cost Year 3'!BA87+'Incremental_Cost Year 4'!BA87+'Incremental_Cost Year 5'!BA87+'Incremental_Cost Year 6'!BA87+'Incremental_Cost Year 7'!BA87+'Incremental_Cost Year 8'!BA87+'Incremental_Cost Year 9'!BA87+'Incremental_Cost Year 10'!BA87</f>
        <v>0</v>
      </c>
      <c r="BJ87" s="294">
        <f t="shared" si="93"/>
        <v>0</v>
      </c>
    </row>
    <row r="88" spans="1:62" ht="27.6" outlineLevel="2">
      <c r="A88" s="98"/>
      <c r="B88" s="102"/>
      <c r="C88" s="23"/>
      <c r="D88" s="269"/>
      <c r="E88" s="269"/>
      <c r="F88" s="251"/>
      <c r="G88" s="250"/>
      <c r="H88" s="272"/>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260"/>
      <c r="W88" s="260"/>
      <c r="X88" s="260"/>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104"/>
        <v>0</v>
      </c>
      <c r="AG88" s="260"/>
      <c r="AH88" s="260"/>
      <c r="AI88" s="260"/>
      <c r="AJ88" s="263"/>
      <c r="AK88" s="263"/>
      <c r="AL88" s="263"/>
      <c r="AM88" s="108">
        <f>AG88*'1. Standard_Cost'!$B$27+'Incremental_Cost Year 10'!AH88*'1. Standard_Cost'!$C$27+'Incremental_Cost Year 10'!AI88*'1. Standard_Cost'!$D$27+'Incremental_Cost Year 10'!AJ88+'Incremental_Cost Year 10'!AL88+AK88</f>
        <v>0</v>
      </c>
      <c r="AN88" s="108">
        <f>AM88*'1. Standard_Cost'!$C$31</f>
        <v>0</v>
      </c>
      <c r="AO88" s="125" t="s">
        <v>330</v>
      </c>
      <c r="AQ88" s="14">
        <f t="shared" si="105"/>
        <v>0</v>
      </c>
      <c r="AR88" s="14">
        <f t="shared" si="106"/>
        <v>0</v>
      </c>
      <c r="AS88" s="14">
        <f t="shared" si="107"/>
        <v>0</v>
      </c>
      <c r="AT88" s="14">
        <f t="shared" si="109"/>
        <v>0</v>
      </c>
      <c r="AU88" s="234"/>
      <c r="AV88" s="234"/>
      <c r="AW88" s="234"/>
      <c r="AX88" s="234"/>
      <c r="AY88" s="234"/>
      <c r="AZ88" s="234"/>
      <c r="BA88" s="234"/>
      <c r="BB88" s="16">
        <f t="shared" si="108"/>
        <v>0</v>
      </c>
      <c r="BD88" s="294">
        <f>'Incremental_Cost Year 1'!AV88+'Incremental_Cost Year 2'!AV88+'Incremental_Cost Year 3'!AV88+'Incremental_Cost Year 4'!AV88+'Incremental_Cost Year 5'!AV88+'Incremental_Cost Year 6'!AV88+'Incremental_Cost Year 7'!AV88+'Incremental_Cost Year 8'!AV88+'Incremental_Cost Year 9'!AV88+'Incremental_Cost Year 10'!AV88</f>
        <v>0</v>
      </c>
      <c r="BE88" s="294">
        <f>'Incremental_Cost Year 1'!AW88+'Incremental_Cost Year 2'!AW88+'Incremental_Cost Year 3'!AW88+'Incremental_Cost Year 4'!AW88+'Incremental_Cost Year 5'!AW88+'Incremental_Cost Year 6'!AW88+'Incremental_Cost Year 7'!AW88+'Incremental_Cost Year 8'!AW88+'Incremental_Cost Year 9'!AW88+'Incremental_Cost Year 10'!AW88</f>
        <v>0</v>
      </c>
      <c r="BF88" s="294">
        <f>'Incremental_Cost Year 1'!AX88+'Incremental_Cost Year 2'!AX88+'Incremental_Cost Year 3'!AX88+'Incremental_Cost Year 4'!AX88+'Incremental_Cost Year 5'!AX88+'Incremental_Cost Year 6'!AX88+'Incremental_Cost Year 7'!AX88+'Incremental_Cost Year 8'!AX88+'Incremental_Cost Year 9'!AX88+'Incremental_Cost Year 10'!AX88</f>
        <v>0</v>
      </c>
      <c r="BG88" s="294">
        <f>'Incremental_Cost Year 1'!AY88+'Incremental_Cost Year 2'!AY88+'Incremental_Cost Year 3'!AY88+'Incremental_Cost Year 4'!AY88+'Incremental_Cost Year 5'!AY88+'Incremental_Cost Year 6'!AY88+'Incremental_Cost Year 7'!AY88+'Incremental_Cost Year 8'!AY88+'Incremental_Cost Year 9'!AY88+'Incremental_Cost Year 10'!AY88</f>
        <v>0</v>
      </c>
      <c r="BH88" s="294">
        <f>'Incremental_Cost Year 1'!AZ88+'Incremental_Cost Year 2'!AZ88+'Incremental_Cost Year 3'!AZ88+'Incremental_Cost Year 4'!AZ88+'Incremental_Cost Year 5'!AZ88+'Incremental_Cost Year 6'!AZ88+'Incremental_Cost Year 7'!AZ88+'Incremental_Cost Year 8'!AZ88+'Incremental_Cost Year 9'!AZ88+'Incremental_Cost Year 10'!AZ88</f>
        <v>0</v>
      </c>
      <c r="BI88" s="294">
        <f>'Incremental_Cost Year 1'!BA88+'Incremental_Cost Year 2'!BA88+'Incremental_Cost Year 3'!BA88+'Incremental_Cost Year 4'!BA88+'Incremental_Cost Year 5'!BA88+'Incremental_Cost Year 6'!BA88+'Incremental_Cost Year 7'!BA88+'Incremental_Cost Year 8'!BA88+'Incremental_Cost Year 9'!BA88+'Incremental_Cost Year 10'!BA88</f>
        <v>0</v>
      </c>
      <c r="BJ88" s="294">
        <f t="shared" si="93"/>
        <v>0</v>
      </c>
    </row>
    <row r="89" spans="1:62" ht="27.6" outlineLevel="2">
      <c r="A89" s="98"/>
      <c r="B89" s="102"/>
      <c r="C89" s="23"/>
      <c r="D89" s="269"/>
      <c r="E89" s="269"/>
      <c r="F89" s="251"/>
      <c r="G89" s="250"/>
      <c r="H89" s="272"/>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260"/>
      <c r="W89" s="260"/>
      <c r="X89" s="260"/>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104"/>
        <v>0</v>
      </c>
      <c r="AG89" s="260"/>
      <c r="AH89" s="260"/>
      <c r="AI89" s="260"/>
      <c r="AJ89" s="263"/>
      <c r="AK89" s="263"/>
      <c r="AL89" s="263"/>
      <c r="AM89" s="108">
        <f>AG89*'1. Standard_Cost'!$B$27+'Incremental_Cost Year 10'!AH89*'1. Standard_Cost'!$C$27+'Incremental_Cost Year 10'!AI89*'1. Standard_Cost'!$D$27+'Incremental_Cost Year 10'!AJ89+'Incremental_Cost Year 10'!AL89+AK89</f>
        <v>0</v>
      </c>
      <c r="AN89" s="108">
        <f>AM89*'1. Standard_Cost'!$C$31</f>
        <v>0</v>
      </c>
      <c r="AO89" s="125" t="s">
        <v>331</v>
      </c>
      <c r="AQ89" s="14">
        <f t="shared" si="105"/>
        <v>0</v>
      </c>
      <c r="AR89" s="14">
        <f t="shared" si="106"/>
        <v>0</v>
      </c>
      <c r="AS89" s="14">
        <f t="shared" si="107"/>
        <v>0</v>
      </c>
      <c r="AT89" s="14">
        <f t="shared" si="109"/>
        <v>0</v>
      </c>
      <c r="AU89" s="234"/>
      <c r="AV89" s="234"/>
      <c r="AW89" s="234"/>
      <c r="AX89" s="234"/>
      <c r="AY89" s="234"/>
      <c r="AZ89" s="234"/>
      <c r="BA89" s="234"/>
      <c r="BB89" s="16">
        <f t="shared" si="108"/>
        <v>0</v>
      </c>
      <c r="BD89" s="294">
        <f>'Incremental_Cost Year 1'!AV89+'Incremental_Cost Year 2'!AV89+'Incremental_Cost Year 3'!AV89+'Incremental_Cost Year 4'!AV89+'Incremental_Cost Year 5'!AV89+'Incremental_Cost Year 6'!AV89+'Incremental_Cost Year 7'!AV89+'Incremental_Cost Year 8'!AV89+'Incremental_Cost Year 9'!AV89+'Incremental_Cost Year 10'!AV89</f>
        <v>0</v>
      </c>
      <c r="BE89" s="294">
        <f>'Incremental_Cost Year 1'!AW89+'Incremental_Cost Year 2'!AW89+'Incremental_Cost Year 3'!AW89+'Incremental_Cost Year 4'!AW89+'Incremental_Cost Year 5'!AW89+'Incremental_Cost Year 6'!AW89+'Incremental_Cost Year 7'!AW89+'Incremental_Cost Year 8'!AW89+'Incremental_Cost Year 9'!AW89+'Incremental_Cost Year 10'!AW89</f>
        <v>0</v>
      </c>
      <c r="BF89" s="294">
        <f>'Incremental_Cost Year 1'!AX89+'Incremental_Cost Year 2'!AX89+'Incremental_Cost Year 3'!AX89+'Incremental_Cost Year 4'!AX89+'Incremental_Cost Year 5'!AX89+'Incremental_Cost Year 6'!AX89+'Incremental_Cost Year 7'!AX89+'Incremental_Cost Year 8'!AX89+'Incremental_Cost Year 9'!AX89+'Incremental_Cost Year 10'!AX89</f>
        <v>0</v>
      </c>
      <c r="BG89" s="294">
        <f>'Incremental_Cost Year 1'!AY89+'Incremental_Cost Year 2'!AY89+'Incremental_Cost Year 3'!AY89+'Incremental_Cost Year 4'!AY89+'Incremental_Cost Year 5'!AY89+'Incremental_Cost Year 6'!AY89+'Incremental_Cost Year 7'!AY89+'Incremental_Cost Year 8'!AY89+'Incremental_Cost Year 9'!AY89+'Incremental_Cost Year 10'!AY89</f>
        <v>0</v>
      </c>
      <c r="BH89" s="294">
        <f>'Incremental_Cost Year 1'!AZ89+'Incremental_Cost Year 2'!AZ89+'Incremental_Cost Year 3'!AZ89+'Incremental_Cost Year 4'!AZ89+'Incremental_Cost Year 5'!AZ89+'Incremental_Cost Year 6'!AZ89+'Incremental_Cost Year 7'!AZ89+'Incremental_Cost Year 8'!AZ89+'Incremental_Cost Year 9'!AZ89+'Incremental_Cost Year 10'!AZ89</f>
        <v>0</v>
      </c>
      <c r="BI89" s="294">
        <f>'Incremental_Cost Year 1'!BA89+'Incremental_Cost Year 2'!BA89+'Incremental_Cost Year 3'!BA89+'Incremental_Cost Year 4'!BA89+'Incremental_Cost Year 5'!BA89+'Incremental_Cost Year 6'!BA89+'Incremental_Cost Year 7'!BA89+'Incremental_Cost Year 8'!BA89+'Incremental_Cost Year 9'!BA89+'Incremental_Cost Year 10'!BA89</f>
        <v>0</v>
      </c>
      <c r="BJ89" s="294">
        <f t="shared" si="93"/>
        <v>0</v>
      </c>
    </row>
    <row r="90" spans="1:62" ht="15.6" outlineLevel="2">
      <c r="A90" s="98"/>
      <c r="B90" s="102"/>
      <c r="C90" s="23"/>
      <c r="D90" s="251"/>
      <c r="E90" s="251"/>
      <c r="F90" s="251"/>
      <c r="G90" s="250"/>
      <c r="H90" s="272"/>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260"/>
      <c r="W90" s="260"/>
      <c r="X90" s="260"/>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104"/>
        <v>0</v>
      </c>
      <c r="AG90" s="260"/>
      <c r="AH90" s="260"/>
      <c r="AI90" s="260"/>
      <c r="AJ90" s="263"/>
      <c r="AK90" s="263"/>
      <c r="AL90" s="263"/>
      <c r="AM90" s="108">
        <f>AG90*'1. Standard_Cost'!$B$27+'Incremental_Cost Year 10'!AH90*'1. Standard_Cost'!$C$27+'Incremental_Cost Year 10'!AI90*'1. Standard_Cost'!$D$27+'Incremental_Cost Year 10'!AJ90+'Incremental_Cost Year 10'!AL90+AK90</f>
        <v>0</v>
      </c>
      <c r="AN90" s="108">
        <f>AM90*'1. Standard_Cost'!$C$31</f>
        <v>0</v>
      </c>
      <c r="AO90" s="125" t="s">
        <v>332</v>
      </c>
      <c r="AQ90" s="14">
        <f t="shared" si="105"/>
        <v>0</v>
      </c>
      <c r="AR90" s="14">
        <f t="shared" si="106"/>
        <v>0</v>
      </c>
      <c r="AS90" s="14">
        <f t="shared" si="107"/>
        <v>0</v>
      </c>
      <c r="AT90" s="14">
        <f t="shared" si="109"/>
        <v>0</v>
      </c>
      <c r="AU90" s="234"/>
      <c r="AV90" s="234"/>
      <c r="AW90" s="234"/>
      <c r="AX90" s="234"/>
      <c r="AY90" s="234"/>
      <c r="AZ90" s="234"/>
      <c r="BA90" s="234"/>
      <c r="BB90" s="16">
        <f t="shared" si="108"/>
        <v>0</v>
      </c>
      <c r="BD90" s="294">
        <f>'Incremental_Cost Year 1'!AV90+'Incremental_Cost Year 2'!AV90+'Incremental_Cost Year 3'!AV90+'Incremental_Cost Year 4'!AV90+'Incremental_Cost Year 5'!AV90+'Incremental_Cost Year 6'!AV90+'Incremental_Cost Year 7'!AV90+'Incremental_Cost Year 8'!AV90+'Incremental_Cost Year 9'!AV90+'Incremental_Cost Year 10'!AV90</f>
        <v>0</v>
      </c>
      <c r="BE90" s="294">
        <f>'Incremental_Cost Year 1'!AW90+'Incremental_Cost Year 2'!AW90+'Incremental_Cost Year 3'!AW90+'Incremental_Cost Year 4'!AW90+'Incremental_Cost Year 5'!AW90+'Incremental_Cost Year 6'!AW90+'Incremental_Cost Year 7'!AW90+'Incremental_Cost Year 8'!AW90+'Incremental_Cost Year 9'!AW90+'Incremental_Cost Year 10'!AW90</f>
        <v>0</v>
      </c>
      <c r="BF90" s="294">
        <f>'Incremental_Cost Year 1'!AX90+'Incremental_Cost Year 2'!AX90+'Incremental_Cost Year 3'!AX90+'Incremental_Cost Year 4'!AX90+'Incremental_Cost Year 5'!AX90+'Incremental_Cost Year 6'!AX90+'Incremental_Cost Year 7'!AX90+'Incremental_Cost Year 8'!AX90+'Incremental_Cost Year 9'!AX90+'Incremental_Cost Year 10'!AX90</f>
        <v>0</v>
      </c>
      <c r="BG90" s="294">
        <f>'Incremental_Cost Year 1'!AY90+'Incremental_Cost Year 2'!AY90+'Incremental_Cost Year 3'!AY90+'Incremental_Cost Year 4'!AY90+'Incremental_Cost Year 5'!AY90+'Incremental_Cost Year 6'!AY90+'Incremental_Cost Year 7'!AY90+'Incremental_Cost Year 8'!AY90+'Incremental_Cost Year 9'!AY90+'Incremental_Cost Year 10'!AY90</f>
        <v>0</v>
      </c>
      <c r="BH90" s="294">
        <f>'Incremental_Cost Year 1'!AZ90+'Incremental_Cost Year 2'!AZ90+'Incremental_Cost Year 3'!AZ90+'Incremental_Cost Year 4'!AZ90+'Incremental_Cost Year 5'!AZ90+'Incremental_Cost Year 6'!AZ90+'Incremental_Cost Year 7'!AZ90+'Incremental_Cost Year 8'!AZ90+'Incremental_Cost Year 9'!AZ90+'Incremental_Cost Year 10'!AZ90</f>
        <v>0</v>
      </c>
      <c r="BI90" s="294">
        <f>'Incremental_Cost Year 1'!BA90+'Incremental_Cost Year 2'!BA90+'Incremental_Cost Year 3'!BA90+'Incremental_Cost Year 4'!BA90+'Incremental_Cost Year 5'!BA90+'Incremental_Cost Year 6'!BA90+'Incremental_Cost Year 7'!BA90+'Incremental_Cost Year 8'!BA90+'Incremental_Cost Year 9'!BA90+'Incremental_Cost Year 10'!BA90</f>
        <v>0</v>
      </c>
      <c r="BJ90" s="294">
        <f t="shared" si="93"/>
        <v>0</v>
      </c>
    </row>
    <row r="91" spans="1:62" ht="27.6" outlineLevel="1">
      <c r="A91" s="98"/>
      <c r="B91" s="102"/>
      <c r="C91" s="23"/>
      <c r="D91" s="56" t="s">
        <v>47</v>
      </c>
      <c r="E91" s="56" t="s">
        <v>217</v>
      </c>
      <c r="F91" s="253">
        <v>2021</v>
      </c>
      <c r="G91" s="254">
        <v>2026</v>
      </c>
      <c r="H91" s="277" t="s">
        <v>218</v>
      </c>
      <c r="I91" s="264"/>
      <c r="J91" s="264"/>
      <c r="K91" s="264"/>
      <c r="L91" s="113">
        <f>SUM(L81:L90)</f>
        <v>0</v>
      </c>
      <c r="M91" s="113">
        <f>SUM(M81:M90)</f>
        <v>0</v>
      </c>
      <c r="N91" s="265"/>
      <c r="O91" s="264"/>
      <c r="P91" s="264"/>
      <c r="Q91" s="264"/>
      <c r="R91" s="113">
        <f t="shared" ref="R91:U91" si="110">SUM(R81:R90)</f>
        <v>0</v>
      </c>
      <c r="S91" s="113">
        <f t="shared" si="110"/>
        <v>0</v>
      </c>
      <c r="T91" s="113">
        <f t="shared" si="110"/>
        <v>0</v>
      </c>
      <c r="U91" s="113">
        <f t="shared" si="110"/>
        <v>0</v>
      </c>
      <c r="V91" s="264"/>
      <c r="W91" s="264"/>
      <c r="X91" s="264"/>
      <c r="Y91" s="113">
        <f>SUM(Y81:Y90)</f>
        <v>0</v>
      </c>
      <c r="Z91" s="264"/>
      <c r="AA91" s="264"/>
      <c r="AB91" s="113">
        <f t="shared" ref="AB91:AF91" si="111">SUM(AB81:AB90)</f>
        <v>0</v>
      </c>
      <c r="AC91" s="265">
        <f t="shared" si="111"/>
        <v>0</v>
      </c>
      <c r="AD91" s="265">
        <f t="shared" si="111"/>
        <v>0</v>
      </c>
      <c r="AE91" s="113">
        <f t="shared" si="111"/>
        <v>0</v>
      </c>
      <c r="AF91" s="113">
        <f t="shared" si="111"/>
        <v>0</v>
      </c>
      <c r="AG91" s="264"/>
      <c r="AH91" s="264"/>
      <c r="AI91" s="264"/>
      <c r="AJ91" s="265">
        <f t="shared" ref="AJ91:AL91" si="112">SUM(AJ81:AJ90)</f>
        <v>0</v>
      </c>
      <c r="AK91" s="265">
        <f t="shared" si="112"/>
        <v>0</v>
      </c>
      <c r="AL91" s="265">
        <f t="shared" si="112"/>
        <v>0</v>
      </c>
      <c r="AM91" s="113">
        <f t="shared" ref="AM91:AN91" si="113">SUM(AM81:AM90)</f>
        <v>0</v>
      </c>
      <c r="AN91" s="113">
        <f t="shared" si="113"/>
        <v>0</v>
      </c>
      <c r="AO91" s="131"/>
      <c r="AP91" s="17"/>
      <c r="AQ91" s="113">
        <f t="shared" ref="AQ91:BB91" si="114">SUM(AQ81:AQ90)</f>
        <v>0</v>
      </c>
      <c r="AR91" s="113">
        <f t="shared" si="114"/>
        <v>0</v>
      </c>
      <c r="AS91" s="113">
        <f t="shared" si="114"/>
        <v>0</v>
      </c>
      <c r="AT91" s="113">
        <f t="shared" si="114"/>
        <v>0</v>
      </c>
      <c r="AU91" s="265">
        <f t="shared" si="114"/>
        <v>0</v>
      </c>
      <c r="AV91" s="265">
        <f t="shared" si="114"/>
        <v>0</v>
      </c>
      <c r="AW91" s="265">
        <f t="shared" si="114"/>
        <v>0</v>
      </c>
      <c r="AX91" s="265">
        <f t="shared" si="114"/>
        <v>0</v>
      </c>
      <c r="AY91" s="265">
        <f t="shared" si="114"/>
        <v>0</v>
      </c>
      <c r="AZ91" s="265">
        <f t="shared" si="114"/>
        <v>0</v>
      </c>
      <c r="BA91" s="265">
        <f t="shared" si="114"/>
        <v>0</v>
      </c>
      <c r="BB91" s="113">
        <f t="shared" si="114"/>
        <v>0</v>
      </c>
      <c r="BJ91" s="294"/>
    </row>
    <row r="92" spans="1:62" s="13" customFormat="1" ht="13.8" customHeight="1">
      <c r="A92" s="101"/>
      <c r="B92" s="316" t="s">
        <v>220</v>
      </c>
      <c r="C92" s="317"/>
      <c r="D92" s="317"/>
      <c r="E92" s="318"/>
      <c r="F92" s="241"/>
      <c r="G92" s="241"/>
      <c r="H92" s="241" t="s">
        <v>185</v>
      </c>
      <c r="I92" s="242"/>
      <c r="J92" s="242"/>
      <c r="K92" s="242"/>
      <c r="L92" s="41">
        <f>SUM(L93,L143,L179,L202)</f>
        <v>0</v>
      </c>
      <c r="M92" s="41">
        <f>SUM(M93,M143,M179,M202)</f>
        <v>0</v>
      </c>
      <c r="N92" s="242"/>
      <c r="O92" s="242"/>
      <c r="P92" s="242"/>
      <c r="Q92" s="242"/>
      <c r="R92" s="41">
        <f t="shared" ref="R92:U92" si="115">SUM(R93,R143,R179,R202)</f>
        <v>0</v>
      </c>
      <c r="S92" s="41">
        <f t="shared" si="115"/>
        <v>0</v>
      </c>
      <c r="T92" s="41">
        <f t="shared" si="115"/>
        <v>0</v>
      </c>
      <c r="U92" s="41">
        <f t="shared" si="115"/>
        <v>0</v>
      </c>
      <c r="V92" s="242"/>
      <c r="W92" s="242"/>
      <c r="X92" s="242"/>
      <c r="Y92" s="41">
        <f>SUM(Y93,Y143,Y179,Y202)</f>
        <v>0</v>
      </c>
      <c r="Z92" s="243">
        <f>SUM(Z93,Z143,Z179,Z202)</f>
        <v>0</v>
      </c>
      <c r="AA92" s="242"/>
      <c r="AB92" s="41">
        <f>SUM(AB93,AB143,AB179,AB202)</f>
        <v>0</v>
      </c>
      <c r="AC92" s="243">
        <f>SUM(AC93,AC143,AC179,AC202)</f>
        <v>0</v>
      </c>
      <c r="AD92" s="243">
        <f>SUM(AD93,AD143)</f>
        <v>0</v>
      </c>
      <c r="AE92" s="41">
        <f>SUM(AE93,AE143)</f>
        <v>0</v>
      </c>
      <c r="AF92" s="41">
        <f>SUM(AF93,AF143)</f>
        <v>0</v>
      </c>
      <c r="AG92" s="242"/>
      <c r="AH92" s="242"/>
      <c r="AI92" s="242"/>
      <c r="AJ92" s="243">
        <f>SUM(AJ93,AJ143,AJ179,AJ202)</f>
        <v>0</v>
      </c>
      <c r="AK92" s="243">
        <f>SUM(AK93,AK143,AK179,AK202)</f>
        <v>0</v>
      </c>
      <c r="AL92" s="243">
        <f>SUM(AL93,AL143)</f>
        <v>0</v>
      </c>
      <c r="AM92" s="41">
        <f>SUM(AM93,AM143)</f>
        <v>0</v>
      </c>
      <c r="AN92" s="41">
        <f>SUM(AN93,AN143)</f>
        <v>0</v>
      </c>
      <c r="AO92" s="129"/>
      <c r="AQ92" s="41">
        <f t="shared" ref="AQ92:BB92" si="116">SUM(AQ93,AQ143,AQ179,AQ202)</f>
        <v>0</v>
      </c>
      <c r="AR92" s="41">
        <f t="shared" si="116"/>
        <v>0</v>
      </c>
      <c r="AS92" s="41">
        <f t="shared" si="116"/>
        <v>0</v>
      </c>
      <c r="AT92" s="41">
        <f t="shared" si="116"/>
        <v>0</v>
      </c>
      <c r="AU92" s="243">
        <f t="shared" si="116"/>
        <v>0</v>
      </c>
      <c r="AV92" s="243">
        <f t="shared" si="116"/>
        <v>0</v>
      </c>
      <c r="AW92" s="243">
        <f t="shared" si="116"/>
        <v>0</v>
      </c>
      <c r="AX92" s="243">
        <f t="shared" si="116"/>
        <v>0</v>
      </c>
      <c r="AY92" s="243">
        <f t="shared" si="116"/>
        <v>0</v>
      </c>
      <c r="AZ92" s="243">
        <f t="shared" si="116"/>
        <v>0</v>
      </c>
      <c r="BA92" s="243">
        <f t="shared" si="116"/>
        <v>0</v>
      </c>
      <c r="BB92" s="41">
        <f t="shared" si="116"/>
        <v>0</v>
      </c>
      <c r="BJ92" s="294"/>
    </row>
    <row r="93" spans="1:62" s="24" customFormat="1" ht="13.8" customHeight="1">
      <c r="A93" s="114"/>
      <c r="B93" s="115"/>
      <c r="C93" s="314" t="s">
        <v>221</v>
      </c>
      <c r="D93" s="314"/>
      <c r="E93" s="315"/>
      <c r="F93" s="246"/>
      <c r="G93" s="246"/>
      <c r="H93" s="278" t="s">
        <v>186</v>
      </c>
      <c r="I93" s="266"/>
      <c r="J93" s="266"/>
      <c r="K93" s="266"/>
      <c r="L93" s="117">
        <f>SUM(L101,L113,L136,L139,L142)</f>
        <v>0</v>
      </c>
      <c r="M93" s="117">
        <f>SUM(M101,M113,M136,M139,M142)</f>
        <v>0</v>
      </c>
      <c r="N93" s="266"/>
      <c r="O93" s="266"/>
      <c r="P93" s="266"/>
      <c r="Q93" s="266"/>
      <c r="R93" s="117">
        <f t="shared" ref="R93:U93" si="117">SUM(R101,R113,R136,R139,R142)</f>
        <v>0</v>
      </c>
      <c r="S93" s="117">
        <f t="shared" si="117"/>
        <v>0</v>
      </c>
      <c r="T93" s="117">
        <f t="shared" si="117"/>
        <v>0</v>
      </c>
      <c r="U93" s="117">
        <f t="shared" si="117"/>
        <v>0</v>
      </c>
      <c r="V93" s="266"/>
      <c r="W93" s="266"/>
      <c r="X93" s="266"/>
      <c r="Y93" s="117">
        <f>SUM(Y101,Y113,Y136,Y139,Y142)</f>
        <v>0</v>
      </c>
      <c r="Z93" s="266"/>
      <c r="AA93" s="266"/>
      <c r="AB93" s="117">
        <f t="shared" ref="AB93:AF93" si="118">SUM(AB101,AB113,AB136,AB139,AB142)</f>
        <v>0</v>
      </c>
      <c r="AC93" s="267">
        <f t="shared" si="118"/>
        <v>0</v>
      </c>
      <c r="AD93" s="267">
        <f t="shared" si="118"/>
        <v>0</v>
      </c>
      <c r="AE93" s="117">
        <f t="shared" si="118"/>
        <v>0</v>
      </c>
      <c r="AF93" s="117">
        <f t="shared" si="118"/>
        <v>0</v>
      </c>
      <c r="AG93" s="266"/>
      <c r="AH93" s="266"/>
      <c r="AI93" s="266"/>
      <c r="AJ93" s="267">
        <f t="shared" ref="AJ93:AL93" si="119">SUM(AJ101,AJ113,AJ136,AJ139,AJ142)</f>
        <v>0</v>
      </c>
      <c r="AK93" s="267">
        <f t="shared" si="119"/>
        <v>0</v>
      </c>
      <c r="AL93" s="267">
        <f t="shared" si="119"/>
        <v>0</v>
      </c>
      <c r="AM93" s="117">
        <f t="shared" ref="AM93:AN93" si="120">SUM(AM101,AM113,AM136,AM139,AM142)</f>
        <v>0</v>
      </c>
      <c r="AN93" s="117">
        <f t="shared" si="120"/>
        <v>0</v>
      </c>
      <c r="AO93" s="132"/>
      <c r="AP93" s="25"/>
      <c r="AQ93" s="117">
        <f t="shared" ref="AQ93:BB93" si="121">SUM(AQ101,AQ113,AQ136,AQ139,AQ142)</f>
        <v>0</v>
      </c>
      <c r="AR93" s="117">
        <f t="shared" si="121"/>
        <v>0</v>
      </c>
      <c r="AS93" s="117">
        <f t="shared" si="121"/>
        <v>0</v>
      </c>
      <c r="AT93" s="117">
        <f t="shared" si="121"/>
        <v>0</v>
      </c>
      <c r="AU93" s="267">
        <f t="shared" si="121"/>
        <v>0</v>
      </c>
      <c r="AV93" s="267">
        <f t="shared" si="121"/>
        <v>0</v>
      </c>
      <c r="AW93" s="267">
        <f t="shared" si="121"/>
        <v>0</v>
      </c>
      <c r="AX93" s="267">
        <f t="shared" si="121"/>
        <v>0</v>
      </c>
      <c r="AY93" s="267">
        <f t="shared" si="121"/>
        <v>0</v>
      </c>
      <c r="AZ93" s="267">
        <f t="shared" si="121"/>
        <v>0</v>
      </c>
      <c r="BA93" s="267">
        <f t="shared" si="121"/>
        <v>0</v>
      </c>
      <c r="BB93" s="117">
        <f t="shared" si="121"/>
        <v>0</v>
      </c>
      <c r="BJ93" s="294"/>
    </row>
    <row r="94" spans="1:62" ht="15.6" outlineLevel="2">
      <c r="A94" s="98"/>
      <c r="B94" s="102"/>
      <c r="C94" s="23"/>
      <c r="D94" s="257"/>
      <c r="E94" s="257"/>
      <c r="F94" s="257"/>
      <c r="G94" s="257"/>
      <c r="H94" s="272"/>
      <c r="I94" s="258"/>
      <c r="J94" s="259"/>
      <c r="K94" s="259"/>
      <c r="L94" s="106" t="str">
        <f>IF(I94&lt;&gt;0,((VLOOKUP(I94,'1. Standard_Cost'!$B$4:$D$11,2)+VLOOKUP(I94,'1. Standard_Cost'!$B$4:$D$11,3))*J94*K94),"0")</f>
        <v>0</v>
      </c>
      <c r="M94" s="106">
        <f>L94*'1. Standard_Cost'!$F$4</f>
        <v>0</v>
      </c>
      <c r="N94" s="260"/>
      <c r="O94" s="260"/>
      <c r="P94" s="260"/>
      <c r="Q94" s="260"/>
      <c r="R94" s="108">
        <f>'1. Standard_Cost'!$B$15*N94*P94</f>
        <v>0</v>
      </c>
      <c r="S94" s="108">
        <f>N94*O94*P94*'1. Standard_Cost'!$C$15</f>
        <v>0</v>
      </c>
      <c r="T94" s="108">
        <f>N94*P94*Q94*'1. Standard_Cost'!$D$15</f>
        <v>0</v>
      </c>
      <c r="U94" s="108">
        <f>N94*O94*'1. Standard_Cost'!$E$15</f>
        <v>0</v>
      </c>
      <c r="V94" s="260"/>
      <c r="W94" s="260"/>
      <c r="X94" s="260"/>
      <c r="Y94" s="108">
        <f>+V94*((X94*'1. Standard_Cost'!$B$19)+(W94*X94*'1. Standard_Cost'!$C$19))</f>
        <v>0</v>
      </c>
      <c r="Z94" s="260"/>
      <c r="AA94" s="260"/>
      <c r="AB94" s="108">
        <f>+Z94*'1. Standard_Cost'!$B$23+AA94*'1. Standard_Cost'!$C$23</f>
        <v>0</v>
      </c>
      <c r="AC94" s="261"/>
      <c r="AD94" s="262"/>
      <c r="AE94" s="108">
        <f>SUM(AD94,AC94,AB94,Y94,U94,T94,S94,R94)*'1. Standard_Cost'!$B$31</f>
        <v>0</v>
      </c>
      <c r="AF94" s="108">
        <f t="shared" ref="AF94:AF100" si="122">SUM(AE94,AD94,AC94,AB94,Y94,U94,T94,S94,R94)</f>
        <v>0</v>
      </c>
      <c r="AG94" s="260"/>
      <c r="AH94" s="260"/>
      <c r="AI94" s="260"/>
      <c r="AJ94" s="263"/>
      <c r="AK94" s="263"/>
      <c r="AL94" s="263"/>
      <c r="AM94" s="108">
        <f>AG94*'1. Standard_Cost'!$B$27+'Incremental_Cost Year 10'!AH94*'1. Standard_Cost'!$C$27+'Incremental_Cost Year 10'!AI94*'1. Standard_Cost'!$D$27+'Incremental_Cost Year 10'!AJ94+'Incremental_Cost Year 10'!AL94+AK94</f>
        <v>0</v>
      </c>
      <c r="AN94" s="108">
        <f>AM94*'1. Standard_Cost'!$C$31</f>
        <v>0</v>
      </c>
      <c r="AO94" s="125" t="s">
        <v>333</v>
      </c>
      <c r="AQ94" s="14">
        <f t="shared" ref="AQ94:AQ100" si="123">L94+M94</f>
        <v>0</v>
      </c>
      <c r="AR94" s="14">
        <f t="shared" ref="AR94:AR100" si="124">AF94</f>
        <v>0</v>
      </c>
      <c r="AS94" s="14">
        <f t="shared" ref="AS94:AS100" si="125">AM94+AN94</f>
        <v>0</v>
      </c>
      <c r="AT94" s="14">
        <f>SUM(AQ94,AR94,AS94)</f>
        <v>0</v>
      </c>
      <c r="AU94" s="234"/>
      <c r="AV94" s="234"/>
      <c r="AW94" s="234"/>
      <c r="AX94" s="234"/>
      <c r="AY94" s="234"/>
      <c r="AZ94" s="234"/>
      <c r="BA94" s="234"/>
      <c r="BB94" s="16">
        <f t="shared" ref="BB94:BB100" si="126">SUM(AU94:BA94)-AT94</f>
        <v>0</v>
      </c>
      <c r="BD94" s="294">
        <f>'Incremental_Cost Year 1'!AV94+'Incremental_Cost Year 2'!AV94+'Incremental_Cost Year 3'!AV94+'Incremental_Cost Year 4'!AV94+'Incremental_Cost Year 5'!AV94+'Incremental_Cost Year 6'!AV94+'Incremental_Cost Year 7'!AV94+'Incremental_Cost Year 8'!AV94+'Incremental_Cost Year 9'!AV94+'Incremental_Cost Year 10'!AV94</f>
        <v>0</v>
      </c>
      <c r="BE94" s="294">
        <f>'Incremental_Cost Year 1'!AW94+'Incremental_Cost Year 2'!AW94+'Incremental_Cost Year 3'!AW94+'Incremental_Cost Year 4'!AW94+'Incremental_Cost Year 5'!AW94+'Incremental_Cost Year 6'!AW94+'Incremental_Cost Year 7'!AW94+'Incremental_Cost Year 8'!AW94+'Incremental_Cost Year 9'!AW94+'Incremental_Cost Year 10'!AW94</f>
        <v>0</v>
      </c>
      <c r="BF94" s="294">
        <f>'Incremental_Cost Year 1'!AX94+'Incremental_Cost Year 2'!AX94+'Incremental_Cost Year 3'!AX94+'Incremental_Cost Year 4'!AX94+'Incremental_Cost Year 5'!AX94+'Incremental_Cost Year 6'!AX94+'Incremental_Cost Year 7'!AX94+'Incremental_Cost Year 8'!AX94+'Incremental_Cost Year 9'!AX94+'Incremental_Cost Year 10'!AX94</f>
        <v>0</v>
      </c>
      <c r="BG94" s="294">
        <f>'Incremental_Cost Year 1'!AY94+'Incremental_Cost Year 2'!AY94+'Incremental_Cost Year 3'!AY94+'Incremental_Cost Year 4'!AY94+'Incremental_Cost Year 5'!AY94+'Incremental_Cost Year 6'!AY94+'Incremental_Cost Year 7'!AY94+'Incremental_Cost Year 8'!AY94+'Incremental_Cost Year 9'!AY94+'Incremental_Cost Year 10'!AY94</f>
        <v>0</v>
      </c>
      <c r="BH94" s="294">
        <f>'Incremental_Cost Year 1'!AZ94+'Incremental_Cost Year 2'!AZ94+'Incremental_Cost Year 3'!AZ94+'Incremental_Cost Year 4'!AZ94+'Incremental_Cost Year 5'!AZ94+'Incremental_Cost Year 6'!AZ94+'Incremental_Cost Year 7'!AZ94+'Incremental_Cost Year 8'!AZ94+'Incremental_Cost Year 9'!AZ94+'Incremental_Cost Year 10'!AZ94</f>
        <v>0</v>
      </c>
      <c r="BI94" s="294">
        <f>'Incremental_Cost Year 1'!BA94+'Incremental_Cost Year 2'!BA94+'Incremental_Cost Year 3'!BA94+'Incremental_Cost Year 4'!BA94+'Incremental_Cost Year 5'!BA94+'Incremental_Cost Year 6'!BA94+'Incremental_Cost Year 7'!BA94+'Incremental_Cost Year 8'!BA94+'Incremental_Cost Year 9'!BA94+'Incremental_Cost Year 10'!BA94</f>
        <v>0</v>
      </c>
      <c r="BJ94" s="294">
        <f t="shared" si="93"/>
        <v>0</v>
      </c>
    </row>
    <row r="95" spans="1:62" ht="124.8" customHeight="1" outlineLevel="2">
      <c r="A95" s="98"/>
      <c r="B95" s="102"/>
      <c r="C95" s="23"/>
      <c r="D95" s="269"/>
      <c r="E95" s="269"/>
      <c r="F95" s="269"/>
      <c r="G95" s="269"/>
      <c r="H95" s="272"/>
      <c r="I95" s="258"/>
      <c r="J95" s="259"/>
      <c r="K95" s="259"/>
      <c r="L95" s="106" t="str">
        <f>IF(I95&lt;&gt;0,((VLOOKUP(I95,'1. Standard_Cost'!$B$4:$D$11,2)+VLOOKUP(I95,'1. Standard_Cost'!$B$4:$D$11,3))*J95*K95),"0")</f>
        <v>0</v>
      </c>
      <c r="M95" s="106">
        <f>L95*'1. Standard_Cost'!$F$4</f>
        <v>0</v>
      </c>
      <c r="N95" s="260"/>
      <c r="O95" s="260"/>
      <c r="P95" s="260"/>
      <c r="Q95" s="260"/>
      <c r="R95" s="108">
        <f>'1. Standard_Cost'!$B$15*N95*P95</f>
        <v>0</v>
      </c>
      <c r="S95" s="108">
        <f>N95*O95*P95*'1. Standard_Cost'!$C$15</f>
        <v>0</v>
      </c>
      <c r="T95" s="108">
        <f>N95*P95*Q95*'1. Standard_Cost'!$D$15</f>
        <v>0</v>
      </c>
      <c r="U95" s="108">
        <f>N95*O95*'1. Standard_Cost'!$E$15</f>
        <v>0</v>
      </c>
      <c r="V95" s="260"/>
      <c r="W95" s="260"/>
      <c r="X95" s="260"/>
      <c r="Y95" s="108">
        <f>+V95*((X95*'1. Standard_Cost'!$B$19)+(W95*X95*'1. Standard_Cost'!$C$19))</f>
        <v>0</v>
      </c>
      <c r="Z95" s="260"/>
      <c r="AA95" s="260"/>
      <c r="AB95" s="108">
        <f>+Z95*'1. Standard_Cost'!$B$23+AA95*'1. Standard_Cost'!$C$23</f>
        <v>0</v>
      </c>
      <c r="AC95" s="261"/>
      <c r="AD95" s="262"/>
      <c r="AE95" s="108">
        <f>SUM(AD95,AC95,AB95,Y95,U95,T95,S95,R95)*'1. Standard_Cost'!$B$31</f>
        <v>0</v>
      </c>
      <c r="AF95" s="108">
        <f t="shared" si="122"/>
        <v>0</v>
      </c>
      <c r="AG95" s="260"/>
      <c r="AH95" s="260"/>
      <c r="AI95" s="260"/>
      <c r="AJ95" s="263"/>
      <c r="AK95" s="263"/>
      <c r="AL95" s="263"/>
      <c r="AM95" s="108">
        <f>AG95*'1. Standard_Cost'!$B$27+'Incremental_Cost Year 10'!AH95*'1. Standard_Cost'!$C$27+'Incremental_Cost Year 10'!AI95*'1. Standard_Cost'!$D$27+'Incremental_Cost Year 10'!AJ95+'Incremental_Cost Year 10'!AL95+AK95</f>
        <v>0</v>
      </c>
      <c r="AN95" s="108">
        <f>AM95*'1. Standard_Cost'!$C$31</f>
        <v>0</v>
      </c>
      <c r="AO95" s="125" t="s">
        <v>334</v>
      </c>
      <c r="AQ95" s="14">
        <f t="shared" si="123"/>
        <v>0</v>
      </c>
      <c r="AR95" s="14">
        <f t="shared" si="124"/>
        <v>0</v>
      </c>
      <c r="AS95" s="14">
        <f t="shared" si="125"/>
        <v>0</v>
      </c>
      <c r="AT95" s="14">
        <f t="shared" ref="AT95:AT100" si="127">SUM(AQ95,AR95,AS95)</f>
        <v>0</v>
      </c>
      <c r="AU95" s="234"/>
      <c r="AV95" s="234"/>
      <c r="AW95" s="234"/>
      <c r="AX95" s="234"/>
      <c r="AY95" s="234"/>
      <c r="AZ95" s="234"/>
      <c r="BA95" s="234"/>
      <c r="BB95" s="16">
        <f t="shared" si="126"/>
        <v>0</v>
      </c>
      <c r="BD95" s="294">
        <f>'Incremental_Cost Year 1'!AV95+'Incremental_Cost Year 2'!AV95+'Incremental_Cost Year 3'!AV95+'Incremental_Cost Year 4'!AV95+'Incremental_Cost Year 5'!AV95+'Incremental_Cost Year 6'!AV95+'Incremental_Cost Year 7'!AV95+'Incremental_Cost Year 8'!AV95+'Incremental_Cost Year 9'!AV95+'Incremental_Cost Year 10'!AV95</f>
        <v>0</v>
      </c>
      <c r="BE95" s="294">
        <f>'Incremental_Cost Year 1'!AW95+'Incremental_Cost Year 2'!AW95+'Incremental_Cost Year 3'!AW95+'Incremental_Cost Year 4'!AW95+'Incremental_Cost Year 5'!AW95+'Incremental_Cost Year 6'!AW95+'Incremental_Cost Year 7'!AW95+'Incremental_Cost Year 8'!AW95+'Incremental_Cost Year 9'!AW95+'Incremental_Cost Year 10'!AW95</f>
        <v>0</v>
      </c>
      <c r="BF95" s="294">
        <f>'Incremental_Cost Year 1'!AX95+'Incremental_Cost Year 2'!AX95+'Incremental_Cost Year 3'!AX95+'Incremental_Cost Year 4'!AX95+'Incremental_Cost Year 5'!AX95+'Incremental_Cost Year 6'!AX95+'Incremental_Cost Year 7'!AX95+'Incremental_Cost Year 8'!AX95+'Incremental_Cost Year 9'!AX95+'Incremental_Cost Year 10'!AX95</f>
        <v>0</v>
      </c>
      <c r="BG95" s="294">
        <f>'Incremental_Cost Year 1'!AY95+'Incremental_Cost Year 2'!AY95+'Incremental_Cost Year 3'!AY95+'Incremental_Cost Year 4'!AY95+'Incremental_Cost Year 5'!AY95+'Incremental_Cost Year 6'!AY95+'Incremental_Cost Year 7'!AY95+'Incremental_Cost Year 8'!AY95+'Incremental_Cost Year 9'!AY95+'Incremental_Cost Year 10'!AY95</f>
        <v>0</v>
      </c>
      <c r="BH95" s="294">
        <f>'Incremental_Cost Year 1'!AZ95+'Incremental_Cost Year 2'!AZ95+'Incremental_Cost Year 3'!AZ95+'Incremental_Cost Year 4'!AZ95+'Incremental_Cost Year 5'!AZ95+'Incremental_Cost Year 6'!AZ95+'Incremental_Cost Year 7'!AZ95+'Incremental_Cost Year 8'!AZ95+'Incremental_Cost Year 9'!AZ95+'Incremental_Cost Year 10'!AZ95</f>
        <v>0</v>
      </c>
      <c r="BI95" s="294">
        <f>'Incremental_Cost Year 1'!BA95+'Incremental_Cost Year 2'!BA95+'Incremental_Cost Year 3'!BA95+'Incremental_Cost Year 4'!BA95+'Incremental_Cost Year 5'!BA95+'Incremental_Cost Year 6'!BA95+'Incremental_Cost Year 7'!BA95+'Incremental_Cost Year 8'!BA95+'Incremental_Cost Year 9'!BA95+'Incremental_Cost Year 10'!BA95</f>
        <v>0</v>
      </c>
      <c r="BJ95" s="294">
        <f t="shared" si="93"/>
        <v>0</v>
      </c>
    </row>
    <row r="96" spans="1:62" ht="15.6" outlineLevel="2">
      <c r="A96" s="98"/>
      <c r="B96" s="102"/>
      <c r="C96" s="23"/>
      <c r="D96" s="269"/>
      <c r="E96" s="269"/>
      <c r="F96" s="269"/>
      <c r="G96" s="174"/>
      <c r="H96" s="272"/>
      <c r="I96" s="258"/>
      <c r="J96" s="259"/>
      <c r="K96" s="259"/>
      <c r="L96" s="106" t="str">
        <f>IF(I96&lt;&gt;0,((VLOOKUP(I96,'1. Standard_Cost'!$B$4:$D$11,2)+VLOOKUP(I96,'1. Standard_Cost'!$B$4:$D$11,3))*J96*K96),"0")</f>
        <v>0</v>
      </c>
      <c r="M96" s="106">
        <f>L96*'1. Standard_Cost'!$F$4</f>
        <v>0</v>
      </c>
      <c r="N96" s="260"/>
      <c r="O96" s="260"/>
      <c r="P96" s="260"/>
      <c r="Q96" s="260"/>
      <c r="R96" s="108">
        <f>'1. Standard_Cost'!$B$15*N96*P96</f>
        <v>0</v>
      </c>
      <c r="S96" s="108">
        <f>N96*O96*P96*'1. Standard_Cost'!$C$15</f>
        <v>0</v>
      </c>
      <c r="T96" s="108">
        <f>N96*P96*Q96*'1. Standard_Cost'!$D$15</f>
        <v>0</v>
      </c>
      <c r="U96" s="108">
        <f>N96*O96*'1. Standard_Cost'!$E$15</f>
        <v>0</v>
      </c>
      <c r="V96" s="260"/>
      <c r="W96" s="260"/>
      <c r="X96" s="260"/>
      <c r="Y96" s="108">
        <f>+V96*((X96*'1. Standard_Cost'!$B$19)+(W96*X96*'1. Standard_Cost'!$C$19))</f>
        <v>0</v>
      </c>
      <c r="Z96" s="260"/>
      <c r="AA96" s="260"/>
      <c r="AB96" s="108">
        <f>+Z96*'1. Standard_Cost'!$B$23+AA96*'1. Standard_Cost'!$C$23</f>
        <v>0</v>
      </c>
      <c r="AC96" s="261"/>
      <c r="AD96" s="262"/>
      <c r="AE96" s="108">
        <f>SUM(AD96,AC96,AB96,Y96,U96,T96,S96,R96)*'1. Standard_Cost'!$B$31</f>
        <v>0</v>
      </c>
      <c r="AF96" s="108">
        <f t="shared" si="122"/>
        <v>0</v>
      </c>
      <c r="AG96" s="260"/>
      <c r="AH96" s="260"/>
      <c r="AI96" s="260"/>
      <c r="AJ96" s="263"/>
      <c r="AK96" s="263"/>
      <c r="AL96" s="263"/>
      <c r="AM96" s="108">
        <f>AG96*'1. Standard_Cost'!$B$27+'Incremental_Cost Year 10'!AH96*'1. Standard_Cost'!$C$27+'Incremental_Cost Year 10'!AI96*'1. Standard_Cost'!$D$27+'Incremental_Cost Year 10'!AJ96+'Incremental_Cost Year 10'!AL96+AK96</f>
        <v>0</v>
      </c>
      <c r="AN96" s="108">
        <f>AM96*'1. Standard_Cost'!$C$31</f>
        <v>0</v>
      </c>
      <c r="AO96" s="125" t="s">
        <v>335</v>
      </c>
      <c r="AQ96" s="14">
        <f t="shared" si="123"/>
        <v>0</v>
      </c>
      <c r="AR96" s="14">
        <f t="shared" si="124"/>
        <v>0</v>
      </c>
      <c r="AS96" s="14">
        <f t="shared" si="125"/>
        <v>0</v>
      </c>
      <c r="AT96" s="14">
        <f t="shared" si="127"/>
        <v>0</v>
      </c>
      <c r="AU96" s="234"/>
      <c r="AV96" s="234"/>
      <c r="AW96" s="234"/>
      <c r="AX96" s="234"/>
      <c r="AY96" s="234"/>
      <c r="AZ96" s="234"/>
      <c r="BA96" s="234"/>
      <c r="BB96" s="16">
        <f t="shared" si="126"/>
        <v>0</v>
      </c>
      <c r="BD96" s="294">
        <f>'Incremental_Cost Year 1'!AV96+'Incremental_Cost Year 2'!AV96+'Incremental_Cost Year 3'!AV96+'Incremental_Cost Year 4'!AV96+'Incremental_Cost Year 5'!AV96+'Incremental_Cost Year 6'!AV96+'Incremental_Cost Year 7'!AV96+'Incremental_Cost Year 8'!AV96+'Incremental_Cost Year 9'!AV96+'Incremental_Cost Year 10'!AV96</f>
        <v>0</v>
      </c>
      <c r="BE96" s="294">
        <f>'Incremental_Cost Year 1'!AW96+'Incremental_Cost Year 2'!AW96+'Incremental_Cost Year 3'!AW96+'Incremental_Cost Year 4'!AW96+'Incremental_Cost Year 5'!AW96+'Incremental_Cost Year 6'!AW96+'Incremental_Cost Year 7'!AW96+'Incremental_Cost Year 8'!AW96+'Incremental_Cost Year 9'!AW96+'Incremental_Cost Year 10'!AW96</f>
        <v>0</v>
      </c>
      <c r="BF96" s="294">
        <f>'Incremental_Cost Year 1'!AX96+'Incremental_Cost Year 2'!AX96+'Incremental_Cost Year 3'!AX96+'Incremental_Cost Year 4'!AX96+'Incremental_Cost Year 5'!AX96+'Incremental_Cost Year 6'!AX96+'Incremental_Cost Year 7'!AX96+'Incremental_Cost Year 8'!AX96+'Incremental_Cost Year 9'!AX96+'Incremental_Cost Year 10'!AX96</f>
        <v>0</v>
      </c>
      <c r="BG96" s="294">
        <f>'Incremental_Cost Year 1'!AY96+'Incremental_Cost Year 2'!AY96+'Incremental_Cost Year 3'!AY96+'Incremental_Cost Year 4'!AY96+'Incremental_Cost Year 5'!AY96+'Incremental_Cost Year 6'!AY96+'Incremental_Cost Year 7'!AY96+'Incremental_Cost Year 8'!AY96+'Incremental_Cost Year 9'!AY96+'Incremental_Cost Year 10'!AY96</f>
        <v>0</v>
      </c>
      <c r="BH96" s="294">
        <f>'Incremental_Cost Year 1'!AZ96+'Incremental_Cost Year 2'!AZ96+'Incremental_Cost Year 3'!AZ96+'Incremental_Cost Year 4'!AZ96+'Incremental_Cost Year 5'!AZ96+'Incremental_Cost Year 6'!AZ96+'Incremental_Cost Year 7'!AZ96+'Incremental_Cost Year 8'!AZ96+'Incremental_Cost Year 9'!AZ96+'Incremental_Cost Year 10'!AZ96</f>
        <v>0</v>
      </c>
      <c r="BI96" s="294">
        <f>'Incremental_Cost Year 1'!BA96+'Incremental_Cost Year 2'!BA96+'Incremental_Cost Year 3'!BA96+'Incremental_Cost Year 4'!BA96+'Incremental_Cost Year 5'!BA96+'Incremental_Cost Year 6'!BA96+'Incremental_Cost Year 7'!BA96+'Incremental_Cost Year 8'!BA96+'Incremental_Cost Year 9'!BA96+'Incremental_Cost Year 10'!BA96</f>
        <v>0</v>
      </c>
      <c r="BJ96" s="294">
        <f t="shared" si="93"/>
        <v>0</v>
      </c>
    </row>
    <row r="97" spans="1:62" ht="15.6" outlineLevel="2">
      <c r="A97" s="98"/>
      <c r="B97" s="102"/>
      <c r="C97" s="23"/>
      <c r="D97" s="269"/>
      <c r="E97" s="269"/>
      <c r="F97" s="269"/>
      <c r="G97" s="269"/>
      <c r="H97" s="272"/>
      <c r="I97" s="258"/>
      <c r="J97" s="259"/>
      <c r="K97" s="259"/>
      <c r="L97" s="106" t="str">
        <f>IF(I97&lt;&gt;0,((VLOOKUP(I97,'1. Standard_Cost'!$B$4:$D$11,2)+VLOOKUP(I97,'1. Standard_Cost'!$B$4:$D$11,3))*J97*K97),"0")</f>
        <v>0</v>
      </c>
      <c r="M97" s="106">
        <f>L97*'1. Standard_Cost'!$F$4</f>
        <v>0</v>
      </c>
      <c r="N97" s="260"/>
      <c r="O97" s="260"/>
      <c r="P97" s="260"/>
      <c r="Q97" s="260"/>
      <c r="R97" s="108">
        <f>'1. Standard_Cost'!$B$15*N97*P97</f>
        <v>0</v>
      </c>
      <c r="S97" s="108">
        <f>N97*O97*P97*'1. Standard_Cost'!$C$15</f>
        <v>0</v>
      </c>
      <c r="T97" s="108">
        <f>N97*P97*Q97*'1. Standard_Cost'!$D$15</f>
        <v>0</v>
      </c>
      <c r="U97" s="108">
        <f>N97*O97*'1. Standard_Cost'!$E$15</f>
        <v>0</v>
      </c>
      <c r="V97" s="260"/>
      <c r="W97" s="260"/>
      <c r="X97" s="260"/>
      <c r="Y97" s="108">
        <f>+V97*((X97*'1. Standard_Cost'!$B$19)+(W97*X97*'1. Standard_Cost'!$C$19))</f>
        <v>0</v>
      </c>
      <c r="Z97" s="260"/>
      <c r="AA97" s="260"/>
      <c r="AB97" s="108">
        <f>+Z97*'1. Standard_Cost'!$B$23+AA97*'1. Standard_Cost'!$C$23</f>
        <v>0</v>
      </c>
      <c r="AC97" s="261"/>
      <c r="AD97" s="262"/>
      <c r="AE97" s="108">
        <f>SUM(AD97,AC97,AB97,Y97,U97,T97,S97,R97)*'1. Standard_Cost'!$B$31</f>
        <v>0</v>
      </c>
      <c r="AF97" s="108">
        <f t="shared" si="122"/>
        <v>0</v>
      </c>
      <c r="AG97" s="260"/>
      <c r="AH97" s="260"/>
      <c r="AI97" s="260"/>
      <c r="AJ97" s="263"/>
      <c r="AK97" s="263"/>
      <c r="AL97" s="263"/>
      <c r="AM97" s="108">
        <f>AG97*'1. Standard_Cost'!$B$27+'Incremental_Cost Year 10'!AH97*'1. Standard_Cost'!$C$27+'Incremental_Cost Year 10'!AI97*'1. Standard_Cost'!$D$27+'Incremental_Cost Year 10'!AJ97+'Incremental_Cost Year 10'!AL97+AK97</f>
        <v>0</v>
      </c>
      <c r="AN97" s="108">
        <f>AM97*'1. Standard_Cost'!$C$31</f>
        <v>0</v>
      </c>
      <c r="AO97" s="125" t="s">
        <v>336</v>
      </c>
      <c r="AQ97" s="14">
        <f t="shared" si="123"/>
        <v>0</v>
      </c>
      <c r="AR97" s="14">
        <f t="shared" si="124"/>
        <v>0</v>
      </c>
      <c r="AS97" s="14">
        <f t="shared" si="125"/>
        <v>0</v>
      </c>
      <c r="AT97" s="14">
        <f t="shared" si="127"/>
        <v>0</v>
      </c>
      <c r="AU97" s="234"/>
      <c r="AV97" s="234"/>
      <c r="AW97" s="234"/>
      <c r="AX97" s="234"/>
      <c r="AY97" s="234"/>
      <c r="AZ97" s="234"/>
      <c r="BA97" s="234"/>
      <c r="BB97" s="16">
        <f t="shared" si="126"/>
        <v>0</v>
      </c>
      <c r="BD97" s="294">
        <f>'Incremental_Cost Year 1'!AV97+'Incremental_Cost Year 2'!AV97+'Incremental_Cost Year 3'!AV97+'Incremental_Cost Year 4'!AV97+'Incremental_Cost Year 5'!AV97+'Incremental_Cost Year 6'!AV97+'Incremental_Cost Year 7'!AV97+'Incremental_Cost Year 8'!AV97+'Incremental_Cost Year 9'!AV97+'Incremental_Cost Year 10'!AV97</f>
        <v>0</v>
      </c>
      <c r="BE97" s="294">
        <f>'Incremental_Cost Year 1'!AW97+'Incremental_Cost Year 2'!AW97+'Incremental_Cost Year 3'!AW97+'Incremental_Cost Year 4'!AW97+'Incremental_Cost Year 5'!AW97+'Incremental_Cost Year 6'!AW97+'Incremental_Cost Year 7'!AW97+'Incremental_Cost Year 8'!AW97+'Incremental_Cost Year 9'!AW97+'Incremental_Cost Year 10'!AW97</f>
        <v>0</v>
      </c>
      <c r="BF97" s="294">
        <f>'Incremental_Cost Year 1'!AX97+'Incremental_Cost Year 2'!AX97+'Incremental_Cost Year 3'!AX97+'Incremental_Cost Year 4'!AX97+'Incremental_Cost Year 5'!AX97+'Incremental_Cost Year 6'!AX97+'Incremental_Cost Year 7'!AX97+'Incremental_Cost Year 8'!AX97+'Incremental_Cost Year 9'!AX97+'Incremental_Cost Year 10'!AX97</f>
        <v>0</v>
      </c>
      <c r="BG97" s="294">
        <f>'Incremental_Cost Year 1'!AY97+'Incremental_Cost Year 2'!AY97+'Incremental_Cost Year 3'!AY97+'Incremental_Cost Year 4'!AY97+'Incremental_Cost Year 5'!AY97+'Incremental_Cost Year 6'!AY97+'Incremental_Cost Year 7'!AY97+'Incremental_Cost Year 8'!AY97+'Incremental_Cost Year 9'!AY97+'Incremental_Cost Year 10'!AY97</f>
        <v>0</v>
      </c>
      <c r="BH97" s="294">
        <f>'Incremental_Cost Year 1'!AZ97+'Incremental_Cost Year 2'!AZ97+'Incremental_Cost Year 3'!AZ97+'Incremental_Cost Year 4'!AZ97+'Incremental_Cost Year 5'!AZ97+'Incremental_Cost Year 6'!AZ97+'Incremental_Cost Year 7'!AZ97+'Incremental_Cost Year 8'!AZ97+'Incremental_Cost Year 9'!AZ97+'Incremental_Cost Year 10'!AZ97</f>
        <v>0</v>
      </c>
      <c r="BI97" s="294">
        <f>'Incremental_Cost Year 1'!BA97+'Incremental_Cost Year 2'!BA97+'Incremental_Cost Year 3'!BA97+'Incremental_Cost Year 4'!BA97+'Incremental_Cost Year 5'!BA97+'Incremental_Cost Year 6'!BA97+'Incremental_Cost Year 7'!BA97+'Incremental_Cost Year 8'!BA97+'Incremental_Cost Year 9'!BA97+'Incremental_Cost Year 10'!BA97</f>
        <v>0</v>
      </c>
      <c r="BJ97" s="294">
        <f t="shared" si="93"/>
        <v>0</v>
      </c>
    </row>
    <row r="98" spans="1:62" ht="15.6" outlineLevel="2">
      <c r="A98" s="98"/>
      <c r="B98" s="102"/>
      <c r="C98" s="23"/>
      <c r="D98" s="269"/>
      <c r="E98" s="269"/>
      <c r="F98" s="269"/>
      <c r="G98" s="269"/>
      <c r="H98" s="272"/>
      <c r="I98" s="258"/>
      <c r="J98" s="259"/>
      <c r="K98" s="259"/>
      <c r="L98" s="106" t="str">
        <f>IF(I98&lt;&gt;0,((VLOOKUP(I98,'1. Standard_Cost'!$B$4:$D$11,2)+VLOOKUP(I98,'1. Standard_Cost'!$B$4:$D$11,3))*J98*K98),"0")</f>
        <v>0</v>
      </c>
      <c r="M98" s="106">
        <f>L98*'1. Standard_Cost'!$F$4</f>
        <v>0</v>
      </c>
      <c r="N98" s="260"/>
      <c r="O98" s="260"/>
      <c r="P98" s="260"/>
      <c r="Q98" s="260"/>
      <c r="R98" s="108">
        <f>'1. Standard_Cost'!$B$15*N98*P98</f>
        <v>0</v>
      </c>
      <c r="S98" s="108">
        <f>N98*O98*P98*'1. Standard_Cost'!$C$15</f>
        <v>0</v>
      </c>
      <c r="T98" s="108">
        <f>N98*P98*Q98*'1. Standard_Cost'!$D$15</f>
        <v>0</v>
      </c>
      <c r="U98" s="108">
        <f>N98*O98*'1. Standard_Cost'!$E$15</f>
        <v>0</v>
      </c>
      <c r="V98" s="260"/>
      <c r="W98" s="260"/>
      <c r="X98" s="260"/>
      <c r="Y98" s="108">
        <f>+V98*((X98*'1. Standard_Cost'!$B$19)+(W98*X98*'1. Standard_Cost'!$C$19))</f>
        <v>0</v>
      </c>
      <c r="Z98" s="260"/>
      <c r="AA98" s="260"/>
      <c r="AB98" s="108">
        <f>+Z98*'1. Standard_Cost'!$B$23+AA98*'1. Standard_Cost'!$C$23</f>
        <v>0</v>
      </c>
      <c r="AC98" s="261"/>
      <c r="AD98" s="262"/>
      <c r="AE98" s="108">
        <f>SUM(AD98,AC98,AB98,Y98,U98,T98,S98,R98)*'1. Standard_Cost'!$B$31</f>
        <v>0</v>
      </c>
      <c r="AF98" s="108">
        <f t="shared" si="122"/>
        <v>0</v>
      </c>
      <c r="AG98" s="260"/>
      <c r="AH98" s="260"/>
      <c r="AI98" s="260"/>
      <c r="AJ98" s="263"/>
      <c r="AK98" s="263"/>
      <c r="AL98" s="263"/>
      <c r="AM98" s="108">
        <f>AG98*'1. Standard_Cost'!$B$27+'Incremental_Cost Year 10'!AH98*'1. Standard_Cost'!$C$27+'Incremental_Cost Year 10'!AI98*'1. Standard_Cost'!$D$27+'Incremental_Cost Year 10'!AJ98+'Incremental_Cost Year 10'!AL98+AK98</f>
        <v>0</v>
      </c>
      <c r="AN98" s="108">
        <f>AM98*'1. Standard_Cost'!$C$31</f>
        <v>0</v>
      </c>
      <c r="AO98" s="125" t="s">
        <v>337</v>
      </c>
      <c r="AQ98" s="14">
        <f t="shared" si="123"/>
        <v>0</v>
      </c>
      <c r="AR98" s="14">
        <f t="shared" si="124"/>
        <v>0</v>
      </c>
      <c r="AS98" s="14">
        <f t="shared" si="125"/>
        <v>0</v>
      </c>
      <c r="AT98" s="14">
        <f t="shared" si="127"/>
        <v>0</v>
      </c>
      <c r="AU98" s="234"/>
      <c r="AV98" s="234"/>
      <c r="AW98" s="234"/>
      <c r="AX98" s="234"/>
      <c r="AY98" s="234"/>
      <c r="AZ98" s="234"/>
      <c r="BA98" s="234"/>
      <c r="BB98" s="16">
        <f t="shared" si="126"/>
        <v>0</v>
      </c>
      <c r="BD98" s="294">
        <f>'Incremental_Cost Year 1'!AV98+'Incremental_Cost Year 2'!AV98+'Incremental_Cost Year 3'!AV98+'Incremental_Cost Year 4'!AV98+'Incremental_Cost Year 5'!AV98+'Incremental_Cost Year 6'!AV98+'Incremental_Cost Year 7'!AV98+'Incremental_Cost Year 8'!AV98+'Incremental_Cost Year 9'!AV98+'Incremental_Cost Year 10'!AV98</f>
        <v>0</v>
      </c>
      <c r="BE98" s="294">
        <f>'Incremental_Cost Year 1'!AW98+'Incremental_Cost Year 2'!AW98+'Incremental_Cost Year 3'!AW98+'Incremental_Cost Year 4'!AW98+'Incremental_Cost Year 5'!AW98+'Incremental_Cost Year 6'!AW98+'Incremental_Cost Year 7'!AW98+'Incremental_Cost Year 8'!AW98+'Incremental_Cost Year 9'!AW98+'Incremental_Cost Year 10'!AW98</f>
        <v>0</v>
      </c>
      <c r="BF98" s="294">
        <f>'Incremental_Cost Year 1'!AX98+'Incremental_Cost Year 2'!AX98+'Incremental_Cost Year 3'!AX98+'Incremental_Cost Year 4'!AX98+'Incremental_Cost Year 5'!AX98+'Incremental_Cost Year 6'!AX98+'Incremental_Cost Year 7'!AX98+'Incremental_Cost Year 8'!AX98+'Incremental_Cost Year 9'!AX98+'Incremental_Cost Year 10'!AX98</f>
        <v>0</v>
      </c>
      <c r="BG98" s="294">
        <f>'Incremental_Cost Year 1'!AY98+'Incremental_Cost Year 2'!AY98+'Incremental_Cost Year 3'!AY98+'Incremental_Cost Year 4'!AY98+'Incremental_Cost Year 5'!AY98+'Incremental_Cost Year 6'!AY98+'Incremental_Cost Year 7'!AY98+'Incremental_Cost Year 8'!AY98+'Incremental_Cost Year 9'!AY98+'Incremental_Cost Year 10'!AY98</f>
        <v>0</v>
      </c>
      <c r="BH98" s="294">
        <f>'Incremental_Cost Year 1'!AZ98+'Incremental_Cost Year 2'!AZ98+'Incremental_Cost Year 3'!AZ98+'Incremental_Cost Year 4'!AZ98+'Incremental_Cost Year 5'!AZ98+'Incremental_Cost Year 6'!AZ98+'Incremental_Cost Year 7'!AZ98+'Incremental_Cost Year 8'!AZ98+'Incremental_Cost Year 9'!AZ98+'Incremental_Cost Year 10'!AZ98</f>
        <v>0</v>
      </c>
      <c r="BI98" s="294">
        <f>'Incremental_Cost Year 1'!BA98+'Incremental_Cost Year 2'!BA98+'Incremental_Cost Year 3'!BA98+'Incremental_Cost Year 4'!BA98+'Incremental_Cost Year 5'!BA98+'Incremental_Cost Year 6'!BA98+'Incremental_Cost Year 7'!BA98+'Incremental_Cost Year 8'!BA98+'Incremental_Cost Year 9'!BA98+'Incremental_Cost Year 10'!BA98</f>
        <v>0</v>
      </c>
      <c r="BJ98" s="294">
        <f t="shared" si="93"/>
        <v>0</v>
      </c>
    </row>
    <row r="99" spans="1:62" ht="27.6" outlineLevel="2">
      <c r="A99" s="98"/>
      <c r="B99" s="102"/>
      <c r="C99" s="23"/>
      <c r="D99" s="269"/>
      <c r="E99" s="269"/>
      <c r="F99" s="269"/>
      <c r="G99" s="269"/>
      <c r="H99" s="272"/>
      <c r="I99" s="258"/>
      <c r="J99" s="259"/>
      <c r="K99" s="259"/>
      <c r="L99" s="106" t="str">
        <f>IF(I99&lt;&gt;0,((VLOOKUP(I99,'1. Standard_Cost'!$B$4:$D$11,2)+VLOOKUP(I99,'1. Standard_Cost'!$B$4:$D$11,3))*J99*K99),"0")</f>
        <v>0</v>
      </c>
      <c r="M99" s="106">
        <f>L99*'1. Standard_Cost'!$F$4</f>
        <v>0</v>
      </c>
      <c r="N99" s="260"/>
      <c r="O99" s="260"/>
      <c r="P99" s="260"/>
      <c r="Q99" s="260"/>
      <c r="R99" s="108">
        <f>'1. Standard_Cost'!$B$15*N99*P99</f>
        <v>0</v>
      </c>
      <c r="S99" s="108">
        <f>N99*O99*P99*'1. Standard_Cost'!$C$15</f>
        <v>0</v>
      </c>
      <c r="T99" s="108">
        <f>N99*P99*Q99*'1. Standard_Cost'!$D$15</f>
        <v>0</v>
      </c>
      <c r="U99" s="108">
        <f>N99*O99*'1. Standard_Cost'!$E$15</f>
        <v>0</v>
      </c>
      <c r="V99" s="260"/>
      <c r="W99" s="260"/>
      <c r="X99" s="260"/>
      <c r="Y99" s="108">
        <f>+V99*((X99*'1. Standard_Cost'!$B$19)+(W99*X99*'1. Standard_Cost'!$C$19))</f>
        <v>0</v>
      </c>
      <c r="Z99" s="260"/>
      <c r="AA99" s="260"/>
      <c r="AB99" s="108">
        <f>+Z99*'1. Standard_Cost'!$B$23+AA99*'1. Standard_Cost'!$C$23</f>
        <v>0</v>
      </c>
      <c r="AC99" s="261"/>
      <c r="AD99" s="262"/>
      <c r="AE99" s="108">
        <f>SUM(AD99,AC99,AB99,Y99,U99,T99,S99,R99)*'1. Standard_Cost'!$B$31</f>
        <v>0</v>
      </c>
      <c r="AF99" s="108">
        <f t="shared" si="122"/>
        <v>0</v>
      </c>
      <c r="AG99" s="260"/>
      <c r="AH99" s="260"/>
      <c r="AI99" s="260"/>
      <c r="AJ99" s="263"/>
      <c r="AK99" s="263"/>
      <c r="AL99" s="263"/>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23"/>
        <v>0</v>
      </c>
      <c r="AR99" s="14">
        <f t="shared" si="124"/>
        <v>0</v>
      </c>
      <c r="AS99" s="14">
        <f t="shared" si="125"/>
        <v>0</v>
      </c>
      <c r="AT99" s="14">
        <f t="shared" si="127"/>
        <v>0</v>
      </c>
      <c r="AU99" s="234"/>
      <c r="AV99" s="234"/>
      <c r="AW99" s="234"/>
      <c r="AX99" s="234"/>
      <c r="AY99" s="234"/>
      <c r="AZ99" s="234"/>
      <c r="BA99" s="234"/>
      <c r="BB99" s="16">
        <f t="shared" si="126"/>
        <v>0</v>
      </c>
      <c r="BD99" s="294">
        <f>'Incremental_Cost Year 1'!AV99+'Incremental_Cost Year 2'!AV99+'Incremental_Cost Year 3'!AV99+'Incremental_Cost Year 4'!AV99+'Incremental_Cost Year 5'!AV99+'Incremental_Cost Year 6'!AV99+'Incremental_Cost Year 7'!AV99+'Incremental_Cost Year 8'!AV99+'Incremental_Cost Year 9'!AV99+'Incremental_Cost Year 10'!AV99</f>
        <v>0</v>
      </c>
      <c r="BE99" s="294">
        <f>'Incremental_Cost Year 1'!AW99+'Incremental_Cost Year 2'!AW99+'Incremental_Cost Year 3'!AW99+'Incremental_Cost Year 4'!AW99+'Incremental_Cost Year 5'!AW99+'Incremental_Cost Year 6'!AW99+'Incremental_Cost Year 7'!AW99+'Incremental_Cost Year 8'!AW99+'Incremental_Cost Year 9'!AW99+'Incremental_Cost Year 10'!AW99</f>
        <v>0</v>
      </c>
      <c r="BF99" s="294">
        <f>'Incremental_Cost Year 1'!AX99+'Incremental_Cost Year 2'!AX99+'Incremental_Cost Year 3'!AX99+'Incremental_Cost Year 4'!AX99+'Incremental_Cost Year 5'!AX99+'Incremental_Cost Year 6'!AX99+'Incremental_Cost Year 7'!AX99+'Incremental_Cost Year 8'!AX99+'Incremental_Cost Year 9'!AX99+'Incremental_Cost Year 10'!AX99</f>
        <v>0</v>
      </c>
      <c r="BG99" s="294">
        <f>'Incremental_Cost Year 1'!AY99+'Incremental_Cost Year 2'!AY99+'Incremental_Cost Year 3'!AY99+'Incremental_Cost Year 4'!AY99+'Incremental_Cost Year 5'!AY99+'Incremental_Cost Year 6'!AY99+'Incremental_Cost Year 7'!AY99+'Incremental_Cost Year 8'!AY99+'Incremental_Cost Year 9'!AY99+'Incremental_Cost Year 10'!AY99</f>
        <v>0</v>
      </c>
      <c r="BH99" s="294">
        <f>'Incremental_Cost Year 1'!AZ99+'Incremental_Cost Year 2'!AZ99+'Incremental_Cost Year 3'!AZ99+'Incremental_Cost Year 4'!AZ99+'Incremental_Cost Year 5'!AZ99+'Incremental_Cost Year 6'!AZ99+'Incremental_Cost Year 7'!AZ99+'Incremental_Cost Year 8'!AZ99+'Incremental_Cost Year 9'!AZ99+'Incremental_Cost Year 10'!AZ99</f>
        <v>0</v>
      </c>
      <c r="BI99" s="294">
        <f>'Incremental_Cost Year 1'!BA99+'Incremental_Cost Year 2'!BA99+'Incremental_Cost Year 3'!BA99+'Incremental_Cost Year 4'!BA99+'Incremental_Cost Year 5'!BA99+'Incremental_Cost Year 6'!BA99+'Incremental_Cost Year 7'!BA99+'Incremental_Cost Year 8'!BA99+'Incremental_Cost Year 9'!BA99+'Incremental_Cost Year 10'!BA99</f>
        <v>0</v>
      </c>
      <c r="BJ99" s="294">
        <f t="shared" si="93"/>
        <v>0</v>
      </c>
    </row>
    <row r="100" spans="1:62" ht="27.6" outlineLevel="2">
      <c r="A100" s="98"/>
      <c r="B100" s="102"/>
      <c r="C100" s="23"/>
      <c r="D100" s="269"/>
      <c r="E100" s="269"/>
      <c r="F100" s="251"/>
      <c r="G100" s="254"/>
      <c r="H100" s="272"/>
      <c r="I100" s="258"/>
      <c r="J100" s="259"/>
      <c r="K100" s="259"/>
      <c r="L100" s="106" t="str">
        <f>IF(I100&lt;&gt;0,((VLOOKUP(I100,'1. Standard_Cost'!$B$4:$D$11,2)+VLOOKUP(I100,'1. Standard_Cost'!$B$4:$D$11,3))*J100*K100),"0")</f>
        <v>0</v>
      </c>
      <c r="M100" s="106">
        <f>L100*'1. Standard_Cost'!$F$4</f>
        <v>0</v>
      </c>
      <c r="N100" s="260"/>
      <c r="O100" s="260"/>
      <c r="P100" s="260"/>
      <c r="Q100" s="260"/>
      <c r="R100" s="108">
        <f>'1. Standard_Cost'!$B$15*N100*P100</f>
        <v>0</v>
      </c>
      <c r="S100" s="108">
        <f>N100*O100*P100*'1. Standard_Cost'!$C$15</f>
        <v>0</v>
      </c>
      <c r="T100" s="108">
        <f>N100*P100*Q100*'1. Standard_Cost'!$D$15</f>
        <v>0</v>
      </c>
      <c r="U100" s="108">
        <f>N100*O100*'1. Standard_Cost'!$E$15</f>
        <v>0</v>
      </c>
      <c r="V100" s="260"/>
      <c r="W100" s="260"/>
      <c r="X100" s="260"/>
      <c r="Y100" s="108">
        <f>+V100*((X100*'1. Standard_Cost'!$B$19)+(W100*X100*'1. Standard_Cost'!$C$19))</f>
        <v>0</v>
      </c>
      <c r="Z100" s="260"/>
      <c r="AA100" s="260"/>
      <c r="AB100" s="108">
        <f>+Z100*'1. Standard_Cost'!$B$23+AA100*'1. Standard_Cost'!$C$23</f>
        <v>0</v>
      </c>
      <c r="AC100" s="261"/>
      <c r="AD100" s="262"/>
      <c r="AE100" s="108">
        <f>SUM(AD100,AC100,AB100,Y100,U100,T100,S100,R100)*'1. Standard_Cost'!$B$31</f>
        <v>0</v>
      </c>
      <c r="AF100" s="108">
        <f t="shared" si="122"/>
        <v>0</v>
      </c>
      <c r="AG100" s="260"/>
      <c r="AH100" s="260"/>
      <c r="AI100" s="260"/>
      <c r="AJ100" s="263"/>
      <c r="AK100" s="263"/>
      <c r="AL100" s="263"/>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23"/>
        <v>0</v>
      </c>
      <c r="AR100" s="14">
        <f t="shared" si="124"/>
        <v>0</v>
      </c>
      <c r="AS100" s="14">
        <f t="shared" si="125"/>
        <v>0</v>
      </c>
      <c r="AT100" s="14">
        <f t="shared" si="127"/>
        <v>0</v>
      </c>
      <c r="AU100" s="234"/>
      <c r="AV100" s="234"/>
      <c r="AW100" s="234"/>
      <c r="AX100" s="234"/>
      <c r="AY100" s="234"/>
      <c r="AZ100" s="234"/>
      <c r="BA100" s="234"/>
      <c r="BB100" s="16">
        <f t="shared" si="126"/>
        <v>0</v>
      </c>
      <c r="BD100" s="294">
        <f>'Incremental_Cost Year 1'!AV100+'Incremental_Cost Year 2'!AV100+'Incremental_Cost Year 3'!AV100+'Incremental_Cost Year 4'!AV100+'Incremental_Cost Year 5'!AV100+'Incremental_Cost Year 6'!AV100+'Incremental_Cost Year 7'!AV100+'Incremental_Cost Year 8'!AV100+'Incremental_Cost Year 9'!AV100+'Incremental_Cost Year 10'!AV100</f>
        <v>0</v>
      </c>
      <c r="BE100" s="294">
        <f>'Incremental_Cost Year 1'!AW100+'Incremental_Cost Year 2'!AW100+'Incremental_Cost Year 3'!AW100+'Incremental_Cost Year 4'!AW100+'Incremental_Cost Year 5'!AW100+'Incremental_Cost Year 6'!AW100+'Incremental_Cost Year 7'!AW100+'Incremental_Cost Year 8'!AW100+'Incremental_Cost Year 9'!AW100+'Incremental_Cost Year 10'!AW100</f>
        <v>0</v>
      </c>
      <c r="BF100" s="294">
        <f>'Incremental_Cost Year 1'!AX100+'Incremental_Cost Year 2'!AX100+'Incremental_Cost Year 3'!AX100+'Incremental_Cost Year 4'!AX100+'Incremental_Cost Year 5'!AX100+'Incremental_Cost Year 6'!AX100+'Incremental_Cost Year 7'!AX100+'Incremental_Cost Year 8'!AX100+'Incremental_Cost Year 9'!AX100+'Incremental_Cost Year 10'!AX100</f>
        <v>0</v>
      </c>
      <c r="BG100" s="294">
        <f>'Incremental_Cost Year 1'!AY100+'Incremental_Cost Year 2'!AY100+'Incremental_Cost Year 3'!AY100+'Incremental_Cost Year 4'!AY100+'Incremental_Cost Year 5'!AY100+'Incremental_Cost Year 6'!AY100+'Incremental_Cost Year 7'!AY100+'Incremental_Cost Year 8'!AY100+'Incremental_Cost Year 9'!AY100+'Incremental_Cost Year 10'!AY100</f>
        <v>0</v>
      </c>
      <c r="BH100" s="294">
        <f>'Incremental_Cost Year 1'!AZ100+'Incremental_Cost Year 2'!AZ100+'Incremental_Cost Year 3'!AZ100+'Incremental_Cost Year 4'!AZ100+'Incremental_Cost Year 5'!AZ100+'Incremental_Cost Year 6'!AZ100+'Incremental_Cost Year 7'!AZ100+'Incremental_Cost Year 8'!AZ100+'Incremental_Cost Year 9'!AZ100+'Incremental_Cost Year 10'!AZ100</f>
        <v>0</v>
      </c>
      <c r="BI100" s="294">
        <f>'Incremental_Cost Year 1'!BA100+'Incremental_Cost Year 2'!BA100+'Incremental_Cost Year 3'!BA100+'Incremental_Cost Year 4'!BA100+'Incremental_Cost Year 5'!BA100+'Incremental_Cost Year 6'!BA100+'Incremental_Cost Year 7'!BA100+'Incremental_Cost Year 8'!BA100+'Incremental_Cost Year 9'!BA100+'Incremental_Cost Year 10'!BA100</f>
        <v>0</v>
      </c>
      <c r="BJ100" s="294">
        <f t="shared" si="93"/>
        <v>0</v>
      </c>
    </row>
    <row r="101" spans="1:62" ht="27.6" outlineLevel="1">
      <c r="A101" s="98"/>
      <c r="B101" s="102"/>
      <c r="C101" s="23"/>
      <c r="D101" s="56" t="s">
        <v>47</v>
      </c>
      <c r="E101" s="56" t="s">
        <v>222</v>
      </c>
      <c r="F101" s="253">
        <v>2021</v>
      </c>
      <c r="G101" s="254">
        <v>2026</v>
      </c>
      <c r="H101" s="277" t="s">
        <v>187</v>
      </c>
      <c r="I101" s="264"/>
      <c r="J101" s="264"/>
      <c r="K101" s="264"/>
      <c r="L101" s="113">
        <f>SUM(L94:L100)</f>
        <v>0</v>
      </c>
      <c r="M101" s="113">
        <f>SUM(M94:M100)</f>
        <v>0</v>
      </c>
      <c r="N101" s="264"/>
      <c r="O101" s="264"/>
      <c r="P101" s="264"/>
      <c r="Q101" s="264"/>
      <c r="R101" s="113">
        <f>SUM(R94:R100)</f>
        <v>0</v>
      </c>
      <c r="S101" s="113">
        <f>SUM(S94:S100)</f>
        <v>0</v>
      </c>
      <c r="T101" s="113">
        <f>SUM(T94:T100)</f>
        <v>0</v>
      </c>
      <c r="U101" s="113">
        <f>SUM(U94:U100)</f>
        <v>0</v>
      </c>
      <c r="V101" s="264"/>
      <c r="W101" s="264"/>
      <c r="X101" s="264"/>
      <c r="Y101" s="113">
        <f>SUM(Y94:Y100)</f>
        <v>0</v>
      </c>
      <c r="Z101" s="264"/>
      <c r="AA101" s="264"/>
      <c r="AB101" s="113">
        <f>SUM(AB94:AB100)</f>
        <v>0</v>
      </c>
      <c r="AC101" s="265">
        <f>SUM(AC94:AC100)</f>
        <v>0</v>
      </c>
      <c r="AD101" s="265">
        <f>SUM(AD94:AD100)</f>
        <v>0</v>
      </c>
      <c r="AE101" s="113">
        <f>SUM(AE94:AE100)</f>
        <v>0</v>
      </c>
      <c r="AF101" s="113">
        <f>SUM(AF94:AF100)</f>
        <v>0</v>
      </c>
      <c r="AG101" s="264"/>
      <c r="AH101" s="264"/>
      <c r="AI101" s="264"/>
      <c r="AJ101" s="265">
        <f>SUM(AJ94:AJ100)</f>
        <v>0</v>
      </c>
      <c r="AK101" s="265">
        <f>SUM(AK94:AK100)</f>
        <v>0</v>
      </c>
      <c r="AL101" s="265">
        <f>SUM(AL94:AL100)</f>
        <v>0</v>
      </c>
      <c r="AM101" s="113">
        <f>SUM(AM94:AM100)</f>
        <v>0</v>
      </c>
      <c r="AN101" s="113">
        <f>SUM(AN94:AN100)</f>
        <v>0</v>
      </c>
      <c r="AO101" s="131"/>
      <c r="AP101" s="17"/>
      <c r="AQ101" s="113">
        <f t="shared" ref="AQ101:BB101" si="128">SUM(AQ94:AQ100)</f>
        <v>0</v>
      </c>
      <c r="AR101" s="113">
        <f t="shared" si="128"/>
        <v>0</v>
      </c>
      <c r="AS101" s="113">
        <f t="shared" si="128"/>
        <v>0</v>
      </c>
      <c r="AT101" s="113">
        <f t="shared" si="128"/>
        <v>0</v>
      </c>
      <c r="AU101" s="265">
        <f t="shared" si="128"/>
        <v>0</v>
      </c>
      <c r="AV101" s="265">
        <f t="shared" si="128"/>
        <v>0</v>
      </c>
      <c r="AW101" s="265">
        <f t="shared" si="128"/>
        <v>0</v>
      </c>
      <c r="AX101" s="265">
        <f t="shared" si="128"/>
        <v>0</v>
      </c>
      <c r="AY101" s="265">
        <f t="shared" si="128"/>
        <v>0</v>
      </c>
      <c r="AZ101" s="265">
        <f t="shared" si="128"/>
        <v>0</v>
      </c>
      <c r="BA101" s="265">
        <f t="shared" si="128"/>
        <v>0</v>
      </c>
      <c r="BB101" s="113">
        <f t="shared" si="128"/>
        <v>0</v>
      </c>
      <c r="BJ101" s="294"/>
    </row>
    <row r="102" spans="1:62" ht="41.4" outlineLevel="2">
      <c r="A102" s="98"/>
      <c r="B102" s="102"/>
      <c r="C102" s="23"/>
      <c r="D102" s="257"/>
      <c r="E102" s="257"/>
      <c r="F102" s="175"/>
      <c r="G102" s="175"/>
      <c r="H102" s="272"/>
      <c r="I102" s="258"/>
      <c r="J102" s="259"/>
      <c r="K102" s="259"/>
      <c r="L102" s="106" t="str">
        <f>IF(I102&lt;&gt;0,((VLOOKUP(I102,'1. Standard_Cost'!$B$4:$D$11,2)+VLOOKUP(I102,'1. Standard_Cost'!$B$4:$D$11,3))*J102*K102),"0")</f>
        <v>0</v>
      </c>
      <c r="M102" s="106">
        <f>L102*'1. Standard_Cost'!$F$4</f>
        <v>0</v>
      </c>
      <c r="N102" s="260"/>
      <c r="O102" s="260"/>
      <c r="P102" s="260"/>
      <c r="Q102" s="260"/>
      <c r="R102" s="108">
        <f>'1. Standard_Cost'!$B$15*N102*P102</f>
        <v>0</v>
      </c>
      <c r="S102" s="108">
        <f>N102*O102*P102*'1. Standard_Cost'!$C$15</f>
        <v>0</v>
      </c>
      <c r="T102" s="108">
        <f>N102*P102*Q102*'1. Standard_Cost'!$D$15</f>
        <v>0</v>
      </c>
      <c r="U102" s="108">
        <f>N102*O102*'1. Standard_Cost'!$E$15</f>
        <v>0</v>
      </c>
      <c r="V102" s="260"/>
      <c r="W102" s="260"/>
      <c r="X102" s="260"/>
      <c r="Y102" s="108">
        <f>+V102*((X102*'1. Standard_Cost'!$B$19)+(W102*X102*'1. Standard_Cost'!$C$19))</f>
        <v>0</v>
      </c>
      <c r="Z102" s="260"/>
      <c r="AA102" s="260"/>
      <c r="AB102" s="108">
        <f>+Z102*'1. Standard_Cost'!$B$23+AA102*'1. Standard_Cost'!$C$23</f>
        <v>0</v>
      </c>
      <c r="AC102" s="261"/>
      <c r="AD102" s="262"/>
      <c r="AE102" s="108">
        <f>SUM(AD102,AC102,AB102,Y102,U102,T102,S102,R102)*'1. Standard_Cost'!$B$31</f>
        <v>0</v>
      </c>
      <c r="AF102" s="108">
        <f t="shared" ref="AF102:AF112" si="129">SUM(AE102,AD102,AC102,AB102,Y102,U102,T102,S102,R102)</f>
        <v>0</v>
      </c>
      <c r="AG102" s="260"/>
      <c r="AH102" s="260"/>
      <c r="AI102" s="260"/>
      <c r="AJ102" s="263"/>
      <c r="AK102" s="263"/>
      <c r="AL102" s="263"/>
      <c r="AM102" s="108">
        <f>AG102*'1. Standard_Cost'!$B$27+'Incremental_Cost Year 10'!AH102*'1. Standard_Cost'!$C$27+'Incremental_Cost Year 10'!AI102*'1. Standard_Cost'!$D$27+'Incremental_Cost Year 10'!AJ102+'Incremental_Cost Year 10'!AL102+AK102</f>
        <v>0</v>
      </c>
      <c r="AN102" s="108">
        <f>AM102*'1. Standard_Cost'!$C$31</f>
        <v>0</v>
      </c>
      <c r="AO102" s="125" t="s">
        <v>340</v>
      </c>
      <c r="AQ102" s="14">
        <f t="shared" ref="AQ102:AQ112" si="130">L102+M102</f>
        <v>0</v>
      </c>
      <c r="AR102" s="14">
        <f t="shared" ref="AR102:AR112" si="131">AF102</f>
        <v>0</v>
      </c>
      <c r="AS102" s="14">
        <f t="shared" ref="AS102:AS112" si="132">AM102+AN102</f>
        <v>0</v>
      </c>
      <c r="AT102" s="14">
        <f>SUM(AQ102,AR102,AS102)</f>
        <v>0</v>
      </c>
      <c r="AU102" s="234"/>
      <c r="AV102" s="234"/>
      <c r="AW102" s="234"/>
      <c r="AX102" s="234"/>
      <c r="AY102" s="234"/>
      <c r="AZ102" s="234"/>
      <c r="BA102" s="234"/>
      <c r="BB102" s="16">
        <f t="shared" ref="BB102:BB112" si="133">SUM(AU102:BA102)-AT102</f>
        <v>0</v>
      </c>
      <c r="BD102" s="294">
        <f>'Incremental_Cost Year 1'!AV102+'Incremental_Cost Year 2'!AV102+'Incremental_Cost Year 3'!AV102+'Incremental_Cost Year 4'!AV102+'Incremental_Cost Year 5'!AV102+'Incremental_Cost Year 6'!AV102+'Incremental_Cost Year 7'!AV102+'Incremental_Cost Year 8'!AV102+'Incremental_Cost Year 9'!AV102+'Incremental_Cost Year 10'!AV102</f>
        <v>0</v>
      </c>
      <c r="BE102" s="294">
        <f>'Incremental_Cost Year 1'!AW102+'Incremental_Cost Year 2'!AW102+'Incremental_Cost Year 3'!AW102+'Incremental_Cost Year 4'!AW102+'Incremental_Cost Year 5'!AW102+'Incremental_Cost Year 6'!AW102+'Incremental_Cost Year 7'!AW102+'Incremental_Cost Year 8'!AW102+'Incremental_Cost Year 9'!AW102+'Incremental_Cost Year 10'!AW102</f>
        <v>0</v>
      </c>
      <c r="BF102" s="294">
        <f>'Incremental_Cost Year 1'!AX102+'Incremental_Cost Year 2'!AX102+'Incremental_Cost Year 3'!AX102+'Incremental_Cost Year 4'!AX102+'Incremental_Cost Year 5'!AX102+'Incremental_Cost Year 6'!AX102+'Incremental_Cost Year 7'!AX102+'Incremental_Cost Year 8'!AX102+'Incremental_Cost Year 9'!AX102+'Incremental_Cost Year 10'!AX102</f>
        <v>3052000</v>
      </c>
      <c r="BG102" s="294">
        <f>'Incremental_Cost Year 1'!AY102+'Incremental_Cost Year 2'!AY102+'Incremental_Cost Year 3'!AY102+'Incremental_Cost Year 4'!AY102+'Incremental_Cost Year 5'!AY102+'Incremental_Cost Year 6'!AY102+'Incremental_Cost Year 7'!AY102+'Incremental_Cost Year 8'!AY102+'Incremental_Cost Year 9'!AY102+'Incremental_Cost Year 10'!AY102</f>
        <v>0</v>
      </c>
      <c r="BH102" s="294">
        <f>'Incremental_Cost Year 1'!AZ102+'Incremental_Cost Year 2'!AZ102+'Incremental_Cost Year 3'!AZ102+'Incremental_Cost Year 4'!AZ102+'Incremental_Cost Year 5'!AZ102+'Incremental_Cost Year 6'!AZ102+'Incremental_Cost Year 7'!AZ102+'Incremental_Cost Year 8'!AZ102+'Incremental_Cost Year 9'!AZ102+'Incremental_Cost Year 10'!AZ102</f>
        <v>800000</v>
      </c>
      <c r="BI102" s="294">
        <f>'Incremental_Cost Year 1'!BA102+'Incremental_Cost Year 2'!BA102+'Incremental_Cost Year 3'!BA102+'Incremental_Cost Year 4'!BA102+'Incremental_Cost Year 5'!BA102+'Incremental_Cost Year 6'!BA102+'Incremental_Cost Year 7'!BA102+'Incremental_Cost Year 8'!BA102+'Incremental_Cost Year 9'!BA102+'Incremental_Cost Year 10'!BA102</f>
        <v>0</v>
      </c>
      <c r="BJ102" s="294">
        <f t="shared" si="93"/>
        <v>3852000</v>
      </c>
    </row>
    <row r="103" spans="1:62" ht="15.6" outlineLevel="2">
      <c r="A103" s="98"/>
      <c r="B103" s="102"/>
      <c r="C103" s="23"/>
      <c r="D103" s="269"/>
      <c r="E103" s="269"/>
      <c r="F103" s="174"/>
      <c r="G103" s="269"/>
      <c r="H103" s="272"/>
      <c r="I103" s="258"/>
      <c r="J103" s="259"/>
      <c r="K103" s="259"/>
      <c r="L103" s="106" t="str">
        <f>IF(I103&lt;&gt;0,((VLOOKUP(I103,'1. Standard_Cost'!$B$4:$D$11,2)+VLOOKUP(I103,'1. Standard_Cost'!$B$4:$D$11,3))*J103*K103),"0")</f>
        <v>0</v>
      </c>
      <c r="M103" s="106">
        <f>L103*'1. Standard_Cost'!$F$4</f>
        <v>0</v>
      </c>
      <c r="N103" s="260"/>
      <c r="O103" s="260"/>
      <c r="P103" s="260"/>
      <c r="Q103" s="260"/>
      <c r="R103" s="108">
        <f>'1. Standard_Cost'!$B$15*N103*P103</f>
        <v>0</v>
      </c>
      <c r="S103" s="108">
        <f>N103*O103*P103*'1. Standard_Cost'!$C$15</f>
        <v>0</v>
      </c>
      <c r="T103" s="108">
        <f>N103*P103*Q103*'1. Standard_Cost'!$D$15</f>
        <v>0</v>
      </c>
      <c r="U103" s="108">
        <f>N103*O103*'1. Standard_Cost'!$E$15</f>
        <v>0</v>
      </c>
      <c r="V103" s="260"/>
      <c r="W103" s="260"/>
      <c r="X103" s="260"/>
      <c r="Y103" s="108">
        <f>+V103*((X103*'1. Standard_Cost'!$B$19)+(W103*X103*'1. Standard_Cost'!$C$19))</f>
        <v>0</v>
      </c>
      <c r="Z103" s="260"/>
      <c r="AA103" s="260"/>
      <c r="AB103" s="108">
        <f>+Z103*'1. Standard_Cost'!$B$23+AA103*'1. Standard_Cost'!$C$23</f>
        <v>0</v>
      </c>
      <c r="AC103" s="261"/>
      <c r="AD103" s="262"/>
      <c r="AE103" s="108">
        <f>SUM(AD103,AC103,AB103,Y103,U103,T103,S103,R103)*'1. Standard_Cost'!$B$31</f>
        <v>0</v>
      </c>
      <c r="AF103" s="108">
        <f t="shared" si="129"/>
        <v>0</v>
      </c>
      <c r="AG103" s="260"/>
      <c r="AH103" s="260"/>
      <c r="AI103" s="260"/>
      <c r="AJ103" s="263"/>
      <c r="AK103" s="263"/>
      <c r="AL103" s="263"/>
      <c r="AM103" s="108">
        <f>AG103*'1. Standard_Cost'!$B$27+'Incremental_Cost Year 10'!AH103*'1. Standard_Cost'!$C$27+'Incremental_Cost Year 10'!AI103*'1. Standard_Cost'!$D$27+'Incremental_Cost Year 10'!AJ103+'Incremental_Cost Year 10'!AL103+AK103</f>
        <v>0</v>
      </c>
      <c r="AN103" s="108">
        <f>AM103*'1. Standard_Cost'!$C$31</f>
        <v>0</v>
      </c>
      <c r="AO103" s="125" t="s">
        <v>341</v>
      </c>
      <c r="AQ103" s="14">
        <f t="shared" si="130"/>
        <v>0</v>
      </c>
      <c r="AR103" s="14">
        <f t="shared" si="131"/>
        <v>0</v>
      </c>
      <c r="AS103" s="14">
        <f t="shared" si="132"/>
        <v>0</v>
      </c>
      <c r="AT103" s="14">
        <f t="shared" ref="AT103:AT112" si="134">SUM(AQ103,AR103,AS103)</f>
        <v>0</v>
      </c>
      <c r="AU103" s="234"/>
      <c r="AV103" s="234"/>
      <c r="AW103" s="234"/>
      <c r="AX103" s="234"/>
      <c r="AY103" s="234"/>
      <c r="AZ103" s="234"/>
      <c r="BA103" s="234"/>
      <c r="BB103" s="16">
        <f t="shared" si="133"/>
        <v>0</v>
      </c>
      <c r="BD103" s="294">
        <f>'Incremental_Cost Year 1'!AV103+'Incremental_Cost Year 2'!AV103+'Incremental_Cost Year 3'!AV103+'Incremental_Cost Year 4'!AV103+'Incremental_Cost Year 5'!AV103+'Incremental_Cost Year 6'!AV103+'Incremental_Cost Year 7'!AV103+'Incremental_Cost Year 8'!AV103+'Incremental_Cost Year 9'!AV103+'Incremental_Cost Year 10'!AV103</f>
        <v>0</v>
      </c>
      <c r="BE103" s="294">
        <f>'Incremental_Cost Year 1'!AW103+'Incremental_Cost Year 2'!AW103+'Incremental_Cost Year 3'!AW103+'Incremental_Cost Year 4'!AW103+'Incremental_Cost Year 5'!AW103+'Incremental_Cost Year 6'!AW103+'Incremental_Cost Year 7'!AW103+'Incremental_Cost Year 8'!AW103+'Incremental_Cost Year 9'!AW103+'Incremental_Cost Year 10'!AW103</f>
        <v>0</v>
      </c>
      <c r="BF103" s="294">
        <f>'Incremental_Cost Year 1'!AX103+'Incremental_Cost Year 2'!AX103+'Incremental_Cost Year 3'!AX103+'Incremental_Cost Year 4'!AX103+'Incremental_Cost Year 5'!AX103+'Incremental_Cost Year 6'!AX103+'Incremental_Cost Year 7'!AX103+'Incremental_Cost Year 8'!AX103+'Incremental_Cost Year 9'!AX103+'Incremental_Cost Year 10'!AX103</f>
        <v>0</v>
      </c>
      <c r="BG103" s="294">
        <f>'Incremental_Cost Year 1'!AY103+'Incremental_Cost Year 2'!AY103+'Incremental_Cost Year 3'!AY103+'Incremental_Cost Year 4'!AY103+'Incremental_Cost Year 5'!AY103+'Incremental_Cost Year 6'!AY103+'Incremental_Cost Year 7'!AY103+'Incremental_Cost Year 8'!AY103+'Incremental_Cost Year 9'!AY103+'Incremental_Cost Year 10'!AY103</f>
        <v>0</v>
      </c>
      <c r="BH103" s="294">
        <f>'Incremental_Cost Year 1'!AZ103+'Incremental_Cost Year 2'!AZ103+'Incremental_Cost Year 3'!AZ103+'Incremental_Cost Year 4'!AZ103+'Incremental_Cost Year 5'!AZ103+'Incremental_Cost Year 6'!AZ103+'Incremental_Cost Year 7'!AZ103+'Incremental_Cost Year 8'!AZ103+'Incremental_Cost Year 9'!AZ103+'Incremental_Cost Year 10'!AZ103</f>
        <v>588000</v>
      </c>
      <c r="BI103" s="294">
        <f>'Incremental_Cost Year 1'!BA103+'Incremental_Cost Year 2'!BA103+'Incremental_Cost Year 3'!BA103+'Incremental_Cost Year 4'!BA103+'Incremental_Cost Year 5'!BA103+'Incremental_Cost Year 6'!BA103+'Incremental_Cost Year 7'!BA103+'Incremental_Cost Year 8'!BA103+'Incremental_Cost Year 9'!BA103+'Incremental_Cost Year 10'!BA103</f>
        <v>0</v>
      </c>
      <c r="BJ103" s="294">
        <f t="shared" si="93"/>
        <v>588000</v>
      </c>
    </row>
    <row r="104" spans="1:62" ht="27.6" outlineLevel="2">
      <c r="A104" s="98"/>
      <c r="B104" s="102"/>
      <c r="C104" s="23"/>
      <c r="D104" s="269"/>
      <c r="E104" s="269"/>
      <c r="F104" s="174"/>
      <c r="G104" s="269"/>
      <c r="H104" s="272"/>
      <c r="I104" s="258"/>
      <c r="J104" s="259"/>
      <c r="K104" s="259"/>
      <c r="L104" s="106" t="str">
        <f>IF(I104&lt;&gt;0,((VLOOKUP(I104,'1. Standard_Cost'!$B$4:$D$11,2)+VLOOKUP(I104,'1. Standard_Cost'!$B$4:$D$11,3))*J104*K104),"0")</f>
        <v>0</v>
      </c>
      <c r="M104" s="106">
        <f>L104*'1. Standard_Cost'!$F$4</f>
        <v>0</v>
      </c>
      <c r="N104" s="260"/>
      <c r="O104" s="260"/>
      <c r="P104" s="260"/>
      <c r="Q104" s="260"/>
      <c r="R104" s="108">
        <f>'1. Standard_Cost'!$B$15*N104*P104</f>
        <v>0</v>
      </c>
      <c r="S104" s="108">
        <f>N104*O104*P104*'1. Standard_Cost'!$C$15</f>
        <v>0</v>
      </c>
      <c r="T104" s="108">
        <f>N104*P104*Q104*'1. Standard_Cost'!$D$15</f>
        <v>0</v>
      </c>
      <c r="U104" s="108">
        <f>N104*O104*'1. Standard_Cost'!$E$15</f>
        <v>0</v>
      </c>
      <c r="V104" s="260"/>
      <c r="W104" s="260"/>
      <c r="X104" s="260"/>
      <c r="Y104" s="108">
        <f>+V104*((X104*'1. Standard_Cost'!$B$19)+(W104*X104*'1. Standard_Cost'!$C$19))</f>
        <v>0</v>
      </c>
      <c r="Z104" s="260"/>
      <c r="AA104" s="260"/>
      <c r="AB104" s="108">
        <f>+Z104*'1. Standard_Cost'!$B$23+AA104*'1. Standard_Cost'!$C$23</f>
        <v>0</v>
      </c>
      <c r="AC104" s="261"/>
      <c r="AD104" s="262"/>
      <c r="AE104" s="108">
        <f>SUM(AD104,AC104,AB104,Y104,U104,T104,S104,R104)*'1. Standard_Cost'!$B$31</f>
        <v>0</v>
      </c>
      <c r="AF104" s="108">
        <f t="shared" si="129"/>
        <v>0</v>
      </c>
      <c r="AG104" s="260"/>
      <c r="AH104" s="260"/>
      <c r="AI104" s="260"/>
      <c r="AJ104" s="263"/>
      <c r="AK104" s="263"/>
      <c r="AL104" s="263"/>
      <c r="AM104" s="108">
        <f>AG104*'1. Standard_Cost'!$B$27+'Incremental_Cost Year 10'!AH104*'1. Standard_Cost'!$C$27+'Incremental_Cost Year 10'!AI104*'1. Standard_Cost'!$D$27+'Incremental_Cost Year 10'!AJ104+'Incremental_Cost Year 10'!AL104+AK104</f>
        <v>0</v>
      </c>
      <c r="AN104" s="108">
        <f>AM104*'1. Standard_Cost'!$C$31</f>
        <v>0</v>
      </c>
      <c r="AO104" s="125" t="s">
        <v>342</v>
      </c>
      <c r="AQ104" s="14">
        <f t="shared" si="130"/>
        <v>0</v>
      </c>
      <c r="AR104" s="14">
        <f t="shared" si="131"/>
        <v>0</v>
      </c>
      <c r="AS104" s="14">
        <f t="shared" si="132"/>
        <v>0</v>
      </c>
      <c r="AT104" s="14">
        <f t="shared" si="134"/>
        <v>0</v>
      </c>
      <c r="AU104" s="234"/>
      <c r="AV104" s="234"/>
      <c r="AW104" s="234"/>
      <c r="AX104" s="234"/>
      <c r="AY104" s="234"/>
      <c r="AZ104" s="234"/>
      <c r="BA104" s="234"/>
      <c r="BB104" s="16">
        <f t="shared" si="133"/>
        <v>0</v>
      </c>
      <c r="BD104" s="294">
        <f>'Incremental_Cost Year 1'!AV104+'Incremental_Cost Year 2'!AV104+'Incremental_Cost Year 3'!AV104+'Incremental_Cost Year 4'!AV104+'Incremental_Cost Year 5'!AV104+'Incremental_Cost Year 6'!AV104+'Incremental_Cost Year 7'!AV104+'Incremental_Cost Year 8'!AV104+'Incremental_Cost Year 9'!AV104+'Incremental_Cost Year 10'!AV104</f>
        <v>0</v>
      </c>
      <c r="BE104" s="294">
        <f>'Incremental_Cost Year 1'!AW104+'Incremental_Cost Year 2'!AW104+'Incremental_Cost Year 3'!AW104+'Incremental_Cost Year 4'!AW104+'Incremental_Cost Year 5'!AW104+'Incremental_Cost Year 6'!AW104+'Incremental_Cost Year 7'!AW104+'Incremental_Cost Year 8'!AW104+'Incremental_Cost Year 9'!AW104+'Incremental_Cost Year 10'!AW104</f>
        <v>0</v>
      </c>
      <c r="BF104" s="294">
        <f>'Incremental_Cost Year 1'!AX104+'Incremental_Cost Year 2'!AX104+'Incremental_Cost Year 3'!AX104+'Incremental_Cost Year 4'!AX104+'Incremental_Cost Year 5'!AX104+'Incremental_Cost Year 6'!AX104+'Incremental_Cost Year 7'!AX104+'Incremental_Cost Year 8'!AX104+'Incremental_Cost Year 9'!AX104+'Incremental_Cost Year 10'!AX104</f>
        <v>0</v>
      </c>
      <c r="BG104" s="294">
        <f>'Incremental_Cost Year 1'!AY104+'Incremental_Cost Year 2'!AY104+'Incremental_Cost Year 3'!AY104+'Incremental_Cost Year 4'!AY104+'Incremental_Cost Year 5'!AY104+'Incremental_Cost Year 6'!AY104+'Incremental_Cost Year 7'!AY104+'Incremental_Cost Year 8'!AY104+'Incremental_Cost Year 9'!AY104+'Incremental_Cost Year 10'!AY104</f>
        <v>0</v>
      </c>
      <c r="BH104" s="294">
        <f>'Incremental_Cost Year 1'!AZ104+'Incremental_Cost Year 2'!AZ104+'Incremental_Cost Year 3'!AZ104+'Incremental_Cost Year 4'!AZ104+'Incremental_Cost Year 5'!AZ104+'Incremental_Cost Year 6'!AZ104+'Incremental_Cost Year 7'!AZ104+'Incremental_Cost Year 8'!AZ104+'Incremental_Cost Year 9'!AZ104+'Incremental_Cost Year 10'!AZ104</f>
        <v>0</v>
      </c>
      <c r="BI104" s="294">
        <f>'Incremental_Cost Year 1'!BA104+'Incremental_Cost Year 2'!BA104+'Incremental_Cost Year 3'!BA104+'Incremental_Cost Year 4'!BA104+'Incremental_Cost Year 5'!BA104+'Incremental_Cost Year 6'!BA104+'Incremental_Cost Year 7'!BA104+'Incremental_Cost Year 8'!BA104+'Incremental_Cost Year 9'!BA104+'Incremental_Cost Year 10'!BA104</f>
        <v>0</v>
      </c>
      <c r="BJ104" s="294">
        <f t="shared" si="93"/>
        <v>0</v>
      </c>
    </row>
    <row r="105" spans="1:62" ht="15.6" outlineLevel="2">
      <c r="A105" s="98"/>
      <c r="B105" s="102"/>
      <c r="C105" s="23"/>
      <c r="D105" s="269"/>
      <c r="E105" s="269"/>
      <c r="F105" s="174"/>
      <c r="G105" s="269"/>
      <c r="H105" s="272"/>
      <c r="I105" s="258"/>
      <c r="J105" s="259"/>
      <c r="K105" s="259"/>
      <c r="L105" s="106" t="str">
        <f>IF(I105&lt;&gt;0,((VLOOKUP(I105,'1. Standard_Cost'!$B$4:$D$11,2)+VLOOKUP(I105,'1. Standard_Cost'!$B$4:$D$11,3))*J105*K105),"0")</f>
        <v>0</v>
      </c>
      <c r="M105" s="106">
        <f>L105*'1. Standard_Cost'!$F$4</f>
        <v>0</v>
      </c>
      <c r="N105" s="260"/>
      <c r="O105" s="260"/>
      <c r="P105" s="260"/>
      <c r="Q105" s="260"/>
      <c r="R105" s="108">
        <f>'1. Standard_Cost'!$B$15*N105*P105</f>
        <v>0</v>
      </c>
      <c r="S105" s="108">
        <f>N105*O105*P105*'1. Standard_Cost'!$C$15</f>
        <v>0</v>
      </c>
      <c r="T105" s="108">
        <f>N105*P105*Q105*'1. Standard_Cost'!$D$15</f>
        <v>0</v>
      </c>
      <c r="U105" s="108">
        <f>N105*O105*'1. Standard_Cost'!$E$15</f>
        <v>0</v>
      </c>
      <c r="V105" s="260"/>
      <c r="W105" s="260"/>
      <c r="X105" s="260"/>
      <c r="Y105" s="108">
        <f>+V105*((X105*'1. Standard_Cost'!$B$19)+(W105*X105*'1. Standard_Cost'!$C$19))</f>
        <v>0</v>
      </c>
      <c r="Z105" s="260"/>
      <c r="AA105" s="260"/>
      <c r="AB105" s="108">
        <f>+Z105*'1. Standard_Cost'!$B$23+AA105*'1. Standard_Cost'!$C$23</f>
        <v>0</v>
      </c>
      <c r="AC105" s="261"/>
      <c r="AD105" s="262"/>
      <c r="AE105" s="108">
        <f>SUM(AD105,AC105,AB105,Y105,U105,T105,S105,R105)*'1. Standard_Cost'!$B$31</f>
        <v>0</v>
      </c>
      <c r="AF105" s="108">
        <f t="shared" si="129"/>
        <v>0</v>
      </c>
      <c r="AG105" s="260"/>
      <c r="AH105" s="260"/>
      <c r="AI105" s="260"/>
      <c r="AJ105" s="263"/>
      <c r="AK105" s="263"/>
      <c r="AL105" s="263"/>
      <c r="AM105" s="108">
        <f>AG105*'1. Standard_Cost'!$B$27+'Incremental_Cost Year 10'!AH105*'1. Standard_Cost'!$C$27+'Incremental_Cost Year 10'!AI105*'1. Standard_Cost'!$D$27+'Incremental_Cost Year 10'!AJ105+'Incremental_Cost Year 10'!AL105+AK105</f>
        <v>0</v>
      </c>
      <c r="AN105" s="108">
        <f>AM105*'1. Standard_Cost'!$C$31</f>
        <v>0</v>
      </c>
      <c r="AO105" s="125" t="s">
        <v>343</v>
      </c>
      <c r="AQ105" s="14">
        <f t="shared" si="130"/>
        <v>0</v>
      </c>
      <c r="AR105" s="14">
        <f t="shared" si="131"/>
        <v>0</v>
      </c>
      <c r="AS105" s="14">
        <f t="shared" si="132"/>
        <v>0</v>
      </c>
      <c r="AT105" s="14">
        <f t="shared" si="134"/>
        <v>0</v>
      </c>
      <c r="AU105" s="234"/>
      <c r="AV105" s="234"/>
      <c r="AW105" s="234"/>
      <c r="AX105" s="234"/>
      <c r="AY105" s="234"/>
      <c r="AZ105" s="234"/>
      <c r="BA105" s="234"/>
      <c r="BB105" s="16">
        <f t="shared" si="133"/>
        <v>0</v>
      </c>
      <c r="BD105" s="294">
        <f>'Incremental_Cost Year 1'!AV105+'Incremental_Cost Year 2'!AV105+'Incremental_Cost Year 3'!AV105+'Incremental_Cost Year 4'!AV105+'Incremental_Cost Year 5'!AV105+'Incremental_Cost Year 6'!AV105+'Incremental_Cost Year 7'!AV105+'Incremental_Cost Year 8'!AV105+'Incremental_Cost Year 9'!AV105+'Incremental_Cost Year 10'!AV105</f>
        <v>0</v>
      </c>
      <c r="BE105" s="294">
        <f>'Incremental_Cost Year 1'!AW105+'Incremental_Cost Year 2'!AW105+'Incremental_Cost Year 3'!AW105+'Incremental_Cost Year 4'!AW105+'Incremental_Cost Year 5'!AW105+'Incremental_Cost Year 6'!AW105+'Incremental_Cost Year 7'!AW105+'Incremental_Cost Year 8'!AW105+'Incremental_Cost Year 9'!AW105+'Incremental_Cost Year 10'!AW105</f>
        <v>0</v>
      </c>
      <c r="BF105" s="294">
        <f>'Incremental_Cost Year 1'!AX105+'Incremental_Cost Year 2'!AX105+'Incremental_Cost Year 3'!AX105+'Incremental_Cost Year 4'!AX105+'Incremental_Cost Year 5'!AX105+'Incremental_Cost Year 6'!AX105+'Incremental_Cost Year 7'!AX105+'Incremental_Cost Year 8'!AX105+'Incremental_Cost Year 9'!AX105+'Incremental_Cost Year 10'!AX105</f>
        <v>0</v>
      </c>
      <c r="BG105" s="294">
        <f>'Incremental_Cost Year 1'!AY105+'Incremental_Cost Year 2'!AY105+'Incremental_Cost Year 3'!AY105+'Incremental_Cost Year 4'!AY105+'Incremental_Cost Year 5'!AY105+'Incremental_Cost Year 6'!AY105+'Incremental_Cost Year 7'!AY105+'Incremental_Cost Year 8'!AY105+'Incremental_Cost Year 9'!AY105+'Incremental_Cost Year 10'!AY105</f>
        <v>0</v>
      </c>
      <c r="BH105" s="294">
        <f>'Incremental_Cost Year 1'!AZ105+'Incremental_Cost Year 2'!AZ105+'Incremental_Cost Year 3'!AZ105+'Incremental_Cost Year 4'!AZ105+'Incremental_Cost Year 5'!AZ105+'Incremental_Cost Year 6'!AZ105+'Incremental_Cost Year 7'!AZ105+'Incremental_Cost Year 8'!AZ105+'Incremental_Cost Year 9'!AZ105+'Incremental_Cost Year 10'!AZ105</f>
        <v>0</v>
      </c>
      <c r="BI105" s="294">
        <f>'Incremental_Cost Year 1'!BA105+'Incremental_Cost Year 2'!BA105+'Incremental_Cost Year 3'!BA105+'Incremental_Cost Year 4'!BA105+'Incremental_Cost Year 5'!BA105+'Incremental_Cost Year 6'!BA105+'Incremental_Cost Year 7'!BA105+'Incremental_Cost Year 8'!BA105+'Incremental_Cost Year 9'!BA105+'Incremental_Cost Year 10'!BA105</f>
        <v>0</v>
      </c>
      <c r="BJ105" s="294">
        <f t="shared" si="93"/>
        <v>0</v>
      </c>
    </row>
    <row r="106" spans="1:62" ht="27.6" outlineLevel="2">
      <c r="A106" s="98"/>
      <c r="B106" s="102"/>
      <c r="C106" s="23"/>
      <c r="D106" s="269"/>
      <c r="E106" s="269"/>
      <c r="F106" s="174"/>
      <c r="G106" s="269"/>
      <c r="H106" s="272"/>
      <c r="I106" s="258"/>
      <c r="J106" s="259"/>
      <c r="K106" s="259"/>
      <c r="L106" s="106" t="str">
        <f>IF(I106&lt;&gt;0,((VLOOKUP(I106,'1. Standard_Cost'!$B$4:$D$11,2)+VLOOKUP(I106,'1. Standard_Cost'!$B$4:$D$11,3))*J106*K106),"0")</f>
        <v>0</v>
      </c>
      <c r="M106" s="106">
        <f>L106*'1. Standard_Cost'!$F$4</f>
        <v>0</v>
      </c>
      <c r="N106" s="260"/>
      <c r="O106" s="260"/>
      <c r="P106" s="260"/>
      <c r="Q106" s="260"/>
      <c r="R106" s="108">
        <f>'1. Standard_Cost'!$B$15*N106*P106</f>
        <v>0</v>
      </c>
      <c r="S106" s="108">
        <f>N106*O106*P106*'1. Standard_Cost'!$C$15</f>
        <v>0</v>
      </c>
      <c r="T106" s="108">
        <f>N106*P106*Q106*'1. Standard_Cost'!$D$15</f>
        <v>0</v>
      </c>
      <c r="U106" s="108">
        <f>N106*O106*'1. Standard_Cost'!$E$15</f>
        <v>0</v>
      </c>
      <c r="V106" s="260"/>
      <c r="W106" s="260"/>
      <c r="X106" s="260"/>
      <c r="Y106" s="108">
        <f>+V106*((X106*'1. Standard_Cost'!$B$19)+(W106*X106*'1. Standard_Cost'!$C$19))</f>
        <v>0</v>
      </c>
      <c r="Z106" s="260"/>
      <c r="AA106" s="260"/>
      <c r="AB106" s="108">
        <f>+Z106*'1. Standard_Cost'!$B$23+AA106*'1. Standard_Cost'!$C$23</f>
        <v>0</v>
      </c>
      <c r="AC106" s="261"/>
      <c r="AD106" s="262"/>
      <c r="AE106" s="108">
        <f>SUM(AD106,AC106,AB106,Y106,U106,T106,S106,R106)*'1. Standard_Cost'!$B$31</f>
        <v>0</v>
      </c>
      <c r="AF106" s="108">
        <f t="shared" si="129"/>
        <v>0</v>
      </c>
      <c r="AG106" s="260"/>
      <c r="AH106" s="260"/>
      <c r="AI106" s="260"/>
      <c r="AJ106" s="263"/>
      <c r="AK106" s="263"/>
      <c r="AL106" s="263"/>
      <c r="AM106" s="108">
        <f>AG106*'1. Standard_Cost'!$B$27+'Incremental_Cost Year 10'!AH106*'1. Standard_Cost'!$C$27+'Incremental_Cost Year 10'!AI106*'1. Standard_Cost'!$D$27+'Incremental_Cost Year 10'!AJ106+'Incremental_Cost Year 10'!AL106+AK106</f>
        <v>0</v>
      </c>
      <c r="AN106" s="108">
        <f>AM106*'1. Standard_Cost'!$C$31</f>
        <v>0</v>
      </c>
      <c r="AO106" s="125" t="s">
        <v>344</v>
      </c>
      <c r="AQ106" s="14">
        <f t="shared" si="130"/>
        <v>0</v>
      </c>
      <c r="AR106" s="14">
        <f t="shared" si="131"/>
        <v>0</v>
      </c>
      <c r="AS106" s="14">
        <f t="shared" si="132"/>
        <v>0</v>
      </c>
      <c r="AT106" s="14">
        <f t="shared" si="134"/>
        <v>0</v>
      </c>
      <c r="AU106" s="234"/>
      <c r="AV106" s="234"/>
      <c r="AW106" s="234"/>
      <c r="AX106" s="234"/>
      <c r="AY106" s="234"/>
      <c r="AZ106" s="234"/>
      <c r="BA106" s="234"/>
      <c r="BB106" s="16">
        <f t="shared" si="133"/>
        <v>0</v>
      </c>
      <c r="BD106" s="294">
        <f>'Incremental_Cost Year 1'!AV106+'Incremental_Cost Year 2'!AV106+'Incremental_Cost Year 3'!AV106+'Incremental_Cost Year 4'!AV106+'Incremental_Cost Year 5'!AV106+'Incremental_Cost Year 6'!AV106+'Incremental_Cost Year 7'!AV106+'Incremental_Cost Year 8'!AV106+'Incremental_Cost Year 9'!AV106+'Incremental_Cost Year 10'!AV106</f>
        <v>0</v>
      </c>
      <c r="BE106" s="294">
        <f>'Incremental_Cost Year 1'!AW106+'Incremental_Cost Year 2'!AW106+'Incremental_Cost Year 3'!AW106+'Incremental_Cost Year 4'!AW106+'Incremental_Cost Year 5'!AW106+'Incremental_Cost Year 6'!AW106+'Incremental_Cost Year 7'!AW106+'Incremental_Cost Year 8'!AW106+'Incremental_Cost Year 9'!AW106+'Incremental_Cost Year 10'!AW106</f>
        <v>0</v>
      </c>
      <c r="BF106" s="294">
        <f>'Incremental_Cost Year 1'!AX106+'Incremental_Cost Year 2'!AX106+'Incremental_Cost Year 3'!AX106+'Incremental_Cost Year 4'!AX106+'Incremental_Cost Year 5'!AX106+'Incremental_Cost Year 6'!AX106+'Incremental_Cost Year 7'!AX106+'Incremental_Cost Year 8'!AX106+'Incremental_Cost Year 9'!AX106+'Incremental_Cost Year 10'!AX106</f>
        <v>0</v>
      </c>
      <c r="BG106" s="294">
        <f>'Incremental_Cost Year 1'!AY106+'Incremental_Cost Year 2'!AY106+'Incremental_Cost Year 3'!AY106+'Incremental_Cost Year 4'!AY106+'Incremental_Cost Year 5'!AY106+'Incremental_Cost Year 6'!AY106+'Incremental_Cost Year 7'!AY106+'Incremental_Cost Year 8'!AY106+'Incremental_Cost Year 9'!AY106+'Incremental_Cost Year 10'!AY106</f>
        <v>0</v>
      </c>
      <c r="BH106" s="294">
        <f>'Incremental_Cost Year 1'!AZ106+'Incremental_Cost Year 2'!AZ106+'Incremental_Cost Year 3'!AZ106+'Incremental_Cost Year 4'!AZ106+'Incremental_Cost Year 5'!AZ106+'Incremental_Cost Year 6'!AZ106+'Incremental_Cost Year 7'!AZ106+'Incremental_Cost Year 8'!AZ106+'Incremental_Cost Year 9'!AZ106+'Incremental_Cost Year 10'!AZ106</f>
        <v>0</v>
      </c>
      <c r="BI106" s="294">
        <f>'Incremental_Cost Year 1'!BA106+'Incremental_Cost Year 2'!BA106+'Incremental_Cost Year 3'!BA106+'Incremental_Cost Year 4'!BA106+'Incremental_Cost Year 5'!BA106+'Incremental_Cost Year 6'!BA106+'Incremental_Cost Year 7'!BA106+'Incremental_Cost Year 8'!BA106+'Incremental_Cost Year 9'!BA106+'Incremental_Cost Year 10'!BA106</f>
        <v>0</v>
      </c>
      <c r="BJ106" s="294">
        <f t="shared" si="93"/>
        <v>0</v>
      </c>
    </row>
    <row r="107" spans="1:62" ht="15.6" outlineLevel="2">
      <c r="A107" s="98"/>
      <c r="B107" s="102"/>
      <c r="C107" s="23"/>
      <c r="D107" s="269"/>
      <c r="E107" s="269"/>
      <c r="F107" s="269"/>
      <c r="G107" s="269"/>
      <c r="H107" s="272"/>
      <c r="I107" s="258"/>
      <c r="J107" s="259"/>
      <c r="K107" s="259"/>
      <c r="L107" s="106" t="str">
        <f>IF(I107&lt;&gt;0,((VLOOKUP(I107,'1. Standard_Cost'!$B$4:$D$11,2)+VLOOKUP(I107,'1. Standard_Cost'!$B$4:$D$11,3))*J107*K107),"0")</f>
        <v>0</v>
      </c>
      <c r="M107" s="106">
        <f>L107*'1. Standard_Cost'!$F$4</f>
        <v>0</v>
      </c>
      <c r="N107" s="260"/>
      <c r="O107" s="260"/>
      <c r="P107" s="260"/>
      <c r="Q107" s="260"/>
      <c r="R107" s="108">
        <f>'1. Standard_Cost'!$B$15*N107*P107</f>
        <v>0</v>
      </c>
      <c r="S107" s="108">
        <f>N107*O107*P107*'1. Standard_Cost'!$C$15</f>
        <v>0</v>
      </c>
      <c r="T107" s="108">
        <f>N107*P107*Q107*'1. Standard_Cost'!$D$15</f>
        <v>0</v>
      </c>
      <c r="U107" s="108">
        <f>N107*O107*'1. Standard_Cost'!$E$15</f>
        <v>0</v>
      </c>
      <c r="V107" s="260"/>
      <c r="W107" s="260"/>
      <c r="X107" s="260"/>
      <c r="Y107" s="108">
        <f>+V107*((X107*'1. Standard_Cost'!$B$19)+(W107*X107*'1. Standard_Cost'!$C$19))</f>
        <v>0</v>
      </c>
      <c r="Z107" s="260"/>
      <c r="AA107" s="260"/>
      <c r="AB107" s="108">
        <f>+Z107*'1. Standard_Cost'!$B$23+AA107*'1. Standard_Cost'!$C$23</f>
        <v>0</v>
      </c>
      <c r="AC107" s="261"/>
      <c r="AD107" s="262"/>
      <c r="AE107" s="108">
        <f>SUM(AD107,AC107,AB107,Y107,U107,T107,S107,R107)*'1. Standard_Cost'!$B$31</f>
        <v>0</v>
      </c>
      <c r="AF107" s="108">
        <f t="shared" si="129"/>
        <v>0</v>
      </c>
      <c r="AG107" s="260"/>
      <c r="AH107" s="260"/>
      <c r="AI107" s="260"/>
      <c r="AJ107" s="263"/>
      <c r="AK107" s="263"/>
      <c r="AL107" s="263"/>
      <c r="AM107" s="108">
        <f>AG107*'1. Standard_Cost'!$B$27+'Incremental_Cost Year 10'!AH107*'1. Standard_Cost'!$C$27+'Incremental_Cost Year 10'!AI107*'1. Standard_Cost'!$D$27+'Incremental_Cost Year 10'!AJ107+'Incremental_Cost Year 10'!AL107+AK107</f>
        <v>0</v>
      </c>
      <c r="AN107" s="108">
        <f>AM107*'1. Standard_Cost'!$C$31</f>
        <v>0</v>
      </c>
      <c r="AO107" s="125" t="s">
        <v>345</v>
      </c>
      <c r="AQ107" s="14">
        <f t="shared" si="130"/>
        <v>0</v>
      </c>
      <c r="AR107" s="14">
        <f t="shared" si="131"/>
        <v>0</v>
      </c>
      <c r="AS107" s="14">
        <f t="shared" si="132"/>
        <v>0</v>
      </c>
      <c r="AT107" s="14">
        <f t="shared" si="134"/>
        <v>0</v>
      </c>
      <c r="AU107" s="234"/>
      <c r="AV107" s="234"/>
      <c r="AW107" s="234"/>
      <c r="AX107" s="234"/>
      <c r="AY107" s="234"/>
      <c r="AZ107" s="234"/>
      <c r="BA107" s="234"/>
      <c r="BB107" s="16">
        <f t="shared" si="133"/>
        <v>0</v>
      </c>
      <c r="BD107" s="294">
        <f>'Incremental_Cost Year 1'!AV107+'Incremental_Cost Year 2'!AV107+'Incremental_Cost Year 3'!AV107+'Incremental_Cost Year 4'!AV107+'Incremental_Cost Year 5'!AV107+'Incremental_Cost Year 6'!AV107+'Incremental_Cost Year 7'!AV107+'Incremental_Cost Year 8'!AV107+'Incremental_Cost Year 9'!AV107+'Incremental_Cost Year 10'!AV107</f>
        <v>0</v>
      </c>
      <c r="BE107" s="294">
        <f>'Incremental_Cost Year 1'!AW107+'Incremental_Cost Year 2'!AW107+'Incremental_Cost Year 3'!AW107+'Incremental_Cost Year 4'!AW107+'Incremental_Cost Year 5'!AW107+'Incremental_Cost Year 6'!AW107+'Incremental_Cost Year 7'!AW107+'Incremental_Cost Year 8'!AW107+'Incremental_Cost Year 9'!AW107+'Incremental_Cost Year 10'!AW107</f>
        <v>0</v>
      </c>
      <c r="BF107" s="294">
        <f>'Incremental_Cost Year 1'!AX107+'Incremental_Cost Year 2'!AX107+'Incremental_Cost Year 3'!AX107+'Incremental_Cost Year 4'!AX107+'Incremental_Cost Year 5'!AX107+'Incremental_Cost Year 6'!AX107+'Incremental_Cost Year 7'!AX107+'Incremental_Cost Year 8'!AX107+'Incremental_Cost Year 9'!AX107+'Incremental_Cost Year 10'!AX107</f>
        <v>0</v>
      </c>
      <c r="BG107" s="294">
        <f>'Incremental_Cost Year 1'!AY107+'Incremental_Cost Year 2'!AY107+'Incremental_Cost Year 3'!AY107+'Incremental_Cost Year 4'!AY107+'Incremental_Cost Year 5'!AY107+'Incremental_Cost Year 6'!AY107+'Incremental_Cost Year 7'!AY107+'Incremental_Cost Year 8'!AY107+'Incremental_Cost Year 9'!AY107+'Incremental_Cost Year 10'!AY107</f>
        <v>0</v>
      </c>
      <c r="BH107" s="294">
        <f>'Incremental_Cost Year 1'!AZ107+'Incremental_Cost Year 2'!AZ107+'Incremental_Cost Year 3'!AZ107+'Incremental_Cost Year 4'!AZ107+'Incremental_Cost Year 5'!AZ107+'Incremental_Cost Year 6'!AZ107+'Incremental_Cost Year 7'!AZ107+'Incremental_Cost Year 8'!AZ107+'Incremental_Cost Year 9'!AZ107+'Incremental_Cost Year 10'!AZ107</f>
        <v>0</v>
      </c>
      <c r="BI107" s="294">
        <f>'Incremental_Cost Year 1'!BA107+'Incremental_Cost Year 2'!BA107+'Incremental_Cost Year 3'!BA107+'Incremental_Cost Year 4'!BA107+'Incremental_Cost Year 5'!BA107+'Incremental_Cost Year 6'!BA107+'Incremental_Cost Year 7'!BA107+'Incremental_Cost Year 8'!BA107+'Incremental_Cost Year 9'!BA107+'Incremental_Cost Year 10'!BA107</f>
        <v>0</v>
      </c>
      <c r="BJ107" s="294">
        <f t="shared" si="93"/>
        <v>0</v>
      </c>
    </row>
    <row r="108" spans="1:62" ht="15.6" outlineLevel="2">
      <c r="A108" s="98"/>
      <c r="B108" s="102"/>
      <c r="C108" s="23"/>
      <c r="D108" s="269"/>
      <c r="E108" s="269"/>
      <c r="F108" s="269"/>
      <c r="G108" s="269"/>
      <c r="H108" s="272"/>
      <c r="I108" s="258"/>
      <c r="J108" s="259"/>
      <c r="K108" s="259"/>
      <c r="L108" s="106" t="str">
        <f>IF(I108&lt;&gt;0,((VLOOKUP(I108,'1. Standard_Cost'!$B$4:$D$11,2)+VLOOKUP(I108,'1. Standard_Cost'!$B$4:$D$11,3))*J108*K108),"0")</f>
        <v>0</v>
      </c>
      <c r="M108" s="106">
        <f>L108*'1. Standard_Cost'!$F$4</f>
        <v>0</v>
      </c>
      <c r="N108" s="260"/>
      <c r="O108" s="260"/>
      <c r="P108" s="260"/>
      <c r="Q108" s="260"/>
      <c r="R108" s="108">
        <f>'1. Standard_Cost'!$B$15*N108*P108</f>
        <v>0</v>
      </c>
      <c r="S108" s="108">
        <f>N108*O108*P108*'1. Standard_Cost'!$C$15</f>
        <v>0</v>
      </c>
      <c r="T108" s="108">
        <f>N108*P108*Q108*'1. Standard_Cost'!$D$15</f>
        <v>0</v>
      </c>
      <c r="U108" s="108">
        <f>N108*O108*'1. Standard_Cost'!$E$15</f>
        <v>0</v>
      </c>
      <c r="V108" s="260"/>
      <c r="W108" s="260"/>
      <c r="X108" s="260"/>
      <c r="Y108" s="108">
        <f>+V108*((X108*'1. Standard_Cost'!$B$19)+(W108*X108*'1. Standard_Cost'!$C$19))</f>
        <v>0</v>
      </c>
      <c r="Z108" s="260"/>
      <c r="AA108" s="260"/>
      <c r="AB108" s="108">
        <f>+Z108*'1. Standard_Cost'!$B$23+AA108*'1. Standard_Cost'!$C$23</f>
        <v>0</v>
      </c>
      <c r="AC108" s="261"/>
      <c r="AD108" s="262"/>
      <c r="AE108" s="108">
        <f>SUM(AD108,AC108,AB108,Y108,U108,T108,S108,R108)*'1. Standard_Cost'!$B$31</f>
        <v>0</v>
      </c>
      <c r="AF108" s="108">
        <f t="shared" si="129"/>
        <v>0</v>
      </c>
      <c r="AG108" s="260"/>
      <c r="AH108" s="260"/>
      <c r="AI108" s="260"/>
      <c r="AJ108" s="263"/>
      <c r="AK108" s="263"/>
      <c r="AL108" s="263"/>
      <c r="AM108" s="108">
        <f>AG108*'1. Standard_Cost'!$B$27+'Incremental_Cost Year 10'!AH108*'1. Standard_Cost'!$C$27+'Incremental_Cost Year 10'!AI108*'1. Standard_Cost'!$D$27+'Incremental_Cost Year 10'!AJ108+'Incremental_Cost Year 10'!AL108+AK108</f>
        <v>0</v>
      </c>
      <c r="AN108" s="108">
        <f>AM108*'1. Standard_Cost'!$C$31</f>
        <v>0</v>
      </c>
      <c r="AO108" s="125" t="s">
        <v>346</v>
      </c>
      <c r="AQ108" s="14">
        <f t="shared" si="130"/>
        <v>0</v>
      </c>
      <c r="AR108" s="14">
        <f t="shared" si="131"/>
        <v>0</v>
      </c>
      <c r="AS108" s="14">
        <f t="shared" si="132"/>
        <v>0</v>
      </c>
      <c r="AT108" s="14">
        <f t="shared" si="134"/>
        <v>0</v>
      </c>
      <c r="AU108" s="234"/>
      <c r="AV108" s="234"/>
      <c r="AW108" s="234"/>
      <c r="AX108" s="234"/>
      <c r="AY108" s="234"/>
      <c r="AZ108" s="234"/>
      <c r="BA108" s="234"/>
      <c r="BB108" s="16">
        <f t="shared" si="133"/>
        <v>0</v>
      </c>
      <c r="BD108" s="294">
        <f>'Incremental_Cost Year 1'!AV108+'Incremental_Cost Year 2'!AV108+'Incremental_Cost Year 3'!AV108+'Incremental_Cost Year 4'!AV108+'Incremental_Cost Year 5'!AV108+'Incremental_Cost Year 6'!AV108+'Incremental_Cost Year 7'!AV108+'Incremental_Cost Year 8'!AV108+'Incremental_Cost Year 9'!AV108+'Incremental_Cost Year 10'!AV108</f>
        <v>0</v>
      </c>
      <c r="BE108" s="294">
        <f>'Incremental_Cost Year 1'!AW108+'Incremental_Cost Year 2'!AW108+'Incremental_Cost Year 3'!AW108+'Incremental_Cost Year 4'!AW108+'Incremental_Cost Year 5'!AW108+'Incremental_Cost Year 6'!AW108+'Incremental_Cost Year 7'!AW108+'Incremental_Cost Year 8'!AW108+'Incremental_Cost Year 9'!AW108+'Incremental_Cost Year 10'!AW108</f>
        <v>0</v>
      </c>
      <c r="BF108" s="294">
        <f>'Incremental_Cost Year 1'!AX108+'Incremental_Cost Year 2'!AX108+'Incremental_Cost Year 3'!AX108+'Incremental_Cost Year 4'!AX108+'Incremental_Cost Year 5'!AX108+'Incremental_Cost Year 6'!AX108+'Incremental_Cost Year 7'!AX108+'Incremental_Cost Year 8'!AX108+'Incremental_Cost Year 9'!AX108+'Incremental_Cost Year 10'!AX108</f>
        <v>0</v>
      </c>
      <c r="BG108" s="294">
        <f>'Incremental_Cost Year 1'!AY108+'Incremental_Cost Year 2'!AY108+'Incremental_Cost Year 3'!AY108+'Incremental_Cost Year 4'!AY108+'Incremental_Cost Year 5'!AY108+'Incremental_Cost Year 6'!AY108+'Incremental_Cost Year 7'!AY108+'Incremental_Cost Year 8'!AY108+'Incremental_Cost Year 9'!AY108+'Incremental_Cost Year 10'!AY108</f>
        <v>0</v>
      </c>
      <c r="BH108" s="294">
        <f>'Incremental_Cost Year 1'!AZ108+'Incremental_Cost Year 2'!AZ108+'Incremental_Cost Year 3'!AZ108+'Incremental_Cost Year 4'!AZ108+'Incremental_Cost Year 5'!AZ108+'Incremental_Cost Year 6'!AZ108+'Incremental_Cost Year 7'!AZ108+'Incremental_Cost Year 8'!AZ108+'Incremental_Cost Year 9'!AZ108+'Incremental_Cost Year 10'!AZ108</f>
        <v>0</v>
      </c>
      <c r="BI108" s="294">
        <f>'Incremental_Cost Year 1'!BA108+'Incremental_Cost Year 2'!BA108+'Incremental_Cost Year 3'!BA108+'Incremental_Cost Year 4'!BA108+'Incremental_Cost Year 5'!BA108+'Incremental_Cost Year 6'!BA108+'Incremental_Cost Year 7'!BA108+'Incremental_Cost Year 8'!BA108+'Incremental_Cost Year 9'!BA108+'Incremental_Cost Year 10'!BA108</f>
        <v>0</v>
      </c>
      <c r="BJ108" s="294">
        <f t="shared" si="93"/>
        <v>0</v>
      </c>
    </row>
    <row r="109" spans="1:62" ht="15.6" outlineLevel="2">
      <c r="A109" s="98"/>
      <c r="B109" s="102"/>
      <c r="C109" s="23"/>
      <c r="D109" s="269"/>
      <c r="E109" s="269"/>
      <c r="F109" s="269"/>
      <c r="G109" s="174"/>
      <c r="H109" s="272"/>
      <c r="I109" s="258"/>
      <c r="J109" s="259"/>
      <c r="K109" s="259"/>
      <c r="L109" s="106" t="str">
        <f>IF(I109&lt;&gt;0,((VLOOKUP(I109,'1. Standard_Cost'!$B$4:$D$11,2)+VLOOKUP(I109,'1. Standard_Cost'!$B$4:$D$11,3))*J109*K109),"0")</f>
        <v>0</v>
      </c>
      <c r="M109" s="106">
        <f>L109*'1. Standard_Cost'!$F$4</f>
        <v>0</v>
      </c>
      <c r="N109" s="260"/>
      <c r="O109" s="260"/>
      <c r="P109" s="260"/>
      <c r="Q109" s="260"/>
      <c r="R109" s="108">
        <f>'1. Standard_Cost'!$B$15*N109*P109</f>
        <v>0</v>
      </c>
      <c r="S109" s="108">
        <f>N109*O109*P109*'1. Standard_Cost'!$C$15</f>
        <v>0</v>
      </c>
      <c r="T109" s="108">
        <f>N109*P109*Q109*'1. Standard_Cost'!$D$15</f>
        <v>0</v>
      </c>
      <c r="U109" s="108">
        <f>N109*O109*'1. Standard_Cost'!$E$15</f>
        <v>0</v>
      </c>
      <c r="V109" s="260"/>
      <c r="W109" s="260"/>
      <c r="X109" s="260"/>
      <c r="Y109" s="108">
        <f>+V109*((X109*'1. Standard_Cost'!$B$19)+(W109*X109*'1. Standard_Cost'!$C$19))</f>
        <v>0</v>
      </c>
      <c r="Z109" s="260"/>
      <c r="AA109" s="260"/>
      <c r="AB109" s="108">
        <f>+Z109*'1. Standard_Cost'!$B$23+AA109*'1. Standard_Cost'!$C$23</f>
        <v>0</v>
      </c>
      <c r="AC109" s="261"/>
      <c r="AD109" s="262"/>
      <c r="AE109" s="108">
        <f>SUM(AD109,AC109,AB109,Y109,U109,T109,S109,R109)*'1. Standard_Cost'!$B$31</f>
        <v>0</v>
      </c>
      <c r="AF109" s="108">
        <f t="shared" si="129"/>
        <v>0</v>
      </c>
      <c r="AG109" s="260"/>
      <c r="AH109" s="260"/>
      <c r="AI109" s="260"/>
      <c r="AJ109" s="263"/>
      <c r="AK109" s="263"/>
      <c r="AL109" s="263"/>
      <c r="AM109" s="108">
        <f>AG109*'1. Standard_Cost'!$B$27+'Incremental_Cost Year 10'!AH109*'1. Standard_Cost'!$C$27+'Incremental_Cost Year 10'!AI109*'1. Standard_Cost'!$D$27+'Incremental_Cost Year 10'!AJ109+'Incremental_Cost Year 10'!AL109+AK109</f>
        <v>0</v>
      </c>
      <c r="AN109" s="108">
        <f>AM109*'1. Standard_Cost'!$C$31</f>
        <v>0</v>
      </c>
      <c r="AO109" s="125" t="s">
        <v>347</v>
      </c>
      <c r="AQ109" s="14">
        <f t="shared" si="130"/>
        <v>0</v>
      </c>
      <c r="AR109" s="14">
        <f t="shared" si="131"/>
        <v>0</v>
      </c>
      <c r="AS109" s="14">
        <f t="shared" si="132"/>
        <v>0</v>
      </c>
      <c r="AT109" s="14">
        <f t="shared" si="134"/>
        <v>0</v>
      </c>
      <c r="AU109" s="234"/>
      <c r="AV109" s="234"/>
      <c r="AW109" s="234"/>
      <c r="AX109" s="234"/>
      <c r="AY109" s="234"/>
      <c r="AZ109" s="234"/>
      <c r="BA109" s="234"/>
      <c r="BB109" s="16">
        <f t="shared" si="133"/>
        <v>0</v>
      </c>
      <c r="BD109" s="294">
        <f>'Incremental_Cost Year 1'!AV109+'Incremental_Cost Year 2'!AV109+'Incremental_Cost Year 3'!AV109+'Incremental_Cost Year 4'!AV109+'Incremental_Cost Year 5'!AV109+'Incremental_Cost Year 6'!AV109+'Incremental_Cost Year 7'!AV109+'Incremental_Cost Year 8'!AV109+'Incremental_Cost Year 9'!AV109+'Incremental_Cost Year 10'!AV109</f>
        <v>0</v>
      </c>
      <c r="BE109" s="294">
        <f>'Incremental_Cost Year 1'!AW109+'Incremental_Cost Year 2'!AW109+'Incremental_Cost Year 3'!AW109+'Incremental_Cost Year 4'!AW109+'Incremental_Cost Year 5'!AW109+'Incremental_Cost Year 6'!AW109+'Incremental_Cost Year 7'!AW109+'Incremental_Cost Year 8'!AW109+'Incremental_Cost Year 9'!AW109+'Incremental_Cost Year 10'!AW109</f>
        <v>0</v>
      </c>
      <c r="BF109" s="294">
        <f>'Incremental_Cost Year 1'!AX109+'Incremental_Cost Year 2'!AX109+'Incremental_Cost Year 3'!AX109+'Incremental_Cost Year 4'!AX109+'Incremental_Cost Year 5'!AX109+'Incremental_Cost Year 6'!AX109+'Incremental_Cost Year 7'!AX109+'Incremental_Cost Year 8'!AX109+'Incremental_Cost Year 9'!AX109+'Incremental_Cost Year 10'!AX109</f>
        <v>0</v>
      </c>
      <c r="BG109" s="294">
        <f>'Incremental_Cost Year 1'!AY109+'Incremental_Cost Year 2'!AY109+'Incremental_Cost Year 3'!AY109+'Incremental_Cost Year 4'!AY109+'Incremental_Cost Year 5'!AY109+'Incremental_Cost Year 6'!AY109+'Incremental_Cost Year 7'!AY109+'Incremental_Cost Year 8'!AY109+'Incremental_Cost Year 9'!AY109+'Incremental_Cost Year 10'!AY109</f>
        <v>0</v>
      </c>
      <c r="BH109" s="294">
        <f>'Incremental_Cost Year 1'!AZ109+'Incremental_Cost Year 2'!AZ109+'Incremental_Cost Year 3'!AZ109+'Incremental_Cost Year 4'!AZ109+'Incremental_Cost Year 5'!AZ109+'Incremental_Cost Year 6'!AZ109+'Incremental_Cost Year 7'!AZ109+'Incremental_Cost Year 8'!AZ109+'Incremental_Cost Year 9'!AZ109+'Incremental_Cost Year 10'!AZ109</f>
        <v>0</v>
      </c>
      <c r="BI109" s="294">
        <f>'Incremental_Cost Year 1'!BA109+'Incremental_Cost Year 2'!BA109+'Incremental_Cost Year 3'!BA109+'Incremental_Cost Year 4'!BA109+'Incremental_Cost Year 5'!BA109+'Incremental_Cost Year 6'!BA109+'Incremental_Cost Year 7'!BA109+'Incremental_Cost Year 8'!BA109+'Incremental_Cost Year 9'!BA109+'Incremental_Cost Year 10'!BA109</f>
        <v>0</v>
      </c>
      <c r="BJ109" s="294">
        <f t="shared" si="93"/>
        <v>0</v>
      </c>
    </row>
    <row r="110" spans="1:62" ht="27.6" outlineLevel="2">
      <c r="A110" s="98"/>
      <c r="B110" s="102"/>
      <c r="C110" s="23"/>
      <c r="D110" s="269"/>
      <c r="E110" s="269"/>
      <c r="F110" s="269"/>
      <c r="G110" s="174"/>
      <c r="H110" s="272"/>
      <c r="I110" s="258"/>
      <c r="J110" s="259"/>
      <c r="K110" s="259"/>
      <c r="L110" s="106" t="str">
        <f>IF(I110&lt;&gt;0,((VLOOKUP(I110,'1. Standard_Cost'!$B$4:$D$11,2)+VLOOKUP(I110,'1. Standard_Cost'!$B$4:$D$11,3))*J110*K110),"0")</f>
        <v>0</v>
      </c>
      <c r="M110" s="106">
        <f>L110*'1. Standard_Cost'!$F$4</f>
        <v>0</v>
      </c>
      <c r="N110" s="260"/>
      <c r="O110" s="260"/>
      <c r="P110" s="260"/>
      <c r="Q110" s="260"/>
      <c r="R110" s="108">
        <f>'1. Standard_Cost'!$B$15*N110*P110</f>
        <v>0</v>
      </c>
      <c r="S110" s="108">
        <f>N110*O110*P110*'1. Standard_Cost'!$C$15</f>
        <v>0</v>
      </c>
      <c r="T110" s="108">
        <f>N110*P110*Q110*'1. Standard_Cost'!$D$15</f>
        <v>0</v>
      </c>
      <c r="U110" s="108">
        <f>N110*O110*'1. Standard_Cost'!$E$15</f>
        <v>0</v>
      </c>
      <c r="V110" s="260"/>
      <c r="W110" s="260"/>
      <c r="X110" s="260"/>
      <c r="Y110" s="108">
        <f>+V110*((X110*'1. Standard_Cost'!$B$19)+(W110*X110*'1. Standard_Cost'!$C$19))</f>
        <v>0</v>
      </c>
      <c r="Z110" s="260"/>
      <c r="AA110" s="260"/>
      <c r="AB110" s="108">
        <f>+Z110*'1. Standard_Cost'!$B$23+AA110*'1. Standard_Cost'!$C$23</f>
        <v>0</v>
      </c>
      <c r="AC110" s="261"/>
      <c r="AD110" s="262"/>
      <c r="AE110" s="108">
        <f>SUM(AD110,AC110,AB110,Y110,U110,T110,S110,R110)*'1. Standard_Cost'!$B$31</f>
        <v>0</v>
      </c>
      <c r="AF110" s="108">
        <f t="shared" si="129"/>
        <v>0</v>
      </c>
      <c r="AG110" s="260"/>
      <c r="AH110" s="260"/>
      <c r="AI110" s="260"/>
      <c r="AJ110" s="263"/>
      <c r="AK110" s="263"/>
      <c r="AL110" s="263"/>
      <c r="AM110" s="108">
        <f>AG110*'1. Standard_Cost'!$B$27+'Incremental_Cost Year 10'!AH110*'1. Standard_Cost'!$C$27+'Incremental_Cost Year 10'!AI110*'1. Standard_Cost'!$D$27+'Incremental_Cost Year 10'!AJ110+'Incremental_Cost Year 10'!AL110+AK110</f>
        <v>0</v>
      </c>
      <c r="AN110" s="108">
        <f>AM110*'1. Standard_Cost'!$C$31</f>
        <v>0</v>
      </c>
      <c r="AO110" s="125" t="s">
        <v>348</v>
      </c>
      <c r="AQ110" s="14">
        <f t="shared" si="130"/>
        <v>0</v>
      </c>
      <c r="AR110" s="14">
        <f t="shared" si="131"/>
        <v>0</v>
      </c>
      <c r="AS110" s="14">
        <f t="shared" si="132"/>
        <v>0</v>
      </c>
      <c r="AT110" s="14">
        <f t="shared" si="134"/>
        <v>0</v>
      </c>
      <c r="AU110" s="234"/>
      <c r="AV110" s="234"/>
      <c r="AW110" s="234"/>
      <c r="AX110" s="234"/>
      <c r="AY110" s="234"/>
      <c r="AZ110" s="234"/>
      <c r="BA110" s="234"/>
      <c r="BB110" s="16">
        <f t="shared" si="133"/>
        <v>0</v>
      </c>
      <c r="BD110" s="294">
        <f>'Incremental_Cost Year 1'!AV110+'Incremental_Cost Year 2'!AV110+'Incremental_Cost Year 3'!AV110+'Incremental_Cost Year 4'!AV110+'Incremental_Cost Year 5'!AV110+'Incremental_Cost Year 6'!AV110+'Incremental_Cost Year 7'!AV110+'Incremental_Cost Year 8'!AV110+'Incremental_Cost Year 9'!AV110+'Incremental_Cost Year 10'!AV110</f>
        <v>0</v>
      </c>
      <c r="BE110" s="294">
        <f>'Incremental_Cost Year 1'!AW110+'Incremental_Cost Year 2'!AW110+'Incremental_Cost Year 3'!AW110+'Incremental_Cost Year 4'!AW110+'Incremental_Cost Year 5'!AW110+'Incremental_Cost Year 6'!AW110+'Incremental_Cost Year 7'!AW110+'Incremental_Cost Year 8'!AW110+'Incremental_Cost Year 9'!AW110+'Incremental_Cost Year 10'!AW110</f>
        <v>0</v>
      </c>
      <c r="BF110" s="294">
        <f>'Incremental_Cost Year 1'!AX110+'Incremental_Cost Year 2'!AX110+'Incremental_Cost Year 3'!AX110+'Incremental_Cost Year 4'!AX110+'Incremental_Cost Year 5'!AX110+'Incremental_Cost Year 6'!AX110+'Incremental_Cost Year 7'!AX110+'Incremental_Cost Year 8'!AX110+'Incremental_Cost Year 9'!AX110+'Incremental_Cost Year 10'!AX110</f>
        <v>0</v>
      </c>
      <c r="BG110" s="294">
        <f>'Incremental_Cost Year 1'!AY110+'Incremental_Cost Year 2'!AY110+'Incremental_Cost Year 3'!AY110+'Incremental_Cost Year 4'!AY110+'Incremental_Cost Year 5'!AY110+'Incremental_Cost Year 6'!AY110+'Incremental_Cost Year 7'!AY110+'Incremental_Cost Year 8'!AY110+'Incremental_Cost Year 9'!AY110+'Incremental_Cost Year 10'!AY110</f>
        <v>0</v>
      </c>
      <c r="BH110" s="294">
        <f>'Incremental_Cost Year 1'!AZ110+'Incremental_Cost Year 2'!AZ110+'Incremental_Cost Year 3'!AZ110+'Incremental_Cost Year 4'!AZ110+'Incremental_Cost Year 5'!AZ110+'Incremental_Cost Year 6'!AZ110+'Incremental_Cost Year 7'!AZ110+'Incremental_Cost Year 8'!AZ110+'Incremental_Cost Year 9'!AZ110+'Incremental_Cost Year 10'!AZ110</f>
        <v>2427770.5</v>
      </c>
      <c r="BI110" s="294">
        <f>'Incremental_Cost Year 1'!BA110+'Incremental_Cost Year 2'!BA110+'Incremental_Cost Year 3'!BA110+'Incremental_Cost Year 4'!BA110+'Incremental_Cost Year 5'!BA110+'Incremental_Cost Year 6'!BA110+'Incremental_Cost Year 7'!BA110+'Incremental_Cost Year 8'!BA110+'Incremental_Cost Year 9'!BA110+'Incremental_Cost Year 10'!BA110</f>
        <v>0</v>
      </c>
      <c r="BJ110" s="294">
        <f t="shared" si="93"/>
        <v>2427770.5</v>
      </c>
    </row>
    <row r="111" spans="1:62" ht="15.6" outlineLevel="2">
      <c r="A111" s="98"/>
      <c r="B111" s="102"/>
      <c r="C111" s="23"/>
      <c r="D111" s="269"/>
      <c r="E111" s="269"/>
      <c r="F111" s="269"/>
      <c r="G111" s="174"/>
      <c r="H111" s="272"/>
      <c r="I111" s="258"/>
      <c r="J111" s="259"/>
      <c r="K111" s="259"/>
      <c r="L111" s="106" t="str">
        <f>IF(I111&lt;&gt;0,((VLOOKUP(I111,'1. Standard_Cost'!$B$4:$D$11,2)+VLOOKUP(I111,'1. Standard_Cost'!$B$4:$D$11,3))*J111*K111),"0")</f>
        <v>0</v>
      </c>
      <c r="M111" s="106">
        <f>L111*'1. Standard_Cost'!$F$4</f>
        <v>0</v>
      </c>
      <c r="N111" s="260"/>
      <c r="O111" s="260"/>
      <c r="P111" s="260"/>
      <c r="Q111" s="260"/>
      <c r="R111" s="108">
        <f>'1. Standard_Cost'!$B$15*N111*P111</f>
        <v>0</v>
      </c>
      <c r="S111" s="108">
        <f>N111*O111*P111*'1. Standard_Cost'!$C$15</f>
        <v>0</v>
      </c>
      <c r="T111" s="108">
        <f>N111*P111*Q111*'1. Standard_Cost'!$D$15</f>
        <v>0</v>
      </c>
      <c r="U111" s="108">
        <f>N111*O111*'1. Standard_Cost'!$E$15</f>
        <v>0</v>
      </c>
      <c r="V111" s="260"/>
      <c r="W111" s="260"/>
      <c r="X111" s="260"/>
      <c r="Y111" s="108">
        <f>+V111*((X111*'1. Standard_Cost'!$B$19)+(W111*X111*'1. Standard_Cost'!$C$19))</f>
        <v>0</v>
      </c>
      <c r="Z111" s="260"/>
      <c r="AA111" s="260"/>
      <c r="AB111" s="108">
        <f>+Z111*'1. Standard_Cost'!$B$23+AA111*'1. Standard_Cost'!$C$23</f>
        <v>0</v>
      </c>
      <c r="AC111" s="261"/>
      <c r="AD111" s="262"/>
      <c r="AE111" s="108">
        <f>SUM(AD111,AC111,AB111,Y111,U111,T111,S111,R111)*'1. Standard_Cost'!$B$31</f>
        <v>0</v>
      </c>
      <c r="AF111" s="108">
        <f t="shared" si="129"/>
        <v>0</v>
      </c>
      <c r="AG111" s="260"/>
      <c r="AH111" s="260"/>
      <c r="AI111" s="260"/>
      <c r="AJ111" s="263"/>
      <c r="AK111" s="263"/>
      <c r="AL111" s="263"/>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30"/>
        <v>0</v>
      </c>
      <c r="AR111" s="14">
        <f t="shared" si="131"/>
        <v>0</v>
      </c>
      <c r="AS111" s="14">
        <f t="shared" si="132"/>
        <v>0</v>
      </c>
      <c r="AT111" s="14">
        <f t="shared" si="134"/>
        <v>0</v>
      </c>
      <c r="AU111" s="234"/>
      <c r="AV111" s="234"/>
      <c r="AW111" s="234"/>
      <c r="AX111" s="234"/>
      <c r="AY111" s="234"/>
      <c r="AZ111" s="234"/>
      <c r="BA111" s="234"/>
      <c r="BB111" s="16">
        <f t="shared" si="133"/>
        <v>0</v>
      </c>
      <c r="BD111" s="294">
        <f>'Incremental_Cost Year 1'!AV111+'Incremental_Cost Year 2'!AV111+'Incremental_Cost Year 3'!AV111+'Incremental_Cost Year 4'!AV111+'Incremental_Cost Year 5'!AV111+'Incremental_Cost Year 6'!AV111+'Incremental_Cost Year 7'!AV111+'Incremental_Cost Year 8'!AV111+'Incremental_Cost Year 9'!AV111+'Incremental_Cost Year 10'!AV111</f>
        <v>0</v>
      </c>
      <c r="BE111" s="294">
        <f>'Incremental_Cost Year 1'!AW111+'Incremental_Cost Year 2'!AW111+'Incremental_Cost Year 3'!AW111+'Incremental_Cost Year 4'!AW111+'Incremental_Cost Year 5'!AW111+'Incremental_Cost Year 6'!AW111+'Incremental_Cost Year 7'!AW111+'Incremental_Cost Year 8'!AW111+'Incremental_Cost Year 9'!AW111+'Incremental_Cost Year 10'!AW111</f>
        <v>0</v>
      </c>
      <c r="BF111" s="294">
        <f>'Incremental_Cost Year 1'!AX111+'Incremental_Cost Year 2'!AX111+'Incremental_Cost Year 3'!AX111+'Incremental_Cost Year 4'!AX111+'Incremental_Cost Year 5'!AX111+'Incremental_Cost Year 6'!AX111+'Incremental_Cost Year 7'!AX111+'Incremental_Cost Year 8'!AX111+'Incremental_Cost Year 9'!AX111+'Incremental_Cost Year 10'!AX111</f>
        <v>0</v>
      </c>
      <c r="BG111" s="294">
        <f>'Incremental_Cost Year 1'!AY111+'Incremental_Cost Year 2'!AY111+'Incremental_Cost Year 3'!AY111+'Incremental_Cost Year 4'!AY111+'Incremental_Cost Year 5'!AY111+'Incremental_Cost Year 6'!AY111+'Incremental_Cost Year 7'!AY111+'Incremental_Cost Year 8'!AY111+'Incremental_Cost Year 9'!AY111+'Incremental_Cost Year 10'!AY111</f>
        <v>0</v>
      </c>
      <c r="BH111" s="294">
        <f>'Incremental_Cost Year 1'!AZ111+'Incremental_Cost Year 2'!AZ111+'Incremental_Cost Year 3'!AZ111+'Incremental_Cost Year 4'!AZ111+'Incremental_Cost Year 5'!AZ111+'Incremental_Cost Year 6'!AZ111+'Incremental_Cost Year 7'!AZ111+'Incremental_Cost Year 8'!AZ111+'Incremental_Cost Year 9'!AZ111+'Incremental_Cost Year 10'!AZ111</f>
        <v>17685600</v>
      </c>
      <c r="BI111" s="294">
        <f>'Incremental_Cost Year 1'!BA111+'Incremental_Cost Year 2'!BA111+'Incremental_Cost Year 3'!BA111+'Incremental_Cost Year 4'!BA111+'Incremental_Cost Year 5'!BA111+'Incremental_Cost Year 6'!BA111+'Incremental_Cost Year 7'!BA111+'Incremental_Cost Year 8'!BA111+'Incremental_Cost Year 9'!BA111+'Incremental_Cost Year 10'!BA111</f>
        <v>0</v>
      </c>
      <c r="BJ111" s="294">
        <f t="shared" si="93"/>
        <v>17685600</v>
      </c>
    </row>
    <row r="112" spans="1:62" ht="15.6" outlineLevel="2">
      <c r="A112" s="98"/>
      <c r="B112" s="102"/>
      <c r="C112" s="23"/>
      <c r="D112" s="269"/>
      <c r="E112" s="269"/>
      <c r="F112" s="251"/>
      <c r="G112" s="250"/>
      <c r="H112" s="272"/>
      <c r="I112" s="258"/>
      <c r="J112" s="259"/>
      <c r="K112" s="259"/>
      <c r="L112" s="106" t="str">
        <f>IF(I112&lt;&gt;0,((VLOOKUP(I112,'1. Standard_Cost'!$B$4:$D$11,2)+VLOOKUP(I112,'1. Standard_Cost'!$B$4:$D$11,3))*J112*K112),"0")</f>
        <v>0</v>
      </c>
      <c r="M112" s="106">
        <f>L112*'1. Standard_Cost'!$F$4</f>
        <v>0</v>
      </c>
      <c r="N112" s="260"/>
      <c r="O112" s="260"/>
      <c r="P112" s="260"/>
      <c r="Q112" s="260"/>
      <c r="R112" s="108">
        <f>'1. Standard_Cost'!$B$15*N112*P112</f>
        <v>0</v>
      </c>
      <c r="S112" s="108">
        <f>N112*O112*P112*'1. Standard_Cost'!$C$15</f>
        <v>0</v>
      </c>
      <c r="T112" s="108">
        <f>N112*P112*Q112*'1. Standard_Cost'!$D$15</f>
        <v>0</v>
      </c>
      <c r="U112" s="108">
        <f>N112*O112*'1. Standard_Cost'!$E$15</f>
        <v>0</v>
      </c>
      <c r="V112" s="260"/>
      <c r="W112" s="260"/>
      <c r="X112" s="260"/>
      <c r="Y112" s="108">
        <f>+V112*((X112*'1. Standard_Cost'!$B$19)+(W112*X112*'1. Standard_Cost'!$C$19))</f>
        <v>0</v>
      </c>
      <c r="Z112" s="260"/>
      <c r="AA112" s="260"/>
      <c r="AB112" s="108">
        <f>+Z112*'1. Standard_Cost'!$B$23+AA112*'1. Standard_Cost'!$C$23</f>
        <v>0</v>
      </c>
      <c r="AC112" s="261"/>
      <c r="AD112" s="262"/>
      <c r="AE112" s="108">
        <f>SUM(AD112,AC112,AB112,Y112,U112,T112,S112,R112)*'1. Standard_Cost'!$B$31</f>
        <v>0</v>
      </c>
      <c r="AF112" s="108">
        <f t="shared" si="129"/>
        <v>0</v>
      </c>
      <c r="AG112" s="260"/>
      <c r="AH112" s="260"/>
      <c r="AI112" s="260"/>
      <c r="AJ112" s="263"/>
      <c r="AK112" s="263"/>
      <c r="AL112" s="263"/>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30"/>
        <v>0</v>
      </c>
      <c r="AR112" s="14">
        <f t="shared" si="131"/>
        <v>0</v>
      </c>
      <c r="AS112" s="14">
        <f t="shared" si="132"/>
        <v>0</v>
      </c>
      <c r="AT112" s="14">
        <f t="shared" si="134"/>
        <v>0</v>
      </c>
      <c r="AU112" s="234"/>
      <c r="AV112" s="234"/>
      <c r="AW112" s="234"/>
      <c r="AX112" s="234"/>
      <c r="AY112" s="234"/>
      <c r="AZ112" s="234"/>
      <c r="BA112" s="234"/>
      <c r="BB112" s="16">
        <f t="shared" si="133"/>
        <v>0</v>
      </c>
      <c r="BD112" s="294">
        <f>'Incremental_Cost Year 1'!AV112+'Incremental_Cost Year 2'!AV112+'Incremental_Cost Year 3'!AV112+'Incremental_Cost Year 4'!AV112+'Incremental_Cost Year 5'!AV112+'Incremental_Cost Year 6'!AV112+'Incremental_Cost Year 7'!AV112+'Incremental_Cost Year 8'!AV112+'Incremental_Cost Year 9'!AV112+'Incremental_Cost Year 10'!AV112</f>
        <v>0</v>
      </c>
      <c r="BE112" s="294">
        <f>'Incremental_Cost Year 1'!AW112+'Incremental_Cost Year 2'!AW112+'Incremental_Cost Year 3'!AW112+'Incremental_Cost Year 4'!AW112+'Incremental_Cost Year 5'!AW112+'Incremental_Cost Year 6'!AW112+'Incremental_Cost Year 7'!AW112+'Incremental_Cost Year 8'!AW112+'Incremental_Cost Year 9'!AW112+'Incremental_Cost Year 10'!AW112</f>
        <v>0</v>
      </c>
      <c r="BF112" s="294">
        <f>'Incremental_Cost Year 1'!AX112+'Incremental_Cost Year 2'!AX112+'Incremental_Cost Year 3'!AX112+'Incremental_Cost Year 4'!AX112+'Incremental_Cost Year 5'!AX112+'Incremental_Cost Year 6'!AX112+'Incremental_Cost Year 7'!AX112+'Incremental_Cost Year 8'!AX112+'Incremental_Cost Year 9'!AX112+'Incremental_Cost Year 10'!AX112</f>
        <v>0</v>
      </c>
      <c r="BG112" s="294">
        <f>'Incremental_Cost Year 1'!AY112+'Incremental_Cost Year 2'!AY112+'Incremental_Cost Year 3'!AY112+'Incremental_Cost Year 4'!AY112+'Incremental_Cost Year 5'!AY112+'Incremental_Cost Year 6'!AY112+'Incremental_Cost Year 7'!AY112+'Incremental_Cost Year 8'!AY112+'Incremental_Cost Year 9'!AY112+'Incremental_Cost Year 10'!AY112</f>
        <v>0</v>
      </c>
      <c r="BH112" s="294">
        <f>'Incremental_Cost Year 1'!AZ112+'Incremental_Cost Year 2'!AZ112+'Incremental_Cost Year 3'!AZ112+'Incremental_Cost Year 4'!AZ112+'Incremental_Cost Year 5'!AZ112+'Incremental_Cost Year 6'!AZ112+'Incremental_Cost Year 7'!AZ112+'Incremental_Cost Year 8'!AZ112+'Incremental_Cost Year 9'!AZ112+'Incremental_Cost Year 10'!AZ112</f>
        <v>976600</v>
      </c>
      <c r="BI112" s="294">
        <f>'Incremental_Cost Year 1'!BA112+'Incremental_Cost Year 2'!BA112+'Incremental_Cost Year 3'!BA112+'Incremental_Cost Year 4'!BA112+'Incremental_Cost Year 5'!BA112+'Incremental_Cost Year 6'!BA112+'Incremental_Cost Year 7'!BA112+'Incremental_Cost Year 8'!BA112+'Incremental_Cost Year 9'!BA112+'Incremental_Cost Year 10'!BA112</f>
        <v>0</v>
      </c>
      <c r="BJ112" s="294">
        <f t="shared" si="93"/>
        <v>976600</v>
      </c>
    </row>
    <row r="113" spans="1:62" ht="27.6" outlineLevel="1">
      <c r="A113" s="98"/>
      <c r="B113" s="102"/>
      <c r="C113" s="23"/>
      <c r="D113" s="56" t="s">
        <v>47</v>
      </c>
      <c r="E113" s="56" t="s">
        <v>223</v>
      </c>
      <c r="F113" s="253">
        <v>2021</v>
      </c>
      <c r="G113" s="254">
        <v>2026</v>
      </c>
      <c r="H113" s="277" t="s">
        <v>226</v>
      </c>
      <c r="I113" s="264"/>
      <c r="J113" s="264"/>
      <c r="K113" s="264"/>
      <c r="L113" s="113">
        <f>SUM(L102:L112)</f>
        <v>0</v>
      </c>
      <c r="M113" s="113">
        <f>SUM(M102:M112)</f>
        <v>0</v>
      </c>
      <c r="N113" s="264"/>
      <c r="O113" s="264"/>
      <c r="P113" s="264"/>
      <c r="Q113" s="264"/>
      <c r="R113" s="113">
        <f>SUM(R102:R112)</f>
        <v>0</v>
      </c>
      <c r="S113" s="113">
        <f>SUM(S102:S112)</f>
        <v>0</v>
      </c>
      <c r="T113" s="113">
        <f>SUM(T102:T112)</f>
        <v>0</v>
      </c>
      <c r="U113" s="113">
        <f>SUM(U102:U112)</f>
        <v>0</v>
      </c>
      <c r="V113" s="264"/>
      <c r="W113" s="264"/>
      <c r="X113" s="264"/>
      <c r="Y113" s="113">
        <f>SUM(Y102:Y112)</f>
        <v>0</v>
      </c>
      <c r="Z113" s="264"/>
      <c r="AA113" s="264"/>
      <c r="AB113" s="113">
        <f>SUM(AB102:AB112)</f>
        <v>0</v>
      </c>
      <c r="AC113" s="265">
        <f>SUM(AC102:AC112)</f>
        <v>0</v>
      </c>
      <c r="AD113" s="265">
        <f>SUM(AD102:AD112)</f>
        <v>0</v>
      </c>
      <c r="AE113" s="113">
        <f>SUM(AE102:AE112)</f>
        <v>0</v>
      </c>
      <c r="AF113" s="113">
        <f>SUM(AF102:AF112)</f>
        <v>0</v>
      </c>
      <c r="AG113" s="264"/>
      <c r="AH113" s="264"/>
      <c r="AI113" s="264"/>
      <c r="AJ113" s="265">
        <f>SUM(AJ102:AJ112)</f>
        <v>0</v>
      </c>
      <c r="AK113" s="265">
        <f>SUM(AK102:AK112)</f>
        <v>0</v>
      </c>
      <c r="AL113" s="265">
        <f>SUM(AL102:AL112)</f>
        <v>0</v>
      </c>
      <c r="AM113" s="113">
        <f>SUM(AM102:AM112)</f>
        <v>0</v>
      </c>
      <c r="AN113" s="113">
        <f>SUM(AN102:AN112)</f>
        <v>0</v>
      </c>
      <c r="AO113" s="131"/>
      <c r="AP113" s="17"/>
      <c r="AQ113" s="113">
        <f t="shared" ref="AQ113:BB113" si="135">SUM(AQ102:AQ112)</f>
        <v>0</v>
      </c>
      <c r="AR113" s="113">
        <f t="shared" si="135"/>
        <v>0</v>
      </c>
      <c r="AS113" s="113">
        <f t="shared" si="135"/>
        <v>0</v>
      </c>
      <c r="AT113" s="113">
        <f t="shared" si="135"/>
        <v>0</v>
      </c>
      <c r="AU113" s="265">
        <f t="shared" si="135"/>
        <v>0</v>
      </c>
      <c r="AV113" s="265">
        <f t="shared" si="135"/>
        <v>0</v>
      </c>
      <c r="AW113" s="265">
        <f t="shared" si="135"/>
        <v>0</v>
      </c>
      <c r="AX113" s="265">
        <f t="shared" si="135"/>
        <v>0</v>
      </c>
      <c r="AY113" s="265">
        <f t="shared" si="135"/>
        <v>0</v>
      </c>
      <c r="AZ113" s="265">
        <f t="shared" si="135"/>
        <v>0</v>
      </c>
      <c r="BA113" s="265">
        <f t="shared" si="135"/>
        <v>0</v>
      </c>
      <c r="BB113" s="113">
        <f t="shared" si="135"/>
        <v>0</v>
      </c>
      <c r="BJ113" s="294"/>
    </row>
    <row r="114" spans="1:62" ht="15.6" outlineLevel="2">
      <c r="A114" s="98"/>
      <c r="B114" s="102"/>
      <c r="C114" s="23"/>
      <c r="D114" s="257"/>
      <c r="E114" s="257"/>
      <c r="F114" s="257"/>
      <c r="G114" s="257"/>
      <c r="H114" s="272"/>
      <c r="I114" s="258"/>
      <c r="J114" s="259"/>
      <c r="K114" s="259"/>
      <c r="L114" s="106" t="str">
        <f>IF(I114&lt;&gt;0,((VLOOKUP(I114,'1. Standard_Cost'!$B$4:$D$11,2)+VLOOKUP(I114,'1. Standard_Cost'!$B$4:$D$11,3))*J114*K114),"0")</f>
        <v>0</v>
      </c>
      <c r="M114" s="106">
        <f>L114*'1. Standard_Cost'!$F$4</f>
        <v>0</v>
      </c>
      <c r="N114" s="260"/>
      <c r="O114" s="260"/>
      <c r="P114" s="260"/>
      <c r="Q114" s="260"/>
      <c r="R114" s="108">
        <f>'1. Standard_Cost'!$B$15*N114*P114</f>
        <v>0</v>
      </c>
      <c r="S114" s="108">
        <f>N114*O114*P114*'1. Standard_Cost'!$C$15</f>
        <v>0</v>
      </c>
      <c r="T114" s="108">
        <f>N114*P114*Q114*'1. Standard_Cost'!$D$15</f>
        <v>0</v>
      </c>
      <c r="U114" s="108">
        <f>N114*O114*'1. Standard_Cost'!$E$15</f>
        <v>0</v>
      </c>
      <c r="V114" s="260"/>
      <c r="W114" s="260"/>
      <c r="X114" s="260"/>
      <c r="Y114" s="108">
        <f>+V114*((X114*'1. Standard_Cost'!$B$19)+(W114*X114*'1. Standard_Cost'!$C$19))</f>
        <v>0</v>
      </c>
      <c r="Z114" s="260"/>
      <c r="AA114" s="260"/>
      <c r="AB114" s="108">
        <f>+Z114*'1. Standard_Cost'!$B$23+AA114*'1. Standard_Cost'!$C$23</f>
        <v>0</v>
      </c>
      <c r="AC114" s="261"/>
      <c r="AD114" s="262"/>
      <c r="AE114" s="108">
        <f>SUM(AD114,AC114,AB114,Y114,U114,T114,S114,R114)*'1. Standard_Cost'!$B$31</f>
        <v>0</v>
      </c>
      <c r="AF114" s="108">
        <f t="shared" ref="AF114:AF135" si="136">SUM(AE114,AD114,AC114,AB114,Y114,U114,T114,S114,R114)</f>
        <v>0</v>
      </c>
      <c r="AG114" s="260"/>
      <c r="AH114" s="260"/>
      <c r="AI114" s="260"/>
      <c r="AJ114" s="263"/>
      <c r="AK114" s="263"/>
      <c r="AL114" s="263"/>
      <c r="AM114" s="108">
        <f>AG114*'1. Standard_Cost'!$B$27+'Incremental_Cost Year 10'!AH114*'1. Standard_Cost'!$C$27+'Incremental_Cost Year 10'!AI114*'1. Standard_Cost'!$D$27+'Incremental_Cost Year 10'!AJ114+'Incremental_Cost Year 10'!AL114+AK114</f>
        <v>0</v>
      </c>
      <c r="AN114" s="108">
        <f>AM114*'1. Standard_Cost'!$C$31</f>
        <v>0</v>
      </c>
      <c r="AO114" s="125" t="s">
        <v>350</v>
      </c>
      <c r="AQ114" s="14">
        <f t="shared" ref="AQ114:AQ135" si="137">L114+M114</f>
        <v>0</v>
      </c>
      <c r="AR114" s="14">
        <f t="shared" ref="AR114:AR135" si="138">AF114</f>
        <v>0</v>
      </c>
      <c r="AS114" s="14">
        <f t="shared" ref="AS114:AS135" si="139">AM114+AN114</f>
        <v>0</v>
      </c>
      <c r="AT114" s="14">
        <f>SUM(AQ114,AR114,AS114)</f>
        <v>0</v>
      </c>
      <c r="AU114" s="234"/>
      <c r="AV114" s="234"/>
      <c r="AW114" s="234"/>
      <c r="AX114" s="234"/>
      <c r="AY114" s="234"/>
      <c r="AZ114" s="234"/>
      <c r="BA114" s="234"/>
      <c r="BB114" s="16">
        <f t="shared" ref="BB114:BB135" si="140">SUM(AU114:BA114)-AT114</f>
        <v>0</v>
      </c>
      <c r="BD114" s="294">
        <f>'Incremental_Cost Year 1'!AV114+'Incremental_Cost Year 2'!AV114+'Incremental_Cost Year 3'!AV114+'Incremental_Cost Year 4'!AV114+'Incremental_Cost Year 5'!AV114+'Incremental_Cost Year 6'!AV114+'Incremental_Cost Year 7'!AV114+'Incremental_Cost Year 8'!AV114+'Incremental_Cost Year 9'!AV114+'Incremental_Cost Year 10'!AV114</f>
        <v>0</v>
      </c>
      <c r="BE114" s="294">
        <f>'Incremental_Cost Year 1'!AW114+'Incremental_Cost Year 2'!AW114+'Incremental_Cost Year 3'!AW114+'Incremental_Cost Year 4'!AW114+'Incremental_Cost Year 5'!AW114+'Incremental_Cost Year 6'!AW114+'Incremental_Cost Year 7'!AW114+'Incremental_Cost Year 8'!AW114+'Incremental_Cost Year 9'!AW114+'Incremental_Cost Year 10'!AW114</f>
        <v>0</v>
      </c>
      <c r="BF114" s="294">
        <f>'Incremental_Cost Year 1'!AX114+'Incremental_Cost Year 2'!AX114+'Incremental_Cost Year 3'!AX114+'Incremental_Cost Year 4'!AX114+'Incremental_Cost Year 5'!AX114+'Incremental_Cost Year 6'!AX114+'Incremental_Cost Year 7'!AX114+'Incremental_Cost Year 8'!AX114+'Incremental_Cost Year 9'!AX114+'Incremental_Cost Year 10'!AX114</f>
        <v>0</v>
      </c>
      <c r="BG114" s="294">
        <f>'Incremental_Cost Year 1'!AY114+'Incremental_Cost Year 2'!AZ114+'Incremental_Cost Year 3'!AY114+'Incremental_Cost Year 4'!AY114+'Incremental_Cost Year 5'!AY114+'Incremental_Cost Year 6'!AY114+'Incremental_Cost Year 7'!AY114+'Incremental_Cost Year 8'!AY114+'Incremental_Cost Year 9'!AY114+'Incremental_Cost Year 10'!AY114</f>
        <v>0</v>
      </c>
      <c r="BH114" s="294">
        <f>'Incremental_Cost Year 1'!AZ114+'Incremental_Cost Year 2'!BA114+'Incremental_Cost Year 3'!AZ114+'Incremental_Cost Year 4'!AZ114+'Incremental_Cost Year 5'!AZ114+'Incremental_Cost Year 6'!AZ114+'Incremental_Cost Year 7'!AZ114+'Incremental_Cost Year 8'!AZ114+'Incremental_Cost Year 9'!AZ114+'Incremental_Cost Year 10'!AZ114</f>
        <v>0</v>
      </c>
      <c r="BI114" s="294">
        <f>'Incremental_Cost Year 1'!BA114+'Incremental_Cost Year 2'!BA114+'Incremental_Cost Year 3'!BA114+'Incremental_Cost Year 4'!BA114+'Incremental_Cost Year 5'!BA114+'Incremental_Cost Year 6'!BA114+'Incremental_Cost Year 7'!BA114+'Incremental_Cost Year 8'!BA114+'Incremental_Cost Year 9'!BA114+'Incremental_Cost Year 10'!BA114</f>
        <v>0</v>
      </c>
      <c r="BJ114" s="294">
        <f t="shared" si="93"/>
        <v>0</v>
      </c>
    </row>
    <row r="115" spans="1:62" ht="15.6" outlineLevel="2">
      <c r="A115" s="98"/>
      <c r="B115" s="102"/>
      <c r="C115" s="23"/>
      <c r="D115" s="269"/>
      <c r="E115" s="269"/>
      <c r="F115" s="269"/>
      <c r="G115" s="174"/>
      <c r="H115" s="272"/>
      <c r="I115" s="258"/>
      <c r="J115" s="259"/>
      <c r="K115" s="259"/>
      <c r="L115" s="106" t="str">
        <f>IF(I115&lt;&gt;0,((VLOOKUP(I115,'1. Standard_Cost'!$B$4:$D$11,2)+VLOOKUP(I115,'1. Standard_Cost'!$B$4:$D$11,3))*J115*K115),"0")</f>
        <v>0</v>
      </c>
      <c r="M115" s="106">
        <f>L115*'1. Standard_Cost'!$F$4</f>
        <v>0</v>
      </c>
      <c r="N115" s="260"/>
      <c r="O115" s="260"/>
      <c r="P115" s="260"/>
      <c r="Q115" s="260"/>
      <c r="R115" s="108">
        <f>'1. Standard_Cost'!$B$15*N115*P115</f>
        <v>0</v>
      </c>
      <c r="S115" s="108">
        <f>N115*O115*P115*'1. Standard_Cost'!$C$15</f>
        <v>0</v>
      </c>
      <c r="T115" s="108">
        <f>N115*P115*Q115*'1. Standard_Cost'!$D$15</f>
        <v>0</v>
      </c>
      <c r="U115" s="108">
        <f>N115*O115*'1. Standard_Cost'!$E$15</f>
        <v>0</v>
      </c>
      <c r="V115" s="260"/>
      <c r="W115" s="260"/>
      <c r="X115" s="260"/>
      <c r="Y115" s="108">
        <f>+V115*((X115*'1. Standard_Cost'!$B$19)+(W115*X115*'1. Standard_Cost'!$C$19))</f>
        <v>0</v>
      </c>
      <c r="Z115" s="260"/>
      <c r="AA115" s="260"/>
      <c r="AB115" s="108">
        <f>+Z115*'1. Standard_Cost'!$B$23+AA115*'1. Standard_Cost'!$C$23</f>
        <v>0</v>
      </c>
      <c r="AC115" s="261"/>
      <c r="AD115" s="262"/>
      <c r="AE115" s="108">
        <f>SUM(AD115,AC115,AB115,Y115,U115,T115,S115,R115)*'1. Standard_Cost'!$B$31</f>
        <v>0</v>
      </c>
      <c r="AF115" s="108">
        <f t="shared" si="136"/>
        <v>0</v>
      </c>
      <c r="AG115" s="260"/>
      <c r="AH115" s="260"/>
      <c r="AI115" s="260"/>
      <c r="AJ115" s="263"/>
      <c r="AK115" s="263"/>
      <c r="AL115" s="263"/>
      <c r="AM115" s="108">
        <f>AG115*'1. Standard_Cost'!$B$27+'Incremental_Cost Year 10'!AH115*'1. Standard_Cost'!$C$27+'Incremental_Cost Year 10'!AI115*'1. Standard_Cost'!$D$27+'Incremental_Cost Year 10'!AJ115+'Incremental_Cost Year 10'!AL115+AK115</f>
        <v>0</v>
      </c>
      <c r="AN115" s="108">
        <f>AM115*'1. Standard_Cost'!$C$31</f>
        <v>0</v>
      </c>
      <c r="AO115" s="125" t="s">
        <v>349</v>
      </c>
      <c r="AQ115" s="14">
        <f t="shared" si="137"/>
        <v>0</v>
      </c>
      <c r="AR115" s="14">
        <f t="shared" si="138"/>
        <v>0</v>
      </c>
      <c r="AS115" s="14">
        <f t="shared" si="139"/>
        <v>0</v>
      </c>
      <c r="AT115" s="14">
        <f t="shared" ref="AT115:AT135" si="141">SUM(AQ115,AR115,AS115)</f>
        <v>0</v>
      </c>
      <c r="AU115" s="234"/>
      <c r="AV115" s="234"/>
      <c r="AW115" s="234"/>
      <c r="AX115" s="234"/>
      <c r="AY115" s="234"/>
      <c r="AZ115" s="234"/>
      <c r="BA115" s="234"/>
      <c r="BB115" s="16">
        <f t="shared" si="140"/>
        <v>0</v>
      </c>
      <c r="BD115" s="294">
        <f>'Incremental_Cost Year 1'!AV115+'Incremental_Cost Year 2'!AV115+'Incremental_Cost Year 3'!AV115+'Incremental_Cost Year 4'!AV115+'Incremental_Cost Year 5'!AV115+'Incremental_Cost Year 6'!AV115+'Incremental_Cost Year 7'!AV115+'Incremental_Cost Year 8'!AV115+'Incremental_Cost Year 9'!AV115+'Incremental_Cost Year 10'!AV115</f>
        <v>0</v>
      </c>
      <c r="BE115" s="294">
        <f>'Incremental_Cost Year 1'!AW115+'Incremental_Cost Year 2'!AW115+'Incremental_Cost Year 3'!AW115+'Incremental_Cost Year 4'!AW115+'Incremental_Cost Year 5'!AW115+'Incremental_Cost Year 6'!AW115+'Incremental_Cost Year 7'!AW115+'Incremental_Cost Year 8'!AW115+'Incremental_Cost Year 9'!AW115+'Incremental_Cost Year 10'!AW115</f>
        <v>0</v>
      </c>
      <c r="BF115" s="294">
        <f>'Incremental_Cost Year 1'!AX115+'Incremental_Cost Year 2'!AX115+'Incremental_Cost Year 3'!AX115+'Incremental_Cost Year 4'!AX115+'Incremental_Cost Year 5'!AX115+'Incremental_Cost Year 6'!AX115+'Incremental_Cost Year 7'!AX115+'Incremental_Cost Year 8'!AX115+'Incremental_Cost Year 9'!AX115+'Incremental_Cost Year 10'!AX115</f>
        <v>2628000</v>
      </c>
      <c r="BG115" s="294">
        <f>'Incremental_Cost Year 1'!AY115+'Incremental_Cost Year 2'!AZ115+'Incremental_Cost Year 3'!AY115+'Incremental_Cost Year 4'!AY115+'Incremental_Cost Year 5'!AY115+'Incremental_Cost Year 6'!AY115+'Incremental_Cost Year 7'!AY115+'Incremental_Cost Year 8'!AY115+'Incremental_Cost Year 9'!AY115+'Incremental_Cost Year 10'!AY115</f>
        <v>1000000</v>
      </c>
      <c r="BH115" s="294">
        <f>'Incremental_Cost Year 1'!AZ115+'Incremental_Cost Year 2'!BA115+'Incremental_Cost Year 3'!AZ115+'Incremental_Cost Year 4'!AZ115+'Incremental_Cost Year 5'!AZ115+'Incremental_Cost Year 6'!AZ115+'Incremental_Cost Year 7'!AZ115+'Incremental_Cost Year 8'!AZ115+'Incremental_Cost Year 9'!AZ115+'Incremental_Cost Year 10'!AZ115</f>
        <v>9632000</v>
      </c>
      <c r="BI115" s="294">
        <f>'Incremental_Cost Year 1'!BA115+'Incremental_Cost Year 2'!BA115+'Incremental_Cost Year 3'!BA115+'Incremental_Cost Year 4'!BA115+'Incremental_Cost Year 5'!BA115+'Incremental_Cost Year 6'!BA115+'Incremental_Cost Year 7'!BA115+'Incremental_Cost Year 8'!BA115+'Incremental_Cost Year 9'!BA115+'Incremental_Cost Year 10'!BA115</f>
        <v>0</v>
      </c>
      <c r="BJ115" s="294">
        <f t="shared" si="93"/>
        <v>13260000</v>
      </c>
    </row>
    <row r="116" spans="1:62" ht="15.6" outlineLevel="2">
      <c r="A116" s="98"/>
      <c r="B116" s="102"/>
      <c r="C116" s="23"/>
      <c r="D116" s="269"/>
      <c r="E116" s="269"/>
      <c r="F116" s="269"/>
      <c r="G116" s="269"/>
      <c r="H116" s="272"/>
      <c r="I116" s="258"/>
      <c r="J116" s="259"/>
      <c r="K116" s="259"/>
      <c r="L116" s="106" t="str">
        <f>IF(I116&lt;&gt;0,((VLOOKUP(I116,'1. Standard_Cost'!$B$4:$D$11,2)+VLOOKUP(I116,'1. Standard_Cost'!$B$4:$D$11,3))*J116*K116),"0")</f>
        <v>0</v>
      </c>
      <c r="M116" s="106">
        <f>L116*'1. Standard_Cost'!$F$4</f>
        <v>0</v>
      </c>
      <c r="N116" s="260"/>
      <c r="O116" s="260"/>
      <c r="P116" s="260"/>
      <c r="Q116" s="260"/>
      <c r="R116" s="108">
        <f>'1. Standard_Cost'!$B$15*N116*P116</f>
        <v>0</v>
      </c>
      <c r="S116" s="108">
        <f>N116*O116*P116*'1. Standard_Cost'!$C$15</f>
        <v>0</v>
      </c>
      <c r="T116" s="108">
        <f>N116*P116*Q116*'1. Standard_Cost'!$D$15</f>
        <v>0</v>
      </c>
      <c r="U116" s="108">
        <f>N116*O116*'1. Standard_Cost'!$E$15</f>
        <v>0</v>
      </c>
      <c r="V116" s="260"/>
      <c r="W116" s="260"/>
      <c r="X116" s="260"/>
      <c r="Y116" s="108">
        <f>+V116*((X116*'1. Standard_Cost'!$B$19)+(W116*X116*'1. Standard_Cost'!$C$19))</f>
        <v>0</v>
      </c>
      <c r="Z116" s="260"/>
      <c r="AA116" s="260"/>
      <c r="AB116" s="108">
        <f>+Z116*'1. Standard_Cost'!$B$23+AA116*'1. Standard_Cost'!$C$23</f>
        <v>0</v>
      </c>
      <c r="AC116" s="261"/>
      <c r="AD116" s="262"/>
      <c r="AE116" s="108">
        <f>SUM(AD116,AC116,AB116,Y116,U116,T116,S116,R116)*'1. Standard_Cost'!$B$31</f>
        <v>0</v>
      </c>
      <c r="AF116" s="108">
        <f t="shared" si="136"/>
        <v>0</v>
      </c>
      <c r="AG116" s="260"/>
      <c r="AH116" s="260"/>
      <c r="AI116" s="260"/>
      <c r="AJ116" s="263"/>
      <c r="AK116" s="263"/>
      <c r="AL116" s="263"/>
      <c r="AM116" s="108">
        <f>AG116*'1. Standard_Cost'!$B$27+'Incremental_Cost Year 10'!AH116*'1. Standard_Cost'!$C$27+'Incremental_Cost Year 10'!AI116*'1. Standard_Cost'!$D$27+'Incremental_Cost Year 10'!AJ116+'Incremental_Cost Year 10'!AL116+AK116</f>
        <v>0</v>
      </c>
      <c r="AN116" s="108">
        <f>AM116*'1. Standard_Cost'!$C$31</f>
        <v>0</v>
      </c>
      <c r="AO116" s="125" t="s">
        <v>351</v>
      </c>
      <c r="AQ116" s="14">
        <f t="shared" si="137"/>
        <v>0</v>
      </c>
      <c r="AR116" s="14">
        <f t="shared" si="138"/>
        <v>0</v>
      </c>
      <c r="AS116" s="14">
        <f t="shared" si="139"/>
        <v>0</v>
      </c>
      <c r="AT116" s="14">
        <f t="shared" si="141"/>
        <v>0</v>
      </c>
      <c r="AU116" s="234">
        <f>AQ116</f>
        <v>0</v>
      </c>
      <c r="AV116" s="234"/>
      <c r="AW116" s="234"/>
      <c r="AX116" s="234">
        <f>AT116-AU116</f>
        <v>0</v>
      </c>
      <c r="AY116" s="234"/>
      <c r="AZ116" s="234"/>
      <c r="BA116" s="234"/>
      <c r="BB116" s="16">
        <f t="shared" si="140"/>
        <v>0</v>
      </c>
      <c r="BD116" s="294">
        <f>'Incremental_Cost Year 1'!AV116+'Incremental_Cost Year 2'!AV116+'Incremental_Cost Year 3'!AV116+'Incremental_Cost Year 4'!AV116+'Incremental_Cost Year 5'!AV116+'Incremental_Cost Year 6'!AV116+'Incremental_Cost Year 7'!AV116+'Incremental_Cost Year 8'!AV116+'Incremental_Cost Year 9'!AV116+'Incremental_Cost Year 10'!AV116</f>
        <v>0</v>
      </c>
      <c r="BE116" s="294">
        <f>'Incremental_Cost Year 1'!AW116+'Incremental_Cost Year 2'!AW116+'Incremental_Cost Year 3'!AW116+'Incremental_Cost Year 4'!AW116+'Incremental_Cost Year 5'!AW116+'Incremental_Cost Year 6'!AW116+'Incremental_Cost Year 7'!AW116+'Incremental_Cost Year 8'!AW116+'Incremental_Cost Year 9'!AW116+'Incremental_Cost Year 10'!AW116</f>
        <v>0</v>
      </c>
      <c r="BF116" s="294">
        <f>'Incremental_Cost Year 1'!AX116+'Incremental_Cost Year 2'!AX116+'Incremental_Cost Year 3'!AX116+'Incremental_Cost Year 4'!AX116+'Incremental_Cost Year 5'!AX116+'Incremental_Cost Year 6'!AX116+'Incremental_Cost Year 7'!AX116+'Incremental_Cost Year 8'!AX116+'Incremental_Cost Year 9'!AX116+'Incremental_Cost Year 10'!AX116</f>
        <v>4404000</v>
      </c>
      <c r="BG116" s="294">
        <f>'Incremental_Cost Year 1'!AY116+'Incremental_Cost Year 2'!AZ116+'Incremental_Cost Year 3'!AY116+'Incremental_Cost Year 4'!AY116+'Incremental_Cost Year 5'!AY116+'Incremental_Cost Year 6'!AY116+'Incremental_Cost Year 7'!AY116+'Incremental_Cost Year 8'!AY116+'Incremental_Cost Year 9'!AY116+'Incremental_Cost Year 10'!AY116</f>
        <v>0</v>
      </c>
      <c r="BH116" s="294">
        <f>'Incremental_Cost Year 1'!AZ116+'Incremental_Cost Year 2'!BA116+'Incremental_Cost Year 3'!AZ116+'Incremental_Cost Year 4'!AZ116+'Incremental_Cost Year 5'!AZ116+'Incremental_Cost Year 6'!AZ116+'Incremental_Cost Year 7'!AZ116+'Incremental_Cost Year 8'!AZ116+'Incremental_Cost Year 9'!AZ116+'Incremental_Cost Year 10'!AZ116</f>
        <v>0</v>
      </c>
      <c r="BI116" s="294">
        <f>'Incremental_Cost Year 1'!BA116+'Incremental_Cost Year 2'!BA116+'Incremental_Cost Year 3'!BA116+'Incremental_Cost Year 4'!BA116+'Incremental_Cost Year 5'!BA116+'Incremental_Cost Year 6'!BA116+'Incremental_Cost Year 7'!BA116+'Incremental_Cost Year 8'!BA116+'Incremental_Cost Year 9'!BA116+'Incremental_Cost Year 10'!BA116</f>
        <v>0</v>
      </c>
      <c r="BJ116" s="294">
        <f t="shared" si="93"/>
        <v>4404000</v>
      </c>
    </row>
    <row r="117" spans="1:62" ht="15.6" outlineLevel="2">
      <c r="A117" s="98"/>
      <c r="B117" s="102"/>
      <c r="C117" s="23"/>
      <c r="D117" s="269"/>
      <c r="E117" s="269"/>
      <c r="F117" s="269"/>
      <c r="G117" s="269"/>
      <c r="H117" s="272"/>
      <c r="I117" s="258"/>
      <c r="J117" s="259"/>
      <c r="K117" s="259"/>
      <c r="L117" s="106" t="str">
        <f>IF(I117&lt;&gt;0,((VLOOKUP(I117,'1. Standard_Cost'!$B$4:$D$11,2)+VLOOKUP(I117,'1. Standard_Cost'!$B$4:$D$11,3))*J117*K117),"0")</f>
        <v>0</v>
      </c>
      <c r="M117" s="106">
        <f>L117*'1. Standard_Cost'!$F$4</f>
        <v>0</v>
      </c>
      <c r="N117" s="260"/>
      <c r="O117" s="260"/>
      <c r="P117" s="260"/>
      <c r="Q117" s="260"/>
      <c r="R117" s="108">
        <f>'1. Standard_Cost'!$B$15*N117*P117</f>
        <v>0</v>
      </c>
      <c r="S117" s="108">
        <f>N117*O117*P117*'1. Standard_Cost'!$C$15</f>
        <v>0</v>
      </c>
      <c r="T117" s="108">
        <f>N117*P117*Q117*'1. Standard_Cost'!$D$15</f>
        <v>0</v>
      </c>
      <c r="U117" s="108">
        <f>N117*O117*'1. Standard_Cost'!$E$15</f>
        <v>0</v>
      </c>
      <c r="V117" s="260"/>
      <c r="W117" s="260"/>
      <c r="X117" s="260"/>
      <c r="Y117" s="108">
        <f>+V117*((X117*'1. Standard_Cost'!$B$19)+(W117*X117*'1. Standard_Cost'!$C$19))</f>
        <v>0</v>
      </c>
      <c r="Z117" s="260"/>
      <c r="AA117" s="260"/>
      <c r="AB117" s="108">
        <f>+Z117*'1. Standard_Cost'!$B$23+AA117*'1. Standard_Cost'!$C$23</f>
        <v>0</v>
      </c>
      <c r="AC117" s="261"/>
      <c r="AD117" s="262"/>
      <c r="AE117" s="108">
        <f>SUM(AD117,AC117,AB117,Y117,U117,T117,S117,R117)*'1. Standard_Cost'!$B$31</f>
        <v>0</v>
      </c>
      <c r="AF117" s="108">
        <f t="shared" si="136"/>
        <v>0</v>
      </c>
      <c r="AG117" s="260"/>
      <c r="AH117" s="260"/>
      <c r="AI117" s="260"/>
      <c r="AJ117" s="263"/>
      <c r="AK117" s="263"/>
      <c r="AL117" s="263"/>
      <c r="AM117" s="108">
        <f>AG117*'1. Standard_Cost'!$B$27+'Incremental_Cost Year 10'!AH117*'1. Standard_Cost'!$C$27+'Incremental_Cost Year 10'!AI117*'1. Standard_Cost'!$D$27+'Incremental_Cost Year 10'!AJ117+'Incremental_Cost Year 10'!AL117+AK117</f>
        <v>0</v>
      </c>
      <c r="AN117" s="108">
        <f>AM117*'1. Standard_Cost'!$C$31</f>
        <v>0</v>
      </c>
      <c r="AO117" s="125" t="s">
        <v>349</v>
      </c>
      <c r="AQ117" s="14">
        <f t="shared" si="137"/>
        <v>0</v>
      </c>
      <c r="AR117" s="14">
        <f t="shared" si="138"/>
        <v>0</v>
      </c>
      <c r="AS117" s="14">
        <f t="shared" si="139"/>
        <v>0</v>
      </c>
      <c r="AT117" s="14">
        <f t="shared" si="141"/>
        <v>0</v>
      </c>
      <c r="AU117" s="234"/>
      <c r="AV117" s="234"/>
      <c r="AW117" s="234"/>
      <c r="AX117" s="234"/>
      <c r="AY117" s="234"/>
      <c r="AZ117" s="234"/>
      <c r="BA117" s="234"/>
      <c r="BB117" s="16">
        <f t="shared" si="140"/>
        <v>0</v>
      </c>
      <c r="BD117" s="294">
        <f>'Incremental_Cost Year 1'!AV117+'Incremental_Cost Year 2'!AV117+'Incremental_Cost Year 3'!AV117+'Incremental_Cost Year 4'!AV117+'Incremental_Cost Year 5'!AV117+'Incremental_Cost Year 6'!AV117+'Incremental_Cost Year 7'!AV117+'Incremental_Cost Year 8'!AV117+'Incremental_Cost Year 9'!AV117+'Incremental_Cost Year 10'!AV117</f>
        <v>0</v>
      </c>
      <c r="BE117" s="294">
        <f>'Incremental_Cost Year 1'!AW117+'Incremental_Cost Year 2'!AW117+'Incremental_Cost Year 3'!AW117+'Incremental_Cost Year 4'!AW117+'Incremental_Cost Year 5'!AW117+'Incremental_Cost Year 6'!AW117+'Incremental_Cost Year 7'!AW117+'Incremental_Cost Year 8'!AW117+'Incremental_Cost Year 9'!AW117+'Incremental_Cost Year 10'!AW117</f>
        <v>0</v>
      </c>
      <c r="BF117" s="294">
        <f>'Incremental_Cost Year 1'!AX117+'Incremental_Cost Year 2'!AX117+'Incremental_Cost Year 3'!AX117+'Incremental_Cost Year 4'!AX117+'Incremental_Cost Year 5'!AX117+'Incremental_Cost Year 6'!AX117+'Incremental_Cost Year 7'!AX117+'Incremental_Cost Year 8'!AX117+'Incremental_Cost Year 9'!AX117+'Incremental_Cost Year 10'!AX117</f>
        <v>0</v>
      </c>
      <c r="BG117" s="294">
        <f>'Incremental_Cost Year 1'!AY117+'Incremental_Cost Year 2'!AZ117+'Incremental_Cost Year 3'!AY117+'Incremental_Cost Year 4'!AY117+'Incremental_Cost Year 5'!AY117+'Incremental_Cost Year 6'!AY117+'Incremental_Cost Year 7'!AY117+'Incremental_Cost Year 8'!AY117+'Incremental_Cost Year 9'!AY117+'Incremental_Cost Year 10'!AY117</f>
        <v>0</v>
      </c>
      <c r="BH117" s="294">
        <f>'Incremental_Cost Year 1'!AZ117+'Incremental_Cost Year 2'!BA117+'Incremental_Cost Year 3'!AZ117+'Incremental_Cost Year 4'!AZ117+'Incremental_Cost Year 5'!AZ117+'Incremental_Cost Year 6'!AZ117+'Incremental_Cost Year 7'!AZ117+'Incremental_Cost Year 8'!AZ117+'Incremental_Cost Year 9'!AZ117+'Incremental_Cost Year 10'!AZ117</f>
        <v>0</v>
      </c>
      <c r="BI117" s="294">
        <f>'Incremental_Cost Year 1'!BA117+'Incremental_Cost Year 2'!BA117+'Incremental_Cost Year 3'!BA117+'Incremental_Cost Year 4'!BA117+'Incremental_Cost Year 5'!BA117+'Incremental_Cost Year 6'!BA117+'Incremental_Cost Year 7'!BA117+'Incremental_Cost Year 8'!BA117+'Incremental_Cost Year 9'!BA117+'Incremental_Cost Year 10'!BA117</f>
        <v>0</v>
      </c>
      <c r="BJ117" s="294">
        <f t="shared" si="93"/>
        <v>0</v>
      </c>
    </row>
    <row r="118" spans="1:62" ht="15.6" outlineLevel="2">
      <c r="A118" s="98"/>
      <c r="B118" s="102"/>
      <c r="C118" s="23"/>
      <c r="D118" s="269"/>
      <c r="E118" s="269"/>
      <c r="F118" s="269"/>
      <c r="G118" s="269"/>
      <c r="H118" s="272"/>
      <c r="I118" s="258"/>
      <c r="J118" s="259"/>
      <c r="K118" s="259"/>
      <c r="L118" s="106" t="str">
        <f>IF(I118&lt;&gt;0,((VLOOKUP(I118,'1. Standard_Cost'!$B$4:$D$11,2)+VLOOKUP(I118,'1. Standard_Cost'!$B$4:$D$11,3))*J118*K118),"0")</f>
        <v>0</v>
      </c>
      <c r="M118" s="106">
        <f>L118*'1. Standard_Cost'!$F$4</f>
        <v>0</v>
      </c>
      <c r="N118" s="260"/>
      <c r="O118" s="260"/>
      <c r="P118" s="260"/>
      <c r="Q118" s="260"/>
      <c r="R118" s="108">
        <f>'1. Standard_Cost'!$B$15*N118*P118</f>
        <v>0</v>
      </c>
      <c r="S118" s="108">
        <f>N118*O118*P118*'1. Standard_Cost'!$C$15</f>
        <v>0</v>
      </c>
      <c r="T118" s="108">
        <f>N118*P118*Q118*'1. Standard_Cost'!$D$15</f>
        <v>0</v>
      </c>
      <c r="U118" s="108">
        <f>N118*O118*'1. Standard_Cost'!$E$15</f>
        <v>0</v>
      </c>
      <c r="V118" s="260"/>
      <c r="W118" s="260"/>
      <c r="X118" s="260"/>
      <c r="Y118" s="108">
        <f>+V118*((X118*'1. Standard_Cost'!$B$19)+(W118*X118*'1. Standard_Cost'!$C$19))</f>
        <v>0</v>
      </c>
      <c r="Z118" s="260"/>
      <c r="AA118" s="260"/>
      <c r="AB118" s="108">
        <f>+Z118*'1. Standard_Cost'!$B$23+AA118*'1. Standard_Cost'!$C$23</f>
        <v>0</v>
      </c>
      <c r="AC118" s="261"/>
      <c r="AD118" s="262"/>
      <c r="AE118" s="108">
        <f>SUM(AD118,AC118,AB118,Y118,U118,T118,S118,R118)*'1. Standard_Cost'!$B$31</f>
        <v>0</v>
      </c>
      <c r="AF118" s="108">
        <f t="shared" si="136"/>
        <v>0</v>
      </c>
      <c r="AG118" s="260"/>
      <c r="AH118" s="260"/>
      <c r="AI118" s="260"/>
      <c r="AJ118" s="263"/>
      <c r="AK118" s="263"/>
      <c r="AL118" s="263"/>
      <c r="AM118" s="108">
        <f>AG118*'1. Standard_Cost'!$B$27+'Incremental_Cost Year 10'!AH118*'1. Standard_Cost'!$C$27+'Incremental_Cost Year 10'!AI118*'1. Standard_Cost'!$D$27+'Incremental_Cost Year 10'!AJ118+'Incremental_Cost Year 10'!AL118+AK118</f>
        <v>0</v>
      </c>
      <c r="AN118" s="108">
        <f>AM118*'1. Standard_Cost'!$C$31</f>
        <v>0</v>
      </c>
      <c r="AO118" s="125" t="s">
        <v>352</v>
      </c>
      <c r="AQ118" s="14">
        <f t="shared" si="137"/>
        <v>0</v>
      </c>
      <c r="AR118" s="14">
        <f t="shared" si="138"/>
        <v>0</v>
      </c>
      <c r="AS118" s="14">
        <f t="shared" si="139"/>
        <v>0</v>
      </c>
      <c r="AT118" s="14">
        <f t="shared" si="141"/>
        <v>0</v>
      </c>
      <c r="AU118" s="234"/>
      <c r="AV118" s="234"/>
      <c r="AW118" s="234"/>
      <c r="AX118" s="234"/>
      <c r="AY118" s="234"/>
      <c r="AZ118" s="234"/>
      <c r="BA118" s="234"/>
      <c r="BB118" s="16">
        <f t="shared" si="140"/>
        <v>0</v>
      </c>
      <c r="BD118" s="294">
        <f>'Incremental_Cost Year 1'!AV118+'Incremental_Cost Year 2'!AV118+'Incremental_Cost Year 3'!AV118+'Incremental_Cost Year 4'!AV118+'Incremental_Cost Year 5'!AV118+'Incremental_Cost Year 6'!AV118+'Incremental_Cost Year 7'!AV118+'Incremental_Cost Year 8'!AV118+'Incremental_Cost Year 9'!AV118+'Incremental_Cost Year 10'!AV118</f>
        <v>0</v>
      </c>
      <c r="BE118" s="294">
        <f>'Incremental_Cost Year 1'!AW118+'Incremental_Cost Year 2'!AW118+'Incremental_Cost Year 3'!AW118+'Incremental_Cost Year 4'!AW118+'Incremental_Cost Year 5'!AW118+'Incremental_Cost Year 6'!AW118+'Incremental_Cost Year 7'!AW118+'Incremental_Cost Year 8'!AW118+'Incremental_Cost Year 9'!AW118+'Incremental_Cost Year 10'!AW118</f>
        <v>0</v>
      </c>
      <c r="BF118" s="294">
        <f>'Incremental_Cost Year 1'!AX118+'Incremental_Cost Year 2'!AX118+'Incremental_Cost Year 3'!AX118+'Incremental_Cost Year 4'!AX118+'Incremental_Cost Year 5'!AX118+'Incremental_Cost Year 6'!AX118+'Incremental_Cost Year 7'!AX118+'Incremental_Cost Year 8'!AX118+'Incremental_Cost Year 9'!AX118+'Incremental_Cost Year 10'!AX118</f>
        <v>0</v>
      </c>
      <c r="BG118" s="294">
        <f>'Incremental_Cost Year 1'!AY118+'Incremental_Cost Year 2'!AZ118+'Incremental_Cost Year 3'!AY118+'Incremental_Cost Year 4'!AY118+'Incremental_Cost Year 5'!AY118+'Incremental_Cost Year 6'!AY118+'Incremental_Cost Year 7'!AY118+'Incremental_Cost Year 8'!AY118+'Incremental_Cost Year 9'!AY118+'Incremental_Cost Year 10'!AY118</f>
        <v>0</v>
      </c>
      <c r="BH118" s="294">
        <f>'Incremental_Cost Year 1'!AZ118+'Incremental_Cost Year 2'!BA118+'Incremental_Cost Year 3'!AZ118+'Incremental_Cost Year 4'!AZ118+'Incremental_Cost Year 5'!AZ118+'Incremental_Cost Year 6'!AZ118+'Incremental_Cost Year 7'!AZ118+'Incremental_Cost Year 8'!AZ118+'Incremental_Cost Year 9'!AZ118+'Incremental_Cost Year 10'!AZ118</f>
        <v>0</v>
      </c>
      <c r="BI118" s="294">
        <f>'Incremental_Cost Year 1'!BA118+'Incremental_Cost Year 2'!BA118+'Incremental_Cost Year 3'!BA118+'Incremental_Cost Year 4'!BA118+'Incremental_Cost Year 5'!BA118+'Incremental_Cost Year 6'!BA118+'Incremental_Cost Year 7'!BA118+'Incremental_Cost Year 8'!BA118+'Incremental_Cost Year 9'!BA118+'Incremental_Cost Year 10'!BA118</f>
        <v>0</v>
      </c>
      <c r="BJ118" s="294">
        <f t="shared" si="93"/>
        <v>0</v>
      </c>
    </row>
    <row r="119" spans="1:62" ht="15.6" outlineLevel="2">
      <c r="A119" s="98"/>
      <c r="B119" s="102"/>
      <c r="C119" s="23"/>
      <c r="D119" s="269"/>
      <c r="E119" s="269"/>
      <c r="F119" s="269"/>
      <c r="G119" s="269"/>
      <c r="H119" s="272"/>
      <c r="I119" s="258"/>
      <c r="J119" s="259"/>
      <c r="K119" s="259"/>
      <c r="L119" s="106" t="str">
        <f>IF(I119&lt;&gt;0,((VLOOKUP(I119,'1. Standard_Cost'!$B$4:$D$11,2)+VLOOKUP(I119,'1. Standard_Cost'!$B$4:$D$11,3))*J119*K119),"0")</f>
        <v>0</v>
      </c>
      <c r="M119" s="106">
        <f>L119*'1. Standard_Cost'!$F$4</f>
        <v>0</v>
      </c>
      <c r="N119" s="260"/>
      <c r="O119" s="260"/>
      <c r="P119" s="260"/>
      <c r="Q119" s="260"/>
      <c r="R119" s="108">
        <f>'1. Standard_Cost'!$B$15*N119*P119</f>
        <v>0</v>
      </c>
      <c r="S119" s="108">
        <f>N119*O119*P119*'1. Standard_Cost'!$C$15</f>
        <v>0</v>
      </c>
      <c r="T119" s="108">
        <f>N119*P119*Q119*'1. Standard_Cost'!$D$15</f>
        <v>0</v>
      </c>
      <c r="U119" s="108">
        <f>N119*O119*'1. Standard_Cost'!$E$15</f>
        <v>0</v>
      </c>
      <c r="V119" s="260"/>
      <c r="W119" s="260"/>
      <c r="X119" s="260"/>
      <c r="Y119" s="108">
        <f>+V119*((X119*'1. Standard_Cost'!$B$19)+(W119*X119*'1. Standard_Cost'!$C$19))</f>
        <v>0</v>
      </c>
      <c r="Z119" s="260"/>
      <c r="AA119" s="260"/>
      <c r="AB119" s="108">
        <f>+Z119*'1. Standard_Cost'!$B$23+AA119*'1. Standard_Cost'!$C$23</f>
        <v>0</v>
      </c>
      <c r="AC119" s="261"/>
      <c r="AD119" s="262"/>
      <c r="AE119" s="108">
        <f>SUM(AD119,AC119,AB119,Y119,U119,T119,S119,R119)*'1. Standard_Cost'!$B$31</f>
        <v>0</v>
      </c>
      <c r="AF119" s="108">
        <f t="shared" si="136"/>
        <v>0</v>
      </c>
      <c r="AG119" s="260"/>
      <c r="AH119" s="260"/>
      <c r="AI119" s="260"/>
      <c r="AJ119" s="263"/>
      <c r="AK119" s="263"/>
      <c r="AL119" s="263"/>
      <c r="AM119" s="108">
        <f>AG119*'1. Standard_Cost'!$B$27+'Incremental_Cost Year 10'!AH119*'1. Standard_Cost'!$C$27+'Incremental_Cost Year 10'!AI119*'1. Standard_Cost'!$D$27+'Incremental_Cost Year 10'!AJ119+'Incremental_Cost Year 10'!AL119+AK119</f>
        <v>0</v>
      </c>
      <c r="AN119" s="108">
        <f>AM119*'1. Standard_Cost'!$C$31</f>
        <v>0</v>
      </c>
      <c r="AO119" s="125" t="s">
        <v>353</v>
      </c>
      <c r="AQ119" s="14">
        <f t="shared" si="137"/>
        <v>0</v>
      </c>
      <c r="AR119" s="14">
        <f t="shared" si="138"/>
        <v>0</v>
      </c>
      <c r="AS119" s="14">
        <f t="shared" si="139"/>
        <v>0</v>
      </c>
      <c r="AT119" s="14">
        <f t="shared" si="141"/>
        <v>0</v>
      </c>
      <c r="AU119" s="234"/>
      <c r="AV119" s="234"/>
      <c r="AW119" s="234"/>
      <c r="AX119" s="234"/>
      <c r="AY119" s="234"/>
      <c r="AZ119" s="234"/>
      <c r="BA119" s="234"/>
      <c r="BB119" s="16">
        <f t="shared" si="140"/>
        <v>0</v>
      </c>
      <c r="BD119" s="294">
        <f>'Incremental_Cost Year 1'!AV119+'Incremental_Cost Year 2'!AV119+'Incremental_Cost Year 3'!AV119+'Incremental_Cost Year 4'!AV119+'Incremental_Cost Year 5'!AV119+'Incremental_Cost Year 6'!AV119+'Incremental_Cost Year 7'!AV119+'Incremental_Cost Year 8'!AV119+'Incremental_Cost Year 9'!AV119+'Incremental_Cost Year 10'!AV119</f>
        <v>0</v>
      </c>
      <c r="BE119" s="294">
        <f>'Incremental_Cost Year 1'!AW119+'Incremental_Cost Year 2'!AW119+'Incremental_Cost Year 3'!AW119+'Incremental_Cost Year 4'!AW119+'Incremental_Cost Year 5'!AW119+'Incremental_Cost Year 6'!AW119+'Incremental_Cost Year 7'!AW119+'Incremental_Cost Year 8'!AW119+'Incremental_Cost Year 9'!AW119+'Incremental_Cost Year 10'!AW119</f>
        <v>0</v>
      </c>
      <c r="BF119" s="294">
        <f>'Incremental_Cost Year 1'!AX119+'Incremental_Cost Year 2'!AX119+'Incremental_Cost Year 3'!AX119+'Incremental_Cost Year 4'!AX119+'Incremental_Cost Year 5'!AX119+'Incremental_Cost Year 6'!AX119+'Incremental_Cost Year 7'!AX119+'Incremental_Cost Year 8'!AX119+'Incremental_Cost Year 9'!AX119+'Incremental_Cost Year 10'!AX119</f>
        <v>0</v>
      </c>
      <c r="BG119" s="294">
        <f>'Incremental_Cost Year 1'!AY119+'Incremental_Cost Year 2'!AZ119+'Incremental_Cost Year 3'!AY119+'Incremental_Cost Year 4'!AY119+'Incremental_Cost Year 5'!AY119+'Incremental_Cost Year 6'!AY119+'Incremental_Cost Year 7'!AY119+'Incremental_Cost Year 8'!AY119+'Incremental_Cost Year 9'!AY119+'Incremental_Cost Year 10'!AY119</f>
        <v>10500000</v>
      </c>
      <c r="BH119" s="294">
        <f>'Incremental_Cost Year 1'!AZ119+'Incremental_Cost Year 2'!BA119+'Incremental_Cost Year 3'!AZ119+'Incremental_Cost Year 4'!AZ119+'Incremental_Cost Year 5'!AZ119+'Incremental_Cost Year 6'!AZ119+'Incremental_Cost Year 7'!AZ119+'Incremental_Cost Year 8'!AZ119+'Incremental_Cost Year 9'!AZ119+'Incremental_Cost Year 10'!AZ119</f>
        <v>0</v>
      </c>
      <c r="BI119" s="294">
        <f>'Incremental_Cost Year 1'!BA119+'Incremental_Cost Year 2'!BA119+'Incremental_Cost Year 3'!BA119+'Incremental_Cost Year 4'!BA119+'Incremental_Cost Year 5'!BA119+'Incremental_Cost Year 6'!BA119+'Incremental_Cost Year 7'!BA119+'Incremental_Cost Year 8'!BA119+'Incremental_Cost Year 9'!BA119+'Incremental_Cost Year 10'!BA119</f>
        <v>0</v>
      </c>
      <c r="BJ119" s="294">
        <f t="shared" si="93"/>
        <v>10500000</v>
      </c>
    </row>
    <row r="120" spans="1:62" ht="27.6" outlineLevel="2">
      <c r="A120" s="98"/>
      <c r="B120" s="102"/>
      <c r="C120" s="23"/>
      <c r="D120" s="269"/>
      <c r="E120" s="269"/>
      <c r="F120" s="269"/>
      <c r="G120" s="269"/>
      <c r="H120" s="272"/>
      <c r="I120" s="258"/>
      <c r="J120" s="259"/>
      <c r="K120" s="259"/>
      <c r="L120" s="106" t="str">
        <f>IF(I120&lt;&gt;0,((VLOOKUP(I120,'1. Standard_Cost'!$B$4:$D$11,2)+VLOOKUP(I120,'1. Standard_Cost'!$B$4:$D$11,3))*J120*K120),"0")</f>
        <v>0</v>
      </c>
      <c r="M120" s="106">
        <f>L120*'1. Standard_Cost'!$F$4</f>
        <v>0</v>
      </c>
      <c r="N120" s="260"/>
      <c r="O120" s="260"/>
      <c r="P120" s="260"/>
      <c r="Q120" s="260"/>
      <c r="R120" s="108">
        <f>'1. Standard_Cost'!$B$15*N120*P120</f>
        <v>0</v>
      </c>
      <c r="S120" s="108">
        <f>N120*O120*P120*'1. Standard_Cost'!$C$15</f>
        <v>0</v>
      </c>
      <c r="T120" s="108">
        <f>N120*P120*Q120*'1. Standard_Cost'!$D$15</f>
        <v>0</v>
      </c>
      <c r="U120" s="108">
        <f>N120*O120*'1. Standard_Cost'!$E$15</f>
        <v>0</v>
      </c>
      <c r="V120" s="260"/>
      <c r="W120" s="260"/>
      <c r="X120" s="260"/>
      <c r="Y120" s="108">
        <f>+V120*((X120*'1. Standard_Cost'!$B$19)+(W120*X120*'1. Standard_Cost'!$C$19))</f>
        <v>0</v>
      </c>
      <c r="Z120" s="260"/>
      <c r="AA120" s="260"/>
      <c r="AB120" s="108">
        <f>+Z120*'1. Standard_Cost'!$B$23+AA120*'1. Standard_Cost'!$C$23</f>
        <v>0</v>
      </c>
      <c r="AC120" s="261"/>
      <c r="AD120" s="262"/>
      <c r="AE120" s="108">
        <f>SUM(AD120,AC120,AB120,Y120,U120,T120,S120,R120)*'1. Standard_Cost'!$B$31</f>
        <v>0</v>
      </c>
      <c r="AF120" s="108">
        <f t="shared" si="136"/>
        <v>0</v>
      </c>
      <c r="AG120" s="260"/>
      <c r="AH120" s="260"/>
      <c r="AI120" s="260"/>
      <c r="AJ120" s="263"/>
      <c r="AK120" s="263"/>
      <c r="AL120" s="263"/>
      <c r="AM120" s="108">
        <f>AG120*'1. Standard_Cost'!$B$27+'Incremental_Cost Year 10'!AH120*'1. Standard_Cost'!$C$27+'Incremental_Cost Year 10'!AI120*'1. Standard_Cost'!$D$27+'Incremental_Cost Year 10'!AJ120+'Incremental_Cost Year 10'!AL120+AK120</f>
        <v>0</v>
      </c>
      <c r="AN120" s="108">
        <f>AM120*'1. Standard_Cost'!$C$31</f>
        <v>0</v>
      </c>
      <c r="AO120" s="125" t="s">
        <v>354</v>
      </c>
      <c r="AQ120" s="14">
        <f t="shared" si="137"/>
        <v>0</v>
      </c>
      <c r="AR120" s="14">
        <f t="shared" si="138"/>
        <v>0</v>
      </c>
      <c r="AS120" s="14">
        <f t="shared" si="139"/>
        <v>0</v>
      </c>
      <c r="AT120" s="14">
        <f t="shared" si="141"/>
        <v>0</v>
      </c>
      <c r="AU120" s="234"/>
      <c r="AV120" s="234"/>
      <c r="AW120" s="234"/>
      <c r="AX120" s="234"/>
      <c r="AY120" s="234"/>
      <c r="AZ120" s="234"/>
      <c r="BA120" s="234"/>
      <c r="BB120" s="16">
        <f t="shared" si="140"/>
        <v>0</v>
      </c>
      <c r="BD120" s="294">
        <f>'Incremental_Cost Year 1'!AV120+'Incremental_Cost Year 2'!AV120+'Incremental_Cost Year 3'!AV120+'Incremental_Cost Year 4'!AV120+'Incremental_Cost Year 5'!AV120+'Incremental_Cost Year 6'!AV120+'Incremental_Cost Year 7'!AV120+'Incremental_Cost Year 8'!AV120+'Incremental_Cost Year 9'!AV120+'Incremental_Cost Year 10'!AV120</f>
        <v>0</v>
      </c>
      <c r="BE120" s="294">
        <f>'Incremental_Cost Year 1'!AW120+'Incremental_Cost Year 2'!AW120+'Incremental_Cost Year 3'!AW120+'Incremental_Cost Year 4'!AW120+'Incremental_Cost Year 5'!AW120+'Incremental_Cost Year 6'!AW120+'Incremental_Cost Year 7'!AW120+'Incremental_Cost Year 8'!AW120+'Incremental_Cost Year 9'!AW120+'Incremental_Cost Year 10'!AW120</f>
        <v>0</v>
      </c>
      <c r="BF120" s="294">
        <f>'Incremental_Cost Year 1'!AX120+'Incremental_Cost Year 2'!AX120+'Incremental_Cost Year 3'!AX120+'Incremental_Cost Year 4'!AX120+'Incremental_Cost Year 5'!AX120+'Incremental_Cost Year 6'!AX120+'Incremental_Cost Year 7'!AX120+'Incremental_Cost Year 8'!AX120+'Incremental_Cost Year 9'!AX120+'Incremental_Cost Year 10'!AX120</f>
        <v>0</v>
      </c>
      <c r="BG120" s="294">
        <f>'Incremental_Cost Year 1'!AY120+'Incremental_Cost Year 2'!AZ120+'Incremental_Cost Year 3'!AY120+'Incremental_Cost Year 4'!AY120+'Incremental_Cost Year 5'!AY120+'Incremental_Cost Year 6'!AY120+'Incremental_Cost Year 7'!AY120+'Incremental_Cost Year 8'!AY120+'Incremental_Cost Year 9'!AY120+'Incremental_Cost Year 10'!AY120</f>
        <v>0</v>
      </c>
      <c r="BH120" s="294">
        <f>'Incremental_Cost Year 1'!AZ120+'Incremental_Cost Year 2'!BA120+'Incremental_Cost Year 3'!AZ120+'Incremental_Cost Year 4'!AZ120+'Incremental_Cost Year 5'!AZ120+'Incremental_Cost Year 6'!AZ120+'Incremental_Cost Year 7'!AZ120+'Incremental_Cost Year 8'!AZ120+'Incremental_Cost Year 9'!AZ120+'Incremental_Cost Year 10'!AZ120</f>
        <v>0</v>
      </c>
      <c r="BI120" s="294">
        <f>'Incremental_Cost Year 1'!BA120+'Incremental_Cost Year 2'!BA120+'Incremental_Cost Year 3'!BA120+'Incremental_Cost Year 4'!BA120+'Incremental_Cost Year 5'!BA120+'Incremental_Cost Year 6'!BA120+'Incremental_Cost Year 7'!BA120+'Incremental_Cost Year 8'!BA120+'Incremental_Cost Year 9'!BA120+'Incremental_Cost Year 10'!BA120</f>
        <v>0</v>
      </c>
      <c r="BJ120" s="294">
        <f t="shared" si="93"/>
        <v>0</v>
      </c>
    </row>
    <row r="121" spans="1:62" ht="15.6" outlineLevel="2">
      <c r="A121" s="98"/>
      <c r="B121" s="102"/>
      <c r="C121" s="23"/>
      <c r="D121" s="269"/>
      <c r="E121" s="269"/>
      <c r="F121" s="174"/>
      <c r="G121" s="174"/>
      <c r="H121" s="272"/>
      <c r="I121" s="258"/>
      <c r="J121" s="259"/>
      <c r="K121" s="259"/>
      <c r="L121" s="106" t="str">
        <f>IF(I121&lt;&gt;0,((VLOOKUP(I121,'1. Standard_Cost'!$B$4:$D$11,2)+VLOOKUP(I121,'1. Standard_Cost'!$B$4:$D$11,3))*J121*K121),"0")</f>
        <v>0</v>
      </c>
      <c r="M121" s="106">
        <f>L121*'1. Standard_Cost'!$F$4</f>
        <v>0</v>
      </c>
      <c r="N121" s="260"/>
      <c r="O121" s="260"/>
      <c r="P121" s="260"/>
      <c r="Q121" s="260"/>
      <c r="R121" s="108">
        <f>'1. Standard_Cost'!$B$15*N121*P121</f>
        <v>0</v>
      </c>
      <c r="S121" s="108">
        <f>N121*O121*P121*'1. Standard_Cost'!$C$15</f>
        <v>0</v>
      </c>
      <c r="T121" s="108">
        <f>N121*P121*Q121*'1. Standard_Cost'!$D$15</f>
        <v>0</v>
      </c>
      <c r="U121" s="108">
        <f>N121*O121*'1. Standard_Cost'!$E$15</f>
        <v>0</v>
      </c>
      <c r="V121" s="260"/>
      <c r="W121" s="260"/>
      <c r="X121" s="260"/>
      <c r="Y121" s="108">
        <f>+V121*((X121*'1. Standard_Cost'!$B$19)+(W121*X121*'1. Standard_Cost'!$C$19))</f>
        <v>0</v>
      </c>
      <c r="Z121" s="260"/>
      <c r="AA121" s="260"/>
      <c r="AB121" s="108">
        <f>+Z121*'1. Standard_Cost'!$B$23+AA121*'1. Standard_Cost'!$C$23</f>
        <v>0</v>
      </c>
      <c r="AC121" s="261"/>
      <c r="AD121" s="262"/>
      <c r="AE121" s="108">
        <f>SUM(AD121,AC121,AB121,Y121,U121,T121,S121,R121)*'1. Standard_Cost'!$B$31</f>
        <v>0</v>
      </c>
      <c r="AF121" s="108">
        <f t="shared" si="136"/>
        <v>0</v>
      </c>
      <c r="AG121" s="260"/>
      <c r="AH121" s="260"/>
      <c r="AI121" s="260"/>
      <c r="AJ121" s="263"/>
      <c r="AK121" s="263"/>
      <c r="AL121" s="263"/>
      <c r="AM121" s="108">
        <f>AG121*'1. Standard_Cost'!$B$27+'Incremental_Cost Year 10'!AH121*'1. Standard_Cost'!$C$27+'Incremental_Cost Year 10'!AI121*'1. Standard_Cost'!$D$27+'Incremental_Cost Year 10'!AJ121+'Incremental_Cost Year 10'!AL121+AK121</f>
        <v>0</v>
      </c>
      <c r="AN121" s="108">
        <f>AM121*'1. Standard_Cost'!$C$31</f>
        <v>0</v>
      </c>
      <c r="AO121" s="125" t="s">
        <v>335</v>
      </c>
      <c r="AQ121" s="14">
        <f t="shared" si="137"/>
        <v>0</v>
      </c>
      <c r="AR121" s="14">
        <f t="shared" si="138"/>
        <v>0</v>
      </c>
      <c r="AS121" s="14">
        <f t="shared" si="139"/>
        <v>0</v>
      </c>
      <c r="AT121" s="14">
        <f t="shared" si="141"/>
        <v>0</v>
      </c>
      <c r="AU121" s="234"/>
      <c r="AV121" s="234"/>
      <c r="AW121" s="234"/>
      <c r="AX121" s="234"/>
      <c r="AY121" s="234"/>
      <c r="AZ121" s="234"/>
      <c r="BA121" s="234"/>
      <c r="BB121" s="16">
        <f t="shared" si="140"/>
        <v>0</v>
      </c>
      <c r="BD121" s="294">
        <f>'Incremental_Cost Year 1'!AV121+'Incremental_Cost Year 2'!AV121+'Incremental_Cost Year 3'!AV121+'Incremental_Cost Year 4'!AV121+'Incremental_Cost Year 5'!AV121+'Incremental_Cost Year 6'!AV121+'Incremental_Cost Year 7'!AV121+'Incremental_Cost Year 8'!AV121+'Incremental_Cost Year 9'!AV121+'Incremental_Cost Year 10'!AV121</f>
        <v>0</v>
      </c>
      <c r="BE121" s="294">
        <f>'Incremental_Cost Year 1'!AW121+'Incremental_Cost Year 2'!AW121+'Incremental_Cost Year 3'!AW121+'Incremental_Cost Year 4'!AW121+'Incremental_Cost Year 5'!AW121+'Incremental_Cost Year 6'!AW121+'Incremental_Cost Year 7'!AW121+'Incremental_Cost Year 8'!AW121+'Incremental_Cost Year 9'!AW121+'Incremental_Cost Year 10'!AW121</f>
        <v>0</v>
      </c>
      <c r="BF121" s="294">
        <f>'Incremental_Cost Year 1'!AX121+'Incremental_Cost Year 2'!AX121+'Incremental_Cost Year 3'!AX121+'Incremental_Cost Year 4'!AX121+'Incremental_Cost Year 5'!AX121+'Incremental_Cost Year 6'!AX121+'Incremental_Cost Year 7'!AX121+'Incremental_Cost Year 8'!AX121+'Incremental_Cost Year 9'!AX121+'Incremental_Cost Year 10'!AX121</f>
        <v>0</v>
      </c>
      <c r="BG121" s="294">
        <f>'Incremental_Cost Year 1'!AY121+'Incremental_Cost Year 2'!AZ121+'Incremental_Cost Year 3'!AY121+'Incremental_Cost Year 4'!AY121+'Incremental_Cost Year 5'!AY121+'Incremental_Cost Year 6'!AY121+'Incremental_Cost Year 7'!AY121+'Incremental_Cost Year 8'!AY121+'Incremental_Cost Year 9'!AY121+'Incremental_Cost Year 10'!AY121</f>
        <v>600000</v>
      </c>
      <c r="BH121" s="294">
        <f>'Incremental_Cost Year 1'!AZ121+'Incremental_Cost Year 2'!BA121+'Incremental_Cost Year 3'!AZ121+'Incremental_Cost Year 4'!AZ121+'Incremental_Cost Year 5'!AZ121+'Incremental_Cost Year 6'!AZ121+'Incremental_Cost Year 7'!AZ121+'Incremental_Cost Year 8'!AZ121+'Incremental_Cost Year 9'!AZ121+'Incremental_Cost Year 10'!AZ121</f>
        <v>6600000</v>
      </c>
      <c r="BI121" s="294">
        <f>'Incremental_Cost Year 1'!BA121+'Incremental_Cost Year 2'!BA121+'Incremental_Cost Year 3'!BA121+'Incremental_Cost Year 4'!BA121+'Incremental_Cost Year 5'!BA121+'Incremental_Cost Year 6'!BA121+'Incremental_Cost Year 7'!BA121+'Incremental_Cost Year 8'!BA121+'Incremental_Cost Year 9'!BA121+'Incremental_Cost Year 10'!BA121</f>
        <v>0</v>
      </c>
      <c r="BJ121" s="294">
        <f t="shared" si="93"/>
        <v>7200000</v>
      </c>
    </row>
    <row r="122" spans="1:62" ht="41.4" outlineLevel="2">
      <c r="A122" s="98"/>
      <c r="B122" s="102"/>
      <c r="C122" s="23"/>
      <c r="D122" s="269"/>
      <c r="E122" s="269"/>
      <c r="F122" s="269"/>
      <c r="G122" s="269"/>
      <c r="H122" s="272"/>
      <c r="I122" s="258"/>
      <c r="J122" s="259"/>
      <c r="K122" s="259"/>
      <c r="L122" s="106" t="str">
        <f>IF(I122&lt;&gt;0,((VLOOKUP(I122,'1. Standard_Cost'!$B$4:$D$11,2)+VLOOKUP(I122,'1. Standard_Cost'!$B$4:$D$11,3))*J122*K122),"0")</f>
        <v>0</v>
      </c>
      <c r="M122" s="106">
        <f>L122*'1. Standard_Cost'!$F$4</f>
        <v>0</v>
      </c>
      <c r="N122" s="260"/>
      <c r="O122" s="260"/>
      <c r="P122" s="260"/>
      <c r="Q122" s="260"/>
      <c r="R122" s="108">
        <f>'1. Standard_Cost'!$B$15*N122*P122</f>
        <v>0</v>
      </c>
      <c r="S122" s="108">
        <f>N122*O122*P122*'1. Standard_Cost'!$C$15</f>
        <v>0</v>
      </c>
      <c r="T122" s="108">
        <f>N122*P122*Q122*'1. Standard_Cost'!$D$15</f>
        <v>0</v>
      </c>
      <c r="U122" s="108">
        <f>N122*O122*'1. Standard_Cost'!$E$15</f>
        <v>0</v>
      </c>
      <c r="V122" s="260"/>
      <c r="W122" s="260"/>
      <c r="X122" s="260"/>
      <c r="Y122" s="108">
        <f>+V122*((X122*'1. Standard_Cost'!$B$19)+(W122*X122*'1. Standard_Cost'!$C$19))</f>
        <v>0</v>
      </c>
      <c r="Z122" s="260"/>
      <c r="AA122" s="260"/>
      <c r="AB122" s="108">
        <f>+Z122*'1. Standard_Cost'!$B$23+AA122*'1. Standard_Cost'!$C$23</f>
        <v>0</v>
      </c>
      <c r="AC122" s="261"/>
      <c r="AD122" s="262"/>
      <c r="AE122" s="108">
        <f>SUM(AD122,AC122,AB122,Y122,U122,T122,S122,R122)*'1. Standard_Cost'!$B$31</f>
        <v>0</v>
      </c>
      <c r="AF122" s="108">
        <f t="shared" si="136"/>
        <v>0</v>
      </c>
      <c r="AG122" s="260"/>
      <c r="AH122" s="260"/>
      <c r="AI122" s="260"/>
      <c r="AJ122" s="263"/>
      <c r="AK122" s="263"/>
      <c r="AL122" s="263"/>
      <c r="AM122" s="108">
        <f>AG122*'1. Standard_Cost'!$B$27+'Incremental_Cost Year 10'!AH122*'1. Standard_Cost'!$C$27+'Incremental_Cost Year 10'!AI122*'1. Standard_Cost'!$D$27+'Incremental_Cost Year 10'!AJ122+'Incremental_Cost Year 10'!AL122+AK122</f>
        <v>0</v>
      </c>
      <c r="AN122" s="108">
        <f>AM122*'1. Standard_Cost'!$C$31</f>
        <v>0</v>
      </c>
      <c r="AO122" s="125" t="s">
        <v>355</v>
      </c>
      <c r="AQ122" s="14">
        <f t="shared" si="137"/>
        <v>0</v>
      </c>
      <c r="AR122" s="14">
        <f t="shared" si="138"/>
        <v>0</v>
      </c>
      <c r="AS122" s="14">
        <f t="shared" si="139"/>
        <v>0</v>
      </c>
      <c r="AT122" s="14">
        <f t="shared" si="141"/>
        <v>0</v>
      </c>
      <c r="AU122" s="234"/>
      <c r="AV122" s="234"/>
      <c r="AW122" s="234"/>
      <c r="AX122" s="234"/>
      <c r="AY122" s="234"/>
      <c r="AZ122" s="234"/>
      <c r="BA122" s="234"/>
      <c r="BB122" s="16">
        <f t="shared" si="140"/>
        <v>0</v>
      </c>
      <c r="BD122" s="294">
        <f>'Incremental_Cost Year 1'!AV122+'Incremental_Cost Year 2'!AV122+'Incremental_Cost Year 3'!AV122+'Incremental_Cost Year 4'!AV122+'Incremental_Cost Year 5'!AV122+'Incremental_Cost Year 6'!AV122+'Incremental_Cost Year 7'!AV122+'Incremental_Cost Year 8'!AV122+'Incremental_Cost Year 9'!AV122+'Incremental_Cost Year 10'!AV122</f>
        <v>0</v>
      </c>
      <c r="BE122" s="294">
        <f>'Incremental_Cost Year 1'!AW122+'Incremental_Cost Year 2'!AW122+'Incremental_Cost Year 3'!AW122+'Incremental_Cost Year 4'!AW122+'Incremental_Cost Year 5'!AW122+'Incremental_Cost Year 6'!AW122+'Incremental_Cost Year 7'!AW122+'Incremental_Cost Year 8'!AW122+'Incremental_Cost Year 9'!AW122+'Incremental_Cost Year 10'!AW122</f>
        <v>0</v>
      </c>
      <c r="BF122" s="294">
        <f>'Incremental_Cost Year 1'!AX122+'Incremental_Cost Year 2'!AX122+'Incremental_Cost Year 3'!AX122+'Incremental_Cost Year 4'!AX122+'Incremental_Cost Year 5'!AX122+'Incremental_Cost Year 6'!AX122+'Incremental_Cost Year 7'!AX122+'Incremental_Cost Year 8'!AX122+'Incremental_Cost Year 9'!AX122+'Incremental_Cost Year 10'!AX122</f>
        <v>0</v>
      </c>
      <c r="BG122" s="294">
        <f>'Incremental_Cost Year 1'!AY122+'Incremental_Cost Year 2'!AZ122+'Incremental_Cost Year 3'!AY122+'Incremental_Cost Year 4'!AY122+'Incremental_Cost Year 5'!AY122+'Incremental_Cost Year 6'!AY122+'Incremental_Cost Year 7'!AY122+'Incremental_Cost Year 8'!AY122+'Incremental_Cost Year 9'!AY122+'Incremental_Cost Year 10'!AY122</f>
        <v>0</v>
      </c>
      <c r="BH122" s="294">
        <f>'Incremental_Cost Year 1'!AZ122+'Incremental_Cost Year 2'!BA122+'Incremental_Cost Year 3'!AZ122+'Incremental_Cost Year 4'!AZ122+'Incremental_Cost Year 5'!AZ122+'Incremental_Cost Year 6'!AZ122+'Incremental_Cost Year 7'!AZ122+'Incremental_Cost Year 8'!AZ122+'Incremental_Cost Year 9'!AZ122+'Incremental_Cost Year 10'!AZ122</f>
        <v>0</v>
      </c>
      <c r="BI122" s="294">
        <f>'Incremental_Cost Year 1'!BA122+'Incremental_Cost Year 2'!BA122+'Incremental_Cost Year 3'!BA122+'Incremental_Cost Year 4'!BA122+'Incremental_Cost Year 5'!BA122+'Incremental_Cost Year 6'!BA122+'Incremental_Cost Year 7'!BA122+'Incremental_Cost Year 8'!BA122+'Incremental_Cost Year 9'!BA122+'Incremental_Cost Year 10'!BA122</f>
        <v>0</v>
      </c>
      <c r="BJ122" s="294">
        <f t="shared" si="93"/>
        <v>0</v>
      </c>
    </row>
    <row r="123" spans="1:62" ht="27.6" outlineLevel="2">
      <c r="A123" s="98"/>
      <c r="B123" s="102"/>
      <c r="C123" s="23"/>
      <c r="D123" s="269"/>
      <c r="E123" s="269"/>
      <c r="F123" s="269"/>
      <c r="G123" s="174"/>
      <c r="H123" s="272"/>
      <c r="I123" s="258"/>
      <c r="J123" s="259"/>
      <c r="K123" s="259"/>
      <c r="L123" s="106" t="str">
        <f>IF(I123&lt;&gt;0,((VLOOKUP(I123,'1. Standard_Cost'!$B$4:$D$11,2)+VLOOKUP(I123,'1. Standard_Cost'!$B$4:$D$11,3))*J123*K123),"0")</f>
        <v>0</v>
      </c>
      <c r="M123" s="106">
        <f>L123*'1. Standard_Cost'!$F$4</f>
        <v>0</v>
      </c>
      <c r="N123" s="260"/>
      <c r="O123" s="260"/>
      <c r="P123" s="260"/>
      <c r="Q123" s="260"/>
      <c r="R123" s="108">
        <f>'1. Standard_Cost'!$B$15*N123*P123</f>
        <v>0</v>
      </c>
      <c r="S123" s="108">
        <f>N123*O123*P123*'1. Standard_Cost'!$C$15</f>
        <v>0</v>
      </c>
      <c r="T123" s="108">
        <f>N123*P123*Q123*'1. Standard_Cost'!$D$15</f>
        <v>0</v>
      </c>
      <c r="U123" s="108">
        <f>N123*O123*'1. Standard_Cost'!$E$15</f>
        <v>0</v>
      </c>
      <c r="V123" s="260"/>
      <c r="W123" s="260"/>
      <c r="X123" s="260"/>
      <c r="Y123" s="108">
        <f>+V123*((X123*'1. Standard_Cost'!$B$19)+(W123*X123*'1. Standard_Cost'!$C$19))</f>
        <v>0</v>
      </c>
      <c r="Z123" s="260"/>
      <c r="AA123" s="260"/>
      <c r="AB123" s="108">
        <f>+Z123*'1. Standard_Cost'!$B$23+AA123*'1. Standard_Cost'!$C$23</f>
        <v>0</v>
      </c>
      <c r="AC123" s="261"/>
      <c r="AD123" s="262"/>
      <c r="AE123" s="108">
        <f>SUM(AD123,AC123,AB123,Y123,U123,T123,S123,R123)*'1. Standard_Cost'!$B$31</f>
        <v>0</v>
      </c>
      <c r="AF123" s="108">
        <f t="shared" si="136"/>
        <v>0</v>
      </c>
      <c r="AG123" s="260"/>
      <c r="AH123" s="260"/>
      <c r="AI123" s="260"/>
      <c r="AJ123" s="263"/>
      <c r="AK123" s="263"/>
      <c r="AL123" s="263"/>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37"/>
        <v>0</v>
      </c>
      <c r="AR123" s="14">
        <f t="shared" si="138"/>
        <v>0</v>
      </c>
      <c r="AS123" s="14">
        <f t="shared" si="139"/>
        <v>0</v>
      </c>
      <c r="AT123" s="14">
        <f t="shared" si="141"/>
        <v>0</v>
      </c>
      <c r="AU123" s="234"/>
      <c r="AV123" s="234"/>
      <c r="AW123" s="234"/>
      <c r="AX123" s="234"/>
      <c r="AY123" s="234"/>
      <c r="AZ123" s="234"/>
      <c r="BA123" s="234"/>
      <c r="BB123" s="16">
        <f t="shared" si="140"/>
        <v>0</v>
      </c>
      <c r="BD123" s="294">
        <f>'Incremental_Cost Year 1'!AV123+'Incremental_Cost Year 2'!AV123+'Incremental_Cost Year 3'!AV123+'Incremental_Cost Year 4'!AV123+'Incremental_Cost Year 5'!AV123+'Incremental_Cost Year 6'!AV123+'Incremental_Cost Year 7'!AV123+'Incremental_Cost Year 8'!AV123+'Incremental_Cost Year 9'!AV123+'Incremental_Cost Year 10'!AV123</f>
        <v>0</v>
      </c>
      <c r="BE123" s="294">
        <f>'Incremental_Cost Year 1'!AW123+'Incremental_Cost Year 2'!AW123+'Incremental_Cost Year 3'!AW123+'Incremental_Cost Year 4'!AW123+'Incremental_Cost Year 5'!AW123+'Incremental_Cost Year 6'!AW123+'Incremental_Cost Year 7'!AW123+'Incremental_Cost Year 8'!AW123+'Incremental_Cost Year 9'!AW123+'Incremental_Cost Year 10'!AW123</f>
        <v>0</v>
      </c>
      <c r="BF123" s="294">
        <f>'Incremental_Cost Year 1'!AX123+'Incremental_Cost Year 2'!AX123+'Incremental_Cost Year 3'!AX123+'Incremental_Cost Year 4'!AX123+'Incremental_Cost Year 5'!AX123+'Incremental_Cost Year 6'!AX123+'Incremental_Cost Year 7'!AX123+'Incremental_Cost Year 8'!AX123+'Incremental_Cost Year 9'!AX123+'Incremental_Cost Year 10'!AX123</f>
        <v>0</v>
      </c>
      <c r="BG123" s="294">
        <f>'Incremental_Cost Year 1'!AY123+'Incremental_Cost Year 2'!AZ123+'Incremental_Cost Year 3'!AY123+'Incremental_Cost Year 4'!AY123+'Incremental_Cost Year 5'!AY123+'Incremental_Cost Year 6'!AY123+'Incremental_Cost Year 7'!AY123+'Incremental_Cost Year 8'!AY123+'Incremental_Cost Year 9'!AY123+'Incremental_Cost Year 10'!AY123</f>
        <v>0</v>
      </c>
      <c r="BH123" s="294">
        <f>'Incremental_Cost Year 1'!AZ123+'Incremental_Cost Year 2'!BA123+'Incremental_Cost Year 3'!AZ123+'Incremental_Cost Year 4'!AZ123+'Incremental_Cost Year 5'!AZ123+'Incremental_Cost Year 6'!AZ123+'Incremental_Cost Year 7'!AZ123+'Incremental_Cost Year 8'!AZ123+'Incremental_Cost Year 9'!AZ123+'Incremental_Cost Year 10'!AZ123</f>
        <v>0</v>
      </c>
      <c r="BI123" s="294">
        <f>'Incremental_Cost Year 1'!BA123+'Incremental_Cost Year 2'!BA123+'Incremental_Cost Year 3'!BA123+'Incremental_Cost Year 4'!BA123+'Incremental_Cost Year 5'!BA123+'Incremental_Cost Year 6'!BA123+'Incremental_Cost Year 7'!BA123+'Incremental_Cost Year 8'!BA123+'Incremental_Cost Year 9'!BA123+'Incremental_Cost Year 10'!BA123</f>
        <v>0</v>
      </c>
      <c r="BJ123" s="294">
        <f t="shared" si="93"/>
        <v>0</v>
      </c>
    </row>
    <row r="124" spans="1:62" ht="27.6" outlineLevel="2">
      <c r="A124" s="98"/>
      <c r="B124" s="102"/>
      <c r="C124" s="23"/>
      <c r="D124" s="269"/>
      <c r="E124" s="269"/>
      <c r="F124" s="251"/>
      <c r="G124" s="250"/>
      <c r="H124" s="272"/>
      <c r="I124" s="258"/>
      <c r="J124" s="259"/>
      <c r="K124" s="259"/>
      <c r="L124" s="106" t="str">
        <f>IF(I124&lt;&gt;0,((VLOOKUP(I124,'1. Standard_Cost'!$B$4:$D$11,2)+VLOOKUP(I124,'1. Standard_Cost'!$B$4:$D$11,3))*J124*K124),"0")</f>
        <v>0</v>
      </c>
      <c r="M124" s="106">
        <f>L124*'1. Standard_Cost'!$F$4</f>
        <v>0</v>
      </c>
      <c r="N124" s="260"/>
      <c r="O124" s="260"/>
      <c r="P124" s="260"/>
      <c r="Q124" s="260"/>
      <c r="R124" s="108">
        <f>'1. Standard_Cost'!$B$15*N124*P124</f>
        <v>0</v>
      </c>
      <c r="S124" s="108">
        <f>N124*O124*P124*'1. Standard_Cost'!$C$15</f>
        <v>0</v>
      </c>
      <c r="T124" s="108">
        <f>N124*P124*Q124*'1. Standard_Cost'!$D$15</f>
        <v>0</v>
      </c>
      <c r="U124" s="108">
        <f>N124*O124*'1. Standard_Cost'!$E$15</f>
        <v>0</v>
      </c>
      <c r="V124" s="260"/>
      <c r="W124" s="260"/>
      <c r="X124" s="260"/>
      <c r="Y124" s="108">
        <f>+V124*((X124*'1. Standard_Cost'!$B$19)+(W124*X124*'1. Standard_Cost'!$C$19))</f>
        <v>0</v>
      </c>
      <c r="Z124" s="260"/>
      <c r="AA124" s="260"/>
      <c r="AB124" s="108">
        <f>+Z124*'1. Standard_Cost'!$B$23+AA124*'1. Standard_Cost'!$C$23</f>
        <v>0</v>
      </c>
      <c r="AC124" s="261"/>
      <c r="AD124" s="262"/>
      <c r="AE124" s="108">
        <f>SUM(AD124,AC124,AB124,Y124,U124,T124,S124,R124)*'1. Standard_Cost'!$B$31</f>
        <v>0</v>
      </c>
      <c r="AF124" s="108">
        <f t="shared" si="136"/>
        <v>0</v>
      </c>
      <c r="AG124" s="260"/>
      <c r="AH124" s="260"/>
      <c r="AI124" s="260"/>
      <c r="AJ124" s="263"/>
      <c r="AK124" s="263"/>
      <c r="AL124" s="263"/>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37"/>
        <v>0</v>
      </c>
      <c r="AR124" s="14">
        <f t="shared" si="138"/>
        <v>0</v>
      </c>
      <c r="AS124" s="14">
        <f t="shared" si="139"/>
        <v>0</v>
      </c>
      <c r="AT124" s="14">
        <f t="shared" si="141"/>
        <v>0</v>
      </c>
      <c r="AU124" s="234"/>
      <c r="AV124" s="234"/>
      <c r="AW124" s="234"/>
      <c r="AX124" s="234"/>
      <c r="AY124" s="234"/>
      <c r="AZ124" s="234"/>
      <c r="BA124" s="234"/>
      <c r="BB124" s="16">
        <f t="shared" si="140"/>
        <v>0</v>
      </c>
      <c r="BD124" s="294">
        <f>'Incremental_Cost Year 1'!AV124+'Incremental_Cost Year 2'!AV124+'Incremental_Cost Year 3'!AV124+'Incremental_Cost Year 4'!AV124+'Incremental_Cost Year 5'!AV124+'Incremental_Cost Year 6'!AV124+'Incremental_Cost Year 7'!AV124+'Incremental_Cost Year 8'!AV124+'Incremental_Cost Year 9'!AV124+'Incremental_Cost Year 10'!AV124</f>
        <v>0</v>
      </c>
      <c r="BE124" s="294">
        <f>'Incremental_Cost Year 1'!AW124+'Incremental_Cost Year 2'!AW124+'Incremental_Cost Year 3'!AW124+'Incremental_Cost Year 4'!AW124+'Incremental_Cost Year 5'!AW124+'Incremental_Cost Year 6'!AW124+'Incremental_Cost Year 7'!AW124+'Incremental_Cost Year 8'!AW124+'Incremental_Cost Year 9'!AW124+'Incremental_Cost Year 10'!AW124</f>
        <v>0</v>
      </c>
      <c r="BF124" s="294">
        <f>'Incremental_Cost Year 1'!AX124+'Incremental_Cost Year 2'!AX124+'Incremental_Cost Year 3'!AX124+'Incremental_Cost Year 4'!AX124+'Incremental_Cost Year 5'!AX124+'Incremental_Cost Year 6'!AX124+'Incremental_Cost Year 7'!AX124+'Incremental_Cost Year 8'!AX124+'Incremental_Cost Year 9'!AX124+'Incremental_Cost Year 10'!AX124</f>
        <v>0</v>
      </c>
      <c r="BG124" s="294">
        <f>'Incremental_Cost Year 1'!AY124+'Incremental_Cost Year 2'!AZ124+'Incremental_Cost Year 3'!AY124+'Incremental_Cost Year 4'!AY124+'Incremental_Cost Year 5'!AY124+'Incremental_Cost Year 6'!AY124+'Incremental_Cost Year 7'!AY124+'Incremental_Cost Year 8'!AY124+'Incremental_Cost Year 9'!AY124+'Incremental_Cost Year 10'!AY124</f>
        <v>8454000</v>
      </c>
      <c r="BH124" s="294">
        <f>'Incremental_Cost Year 1'!AZ124+'Incremental_Cost Year 2'!BA124+'Incremental_Cost Year 3'!AZ124+'Incremental_Cost Year 4'!AZ124+'Incremental_Cost Year 5'!AZ124+'Incremental_Cost Year 6'!AZ124+'Incremental_Cost Year 7'!AZ124+'Incremental_Cost Year 8'!AZ124+'Incremental_Cost Year 9'!AZ124+'Incremental_Cost Year 10'!AZ124</f>
        <v>2287800</v>
      </c>
      <c r="BI124" s="294">
        <f>'Incremental_Cost Year 1'!BA124+'Incremental_Cost Year 2'!BA124+'Incremental_Cost Year 3'!BA124+'Incremental_Cost Year 4'!BA124+'Incremental_Cost Year 5'!BA124+'Incremental_Cost Year 6'!BA124+'Incremental_Cost Year 7'!BA124+'Incremental_Cost Year 8'!BA124+'Incremental_Cost Year 9'!BA124+'Incremental_Cost Year 10'!BA124</f>
        <v>0</v>
      </c>
      <c r="BJ124" s="294">
        <f t="shared" si="93"/>
        <v>10741800</v>
      </c>
    </row>
    <row r="125" spans="1:62" ht="27.6" outlineLevel="2">
      <c r="A125" s="98"/>
      <c r="B125" s="102"/>
      <c r="C125" s="23"/>
      <c r="D125" s="269"/>
      <c r="E125" s="269"/>
      <c r="F125" s="269"/>
      <c r="G125" s="269"/>
      <c r="H125" s="272"/>
      <c r="I125" s="258"/>
      <c r="J125" s="259"/>
      <c r="K125" s="259"/>
      <c r="L125" s="106" t="str">
        <f>IF(I125&lt;&gt;0,((VLOOKUP(I125,'1. Standard_Cost'!$B$4:$D$11,2)+VLOOKUP(I125,'1. Standard_Cost'!$B$4:$D$11,3))*J125*K125),"0")</f>
        <v>0</v>
      </c>
      <c r="M125" s="106">
        <f>L125*'1. Standard_Cost'!$F$4</f>
        <v>0</v>
      </c>
      <c r="N125" s="260"/>
      <c r="O125" s="260"/>
      <c r="P125" s="260"/>
      <c r="Q125" s="260"/>
      <c r="R125" s="108">
        <f>'1. Standard_Cost'!$B$15*N125*P125</f>
        <v>0</v>
      </c>
      <c r="S125" s="108">
        <f>N125*O125*P125*'1. Standard_Cost'!$C$15</f>
        <v>0</v>
      </c>
      <c r="T125" s="108">
        <f>N125*P125*Q125*'1. Standard_Cost'!$D$15</f>
        <v>0</v>
      </c>
      <c r="U125" s="108">
        <f>N125*O125*'1. Standard_Cost'!$E$15</f>
        <v>0</v>
      </c>
      <c r="V125" s="260"/>
      <c r="W125" s="260"/>
      <c r="X125" s="260"/>
      <c r="Y125" s="108">
        <f>+V125*((X125*'1. Standard_Cost'!$B$19)+(W125*X125*'1. Standard_Cost'!$C$19))</f>
        <v>0</v>
      </c>
      <c r="Z125" s="260"/>
      <c r="AA125" s="260"/>
      <c r="AB125" s="108">
        <f>+Z125*'1. Standard_Cost'!$B$23+AA125*'1. Standard_Cost'!$C$23</f>
        <v>0</v>
      </c>
      <c r="AC125" s="261"/>
      <c r="AD125" s="262"/>
      <c r="AE125" s="108">
        <f>SUM(AD125,AC125,AB125,Y125,U125,T125,S125,R125)*'1. Standard_Cost'!$B$31</f>
        <v>0</v>
      </c>
      <c r="AF125" s="108">
        <f t="shared" si="136"/>
        <v>0</v>
      </c>
      <c r="AG125" s="260"/>
      <c r="AH125" s="260"/>
      <c r="AI125" s="260"/>
      <c r="AJ125" s="263"/>
      <c r="AK125" s="263"/>
      <c r="AL125" s="263"/>
      <c r="AM125" s="108">
        <f>AG125*'1. Standard_Cost'!$B$27+'Incremental_Cost Year 10'!AH125*'1. Standard_Cost'!$C$27+'Incremental_Cost Year 10'!AI125*'1. Standard_Cost'!$D$27+'Incremental_Cost Year 10'!AJ125+'Incremental_Cost Year 10'!AL125+AK125</f>
        <v>0</v>
      </c>
      <c r="AN125" s="108">
        <f>AM125*'1. Standard_Cost'!$C$31</f>
        <v>0</v>
      </c>
      <c r="AO125" s="125" t="s">
        <v>358</v>
      </c>
      <c r="AQ125" s="14">
        <f t="shared" si="137"/>
        <v>0</v>
      </c>
      <c r="AR125" s="14">
        <f t="shared" si="138"/>
        <v>0</v>
      </c>
      <c r="AS125" s="14">
        <f t="shared" si="139"/>
        <v>0</v>
      </c>
      <c r="AT125" s="14">
        <f t="shared" si="141"/>
        <v>0</v>
      </c>
      <c r="AU125" s="234"/>
      <c r="AV125" s="234"/>
      <c r="AW125" s="234"/>
      <c r="AX125" s="234"/>
      <c r="AY125" s="234"/>
      <c r="AZ125" s="234"/>
      <c r="BA125" s="234"/>
      <c r="BB125" s="16">
        <f t="shared" si="140"/>
        <v>0</v>
      </c>
      <c r="BD125" s="294">
        <f>'Incremental_Cost Year 1'!AV125+'Incremental_Cost Year 2'!AV125+'Incremental_Cost Year 3'!AV125+'Incremental_Cost Year 4'!AV125+'Incremental_Cost Year 5'!AV125+'Incremental_Cost Year 6'!AV125+'Incremental_Cost Year 7'!AV125+'Incremental_Cost Year 8'!AV125+'Incremental_Cost Year 9'!AV125+'Incremental_Cost Year 10'!AV125</f>
        <v>0</v>
      </c>
      <c r="BE125" s="294">
        <f>'Incremental_Cost Year 1'!AW125+'Incremental_Cost Year 2'!AW125+'Incremental_Cost Year 3'!AW125+'Incremental_Cost Year 4'!AW125+'Incremental_Cost Year 5'!AW125+'Incremental_Cost Year 6'!AW125+'Incremental_Cost Year 7'!AW125+'Incremental_Cost Year 8'!AW125+'Incremental_Cost Year 9'!AW125+'Incremental_Cost Year 10'!AW125</f>
        <v>0</v>
      </c>
      <c r="BF125" s="294">
        <f>'Incremental_Cost Year 1'!AX125+'Incremental_Cost Year 2'!AX125+'Incremental_Cost Year 3'!AX125+'Incremental_Cost Year 4'!AX125+'Incremental_Cost Year 5'!AX125+'Incremental_Cost Year 6'!AX125+'Incremental_Cost Year 7'!AX125+'Incremental_Cost Year 8'!AX125+'Incremental_Cost Year 9'!AX125+'Incremental_Cost Year 10'!AX125</f>
        <v>0</v>
      </c>
      <c r="BG125" s="294">
        <f>'Incremental_Cost Year 1'!AY125+'Incremental_Cost Year 2'!AZ125+'Incremental_Cost Year 3'!AY125+'Incremental_Cost Year 4'!AY125+'Incremental_Cost Year 5'!AY125+'Incremental_Cost Year 6'!AY125+'Incremental_Cost Year 7'!AY125+'Incremental_Cost Year 8'!AY125+'Incremental_Cost Year 9'!AY125+'Incremental_Cost Year 10'!AY125</f>
        <v>0</v>
      </c>
      <c r="BH125" s="294">
        <f>'Incremental_Cost Year 1'!AZ125+'Incremental_Cost Year 2'!BA125+'Incremental_Cost Year 3'!AZ125+'Incremental_Cost Year 4'!AZ125+'Incremental_Cost Year 5'!AZ125+'Incremental_Cost Year 6'!AZ125+'Incremental_Cost Year 7'!AZ125+'Incremental_Cost Year 8'!AZ125+'Incremental_Cost Year 9'!AZ125+'Incremental_Cost Year 10'!AZ125</f>
        <v>0</v>
      </c>
      <c r="BI125" s="294">
        <f>'Incremental_Cost Year 1'!BA125+'Incremental_Cost Year 2'!BA125+'Incremental_Cost Year 3'!BA125+'Incremental_Cost Year 4'!BA125+'Incremental_Cost Year 5'!BA125+'Incremental_Cost Year 6'!BA125+'Incremental_Cost Year 7'!BA125+'Incremental_Cost Year 8'!BA125+'Incremental_Cost Year 9'!BA125+'Incremental_Cost Year 10'!BA125</f>
        <v>0</v>
      </c>
      <c r="BJ125" s="294">
        <f t="shared" si="93"/>
        <v>0</v>
      </c>
    </row>
    <row r="126" spans="1:62" ht="27.6" outlineLevel="2">
      <c r="A126" s="98"/>
      <c r="B126" s="102"/>
      <c r="C126" s="23"/>
      <c r="D126" s="269"/>
      <c r="E126" s="269"/>
      <c r="F126" s="269"/>
      <c r="G126" s="269"/>
      <c r="H126" s="272"/>
      <c r="I126" s="258"/>
      <c r="J126" s="259"/>
      <c r="K126" s="259"/>
      <c r="L126" s="106" t="str">
        <f>IF(I126&lt;&gt;0,((VLOOKUP(I126,'1. Standard_Cost'!$B$4:$D$11,2)+VLOOKUP(I126,'1. Standard_Cost'!$B$4:$D$11,3))*J126*K126),"0")</f>
        <v>0</v>
      </c>
      <c r="M126" s="106">
        <f>L126*'1. Standard_Cost'!$F$4</f>
        <v>0</v>
      </c>
      <c r="N126" s="260"/>
      <c r="O126" s="260"/>
      <c r="P126" s="260"/>
      <c r="Q126" s="260"/>
      <c r="R126" s="108">
        <f>'1. Standard_Cost'!$B$15*N126*P126</f>
        <v>0</v>
      </c>
      <c r="S126" s="108">
        <f>N126*O126*P126*'1. Standard_Cost'!$C$15</f>
        <v>0</v>
      </c>
      <c r="T126" s="108">
        <f>N126*P126*Q126*'1. Standard_Cost'!$D$15</f>
        <v>0</v>
      </c>
      <c r="U126" s="108">
        <f>N126*O126*'1. Standard_Cost'!$E$15</f>
        <v>0</v>
      </c>
      <c r="V126" s="260"/>
      <c r="W126" s="260"/>
      <c r="X126" s="260"/>
      <c r="Y126" s="108">
        <f>+V126*((X126*'1. Standard_Cost'!$B$19)+(W126*X126*'1. Standard_Cost'!$C$19))</f>
        <v>0</v>
      </c>
      <c r="Z126" s="260"/>
      <c r="AA126" s="260"/>
      <c r="AB126" s="108">
        <f>+Z126*'1. Standard_Cost'!$B$23+AA126*'1. Standard_Cost'!$C$23</f>
        <v>0</v>
      </c>
      <c r="AC126" s="261"/>
      <c r="AD126" s="262"/>
      <c r="AE126" s="108">
        <f>SUM(AD126,AC126,AB126,Y126,U126,T126,S126,R126)*'1. Standard_Cost'!$B$31</f>
        <v>0</v>
      </c>
      <c r="AF126" s="108">
        <f t="shared" si="136"/>
        <v>0</v>
      </c>
      <c r="AG126" s="260"/>
      <c r="AH126" s="260"/>
      <c r="AI126" s="260"/>
      <c r="AJ126" s="263"/>
      <c r="AK126" s="263"/>
      <c r="AL126" s="263"/>
      <c r="AM126" s="108">
        <f>AG126*'1. Standard_Cost'!$B$27+'Incremental_Cost Year 10'!AH126*'1. Standard_Cost'!$C$27+'Incremental_Cost Year 10'!AI126*'1. Standard_Cost'!$D$27+'Incremental_Cost Year 10'!AJ126+'Incremental_Cost Year 10'!AL126+AK126</f>
        <v>0</v>
      </c>
      <c r="AN126" s="108">
        <f>AM126*'1. Standard_Cost'!$C$31</f>
        <v>0</v>
      </c>
      <c r="AO126" s="125" t="s">
        <v>359</v>
      </c>
      <c r="AQ126" s="14">
        <f t="shared" si="137"/>
        <v>0</v>
      </c>
      <c r="AR126" s="14">
        <f t="shared" si="138"/>
        <v>0</v>
      </c>
      <c r="AS126" s="14">
        <f t="shared" si="139"/>
        <v>0</v>
      </c>
      <c r="AT126" s="14">
        <f t="shared" si="141"/>
        <v>0</v>
      </c>
      <c r="AU126" s="234">
        <f>AT126</f>
        <v>0</v>
      </c>
      <c r="AV126" s="234"/>
      <c r="AW126" s="234"/>
      <c r="AX126" s="234"/>
      <c r="AY126" s="234"/>
      <c r="AZ126" s="234"/>
      <c r="BA126" s="234"/>
      <c r="BB126" s="16">
        <f t="shared" si="140"/>
        <v>0</v>
      </c>
      <c r="BD126" s="294">
        <f>'Incremental_Cost Year 1'!AV126+'Incremental_Cost Year 2'!AV126+'Incremental_Cost Year 3'!AV126+'Incremental_Cost Year 4'!AV126+'Incremental_Cost Year 5'!AV126+'Incremental_Cost Year 6'!AV126+'Incremental_Cost Year 7'!AV126+'Incremental_Cost Year 8'!AV126+'Incremental_Cost Year 9'!AV126+'Incremental_Cost Year 10'!AV126</f>
        <v>0</v>
      </c>
      <c r="BE126" s="294">
        <f>'Incremental_Cost Year 1'!AW126+'Incremental_Cost Year 2'!AW126+'Incremental_Cost Year 3'!AW126+'Incremental_Cost Year 4'!AW126+'Incremental_Cost Year 5'!AW126+'Incremental_Cost Year 6'!AW126+'Incremental_Cost Year 7'!AW126+'Incremental_Cost Year 8'!AW126+'Incremental_Cost Year 9'!AW126+'Incremental_Cost Year 10'!AW126</f>
        <v>0</v>
      </c>
      <c r="BF126" s="294">
        <f>'Incremental_Cost Year 1'!AX126+'Incremental_Cost Year 2'!AX126+'Incremental_Cost Year 3'!AX126+'Incremental_Cost Year 4'!AX126+'Incremental_Cost Year 5'!AX126+'Incremental_Cost Year 6'!AX126+'Incremental_Cost Year 7'!AX126+'Incremental_Cost Year 8'!AX126+'Incremental_Cost Year 9'!AX126+'Incremental_Cost Year 10'!AX126</f>
        <v>0</v>
      </c>
      <c r="BG126" s="294">
        <f>'Incremental_Cost Year 1'!AY126+'Incremental_Cost Year 2'!AZ126+'Incremental_Cost Year 3'!AY126+'Incremental_Cost Year 4'!AY126+'Incremental_Cost Year 5'!AY126+'Incremental_Cost Year 6'!AY126+'Incremental_Cost Year 7'!AY126+'Incremental_Cost Year 8'!AY126+'Incremental_Cost Year 9'!AY126+'Incremental_Cost Year 10'!AY126</f>
        <v>0</v>
      </c>
      <c r="BH126" s="294">
        <f>'Incremental_Cost Year 1'!AZ126+'Incremental_Cost Year 2'!BA126+'Incremental_Cost Year 3'!AZ126+'Incremental_Cost Year 4'!AZ126+'Incremental_Cost Year 5'!AZ126+'Incremental_Cost Year 6'!AZ126+'Incremental_Cost Year 7'!AZ126+'Incremental_Cost Year 8'!AZ126+'Incremental_Cost Year 9'!AZ126+'Incremental_Cost Year 10'!AZ126</f>
        <v>0</v>
      </c>
      <c r="BI126" s="294">
        <f>'Incremental_Cost Year 1'!BA126+'Incremental_Cost Year 2'!BA126+'Incremental_Cost Year 3'!BA126+'Incremental_Cost Year 4'!BA126+'Incremental_Cost Year 5'!BA126+'Incremental_Cost Year 6'!BA126+'Incremental_Cost Year 7'!BA126+'Incremental_Cost Year 8'!BA126+'Incremental_Cost Year 9'!BA126+'Incremental_Cost Year 10'!BA126</f>
        <v>0</v>
      </c>
      <c r="BJ126" s="294">
        <f t="shared" si="93"/>
        <v>0</v>
      </c>
    </row>
    <row r="127" spans="1:62" ht="15.6" outlineLevel="2">
      <c r="A127" s="98"/>
      <c r="B127" s="102"/>
      <c r="C127" s="23"/>
      <c r="D127" s="269"/>
      <c r="E127" s="269"/>
      <c r="F127" s="174"/>
      <c r="G127" s="269"/>
      <c r="H127" s="272"/>
      <c r="I127" s="258"/>
      <c r="J127" s="259"/>
      <c r="K127" s="259"/>
      <c r="L127" s="106" t="str">
        <f>IF(I127&lt;&gt;0,((VLOOKUP(I127,'1. Standard_Cost'!$B$4:$D$11,2)+VLOOKUP(I127,'1. Standard_Cost'!$B$4:$D$11,3))*J127*K127),"0")</f>
        <v>0</v>
      </c>
      <c r="M127" s="106">
        <f>L127*'1. Standard_Cost'!$F$4</f>
        <v>0</v>
      </c>
      <c r="N127" s="260"/>
      <c r="O127" s="260"/>
      <c r="P127" s="260"/>
      <c r="Q127" s="260"/>
      <c r="R127" s="108">
        <f>'1. Standard_Cost'!$B$15*N127*P127</f>
        <v>0</v>
      </c>
      <c r="S127" s="108">
        <f>N127*O127*P127*'1. Standard_Cost'!$C$15</f>
        <v>0</v>
      </c>
      <c r="T127" s="108">
        <f>N127*P127*Q127*'1. Standard_Cost'!$D$15</f>
        <v>0</v>
      </c>
      <c r="U127" s="108">
        <f>N127*O127*'1. Standard_Cost'!$E$15</f>
        <v>0</v>
      </c>
      <c r="V127" s="260"/>
      <c r="W127" s="260"/>
      <c r="X127" s="260"/>
      <c r="Y127" s="108">
        <f>+V127*((X127*'1. Standard_Cost'!$B$19)+(W127*X127*'1. Standard_Cost'!$C$19))</f>
        <v>0</v>
      </c>
      <c r="Z127" s="260"/>
      <c r="AA127" s="260"/>
      <c r="AB127" s="108">
        <f>+Z127*'1. Standard_Cost'!$B$23+AA127*'1. Standard_Cost'!$C$23</f>
        <v>0</v>
      </c>
      <c r="AC127" s="261"/>
      <c r="AD127" s="262"/>
      <c r="AE127" s="108">
        <f>SUM(AD127,AC127,AB127,Y127,U127,T127,S127,R127)*'1. Standard_Cost'!$B$31</f>
        <v>0</v>
      </c>
      <c r="AF127" s="108">
        <f t="shared" si="136"/>
        <v>0</v>
      </c>
      <c r="AG127" s="260"/>
      <c r="AH127" s="260"/>
      <c r="AI127" s="260"/>
      <c r="AJ127" s="263"/>
      <c r="AK127" s="263"/>
      <c r="AL127" s="263"/>
      <c r="AM127" s="108">
        <f>AG127*'1. Standard_Cost'!$B$27+'Incremental_Cost Year 10'!AH127*'1. Standard_Cost'!$C$27+'Incremental_Cost Year 10'!AI127*'1. Standard_Cost'!$D$27+'Incremental_Cost Year 10'!AJ127+'Incremental_Cost Year 10'!AL127+AK127</f>
        <v>0</v>
      </c>
      <c r="AN127" s="108">
        <f>AM127*'1. Standard_Cost'!$C$31</f>
        <v>0</v>
      </c>
      <c r="AO127" s="125" t="s">
        <v>349</v>
      </c>
      <c r="AQ127" s="14">
        <f t="shared" si="137"/>
        <v>0</v>
      </c>
      <c r="AR127" s="14">
        <f t="shared" si="138"/>
        <v>0</v>
      </c>
      <c r="AS127" s="14">
        <f t="shared" si="139"/>
        <v>0</v>
      </c>
      <c r="AT127" s="14">
        <f t="shared" si="141"/>
        <v>0</v>
      </c>
      <c r="AU127" s="234">
        <f>AT127</f>
        <v>0</v>
      </c>
      <c r="AV127" s="234"/>
      <c r="AW127" s="234"/>
      <c r="AX127" s="234"/>
      <c r="AY127" s="234"/>
      <c r="AZ127" s="234"/>
      <c r="BA127" s="234"/>
      <c r="BB127" s="16">
        <f t="shared" si="140"/>
        <v>0</v>
      </c>
      <c r="BD127" s="294">
        <f>'Incremental_Cost Year 1'!AV127+'Incremental_Cost Year 2'!AV127+'Incremental_Cost Year 3'!AV127+'Incremental_Cost Year 4'!AV127+'Incremental_Cost Year 5'!AV127+'Incremental_Cost Year 6'!AV127+'Incremental_Cost Year 7'!AV127+'Incremental_Cost Year 8'!AV127+'Incremental_Cost Year 9'!AV127+'Incremental_Cost Year 10'!AV127</f>
        <v>0</v>
      </c>
      <c r="BE127" s="294">
        <f>'Incremental_Cost Year 1'!AW127+'Incremental_Cost Year 2'!AW127+'Incremental_Cost Year 3'!AW127+'Incremental_Cost Year 4'!AW127+'Incremental_Cost Year 5'!AW127+'Incremental_Cost Year 6'!AW127+'Incremental_Cost Year 7'!AW127+'Incremental_Cost Year 8'!AW127+'Incremental_Cost Year 9'!AW127+'Incremental_Cost Year 10'!AW127</f>
        <v>0</v>
      </c>
      <c r="BF127" s="294">
        <f>'Incremental_Cost Year 1'!AX127+'Incremental_Cost Year 2'!AX127+'Incremental_Cost Year 3'!AX127+'Incremental_Cost Year 4'!AX127+'Incremental_Cost Year 5'!AX127+'Incremental_Cost Year 6'!AX127+'Incremental_Cost Year 7'!AX127+'Incremental_Cost Year 8'!AX127+'Incremental_Cost Year 9'!AX127+'Incremental_Cost Year 10'!AX127</f>
        <v>0</v>
      </c>
      <c r="BG127" s="294">
        <f>'Incremental_Cost Year 1'!AY127+'Incremental_Cost Year 2'!AZ127+'Incremental_Cost Year 3'!AY127+'Incremental_Cost Year 4'!AY127+'Incremental_Cost Year 5'!AY127+'Incremental_Cost Year 6'!AY127+'Incremental_Cost Year 7'!AY127+'Incremental_Cost Year 8'!AY127+'Incremental_Cost Year 9'!AY127+'Incremental_Cost Year 10'!AY127</f>
        <v>0</v>
      </c>
      <c r="BH127" s="294">
        <f>'Incremental_Cost Year 1'!AZ127+'Incremental_Cost Year 2'!BA127+'Incremental_Cost Year 3'!AZ127+'Incremental_Cost Year 4'!AZ127+'Incremental_Cost Year 5'!AZ127+'Incremental_Cost Year 6'!AZ127+'Incremental_Cost Year 7'!AZ127+'Incremental_Cost Year 8'!AZ127+'Incremental_Cost Year 9'!AZ127+'Incremental_Cost Year 10'!AZ127</f>
        <v>0</v>
      </c>
      <c r="BI127" s="294">
        <f>'Incremental_Cost Year 1'!BA127+'Incremental_Cost Year 2'!BA127+'Incremental_Cost Year 3'!BA127+'Incremental_Cost Year 4'!BA127+'Incremental_Cost Year 5'!BA127+'Incremental_Cost Year 6'!BA127+'Incremental_Cost Year 7'!BA127+'Incremental_Cost Year 8'!BA127+'Incremental_Cost Year 9'!BA127+'Incremental_Cost Year 10'!BA127</f>
        <v>0</v>
      </c>
      <c r="BJ127" s="294">
        <f t="shared" si="93"/>
        <v>0</v>
      </c>
    </row>
    <row r="128" spans="1:62" ht="15.6" outlineLevel="2">
      <c r="A128" s="98"/>
      <c r="B128" s="102"/>
      <c r="C128" s="23"/>
      <c r="D128" s="269"/>
      <c r="E128" s="269"/>
      <c r="F128" s="174"/>
      <c r="G128" s="174"/>
      <c r="H128" s="272"/>
      <c r="I128" s="258"/>
      <c r="J128" s="259"/>
      <c r="K128" s="259"/>
      <c r="L128" s="106" t="str">
        <f>IF(I128&lt;&gt;0,((VLOOKUP(I128,'1. Standard_Cost'!$B$4:$D$11,2)+VLOOKUP(I128,'1. Standard_Cost'!$B$4:$D$11,3))*J128*K128),"0")</f>
        <v>0</v>
      </c>
      <c r="M128" s="106">
        <f>L128*'1. Standard_Cost'!$F$4</f>
        <v>0</v>
      </c>
      <c r="N128" s="260"/>
      <c r="O128" s="260"/>
      <c r="P128" s="260"/>
      <c r="Q128" s="260"/>
      <c r="R128" s="108">
        <f>'1. Standard_Cost'!$B$15*N128*P128</f>
        <v>0</v>
      </c>
      <c r="S128" s="108">
        <f>N128*O128*P128*'1. Standard_Cost'!$C$15</f>
        <v>0</v>
      </c>
      <c r="T128" s="108">
        <f>N128*P128*Q128*'1. Standard_Cost'!$D$15</f>
        <v>0</v>
      </c>
      <c r="U128" s="108">
        <f>N128*O128*'1. Standard_Cost'!$E$15</f>
        <v>0</v>
      </c>
      <c r="V128" s="260"/>
      <c r="W128" s="260"/>
      <c r="X128" s="260"/>
      <c r="Y128" s="108">
        <f>+V128*((X128*'1. Standard_Cost'!$B$19)+(W128*X128*'1. Standard_Cost'!$C$19))</f>
        <v>0</v>
      </c>
      <c r="Z128" s="260"/>
      <c r="AA128" s="260"/>
      <c r="AB128" s="108">
        <f>+Z128*'1. Standard_Cost'!$B$23+AA128*'1. Standard_Cost'!$C$23</f>
        <v>0</v>
      </c>
      <c r="AC128" s="261"/>
      <c r="AD128" s="262"/>
      <c r="AE128" s="108">
        <f>SUM(AD128,AC128,AB128,Y128,U128,T128,S128,R128)*'1. Standard_Cost'!$B$31</f>
        <v>0</v>
      </c>
      <c r="AF128" s="108">
        <f t="shared" si="136"/>
        <v>0</v>
      </c>
      <c r="AG128" s="260"/>
      <c r="AH128" s="260"/>
      <c r="AI128" s="260"/>
      <c r="AJ128" s="263"/>
      <c r="AK128" s="263"/>
      <c r="AL128" s="263"/>
      <c r="AM128" s="108">
        <f>AG128*'1. Standard_Cost'!$B$27+'Incremental_Cost Year 10'!AH128*'1. Standard_Cost'!$C$27+'Incremental_Cost Year 10'!AI128*'1. Standard_Cost'!$D$27+'Incremental_Cost Year 10'!AJ128+'Incremental_Cost Year 10'!AL128+AK128</f>
        <v>0</v>
      </c>
      <c r="AN128" s="108">
        <f>AM128*'1. Standard_Cost'!$C$31</f>
        <v>0</v>
      </c>
      <c r="AO128" s="125" t="s">
        <v>360</v>
      </c>
      <c r="AQ128" s="14">
        <f t="shared" si="137"/>
        <v>0</v>
      </c>
      <c r="AR128" s="14">
        <f t="shared" si="138"/>
        <v>0</v>
      </c>
      <c r="AS128" s="14">
        <f t="shared" si="139"/>
        <v>0</v>
      </c>
      <c r="AT128" s="14">
        <f t="shared" si="141"/>
        <v>0</v>
      </c>
      <c r="AU128" s="234"/>
      <c r="AV128" s="234"/>
      <c r="AW128" s="234"/>
      <c r="AX128" s="234"/>
      <c r="AY128" s="234"/>
      <c r="AZ128" s="234"/>
      <c r="BA128" s="234"/>
      <c r="BB128" s="16">
        <f t="shared" si="140"/>
        <v>0</v>
      </c>
      <c r="BD128" s="294">
        <f>'Incremental_Cost Year 1'!AV128+'Incremental_Cost Year 2'!AV128+'Incremental_Cost Year 3'!AV128+'Incremental_Cost Year 4'!AV128+'Incremental_Cost Year 5'!AV128+'Incremental_Cost Year 6'!AV128+'Incremental_Cost Year 7'!AV128+'Incremental_Cost Year 8'!AV128+'Incremental_Cost Year 9'!AV128+'Incremental_Cost Year 10'!AV128</f>
        <v>0</v>
      </c>
      <c r="BE128" s="294">
        <f>'Incremental_Cost Year 1'!AW128+'Incremental_Cost Year 2'!AW128+'Incremental_Cost Year 3'!AW128+'Incremental_Cost Year 4'!AW128+'Incremental_Cost Year 5'!AW128+'Incremental_Cost Year 6'!AW128+'Incremental_Cost Year 7'!AW128+'Incremental_Cost Year 8'!AW128+'Incremental_Cost Year 9'!AW128+'Incremental_Cost Year 10'!AW128</f>
        <v>0</v>
      </c>
      <c r="BF128" s="294">
        <f>'Incremental_Cost Year 1'!AX128+'Incremental_Cost Year 2'!AX128+'Incremental_Cost Year 3'!AX128+'Incremental_Cost Year 4'!AX128+'Incremental_Cost Year 5'!AX128+'Incremental_Cost Year 6'!AX128+'Incremental_Cost Year 7'!AX128+'Incremental_Cost Year 8'!AX128+'Incremental_Cost Year 9'!AX128+'Incremental_Cost Year 10'!AX128</f>
        <v>0</v>
      </c>
      <c r="BG128" s="294">
        <f>'Incremental_Cost Year 1'!AY128+'Incremental_Cost Year 2'!AZ128+'Incremental_Cost Year 3'!AY128+'Incremental_Cost Year 4'!AY128+'Incremental_Cost Year 5'!AY128+'Incremental_Cost Year 6'!AY128+'Incremental_Cost Year 7'!AY128+'Incremental_Cost Year 8'!AY128+'Incremental_Cost Year 9'!AY128+'Incremental_Cost Year 10'!AY128</f>
        <v>0</v>
      </c>
      <c r="BH128" s="294">
        <f>'Incremental_Cost Year 1'!AZ128+'Incremental_Cost Year 2'!BA128+'Incremental_Cost Year 3'!AZ128+'Incremental_Cost Year 4'!AZ128+'Incremental_Cost Year 5'!AZ128+'Incremental_Cost Year 6'!AZ128+'Incremental_Cost Year 7'!AZ128+'Incremental_Cost Year 8'!AZ128+'Incremental_Cost Year 9'!AZ128+'Incremental_Cost Year 10'!AZ128</f>
        <v>0</v>
      </c>
      <c r="BI128" s="294">
        <f>'Incremental_Cost Year 1'!BA128+'Incremental_Cost Year 2'!BA128+'Incremental_Cost Year 3'!BA128+'Incremental_Cost Year 4'!BA128+'Incremental_Cost Year 5'!BA128+'Incremental_Cost Year 6'!BA128+'Incremental_Cost Year 7'!BA128+'Incremental_Cost Year 8'!BA128+'Incremental_Cost Year 9'!BA128+'Incremental_Cost Year 10'!BA128</f>
        <v>0</v>
      </c>
      <c r="BJ128" s="294">
        <f t="shared" si="93"/>
        <v>0</v>
      </c>
    </row>
    <row r="129" spans="1:62" ht="93.6" customHeight="1" outlineLevel="2">
      <c r="A129" s="98"/>
      <c r="B129" s="102"/>
      <c r="C129" s="23"/>
      <c r="D129" s="269"/>
      <c r="E129" s="269"/>
      <c r="F129" s="269"/>
      <c r="G129" s="269"/>
      <c r="H129" s="272"/>
      <c r="I129" s="258"/>
      <c r="J129" s="259"/>
      <c r="K129" s="259"/>
      <c r="L129" s="106" t="str">
        <f>IF(I129&lt;&gt;0,((VLOOKUP(I129,'1. Standard_Cost'!$B$4:$D$11,2)+VLOOKUP(I129,'1. Standard_Cost'!$B$4:$D$11,3))*J129*K129),"0")</f>
        <v>0</v>
      </c>
      <c r="M129" s="106">
        <f>L129*'1. Standard_Cost'!$F$4</f>
        <v>0</v>
      </c>
      <c r="N129" s="260"/>
      <c r="O129" s="260"/>
      <c r="P129" s="260"/>
      <c r="Q129" s="260"/>
      <c r="R129" s="108">
        <f>'1. Standard_Cost'!$B$15*N129*P129</f>
        <v>0</v>
      </c>
      <c r="S129" s="108">
        <f>N129*O129*P129*'1. Standard_Cost'!$C$15</f>
        <v>0</v>
      </c>
      <c r="T129" s="108">
        <f>N129*P129*Q129*'1. Standard_Cost'!$D$15</f>
        <v>0</v>
      </c>
      <c r="U129" s="108">
        <f>N129*O129*'1. Standard_Cost'!$E$15</f>
        <v>0</v>
      </c>
      <c r="V129" s="260"/>
      <c r="W129" s="260"/>
      <c r="X129" s="260"/>
      <c r="Y129" s="108">
        <f>+V129*((X129*'1. Standard_Cost'!$B$19)+(W129*X129*'1. Standard_Cost'!$C$19))</f>
        <v>0</v>
      </c>
      <c r="Z129" s="260"/>
      <c r="AA129" s="260"/>
      <c r="AB129" s="108">
        <f>+Z129*'1. Standard_Cost'!$B$23+AA129*'1. Standard_Cost'!$C$23</f>
        <v>0</v>
      </c>
      <c r="AC129" s="261"/>
      <c r="AD129" s="262"/>
      <c r="AE129" s="108">
        <f>SUM(AD129,AC129,AB129,Y129,U129,T129,S129,R129)*'1. Standard_Cost'!$B$31</f>
        <v>0</v>
      </c>
      <c r="AF129" s="108">
        <f t="shared" si="136"/>
        <v>0</v>
      </c>
      <c r="AG129" s="260"/>
      <c r="AH129" s="260"/>
      <c r="AI129" s="260"/>
      <c r="AJ129" s="263"/>
      <c r="AK129" s="263"/>
      <c r="AL129" s="263"/>
      <c r="AM129" s="108">
        <f>AG129*'1. Standard_Cost'!$B$27+'Incremental_Cost Year 10'!AH129*'1. Standard_Cost'!$C$27+'Incremental_Cost Year 10'!AI129*'1. Standard_Cost'!$D$27+'Incremental_Cost Year 10'!AJ129+'Incremental_Cost Year 10'!AL129+AK129</f>
        <v>0</v>
      </c>
      <c r="AN129" s="108">
        <f>AM129*'1. Standard_Cost'!$C$31</f>
        <v>0</v>
      </c>
      <c r="AO129" s="125" t="s">
        <v>361</v>
      </c>
      <c r="AQ129" s="14">
        <f t="shared" si="137"/>
        <v>0</v>
      </c>
      <c r="AR129" s="14">
        <f t="shared" si="138"/>
        <v>0</v>
      </c>
      <c r="AS129" s="14">
        <f t="shared" si="139"/>
        <v>0</v>
      </c>
      <c r="AT129" s="14">
        <f t="shared" si="141"/>
        <v>0</v>
      </c>
      <c r="AU129" s="234"/>
      <c r="AV129" s="234"/>
      <c r="AW129" s="234"/>
      <c r="AX129" s="234"/>
      <c r="AY129" s="234"/>
      <c r="AZ129" s="234"/>
      <c r="BA129" s="234"/>
      <c r="BB129" s="16">
        <f t="shared" si="140"/>
        <v>0</v>
      </c>
      <c r="BD129" s="294">
        <f>'Incremental_Cost Year 1'!AV129+'Incremental_Cost Year 2'!AV129+'Incremental_Cost Year 3'!AV129+'Incremental_Cost Year 4'!AV129+'Incremental_Cost Year 5'!AV129+'Incremental_Cost Year 6'!AV129+'Incremental_Cost Year 7'!AV129+'Incremental_Cost Year 8'!AV129+'Incremental_Cost Year 9'!AV129+'Incremental_Cost Year 10'!AV129</f>
        <v>0</v>
      </c>
      <c r="BE129" s="294">
        <f>'Incremental_Cost Year 1'!AW129+'Incremental_Cost Year 2'!AW129+'Incremental_Cost Year 3'!AW129+'Incremental_Cost Year 4'!AW129+'Incremental_Cost Year 5'!AW129+'Incremental_Cost Year 6'!AW129+'Incremental_Cost Year 7'!AW129+'Incremental_Cost Year 8'!AW129+'Incremental_Cost Year 9'!AW129+'Incremental_Cost Year 10'!AW129</f>
        <v>0</v>
      </c>
      <c r="BF129" s="294">
        <f>'Incremental_Cost Year 1'!AX129+'Incremental_Cost Year 2'!AX129+'Incremental_Cost Year 3'!AX129+'Incremental_Cost Year 4'!AX129+'Incremental_Cost Year 5'!AX129+'Incremental_Cost Year 6'!AX129+'Incremental_Cost Year 7'!AX129+'Incremental_Cost Year 8'!AX129+'Incremental_Cost Year 9'!AX129+'Incremental_Cost Year 10'!AX129</f>
        <v>0</v>
      </c>
      <c r="BG129" s="294">
        <f>'Incremental_Cost Year 1'!AY129+'Incremental_Cost Year 2'!AZ129+'Incremental_Cost Year 3'!AY129+'Incremental_Cost Year 4'!AY129+'Incremental_Cost Year 5'!AY129+'Incremental_Cost Year 6'!AY129+'Incremental_Cost Year 7'!AY129+'Incremental_Cost Year 8'!AY129+'Incremental_Cost Year 9'!AY129+'Incremental_Cost Year 10'!AY129</f>
        <v>0</v>
      </c>
      <c r="BH129" s="294">
        <f>'Incremental_Cost Year 1'!AZ129+'Incremental_Cost Year 2'!BA129+'Incremental_Cost Year 3'!AZ129+'Incremental_Cost Year 4'!AZ129+'Incremental_Cost Year 5'!AZ129+'Incremental_Cost Year 6'!AZ129+'Incremental_Cost Year 7'!AZ129+'Incremental_Cost Year 8'!AZ129+'Incremental_Cost Year 9'!AZ129+'Incremental_Cost Year 10'!AZ129</f>
        <v>0</v>
      </c>
      <c r="BI129" s="294">
        <f>'Incremental_Cost Year 1'!BA129+'Incremental_Cost Year 2'!BA129+'Incremental_Cost Year 3'!BA129+'Incremental_Cost Year 4'!BA129+'Incremental_Cost Year 5'!BA129+'Incremental_Cost Year 6'!BA129+'Incremental_Cost Year 7'!BA129+'Incremental_Cost Year 8'!BA129+'Incremental_Cost Year 9'!BA129+'Incremental_Cost Year 10'!BA129</f>
        <v>0</v>
      </c>
      <c r="BJ129" s="294">
        <f t="shared" si="93"/>
        <v>0</v>
      </c>
    </row>
    <row r="130" spans="1:62" ht="27.6" outlineLevel="2">
      <c r="A130" s="98"/>
      <c r="B130" s="102"/>
      <c r="C130" s="23"/>
      <c r="D130" s="269"/>
      <c r="E130" s="269"/>
      <c r="F130" s="174"/>
      <c r="G130" s="174"/>
      <c r="H130" s="272"/>
      <c r="I130" s="258"/>
      <c r="J130" s="259"/>
      <c r="K130" s="259"/>
      <c r="L130" s="106" t="str">
        <f>IF(I130&lt;&gt;0,((VLOOKUP(I130,'1. Standard_Cost'!$B$4:$D$11,2)+VLOOKUP(I130,'1. Standard_Cost'!$B$4:$D$11,3))*J130*K130),"0")</f>
        <v>0</v>
      </c>
      <c r="M130" s="106">
        <f>L130*'1. Standard_Cost'!$F$4</f>
        <v>0</v>
      </c>
      <c r="N130" s="260"/>
      <c r="O130" s="260"/>
      <c r="P130" s="260"/>
      <c r="Q130" s="260"/>
      <c r="R130" s="108">
        <f>'1. Standard_Cost'!$B$15*N130*P130</f>
        <v>0</v>
      </c>
      <c r="S130" s="108">
        <f>N130*O130*P130*'1. Standard_Cost'!$C$15</f>
        <v>0</v>
      </c>
      <c r="T130" s="108">
        <f>N130*P130*Q130*'1. Standard_Cost'!$D$15</f>
        <v>0</v>
      </c>
      <c r="U130" s="108">
        <f>N130*O130*'1. Standard_Cost'!$E$15</f>
        <v>0</v>
      </c>
      <c r="V130" s="260"/>
      <c r="W130" s="260"/>
      <c r="X130" s="260"/>
      <c r="Y130" s="108">
        <f>+V130*((X130*'1. Standard_Cost'!$B$19)+(W130*X130*'1. Standard_Cost'!$C$19))</f>
        <v>0</v>
      </c>
      <c r="Z130" s="260"/>
      <c r="AA130" s="260"/>
      <c r="AB130" s="108">
        <f>+Z130*'1. Standard_Cost'!$B$23+AA130*'1. Standard_Cost'!$C$23</f>
        <v>0</v>
      </c>
      <c r="AC130" s="261"/>
      <c r="AD130" s="262"/>
      <c r="AE130" s="108">
        <f>SUM(AD130,AC130,AB130,Y130,U130,T130,S130,R130)*'1. Standard_Cost'!$B$31</f>
        <v>0</v>
      </c>
      <c r="AF130" s="108">
        <f t="shared" si="136"/>
        <v>0</v>
      </c>
      <c r="AG130" s="260"/>
      <c r="AH130" s="260"/>
      <c r="AI130" s="260"/>
      <c r="AJ130" s="263"/>
      <c r="AK130" s="263"/>
      <c r="AL130" s="263"/>
      <c r="AM130" s="108">
        <f>AG130*'1. Standard_Cost'!$B$27+'Incremental_Cost Year 10'!AH130*'1. Standard_Cost'!$C$27+'Incremental_Cost Year 10'!AI130*'1. Standard_Cost'!$D$27+'Incremental_Cost Year 10'!AJ130+'Incremental_Cost Year 10'!AL130+AK130</f>
        <v>0</v>
      </c>
      <c r="AN130" s="108">
        <f>AM130*'1. Standard_Cost'!$C$31</f>
        <v>0</v>
      </c>
      <c r="AO130" s="125" t="s">
        <v>362</v>
      </c>
      <c r="AQ130" s="14">
        <f t="shared" si="137"/>
        <v>0</v>
      </c>
      <c r="AR130" s="14">
        <f t="shared" si="138"/>
        <v>0</v>
      </c>
      <c r="AS130" s="14">
        <f t="shared" si="139"/>
        <v>0</v>
      </c>
      <c r="AT130" s="14">
        <f t="shared" si="141"/>
        <v>0</v>
      </c>
      <c r="AU130" s="234"/>
      <c r="AV130" s="234"/>
      <c r="AW130" s="234"/>
      <c r="AX130" s="234"/>
      <c r="AY130" s="234"/>
      <c r="AZ130" s="234"/>
      <c r="BA130" s="234"/>
      <c r="BB130" s="16">
        <f t="shared" si="140"/>
        <v>0</v>
      </c>
      <c r="BD130" s="294">
        <f>'Incremental_Cost Year 1'!AV130+'Incremental_Cost Year 2'!AV130+'Incremental_Cost Year 3'!AV130+'Incremental_Cost Year 4'!AV130+'Incremental_Cost Year 5'!AV130+'Incremental_Cost Year 6'!AV130+'Incremental_Cost Year 7'!AV130+'Incremental_Cost Year 8'!AV130+'Incremental_Cost Year 9'!AV130+'Incremental_Cost Year 10'!AV130</f>
        <v>0</v>
      </c>
      <c r="BE130" s="294">
        <f>'Incremental_Cost Year 1'!AW130+'Incremental_Cost Year 2'!AW130+'Incremental_Cost Year 3'!AW130+'Incremental_Cost Year 4'!AW130+'Incremental_Cost Year 5'!AW130+'Incremental_Cost Year 6'!AW130+'Incremental_Cost Year 7'!AW130+'Incremental_Cost Year 8'!AW130+'Incremental_Cost Year 9'!AW130+'Incremental_Cost Year 10'!AW130</f>
        <v>0</v>
      </c>
      <c r="BF130" s="294">
        <f>'Incremental_Cost Year 1'!AX130+'Incremental_Cost Year 2'!AX130+'Incremental_Cost Year 3'!AX130+'Incremental_Cost Year 4'!AX130+'Incremental_Cost Year 5'!AX130+'Incremental_Cost Year 6'!AX130+'Incremental_Cost Year 7'!AX130+'Incremental_Cost Year 8'!AX130+'Incremental_Cost Year 9'!AX130+'Incremental_Cost Year 10'!AX130</f>
        <v>0</v>
      </c>
      <c r="BG130" s="294">
        <f>'Incremental_Cost Year 1'!AY130+'Incremental_Cost Year 2'!AZ130+'Incremental_Cost Year 3'!AY130+'Incremental_Cost Year 4'!AY130+'Incremental_Cost Year 5'!AY130+'Incremental_Cost Year 6'!AY130+'Incremental_Cost Year 7'!AY130+'Incremental_Cost Year 8'!AY130+'Incremental_Cost Year 9'!AY130+'Incremental_Cost Year 10'!AY130</f>
        <v>0</v>
      </c>
      <c r="BH130" s="294">
        <f>'Incremental_Cost Year 1'!AZ130+'Incremental_Cost Year 2'!BA130+'Incremental_Cost Year 3'!AZ130+'Incremental_Cost Year 4'!AZ130+'Incremental_Cost Year 5'!AZ130+'Incremental_Cost Year 6'!AZ130+'Incremental_Cost Year 7'!AZ130+'Incremental_Cost Year 8'!AZ130+'Incremental_Cost Year 9'!AZ130+'Incremental_Cost Year 10'!AZ130</f>
        <v>0</v>
      </c>
      <c r="BI130" s="294">
        <f>'Incremental_Cost Year 1'!BA130+'Incremental_Cost Year 2'!BA130+'Incremental_Cost Year 3'!BA130+'Incremental_Cost Year 4'!BA130+'Incremental_Cost Year 5'!BA130+'Incremental_Cost Year 6'!BA130+'Incremental_Cost Year 7'!BA130+'Incremental_Cost Year 8'!BA130+'Incremental_Cost Year 9'!BA130+'Incremental_Cost Year 10'!BA130</f>
        <v>0</v>
      </c>
      <c r="BJ130" s="294">
        <f t="shared" si="93"/>
        <v>0</v>
      </c>
    </row>
    <row r="131" spans="1:62" ht="113.4" customHeight="1" outlineLevel="2">
      <c r="A131" s="98"/>
      <c r="B131" s="102"/>
      <c r="C131" s="23"/>
      <c r="D131" s="269"/>
      <c r="E131" s="269"/>
      <c r="F131" s="269"/>
      <c r="G131" s="269"/>
      <c r="H131" s="160"/>
      <c r="I131" s="258"/>
      <c r="J131" s="259"/>
      <c r="K131" s="259"/>
      <c r="L131" s="106" t="str">
        <f>IF(I131&lt;&gt;0,((VLOOKUP(I131,'[1]1. Standard_Cost'!$B$4:$D$11,2)+VLOOKUP(I131,'[1]1. Standard_Cost'!$B$4:$D$11,3))*J131*K131),"0")</f>
        <v>0</v>
      </c>
      <c r="M131" s="106">
        <f>L131*'[1]1. Standard_Cost'!$F$4</f>
        <v>0</v>
      </c>
      <c r="N131" s="260"/>
      <c r="O131" s="260"/>
      <c r="P131" s="260"/>
      <c r="Q131" s="260"/>
      <c r="R131" s="108">
        <f>'[1]1. Standard_Cost'!$B$15*N131*P131</f>
        <v>0</v>
      </c>
      <c r="S131" s="108">
        <f>N131*O131*P131*'[1]1. Standard_Cost'!$C$15</f>
        <v>0</v>
      </c>
      <c r="T131" s="108">
        <f>N131*P131*Q131*'[1]1. Standard_Cost'!$D$15</f>
        <v>0</v>
      </c>
      <c r="U131" s="108">
        <f>N131*O131*'[1]1. Standard_Cost'!$E$15</f>
        <v>0</v>
      </c>
      <c r="V131" s="260"/>
      <c r="W131" s="260"/>
      <c r="X131" s="260"/>
      <c r="Y131" s="108">
        <f>+V131*((X131*'[1]1. Standard_Cost'!$B$19)+(W131*X131*'[1]1. Standard_Cost'!$C$19))</f>
        <v>0</v>
      </c>
      <c r="Z131" s="260"/>
      <c r="AA131" s="260"/>
      <c r="AB131" s="108">
        <f>+Z131*'[1]1. Standard_Cost'!$B$23+AA131*'[1]1. Standard_Cost'!$C$23</f>
        <v>0</v>
      </c>
      <c r="AC131" s="261"/>
      <c r="AD131" s="262"/>
      <c r="AE131" s="108">
        <f>SUM(AD131,AC131,AB131,Y131,U131,T131,S131,R131)*'[1]1. Standard_Cost'!$B$31</f>
        <v>0</v>
      </c>
      <c r="AF131" s="108">
        <f t="shared" si="136"/>
        <v>0</v>
      </c>
      <c r="AG131" s="260"/>
      <c r="AH131" s="260"/>
      <c r="AI131" s="260"/>
      <c r="AJ131" s="263"/>
      <c r="AK131" s="263"/>
      <c r="AL131" s="263"/>
      <c r="AM131" s="108">
        <f>AG131*'[1]1. Standard_Cost'!$B$27+'[1]Incremental_Cost Year 10'!AH130*'[1]1. Standard_Cost'!$C$27+'[1]Incremental_Cost Year 10'!AI130*'[1]1. Standard_Cost'!$D$27+'[1]Incremental_Cost Year 10'!AJ130+'[1]Incremental_Cost Year 10'!AL130+AK131</f>
        <v>0</v>
      </c>
      <c r="AN131" s="108">
        <f>AM131*'[1]1. Standard_Cost'!$C$31</f>
        <v>0</v>
      </c>
      <c r="AO131" s="125" t="s">
        <v>443</v>
      </c>
      <c r="AQ131" s="14">
        <f t="shared" si="137"/>
        <v>0</v>
      </c>
      <c r="AR131" s="14">
        <f t="shared" si="138"/>
        <v>0</v>
      </c>
      <c r="AS131" s="14">
        <f t="shared" si="139"/>
        <v>0</v>
      </c>
      <c r="AT131" s="14">
        <f t="shared" si="141"/>
        <v>0</v>
      </c>
      <c r="AU131" s="234"/>
      <c r="AV131" s="234"/>
      <c r="AW131" s="234"/>
      <c r="AX131" s="234"/>
      <c r="AY131" s="234"/>
      <c r="AZ131" s="234"/>
      <c r="BA131" s="234"/>
      <c r="BB131" s="16">
        <f t="shared" si="140"/>
        <v>0</v>
      </c>
      <c r="BD131" s="294">
        <f>'Incremental_Cost Year 1'!AV131+'Incremental_Cost Year 2'!AV131+'Incremental_Cost Year 3'!AV131+'Incremental_Cost Year 4'!AV131+'Incremental_Cost Year 5'!AV131+'Incremental_Cost Year 6'!AV131+'Incremental_Cost Year 7'!AV131+'Incremental_Cost Year 8'!AV131+'Incremental_Cost Year 9'!AV131+'Incremental_Cost Year 10'!AV131</f>
        <v>0</v>
      </c>
      <c r="BE131" s="294">
        <f>'Incremental_Cost Year 1'!AW131+'Incremental_Cost Year 2'!AW131+'Incremental_Cost Year 3'!AW131+'Incremental_Cost Year 4'!AW131+'Incremental_Cost Year 5'!AW131+'Incremental_Cost Year 6'!AW131+'Incremental_Cost Year 7'!AW131+'Incremental_Cost Year 8'!AW131+'Incremental_Cost Year 9'!AW131+'Incremental_Cost Year 10'!AW131</f>
        <v>0</v>
      </c>
      <c r="BF131" s="294">
        <f>'Incremental_Cost Year 1'!AX131+'Incremental_Cost Year 2'!AX131+'Incremental_Cost Year 3'!AX131+'Incremental_Cost Year 4'!AX131+'Incremental_Cost Year 5'!AX131+'Incremental_Cost Year 6'!AX131+'Incremental_Cost Year 7'!AX131+'Incremental_Cost Year 8'!AX131+'Incremental_Cost Year 9'!AX131+'Incremental_Cost Year 10'!AX131</f>
        <v>0</v>
      </c>
      <c r="BG131" s="294">
        <f>'Incremental_Cost Year 1'!AY131+'Incremental_Cost Year 2'!AZ131+'Incremental_Cost Year 3'!AY131+'Incremental_Cost Year 4'!AY131+'Incremental_Cost Year 5'!AY131+'Incremental_Cost Year 6'!AY131+'Incremental_Cost Year 7'!AY131+'Incremental_Cost Year 8'!AY131+'Incremental_Cost Year 9'!AY131+'Incremental_Cost Year 10'!AY131</f>
        <v>6975388.2000000002</v>
      </c>
      <c r="BH131" s="294">
        <f>'Incremental_Cost Year 1'!AZ131+'Incremental_Cost Year 2'!BA131+'Incremental_Cost Year 3'!AZ131+'Incremental_Cost Year 4'!AZ131+'Incremental_Cost Year 5'!AZ131+'Incremental_Cost Year 6'!AZ131+'Incremental_Cost Year 7'!AZ131+'Incremental_Cost Year 8'!AZ131+'Incremental_Cost Year 9'!AZ131+'Incremental_Cost Year 10'!AZ131</f>
        <v>27900000</v>
      </c>
      <c r="BI131" s="294">
        <f>'Incremental_Cost Year 1'!BA131+'Incremental_Cost Year 2'!BA131+'Incremental_Cost Year 3'!BA131+'Incremental_Cost Year 4'!BA131+'Incremental_Cost Year 5'!BA131+'Incremental_Cost Year 6'!BA131+'Incremental_Cost Year 7'!BA131+'Incremental_Cost Year 8'!BA131+'Incremental_Cost Year 9'!BA131+'Incremental_Cost Year 10'!BA131</f>
        <v>0</v>
      </c>
      <c r="BJ131" s="294">
        <f t="shared" si="93"/>
        <v>34875388.200000003</v>
      </c>
    </row>
    <row r="132" spans="1:62" ht="15.6" outlineLevel="2">
      <c r="A132" s="98"/>
      <c r="B132" s="102"/>
      <c r="C132" s="23"/>
      <c r="D132" s="269"/>
      <c r="E132" s="269"/>
      <c r="F132" s="174"/>
      <c r="G132" s="174"/>
      <c r="H132" s="272"/>
      <c r="I132" s="258"/>
      <c r="J132" s="259"/>
      <c r="K132" s="259"/>
      <c r="L132" s="106" t="str">
        <f>IF(I132&lt;&gt;0,((VLOOKUP(I132,'1. Standard_Cost'!$B$4:$D$11,2)+VLOOKUP(I132,'1. Standard_Cost'!$B$4:$D$11,3))*J132*K132),"0")</f>
        <v>0</v>
      </c>
      <c r="M132" s="106">
        <f>L132*'1. Standard_Cost'!$F$4</f>
        <v>0</v>
      </c>
      <c r="N132" s="260"/>
      <c r="O132" s="260"/>
      <c r="P132" s="260"/>
      <c r="Q132" s="260"/>
      <c r="R132" s="108">
        <f>'1. Standard_Cost'!$B$15*N132*P132</f>
        <v>0</v>
      </c>
      <c r="S132" s="108">
        <f>N132*O132*P132*'1. Standard_Cost'!$C$15</f>
        <v>0</v>
      </c>
      <c r="T132" s="108">
        <f>N132*P132*Q132*'1. Standard_Cost'!$D$15</f>
        <v>0</v>
      </c>
      <c r="U132" s="108">
        <f>N132*O132*'1. Standard_Cost'!$E$15</f>
        <v>0</v>
      </c>
      <c r="V132" s="260"/>
      <c r="W132" s="260"/>
      <c r="X132" s="260"/>
      <c r="Y132" s="108">
        <f>+V132*((X132*'1. Standard_Cost'!$B$19)+(W132*X132*'1. Standard_Cost'!$C$19))</f>
        <v>0</v>
      </c>
      <c r="Z132" s="260"/>
      <c r="AA132" s="260"/>
      <c r="AB132" s="108">
        <f>+Z132*'1. Standard_Cost'!$B$23+AA132*'1. Standard_Cost'!$C$23</f>
        <v>0</v>
      </c>
      <c r="AC132" s="261"/>
      <c r="AD132" s="262"/>
      <c r="AE132" s="108">
        <f>SUM(AD132,AC132,AB132,Y132,U132,T132,S132,R132)*'1. Standard_Cost'!$B$31</f>
        <v>0</v>
      </c>
      <c r="AF132" s="108">
        <f t="shared" si="136"/>
        <v>0</v>
      </c>
      <c r="AG132" s="260"/>
      <c r="AH132" s="260"/>
      <c r="AI132" s="260"/>
      <c r="AJ132" s="263"/>
      <c r="AK132" s="263"/>
      <c r="AL132" s="263"/>
      <c r="AM132" s="108">
        <f>AG132*'1. Standard_Cost'!$B$27+'Incremental_Cost Year 10'!AH132*'1. Standard_Cost'!$C$27+'Incremental_Cost Year 10'!AI132*'1. Standard_Cost'!$D$27+'Incremental_Cost Year 10'!AJ132+'Incremental_Cost Year 10'!AL132+AK132</f>
        <v>0</v>
      </c>
      <c r="AN132" s="108">
        <f>AM132*'1. Standard_Cost'!$C$31</f>
        <v>0</v>
      </c>
      <c r="AO132" s="125" t="s">
        <v>363</v>
      </c>
      <c r="AQ132" s="14">
        <f t="shared" si="137"/>
        <v>0</v>
      </c>
      <c r="AR132" s="14">
        <f t="shared" si="138"/>
        <v>0</v>
      </c>
      <c r="AS132" s="14">
        <f t="shared" si="139"/>
        <v>0</v>
      </c>
      <c r="AT132" s="14">
        <f t="shared" si="141"/>
        <v>0</v>
      </c>
      <c r="AU132" s="234"/>
      <c r="AV132" s="234"/>
      <c r="AW132" s="234"/>
      <c r="AX132" s="234"/>
      <c r="AY132" s="234"/>
      <c r="AZ132" s="234"/>
      <c r="BA132" s="234"/>
      <c r="BB132" s="16">
        <f t="shared" si="140"/>
        <v>0</v>
      </c>
      <c r="BD132" s="294">
        <f>'Incremental_Cost Year 1'!AV132+'Incremental_Cost Year 2'!AV132+'Incremental_Cost Year 3'!AV132+'Incremental_Cost Year 4'!AV132+'Incremental_Cost Year 5'!AV132+'Incremental_Cost Year 6'!AV132+'Incremental_Cost Year 7'!AV132+'Incremental_Cost Year 8'!AV132+'Incremental_Cost Year 9'!AV132+'Incremental_Cost Year 10'!AV132</f>
        <v>0</v>
      </c>
      <c r="BE132" s="294">
        <f>'Incremental_Cost Year 1'!AW132+'Incremental_Cost Year 2'!AW132+'Incremental_Cost Year 3'!AW132+'Incremental_Cost Year 4'!AW132+'Incremental_Cost Year 5'!AW132+'Incremental_Cost Year 6'!AW132+'Incremental_Cost Year 7'!AW132+'Incremental_Cost Year 8'!AW132+'Incremental_Cost Year 9'!AW132+'Incremental_Cost Year 10'!AW132</f>
        <v>0</v>
      </c>
      <c r="BF132" s="294">
        <f>'Incremental_Cost Year 1'!AX132+'Incremental_Cost Year 2'!AX132+'Incremental_Cost Year 3'!AX132+'Incremental_Cost Year 4'!AX132+'Incremental_Cost Year 5'!AX132+'Incremental_Cost Year 6'!AX132+'Incremental_Cost Year 7'!AX132+'Incremental_Cost Year 8'!AX132+'Incremental_Cost Year 9'!AX132+'Incremental_Cost Year 10'!AX132</f>
        <v>0</v>
      </c>
      <c r="BG132" s="294">
        <f>'Incremental_Cost Year 1'!AY132+'Incremental_Cost Year 2'!AZ132+'Incremental_Cost Year 3'!AY132+'Incremental_Cost Year 4'!AY132+'Incremental_Cost Year 5'!AY132+'Incremental_Cost Year 6'!AY132+'Incremental_Cost Year 7'!AY132+'Incremental_Cost Year 8'!AY132+'Incremental_Cost Year 9'!AY132+'Incremental_Cost Year 10'!AY132</f>
        <v>376800</v>
      </c>
      <c r="BH132" s="294">
        <f>'Incremental_Cost Year 1'!AZ132+'Incremental_Cost Year 2'!BA132+'Incremental_Cost Year 3'!AZ132+'Incremental_Cost Year 4'!AZ132+'Incremental_Cost Year 5'!AZ132+'Incremental_Cost Year 6'!AZ132+'Incremental_Cost Year 7'!AZ132+'Incremental_Cost Year 8'!AZ132+'Incremental_Cost Year 9'!AZ132+'Incremental_Cost Year 10'!AZ132</f>
        <v>496000</v>
      </c>
      <c r="BI132" s="294">
        <f>'Incremental_Cost Year 1'!BA132+'Incremental_Cost Year 2'!BA132+'Incremental_Cost Year 3'!BA132+'Incremental_Cost Year 4'!BA132+'Incremental_Cost Year 5'!BA132+'Incremental_Cost Year 6'!BA132+'Incremental_Cost Year 7'!BA132+'Incremental_Cost Year 8'!BA132+'Incremental_Cost Year 9'!BA132+'Incremental_Cost Year 10'!BA132</f>
        <v>0</v>
      </c>
      <c r="BJ132" s="294">
        <f t="shared" si="93"/>
        <v>872800</v>
      </c>
    </row>
    <row r="133" spans="1:62" ht="15.6" outlineLevel="2">
      <c r="A133" s="98"/>
      <c r="B133" s="102"/>
      <c r="C133" s="23"/>
      <c r="D133" s="269"/>
      <c r="E133" s="269"/>
      <c r="F133" s="174"/>
      <c r="G133" s="174"/>
      <c r="H133" s="272"/>
      <c r="I133" s="258"/>
      <c r="J133" s="259"/>
      <c r="K133" s="259"/>
      <c r="L133" s="106" t="str">
        <f>IF(I133&lt;&gt;0,((VLOOKUP(I133,'1. Standard_Cost'!$B$4:$D$11,2)+VLOOKUP(I133,'1. Standard_Cost'!$B$4:$D$11,3))*J133*K133),"0")</f>
        <v>0</v>
      </c>
      <c r="M133" s="106">
        <f>L133*'1. Standard_Cost'!$F$4</f>
        <v>0</v>
      </c>
      <c r="N133" s="260"/>
      <c r="O133" s="260"/>
      <c r="P133" s="260"/>
      <c r="Q133" s="260"/>
      <c r="R133" s="108">
        <f>'1. Standard_Cost'!$B$15*N133*P133</f>
        <v>0</v>
      </c>
      <c r="S133" s="108">
        <f>N133*O133*P133*'1. Standard_Cost'!$C$15</f>
        <v>0</v>
      </c>
      <c r="T133" s="108">
        <f>N133*P133*Q133*'1. Standard_Cost'!$D$15</f>
        <v>0</v>
      </c>
      <c r="U133" s="108">
        <f>N133*O133*'1. Standard_Cost'!$E$15</f>
        <v>0</v>
      </c>
      <c r="V133" s="260"/>
      <c r="W133" s="260"/>
      <c r="X133" s="260"/>
      <c r="Y133" s="108">
        <f>+V133*((X133*'1. Standard_Cost'!$B$19)+(W133*X133*'1. Standard_Cost'!$C$19))</f>
        <v>0</v>
      </c>
      <c r="Z133" s="260"/>
      <c r="AA133" s="260"/>
      <c r="AB133" s="108">
        <f>+Z133*'1. Standard_Cost'!$B$23+AA133*'1. Standard_Cost'!$C$23</f>
        <v>0</v>
      </c>
      <c r="AC133" s="261"/>
      <c r="AD133" s="262"/>
      <c r="AE133" s="108">
        <f>SUM(AD133,AC133,AB133,Y133,U133,T133,S133,R133)*'1. Standard_Cost'!$B$31</f>
        <v>0</v>
      </c>
      <c r="AF133" s="108">
        <f t="shared" si="136"/>
        <v>0</v>
      </c>
      <c r="AG133" s="260"/>
      <c r="AH133" s="260"/>
      <c r="AI133" s="260"/>
      <c r="AJ133" s="263"/>
      <c r="AK133" s="263"/>
      <c r="AL133" s="263"/>
      <c r="AM133" s="108">
        <f>AG133*'1. Standard_Cost'!$B$27+'Incremental_Cost Year 10'!AH133*'1. Standard_Cost'!$C$27+'Incremental_Cost Year 10'!AI133*'1. Standard_Cost'!$D$27+'Incremental_Cost Year 10'!AJ133+'Incremental_Cost Year 10'!AL133+AK133</f>
        <v>0</v>
      </c>
      <c r="AN133" s="108">
        <f>AM133*'1. Standard_Cost'!$C$31</f>
        <v>0</v>
      </c>
      <c r="AO133" s="125" t="s">
        <v>364</v>
      </c>
      <c r="AQ133" s="14">
        <f t="shared" si="137"/>
        <v>0</v>
      </c>
      <c r="AR133" s="14">
        <f t="shared" si="138"/>
        <v>0</v>
      </c>
      <c r="AS133" s="14">
        <f t="shared" si="139"/>
        <v>0</v>
      </c>
      <c r="AT133" s="14">
        <f t="shared" si="141"/>
        <v>0</v>
      </c>
      <c r="AU133" s="234"/>
      <c r="AV133" s="234"/>
      <c r="AW133" s="234"/>
      <c r="AX133" s="234"/>
      <c r="AY133" s="234"/>
      <c r="AZ133" s="234"/>
      <c r="BA133" s="234"/>
      <c r="BB133" s="16">
        <f t="shared" si="140"/>
        <v>0</v>
      </c>
      <c r="BD133" s="294">
        <f>'Incremental_Cost Year 1'!AV133+'Incremental_Cost Year 2'!AV133+'Incremental_Cost Year 3'!AV133+'Incremental_Cost Year 4'!AV133+'Incremental_Cost Year 5'!AV133+'Incremental_Cost Year 6'!AV133+'Incremental_Cost Year 7'!AV133+'Incremental_Cost Year 8'!AV133+'Incremental_Cost Year 9'!AV133+'Incremental_Cost Year 10'!AV133</f>
        <v>0</v>
      </c>
      <c r="BE133" s="294">
        <f>'Incremental_Cost Year 1'!AW133+'Incremental_Cost Year 2'!AW133+'Incremental_Cost Year 3'!AW133+'Incremental_Cost Year 4'!AW133+'Incremental_Cost Year 5'!AW133+'Incremental_Cost Year 6'!AW133+'Incremental_Cost Year 7'!AW133+'Incremental_Cost Year 8'!AW133+'Incremental_Cost Year 9'!AW133+'Incremental_Cost Year 10'!AW133</f>
        <v>0</v>
      </c>
      <c r="BF133" s="294">
        <f>'Incremental_Cost Year 1'!AX133+'Incremental_Cost Year 2'!AX133+'Incremental_Cost Year 3'!AX133+'Incremental_Cost Year 4'!AX133+'Incremental_Cost Year 5'!AX133+'Incremental_Cost Year 6'!AX133+'Incremental_Cost Year 7'!AX133+'Incremental_Cost Year 8'!AX133+'Incremental_Cost Year 9'!AX133+'Incremental_Cost Year 10'!AX133</f>
        <v>0</v>
      </c>
      <c r="BG133" s="294">
        <f>'Incremental_Cost Year 1'!AY133+'Incremental_Cost Year 2'!AZ133+'Incremental_Cost Year 3'!AY133+'Incremental_Cost Year 4'!AY133+'Incremental_Cost Year 5'!AY133+'Incremental_Cost Year 6'!AY133+'Incremental_Cost Year 7'!AY133+'Incremental_Cost Year 8'!AY133+'Incremental_Cost Year 9'!AY133+'Incremental_Cost Year 10'!AY133</f>
        <v>0</v>
      </c>
      <c r="BH133" s="294">
        <f>'Incremental_Cost Year 1'!AZ133+'Incremental_Cost Year 2'!BA133+'Incremental_Cost Year 3'!AZ133+'Incremental_Cost Year 4'!AZ133+'Incremental_Cost Year 5'!AZ133+'Incremental_Cost Year 6'!AZ133+'Incremental_Cost Year 7'!AZ133+'Incremental_Cost Year 8'!AZ133+'Incremental_Cost Year 9'!AZ133+'Incremental_Cost Year 10'!AZ133</f>
        <v>0</v>
      </c>
      <c r="BI133" s="294">
        <f>'Incremental_Cost Year 1'!BA133+'Incremental_Cost Year 2'!BA133+'Incremental_Cost Year 3'!BA133+'Incremental_Cost Year 4'!BA133+'Incremental_Cost Year 5'!BA133+'Incremental_Cost Year 6'!BA133+'Incremental_Cost Year 7'!BA133+'Incremental_Cost Year 8'!BA133+'Incremental_Cost Year 9'!BA133+'Incremental_Cost Year 10'!BA133</f>
        <v>0</v>
      </c>
      <c r="BJ133" s="294">
        <f t="shared" si="93"/>
        <v>0</v>
      </c>
    </row>
    <row r="134" spans="1:62" ht="15.6" outlineLevel="2">
      <c r="A134" s="98"/>
      <c r="B134" s="102"/>
      <c r="C134" s="23"/>
      <c r="D134" s="269"/>
      <c r="E134" s="269"/>
      <c r="F134" s="174"/>
      <c r="G134" s="174"/>
      <c r="H134" s="272"/>
      <c r="I134" s="258"/>
      <c r="J134" s="259"/>
      <c r="K134" s="259"/>
      <c r="L134" s="106" t="str">
        <f>IF(I134&lt;&gt;0,((VLOOKUP(I134,'1. Standard_Cost'!$B$4:$D$11,2)+VLOOKUP(I134,'1. Standard_Cost'!$B$4:$D$11,3))*J134*K134),"0")</f>
        <v>0</v>
      </c>
      <c r="M134" s="106">
        <f>L134*'1. Standard_Cost'!$F$4</f>
        <v>0</v>
      </c>
      <c r="N134" s="260"/>
      <c r="O134" s="260"/>
      <c r="P134" s="260"/>
      <c r="Q134" s="260"/>
      <c r="R134" s="108">
        <f>'1. Standard_Cost'!$B$15*N134*P134</f>
        <v>0</v>
      </c>
      <c r="S134" s="108">
        <f>N134*O134*P134*'1. Standard_Cost'!$C$15</f>
        <v>0</v>
      </c>
      <c r="T134" s="108">
        <f>N134*P134*Q134*'1. Standard_Cost'!$D$15</f>
        <v>0</v>
      </c>
      <c r="U134" s="108">
        <f>N134*O134*'1. Standard_Cost'!$E$15</f>
        <v>0</v>
      </c>
      <c r="V134" s="260"/>
      <c r="W134" s="260"/>
      <c r="X134" s="260"/>
      <c r="Y134" s="108">
        <f>+V134*((X134*'1. Standard_Cost'!$B$19)+(W134*X134*'1. Standard_Cost'!$C$19))</f>
        <v>0</v>
      </c>
      <c r="Z134" s="260"/>
      <c r="AA134" s="260"/>
      <c r="AB134" s="108">
        <f>+Z134*'1. Standard_Cost'!$B$23+AA134*'1. Standard_Cost'!$C$23</f>
        <v>0</v>
      </c>
      <c r="AC134" s="261"/>
      <c r="AD134" s="262"/>
      <c r="AE134" s="108">
        <f>SUM(AD134,AC134,AB134,Y134,U134,T134,S134,R134)*'1. Standard_Cost'!$B$31</f>
        <v>0</v>
      </c>
      <c r="AF134" s="108">
        <f t="shared" si="136"/>
        <v>0</v>
      </c>
      <c r="AG134" s="260"/>
      <c r="AH134" s="260"/>
      <c r="AI134" s="260"/>
      <c r="AJ134" s="263"/>
      <c r="AK134" s="263"/>
      <c r="AL134" s="263"/>
      <c r="AM134" s="108">
        <f>AG134*'1. Standard_Cost'!$B$27+'Incremental_Cost Year 2'!AH177*'1. Standard_Cost'!$C$27+'Incremental_Cost Year 2'!AI177*'1. Standard_Cost'!$D$27+'Incremental_Cost Year 2'!AJ177+'Incremental_Cost Year 2'!AL177+AK134</f>
        <v>0</v>
      </c>
      <c r="AN134" s="108">
        <f>AM134*'1. Standard_Cost'!$C$31</f>
        <v>0</v>
      </c>
      <c r="AO134" s="125" t="s">
        <v>365</v>
      </c>
      <c r="AQ134" s="14">
        <f t="shared" si="137"/>
        <v>0</v>
      </c>
      <c r="AR134" s="14">
        <f t="shared" si="138"/>
        <v>0</v>
      </c>
      <c r="AS134" s="14">
        <f t="shared" si="139"/>
        <v>0</v>
      </c>
      <c r="AT134" s="14">
        <f t="shared" si="141"/>
        <v>0</v>
      </c>
      <c r="AU134" s="234"/>
      <c r="AV134" s="234"/>
      <c r="AW134" s="234"/>
      <c r="AX134" s="234"/>
      <c r="AY134" s="234"/>
      <c r="AZ134" s="234"/>
      <c r="BA134" s="234"/>
      <c r="BB134" s="16">
        <f t="shared" si="140"/>
        <v>0</v>
      </c>
      <c r="BD134" s="294">
        <f>'Incremental_Cost Year 1'!AV134+'Incremental_Cost Year 2'!AV134+'Incremental_Cost Year 3'!AV134+'Incremental_Cost Year 4'!AV134+'Incremental_Cost Year 5'!AV134+'Incremental_Cost Year 6'!AV134+'Incremental_Cost Year 7'!AV134+'Incremental_Cost Year 8'!AV134+'Incremental_Cost Year 9'!AV134+'Incremental_Cost Year 10'!AV134</f>
        <v>0</v>
      </c>
      <c r="BE134" s="294">
        <f>'Incremental_Cost Year 1'!AW134+'Incremental_Cost Year 2'!AW134+'Incremental_Cost Year 3'!AW134+'Incremental_Cost Year 4'!AW134+'Incremental_Cost Year 5'!AW134+'Incremental_Cost Year 6'!AW134+'Incremental_Cost Year 7'!AW134+'Incremental_Cost Year 8'!AW134+'Incremental_Cost Year 9'!AW134+'Incremental_Cost Year 10'!AW134</f>
        <v>0</v>
      </c>
      <c r="BF134" s="294">
        <f>'Incremental_Cost Year 1'!AX134+'Incremental_Cost Year 2'!AX134+'Incremental_Cost Year 3'!AX134+'Incremental_Cost Year 4'!AX134+'Incremental_Cost Year 5'!AX134+'Incremental_Cost Year 6'!AX134+'Incremental_Cost Year 7'!AX134+'Incremental_Cost Year 8'!AX134+'Incremental_Cost Year 9'!AX134+'Incremental_Cost Year 10'!AX134</f>
        <v>0</v>
      </c>
      <c r="BG134" s="294">
        <f>'Incremental_Cost Year 1'!AY134+'Incremental_Cost Year 2'!AZ134+'Incremental_Cost Year 3'!AY134+'Incremental_Cost Year 4'!AY134+'Incremental_Cost Year 5'!AY134+'Incremental_Cost Year 6'!AY134+'Incremental_Cost Year 7'!AY134+'Incremental_Cost Year 8'!AY134+'Incremental_Cost Year 9'!AY134+'Incremental_Cost Year 10'!AY134</f>
        <v>0</v>
      </c>
      <c r="BH134" s="294">
        <f>'Incremental_Cost Year 1'!AZ134+'Incremental_Cost Year 2'!BA134+'Incremental_Cost Year 3'!AZ134+'Incremental_Cost Year 4'!AZ134+'Incremental_Cost Year 5'!AZ134+'Incremental_Cost Year 6'!AZ134+'Incremental_Cost Year 7'!AZ134+'Incremental_Cost Year 8'!AZ134+'Incremental_Cost Year 9'!AZ134+'Incremental_Cost Year 10'!AZ134</f>
        <v>0</v>
      </c>
      <c r="BI134" s="294">
        <f>'Incremental_Cost Year 1'!BA134+'Incremental_Cost Year 2'!BA134+'Incremental_Cost Year 3'!BA134+'Incremental_Cost Year 4'!BA134+'Incremental_Cost Year 5'!BA134+'Incremental_Cost Year 6'!BA134+'Incremental_Cost Year 7'!BA134+'Incremental_Cost Year 8'!BA134+'Incremental_Cost Year 9'!BA134+'Incremental_Cost Year 10'!BA134</f>
        <v>0</v>
      </c>
      <c r="BJ134" s="294">
        <f t="shared" si="93"/>
        <v>0</v>
      </c>
    </row>
    <row r="135" spans="1:62" ht="15.6" outlineLevel="2">
      <c r="A135" s="98"/>
      <c r="B135" s="102"/>
      <c r="C135" s="23"/>
      <c r="D135" s="269"/>
      <c r="E135" s="269"/>
      <c r="F135" s="251"/>
      <c r="G135" s="250"/>
      <c r="H135" s="176"/>
      <c r="I135" s="258"/>
      <c r="J135" s="259"/>
      <c r="K135" s="259"/>
      <c r="L135" s="106" t="str">
        <f>IF(I135&lt;&gt;0,((VLOOKUP(I135,'1. Standard_Cost'!$B$4:$D$11,2)+VLOOKUP(I135,'1. Standard_Cost'!$B$4:$D$11,3))*J135*K135),"0")</f>
        <v>0</v>
      </c>
      <c r="M135" s="106">
        <f>L135*'1. Standard_Cost'!$F$4</f>
        <v>0</v>
      </c>
      <c r="N135" s="260"/>
      <c r="O135" s="260"/>
      <c r="P135" s="260"/>
      <c r="Q135" s="260"/>
      <c r="R135" s="108">
        <f>'1. Standard_Cost'!$B$15*N135*P135</f>
        <v>0</v>
      </c>
      <c r="S135" s="108">
        <f>N135*O135*P135*'1. Standard_Cost'!$C$15</f>
        <v>0</v>
      </c>
      <c r="T135" s="108">
        <f>N135*P135*Q135*'1. Standard_Cost'!$D$15</f>
        <v>0</v>
      </c>
      <c r="U135" s="108">
        <f>N135*O135*'1. Standard_Cost'!$E$15</f>
        <v>0</v>
      </c>
      <c r="V135" s="260"/>
      <c r="W135" s="260"/>
      <c r="X135" s="260"/>
      <c r="Y135" s="108">
        <f>+V135*((X135*'1. Standard_Cost'!$B$19)+(W135*X135*'1. Standard_Cost'!$C$19))</f>
        <v>0</v>
      </c>
      <c r="Z135" s="260"/>
      <c r="AA135" s="260"/>
      <c r="AB135" s="108">
        <f>+Z135*'1. Standard_Cost'!$B$23+AA135*'1. Standard_Cost'!$C$23</f>
        <v>0</v>
      </c>
      <c r="AC135" s="261"/>
      <c r="AD135" s="262"/>
      <c r="AE135" s="108">
        <f>SUM(AD135,AC135,AB135,Y135,U135,T135,S135,R135)*'1. Standard_Cost'!$B$31</f>
        <v>0</v>
      </c>
      <c r="AF135" s="108">
        <f t="shared" si="136"/>
        <v>0</v>
      </c>
      <c r="AG135" s="260"/>
      <c r="AH135" s="260"/>
      <c r="AI135" s="260"/>
      <c r="AJ135" s="263"/>
      <c r="AK135" s="263"/>
      <c r="AL135" s="263"/>
      <c r="AM135" s="108">
        <f>AG135*'1. Standard_Cost'!$B$27+'Incremental_Cost Year 2'!AH178*'1. Standard_Cost'!$C$27+'Incremental_Cost Year 2'!AI178*'1. Standard_Cost'!$D$27+'Incremental_Cost Year 2'!AJ178+'Incremental_Cost Year 2'!AL178+AK135</f>
        <v>0</v>
      </c>
      <c r="AN135" s="108">
        <f>AM135*'1. Standard_Cost'!$C$31</f>
        <v>0</v>
      </c>
      <c r="AO135" s="125" t="s">
        <v>366</v>
      </c>
      <c r="AQ135" s="14">
        <f t="shared" si="137"/>
        <v>0</v>
      </c>
      <c r="AR135" s="14">
        <f t="shared" si="138"/>
        <v>0</v>
      </c>
      <c r="AS135" s="14">
        <f t="shared" si="139"/>
        <v>0</v>
      </c>
      <c r="AT135" s="14">
        <f t="shared" si="141"/>
        <v>0</v>
      </c>
      <c r="AU135" s="234"/>
      <c r="AV135" s="234"/>
      <c r="AW135" s="234"/>
      <c r="AX135" s="234"/>
      <c r="AY135" s="234"/>
      <c r="AZ135" s="234"/>
      <c r="BA135" s="234"/>
      <c r="BB135" s="16">
        <f t="shared" si="140"/>
        <v>0</v>
      </c>
      <c r="BD135" s="294">
        <f>'Incremental_Cost Year 1'!AV135+'Incremental_Cost Year 2'!AV135+'Incremental_Cost Year 3'!AV135+'Incremental_Cost Year 4'!AV135+'Incremental_Cost Year 5'!AV135+'Incremental_Cost Year 6'!AV135+'Incremental_Cost Year 7'!AV135+'Incremental_Cost Year 8'!AV135+'Incremental_Cost Year 9'!AV135+'Incremental_Cost Year 10'!AV135</f>
        <v>0</v>
      </c>
      <c r="BE135" s="294">
        <f>'Incremental_Cost Year 1'!AW135+'Incremental_Cost Year 2'!AW135+'Incremental_Cost Year 3'!AW135+'Incremental_Cost Year 4'!AW135+'Incremental_Cost Year 5'!AW135+'Incremental_Cost Year 6'!AW135+'Incremental_Cost Year 7'!AW135+'Incremental_Cost Year 8'!AW135+'Incremental_Cost Year 9'!AW135+'Incremental_Cost Year 10'!AW135</f>
        <v>0</v>
      </c>
      <c r="BF135" s="294">
        <f>'Incremental_Cost Year 1'!AX135+'Incremental_Cost Year 2'!AX135+'Incremental_Cost Year 3'!AX135+'Incremental_Cost Year 4'!AX135+'Incremental_Cost Year 5'!AX135+'Incremental_Cost Year 6'!AX135+'Incremental_Cost Year 7'!AX135+'Incremental_Cost Year 8'!AX135+'Incremental_Cost Year 9'!AX135+'Incremental_Cost Year 10'!AX135</f>
        <v>0</v>
      </c>
      <c r="BG135" s="294">
        <f>'Incremental_Cost Year 1'!AY135+'Incremental_Cost Year 2'!AZ135+'Incremental_Cost Year 3'!AY135+'Incremental_Cost Year 4'!AY135+'Incremental_Cost Year 5'!AY135+'Incremental_Cost Year 6'!AY135+'Incremental_Cost Year 7'!AY135+'Incremental_Cost Year 8'!AY135+'Incremental_Cost Year 9'!AY135+'Incremental_Cost Year 10'!AY135</f>
        <v>0</v>
      </c>
      <c r="BH135" s="294">
        <f>'Incremental_Cost Year 1'!AZ135+'Incremental_Cost Year 2'!BA135+'Incremental_Cost Year 3'!AZ135+'Incremental_Cost Year 4'!AZ135+'Incremental_Cost Year 5'!AZ135+'Incremental_Cost Year 6'!AZ135+'Incremental_Cost Year 7'!AZ135+'Incremental_Cost Year 8'!AZ135+'Incremental_Cost Year 9'!AZ135+'Incremental_Cost Year 10'!AZ135</f>
        <v>0</v>
      </c>
      <c r="BI135" s="294">
        <f>'Incremental_Cost Year 1'!BA135+'Incremental_Cost Year 2'!BA135+'Incremental_Cost Year 3'!BA135+'Incremental_Cost Year 4'!BA135+'Incremental_Cost Year 5'!BA135+'Incremental_Cost Year 6'!BA135+'Incremental_Cost Year 7'!BA135+'Incremental_Cost Year 8'!BA135+'Incremental_Cost Year 9'!BA135+'Incremental_Cost Year 10'!BA135</f>
        <v>0</v>
      </c>
      <c r="BJ135" s="294">
        <f t="shared" si="93"/>
        <v>0</v>
      </c>
    </row>
    <row r="136" spans="1:62" ht="27.6" outlineLevel="1">
      <c r="A136" s="98"/>
      <c r="B136" s="102"/>
      <c r="C136" s="23"/>
      <c r="D136" s="56" t="s">
        <v>47</v>
      </c>
      <c r="E136" s="56" t="s">
        <v>228</v>
      </c>
      <c r="F136" s="253">
        <v>2021</v>
      </c>
      <c r="G136" s="254">
        <v>2026</v>
      </c>
      <c r="H136" s="277" t="s">
        <v>227</v>
      </c>
      <c r="I136" s="264"/>
      <c r="J136" s="264"/>
      <c r="K136" s="264"/>
      <c r="L136" s="113">
        <f>SUM(L114:L135)</f>
        <v>0</v>
      </c>
      <c r="M136" s="113">
        <f>SUM(M114:M135)</f>
        <v>0</v>
      </c>
      <c r="N136" s="264"/>
      <c r="O136" s="264"/>
      <c r="P136" s="264"/>
      <c r="Q136" s="264"/>
      <c r="R136" s="113">
        <f>SUM(R114:R135)</f>
        <v>0</v>
      </c>
      <c r="S136" s="113">
        <f>SUM(S114:S135)</f>
        <v>0</v>
      </c>
      <c r="T136" s="113">
        <f>SUM(T114:T135)</f>
        <v>0</v>
      </c>
      <c r="U136" s="113">
        <f>SUM(U114:U135)</f>
        <v>0</v>
      </c>
      <c r="V136" s="264"/>
      <c r="W136" s="264"/>
      <c r="X136" s="264"/>
      <c r="Y136" s="113">
        <f>SUM(Y114:Y135)</f>
        <v>0</v>
      </c>
      <c r="Z136" s="264"/>
      <c r="AA136" s="264"/>
      <c r="AB136" s="113">
        <f>SUM(AB114:AB135)</f>
        <v>0</v>
      </c>
      <c r="AC136" s="265">
        <f>SUM(AC114:AC135)</f>
        <v>0</v>
      </c>
      <c r="AD136" s="265">
        <f>SUM(AD114:AD135)</f>
        <v>0</v>
      </c>
      <c r="AE136" s="113">
        <f>SUM(AE114:AE135)</f>
        <v>0</v>
      </c>
      <c r="AF136" s="113">
        <f>SUM(AF114:AF135)</f>
        <v>0</v>
      </c>
      <c r="AG136" s="264"/>
      <c r="AH136" s="264"/>
      <c r="AI136" s="264"/>
      <c r="AJ136" s="265">
        <f>SUM(AJ114:AJ135)</f>
        <v>0</v>
      </c>
      <c r="AK136" s="265">
        <f>SUM(AK114:AK135)</f>
        <v>0</v>
      </c>
      <c r="AL136" s="265">
        <f>SUM(AL114:AL135)</f>
        <v>0</v>
      </c>
      <c r="AM136" s="113">
        <f>SUM(AM114:AM135)</f>
        <v>0</v>
      </c>
      <c r="AN136" s="113">
        <f>SUM(AN114:AN135)</f>
        <v>0</v>
      </c>
      <c r="AO136" s="131"/>
      <c r="AP136" s="17"/>
      <c r="AQ136" s="113">
        <f t="shared" ref="AQ136:BB136" si="142">SUM(AQ114:AQ135)</f>
        <v>0</v>
      </c>
      <c r="AR136" s="113">
        <f t="shared" si="142"/>
        <v>0</v>
      </c>
      <c r="AS136" s="113">
        <f t="shared" si="142"/>
        <v>0</v>
      </c>
      <c r="AT136" s="113">
        <f t="shared" si="142"/>
        <v>0</v>
      </c>
      <c r="AU136" s="265">
        <f t="shared" si="142"/>
        <v>0</v>
      </c>
      <c r="AV136" s="265">
        <f t="shared" si="142"/>
        <v>0</v>
      </c>
      <c r="AW136" s="265">
        <f t="shared" si="142"/>
        <v>0</v>
      </c>
      <c r="AX136" s="265">
        <f t="shared" si="142"/>
        <v>0</v>
      </c>
      <c r="AY136" s="265">
        <f t="shared" si="142"/>
        <v>0</v>
      </c>
      <c r="AZ136" s="265">
        <f t="shared" si="142"/>
        <v>0</v>
      </c>
      <c r="BA136" s="265">
        <f t="shared" si="142"/>
        <v>0</v>
      </c>
      <c r="BB136" s="113">
        <f t="shared" si="142"/>
        <v>0</v>
      </c>
      <c r="BD136" s="294"/>
      <c r="BE136" s="294"/>
      <c r="BF136" s="294"/>
      <c r="BG136" s="294"/>
      <c r="BH136" s="294"/>
      <c r="BI136" s="294"/>
      <c r="BJ136" s="294"/>
    </row>
    <row r="137" spans="1:62" ht="15.6" outlineLevel="2">
      <c r="A137" s="98"/>
      <c r="B137" s="102"/>
      <c r="C137" s="23"/>
      <c r="D137" s="269"/>
      <c r="E137" s="269"/>
      <c r="F137" s="174"/>
      <c r="G137" s="269"/>
      <c r="H137" s="272"/>
      <c r="I137" s="258"/>
      <c r="J137" s="259"/>
      <c r="K137" s="259"/>
      <c r="L137" s="106" t="str">
        <f>IF(I137&lt;&gt;0,((VLOOKUP(I137,'1. Standard_Cost'!$B$4:$D$11,2)+VLOOKUP(I137,'1. Standard_Cost'!$B$4:$D$11,3))*J137*K137),"0")</f>
        <v>0</v>
      </c>
      <c r="M137" s="106">
        <f>L137*'1. Standard_Cost'!$F$4</f>
        <v>0</v>
      </c>
      <c r="N137" s="260"/>
      <c r="O137" s="260"/>
      <c r="P137" s="260"/>
      <c r="Q137" s="260"/>
      <c r="R137" s="108">
        <f>'1. Standard_Cost'!$B$15*N137*P137</f>
        <v>0</v>
      </c>
      <c r="S137" s="108">
        <f>N137*O137*P137*'1. Standard_Cost'!$C$15</f>
        <v>0</v>
      </c>
      <c r="T137" s="108">
        <f>N137*P137*Q137*'1. Standard_Cost'!$D$15</f>
        <v>0</v>
      </c>
      <c r="U137" s="108">
        <f>N137*O137*'1. Standard_Cost'!$E$15</f>
        <v>0</v>
      </c>
      <c r="V137" s="260"/>
      <c r="W137" s="260"/>
      <c r="X137" s="260"/>
      <c r="Y137" s="108">
        <f>+V137*((X137*'1. Standard_Cost'!$B$19)+(W137*X137*'1. Standard_Cost'!$C$19))</f>
        <v>0</v>
      </c>
      <c r="Z137" s="260"/>
      <c r="AA137" s="260"/>
      <c r="AB137" s="108">
        <f>+Z137*'1. Standard_Cost'!$B$23+AA137*'1. Standard_Cost'!$C$23</f>
        <v>0</v>
      </c>
      <c r="AC137" s="261"/>
      <c r="AD137" s="262"/>
      <c r="AE137" s="108"/>
      <c r="AF137" s="108">
        <f t="shared" ref="AF137:AF138" si="143">SUM(AE137,AD137,AC137,AB137,Y137,U137,T137,S137,R137)</f>
        <v>0</v>
      </c>
      <c r="AG137" s="260"/>
      <c r="AH137" s="260"/>
      <c r="AI137" s="260"/>
      <c r="AJ137" s="263"/>
      <c r="AK137" s="263"/>
      <c r="AL137" s="263"/>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44">L137+M137</f>
        <v>0</v>
      </c>
      <c r="AR137" s="14">
        <f t="shared" ref="AR137:AR138" si="145">AF137</f>
        <v>0</v>
      </c>
      <c r="AS137" s="14">
        <f t="shared" ref="AS137:AS138" si="146">AM137+AN137</f>
        <v>0</v>
      </c>
      <c r="AT137" s="14">
        <f t="shared" ref="AT137:AT138" si="147">SUM(AQ137,AR137,AS137)</f>
        <v>0</v>
      </c>
      <c r="AU137" s="234"/>
      <c r="AV137" s="234"/>
      <c r="AW137" s="234"/>
      <c r="AX137" s="234"/>
      <c r="AY137" s="234"/>
      <c r="AZ137" s="234"/>
      <c r="BA137" s="234"/>
      <c r="BB137" s="16">
        <f t="shared" ref="BB137:BB138" si="148">SUM(AU137:BA137)-AT137</f>
        <v>0</v>
      </c>
      <c r="BD137" s="294">
        <f>'Incremental_Cost Year 1'!AV137+'Incremental_Cost Year 2'!AV137+'Incremental_Cost Year 3'!AV137+'Incremental_Cost Year 4'!AV137+'Incremental_Cost Year 5'!AV137+'Incremental_Cost Year 6'!AV137+'Incremental_Cost Year 7'!AV137+'Incremental_Cost Year 8'!AV137+'Incremental_Cost Year 9'!AV137+'Incremental_Cost Year 10'!AV137</f>
        <v>0</v>
      </c>
      <c r="BE137" s="294">
        <f>'Incremental_Cost Year 1'!AW137+'Incremental_Cost Year 2'!AW137+'Incremental_Cost Year 3'!AW137+'Incremental_Cost Year 4'!AW137+'Incremental_Cost Year 5'!AW137+'Incremental_Cost Year 6'!AW137+'Incremental_Cost Year 7'!AW137+'Incremental_Cost Year 8'!AW137+'Incremental_Cost Year 9'!AW137+'Incremental_Cost Year 10'!AW137</f>
        <v>0</v>
      </c>
      <c r="BF137" s="294">
        <f>'Incremental_Cost Year 1'!AX137+'Incremental_Cost Year 2'!AX137+'Incremental_Cost Year 3'!AX137+'Incremental_Cost Year 4'!AX137+'Incremental_Cost Year 5'!AX137+'Incremental_Cost Year 6'!AX137+'Incremental_Cost Year 7'!AX137+'Incremental_Cost Year 8'!AX137+'Incremental_Cost Year 9'!AX137+'Incremental_Cost Year 10'!AX137</f>
        <v>5400000</v>
      </c>
      <c r="BG137" s="294">
        <f>'Incremental_Cost Year 1'!AY137+'Incremental_Cost Year 2'!AZ137+'Incremental_Cost Year 3'!AY137+'Incremental_Cost Year 4'!AY137+'Incremental_Cost Year 5'!AY137+'Incremental_Cost Year 6'!AY137+'Incremental_Cost Year 7'!AY137+'Incremental_Cost Year 8'!AY137+'Incremental_Cost Year 9'!AY137+'Incremental_Cost Year 10'!AY137</f>
        <v>0</v>
      </c>
      <c r="BH137" s="294">
        <f>'Incremental_Cost Year 1'!AZ137+'Incremental_Cost Year 2'!BA137+'Incremental_Cost Year 3'!AZ137+'Incremental_Cost Year 4'!AZ137+'Incremental_Cost Year 5'!AZ137+'Incremental_Cost Year 6'!AZ137+'Incremental_Cost Year 7'!AZ137+'Incremental_Cost Year 8'!AZ137+'Incremental_Cost Year 9'!AZ137+'Incremental_Cost Year 10'!AZ137</f>
        <v>0</v>
      </c>
      <c r="BI137" s="294">
        <f>'Incremental_Cost Year 1'!BA137+'Incremental_Cost Year 2'!BA137+'Incremental_Cost Year 3'!BA137+'Incremental_Cost Year 4'!BA137+'Incremental_Cost Year 5'!BA137+'Incremental_Cost Year 6'!BA137+'Incremental_Cost Year 7'!BA137+'Incremental_Cost Year 8'!BA137+'Incremental_Cost Year 9'!BA137+'Incremental_Cost Year 10'!BA137</f>
        <v>0</v>
      </c>
      <c r="BJ137" s="294">
        <f t="shared" ref="BJ137:BJ199" si="149">SUM(BD137:BI137)</f>
        <v>5400000</v>
      </c>
    </row>
    <row r="138" spans="1:62" ht="15.6" outlineLevel="2">
      <c r="A138" s="98"/>
      <c r="B138" s="102"/>
      <c r="C138" s="23"/>
      <c r="D138" s="269"/>
      <c r="E138" s="269"/>
      <c r="F138" s="174"/>
      <c r="G138" s="174"/>
      <c r="H138" s="272"/>
      <c r="I138" s="258"/>
      <c r="J138" s="259"/>
      <c r="K138" s="259"/>
      <c r="L138" s="106" t="str">
        <f>IF(I138&lt;&gt;0,((VLOOKUP(I138,'1. Standard_Cost'!$B$4:$D$11,2)+VLOOKUP(I138,'1. Standard_Cost'!$B$4:$D$11,3))*J138*K138),"0")</f>
        <v>0</v>
      </c>
      <c r="M138" s="106">
        <f>L138*'1. Standard_Cost'!$F$4</f>
        <v>0</v>
      </c>
      <c r="N138" s="260"/>
      <c r="O138" s="260"/>
      <c r="P138" s="260"/>
      <c r="Q138" s="260"/>
      <c r="R138" s="108">
        <f>'1. Standard_Cost'!$B$15*N138*P138</f>
        <v>0</v>
      </c>
      <c r="S138" s="108">
        <f>N138*O138*P138*'1. Standard_Cost'!$C$15</f>
        <v>0</v>
      </c>
      <c r="T138" s="108">
        <f>N138*P138*Q138*'1. Standard_Cost'!$D$15</f>
        <v>0</v>
      </c>
      <c r="U138" s="108">
        <f>N138*O138*'1. Standard_Cost'!$E$15</f>
        <v>0</v>
      </c>
      <c r="V138" s="260"/>
      <c r="W138" s="260"/>
      <c r="X138" s="260"/>
      <c r="Y138" s="108">
        <f>+V138*((X138*'1. Standard_Cost'!$B$19)+(W138*X138*'1. Standard_Cost'!$C$19))</f>
        <v>0</v>
      </c>
      <c r="Z138" s="260"/>
      <c r="AA138" s="260"/>
      <c r="AB138" s="108">
        <f>+Z138*'1. Standard_Cost'!$B$23+AA138*'1. Standard_Cost'!$C$23</f>
        <v>0</v>
      </c>
      <c r="AC138" s="261"/>
      <c r="AD138" s="262"/>
      <c r="AE138" s="108"/>
      <c r="AF138" s="108">
        <f t="shared" si="143"/>
        <v>0</v>
      </c>
      <c r="AG138" s="260"/>
      <c r="AH138" s="260"/>
      <c r="AI138" s="260"/>
      <c r="AJ138" s="263"/>
      <c r="AK138" s="263"/>
      <c r="AL138" s="263"/>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44"/>
        <v>0</v>
      </c>
      <c r="AR138" s="14">
        <f t="shared" si="145"/>
        <v>0</v>
      </c>
      <c r="AS138" s="14">
        <f t="shared" si="146"/>
        <v>0</v>
      </c>
      <c r="AT138" s="14">
        <f t="shared" si="147"/>
        <v>0</v>
      </c>
      <c r="AU138" s="234"/>
      <c r="AV138" s="234"/>
      <c r="AW138" s="234"/>
      <c r="AX138" s="234"/>
      <c r="AY138" s="234"/>
      <c r="AZ138" s="234"/>
      <c r="BA138" s="234"/>
      <c r="BB138" s="16">
        <f t="shared" si="148"/>
        <v>0</v>
      </c>
      <c r="BD138" s="294">
        <f>'Incremental_Cost Year 1'!AV138+'Incremental_Cost Year 2'!AV138+'Incremental_Cost Year 3'!AV138+'Incremental_Cost Year 4'!AV138+'Incremental_Cost Year 5'!AV138+'Incremental_Cost Year 6'!AV138+'Incremental_Cost Year 7'!AV138+'Incremental_Cost Year 8'!AV138+'Incremental_Cost Year 9'!AV138+'Incremental_Cost Year 10'!AV138</f>
        <v>0</v>
      </c>
      <c r="BE138" s="294">
        <f>'Incremental_Cost Year 1'!AW138+'Incremental_Cost Year 2'!AW138+'Incremental_Cost Year 3'!AW138+'Incremental_Cost Year 4'!AW138+'Incremental_Cost Year 5'!AW138+'Incremental_Cost Year 6'!AW138+'Incremental_Cost Year 7'!AW138+'Incremental_Cost Year 8'!AW138+'Incremental_Cost Year 9'!AW138+'Incremental_Cost Year 10'!AW138</f>
        <v>0</v>
      </c>
      <c r="BF138" s="294">
        <f>'Incremental_Cost Year 1'!AX138+'Incremental_Cost Year 2'!AX138+'Incremental_Cost Year 3'!AX138+'Incremental_Cost Year 4'!AX138+'Incremental_Cost Year 5'!AX138+'Incremental_Cost Year 6'!AX138+'Incremental_Cost Year 7'!AX138+'Incremental_Cost Year 8'!AX138+'Incremental_Cost Year 9'!AX138+'Incremental_Cost Year 10'!AX138</f>
        <v>200000</v>
      </c>
      <c r="BG138" s="294">
        <f>'Incremental_Cost Year 1'!AY138+'Incremental_Cost Year 2'!AZ138+'Incremental_Cost Year 3'!AY138+'Incremental_Cost Year 4'!AY138+'Incremental_Cost Year 5'!AY138+'Incremental_Cost Year 6'!AY138+'Incremental_Cost Year 7'!AY138+'Incremental_Cost Year 8'!AY138+'Incremental_Cost Year 9'!AY138+'Incremental_Cost Year 10'!AY138</f>
        <v>0</v>
      </c>
      <c r="BH138" s="294">
        <f>'Incremental_Cost Year 1'!AZ138+'Incremental_Cost Year 2'!BA138+'Incremental_Cost Year 3'!AZ138+'Incremental_Cost Year 4'!AZ138+'Incremental_Cost Year 5'!AZ138+'Incremental_Cost Year 6'!AZ138+'Incremental_Cost Year 7'!AZ138+'Incremental_Cost Year 8'!AZ138+'Incremental_Cost Year 9'!AZ138+'Incremental_Cost Year 10'!AZ138</f>
        <v>0</v>
      </c>
      <c r="BI138" s="294">
        <f>'Incremental_Cost Year 1'!BA138+'Incremental_Cost Year 2'!BA138+'Incremental_Cost Year 3'!BA138+'Incremental_Cost Year 4'!BA138+'Incremental_Cost Year 5'!BA138+'Incremental_Cost Year 6'!BA138+'Incremental_Cost Year 7'!BA138+'Incremental_Cost Year 8'!BA138+'Incremental_Cost Year 9'!BA138+'Incremental_Cost Year 10'!BA138</f>
        <v>0</v>
      </c>
      <c r="BJ138" s="294">
        <f t="shared" si="149"/>
        <v>200000</v>
      </c>
    </row>
    <row r="139" spans="1:62" ht="27.6" outlineLevel="1">
      <c r="A139" s="98"/>
      <c r="B139" s="102"/>
      <c r="C139" s="23"/>
      <c r="D139" s="56" t="s">
        <v>47</v>
      </c>
      <c r="E139" s="56" t="s">
        <v>231</v>
      </c>
      <c r="F139" s="253">
        <v>2022</v>
      </c>
      <c r="G139" s="254">
        <v>2023</v>
      </c>
      <c r="H139" s="277" t="s">
        <v>230</v>
      </c>
      <c r="I139" s="264"/>
      <c r="J139" s="264"/>
      <c r="K139" s="264"/>
      <c r="L139" s="113">
        <f>SUM(L137:L138)</f>
        <v>0</v>
      </c>
      <c r="M139" s="113">
        <f>SUM(M137:M138)</f>
        <v>0</v>
      </c>
      <c r="N139" s="264"/>
      <c r="O139" s="264"/>
      <c r="P139" s="264"/>
      <c r="Q139" s="264"/>
      <c r="R139" s="113">
        <f t="shared" ref="R139:U139" si="150">SUM(R137:R138)</f>
        <v>0</v>
      </c>
      <c r="S139" s="113">
        <f t="shared" si="150"/>
        <v>0</v>
      </c>
      <c r="T139" s="113">
        <f t="shared" si="150"/>
        <v>0</v>
      </c>
      <c r="U139" s="113">
        <f t="shared" si="150"/>
        <v>0</v>
      </c>
      <c r="V139" s="264"/>
      <c r="W139" s="264"/>
      <c r="X139" s="264"/>
      <c r="Y139" s="113">
        <f>SUM(Y137:Y138)</f>
        <v>0</v>
      </c>
      <c r="Z139" s="264"/>
      <c r="AA139" s="264"/>
      <c r="AB139" s="113">
        <f t="shared" ref="AB139:AF139" si="151">SUM(AB137:AB138)</f>
        <v>0</v>
      </c>
      <c r="AC139" s="265">
        <f t="shared" si="151"/>
        <v>0</v>
      </c>
      <c r="AD139" s="265">
        <f t="shared" si="151"/>
        <v>0</v>
      </c>
      <c r="AE139" s="113">
        <f t="shared" si="151"/>
        <v>0</v>
      </c>
      <c r="AF139" s="113">
        <f t="shared" si="151"/>
        <v>0</v>
      </c>
      <c r="AG139" s="264"/>
      <c r="AH139" s="264"/>
      <c r="AI139" s="264"/>
      <c r="AJ139" s="265">
        <f t="shared" ref="AJ139:AL139" si="152">SUM(AJ137:AJ138)</f>
        <v>0</v>
      </c>
      <c r="AK139" s="265">
        <f t="shared" si="152"/>
        <v>0</v>
      </c>
      <c r="AL139" s="265">
        <f t="shared" si="152"/>
        <v>0</v>
      </c>
      <c r="AM139" s="113">
        <f t="shared" ref="AM139:AN139" si="153">SUM(AM137:AM138)</f>
        <v>0</v>
      </c>
      <c r="AN139" s="113">
        <f t="shared" si="153"/>
        <v>0</v>
      </c>
      <c r="AO139" s="131"/>
      <c r="AP139" s="17"/>
      <c r="AQ139" s="113">
        <f t="shared" ref="AQ139:BB139" si="154">SUM(AQ137:AQ138)</f>
        <v>0</v>
      </c>
      <c r="AR139" s="113">
        <f t="shared" si="154"/>
        <v>0</v>
      </c>
      <c r="AS139" s="113">
        <f t="shared" si="154"/>
        <v>0</v>
      </c>
      <c r="AT139" s="113">
        <f t="shared" si="154"/>
        <v>0</v>
      </c>
      <c r="AU139" s="265">
        <f t="shared" si="154"/>
        <v>0</v>
      </c>
      <c r="AV139" s="265">
        <f t="shared" si="154"/>
        <v>0</v>
      </c>
      <c r="AW139" s="265">
        <f t="shared" si="154"/>
        <v>0</v>
      </c>
      <c r="AX139" s="265">
        <f t="shared" si="154"/>
        <v>0</v>
      </c>
      <c r="AY139" s="265">
        <f t="shared" si="154"/>
        <v>0</v>
      </c>
      <c r="AZ139" s="265">
        <f t="shared" si="154"/>
        <v>0</v>
      </c>
      <c r="BA139" s="265">
        <f t="shared" si="154"/>
        <v>0</v>
      </c>
      <c r="BB139" s="113">
        <f t="shared" si="154"/>
        <v>0</v>
      </c>
      <c r="BD139" s="294"/>
      <c r="BE139" s="294"/>
      <c r="BF139" s="294"/>
      <c r="BG139" s="294"/>
      <c r="BH139" s="294"/>
      <c r="BI139" s="294"/>
      <c r="BJ139" s="294"/>
    </row>
    <row r="140" spans="1:62" ht="15.6" outlineLevel="2">
      <c r="A140" s="98"/>
      <c r="B140" s="102"/>
      <c r="C140" s="23"/>
      <c r="D140" s="269"/>
      <c r="E140" s="269"/>
      <c r="F140" s="269"/>
      <c r="G140" s="269"/>
      <c r="H140" s="272"/>
      <c r="I140" s="258"/>
      <c r="J140" s="259"/>
      <c r="K140" s="259"/>
      <c r="L140" s="106" t="str">
        <f>IF(I140&lt;&gt;0,((VLOOKUP(I140,'1. Standard_Cost'!$B$4:$D$11,2)+VLOOKUP(I140,'1. Standard_Cost'!$B$4:$D$11,3))*J140*K140),"0")</f>
        <v>0</v>
      </c>
      <c r="M140" s="106">
        <f>L140*'1. Standard_Cost'!$F$4</f>
        <v>0</v>
      </c>
      <c r="N140" s="260"/>
      <c r="O140" s="260"/>
      <c r="P140" s="260"/>
      <c r="Q140" s="260"/>
      <c r="R140" s="108">
        <f>'1. Standard_Cost'!$B$15*N140*P140</f>
        <v>0</v>
      </c>
      <c r="S140" s="108">
        <f>N140*O140*P140*'1. Standard_Cost'!$C$15</f>
        <v>0</v>
      </c>
      <c r="T140" s="108">
        <f>N140*P140*Q140*'1. Standard_Cost'!$D$15</f>
        <v>0</v>
      </c>
      <c r="U140" s="108">
        <f>N140*O140*'1. Standard_Cost'!$E$15</f>
        <v>0</v>
      </c>
      <c r="V140" s="260"/>
      <c r="W140" s="260"/>
      <c r="X140" s="260"/>
      <c r="Y140" s="108">
        <f>+V140*((X140*'1. Standard_Cost'!$B$19)+(W140*X140*'1. Standard_Cost'!$C$19))</f>
        <v>0</v>
      </c>
      <c r="Z140" s="260"/>
      <c r="AA140" s="260"/>
      <c r="AB140" s="108">
        <f>+Z140*'1. Standard_Cost'!$B$23+AA140*'1. Standard_Cost'!$C$23</f>
        <v>0</v>
      </c>
      <c r="AC140" s="261"/>
      <c r="AD140" s="262"/>
      <c r="AE140" s="108">
        <f>SUM(AD140,AC140,AB140,Y140,U140,T140,S140,R140)*'1. Standard_Cost'!$B$31</f>
        <v>0</v>
      </c>
      <c r="AF140" s="108">
        <f t="shared" ref="AF140:AF141" si="155">SUM(AE140,AD140,AC140,AB140,Y140,U140,T140,S140,R140)</f>
        <v>0</v>
      </c>
      <c r="AG140" s="260"/>
      <c r="AH140" s="260"/>
      <c r="AI140" s="260"/>
      <c r="AJ140" s="263"/>
      <c r="AK140" s="263"/>
      <c r="AL140" s="263"/>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56">L140+M140</f>
        <v>0</v>
      </c>
      <c r="AR140" s="14">
        <f t="shared" ref="AR140:AR141" si="157">AF140</f>
        <v>0</v>
      </c>
      <c r="AS140" s="14">
        <f t="shared" ref="AS140:AS141" si="158">AM140+AN140</f>
        <v>0</v>
      </c>
      <c r="AT140" s="14">
        <f t="shared" ref="AT140:AT141" si="159">SUM(AQ140,AR140,AS140)</f>
        <v>0</v>
      </c>
      <c r="AU140" s="234"/>
      <c r="AV140" s="234"/>
      <c r="AW140" s="234"/>
      <c r="AX140" s="234"/>
      <c r="AY140" s="234"/>
      <c r="AZ140" s="234"/>
      <c r="BA140" s="234"/>
      <c r="BB140" s="16">
        <f t="shared" ref="BB140:BB141" si="160">SUM(AU140:BA140)-AT140</f>
        <v>0</v>
      </c>
      <c r="BD140" s="294">
        <f>'Incremental_Cost Year 1'!AV140+'Incremental_Cost Year 2'!AV140+'Incremental_Cost Year 3'!AV140+'Incremental_Cost Year 4'!AV140+'Incremental_Cost Year 5'!AV140+'Incremental_Cost Year 6'!AV140+'Incremental_Cost Year 7'!AV140+'Incremental_Cost Year 8'!AV140+'Incremental_Cost Year 9'!AV140+'Incremental_Cost Year 10'!AV140</f>
        <v>0</v>
      </c>
      <c r="BE140" s="294">
        <f>'Incremental_Cost Year 1'!AW140+'Incremental_Cost Year 2'!AW140+'Incremental_Cost Year 3'!AW140+'Incremental_Cost Year 4'!AW140+'Incremental_Cost Year 5'!AW140+'Incremental_Cost Year 6'!AW140+'Incremental_Cost Year 7'!AW140+'Incremental_Cost Year 8'!AW140+'Incremental_Cost Year 9'!AW140+'Incremental_Cost Year 10'!AW140</f>
        <v>0</v>
      </c>
      <c r="BF140" s="294">
        <f>'Incremental_Cost Year 1'!AX140+'Incremental_Cost Year 2'!AX140+'Incremental_Cost Year 3'!AX140+'Incremental_Cost Year 4'!AX140+'Incremental_Cost Year 5'!AX140+'Incremental_Cost Year 6'!AX140+'Incremental_Cost Year 7'!AX140+'Incremental_Cost Year 8'!AX140+'Incremental_Cost Year 9'!AX140+'Incremental_Cost Year 10'!AX140</f>
        <v>0</v>
      </c>
      <c r="BG140" s="294">
        <f>'Incremental_Cost Year 1'!AY140+'Incremental_Cost Year 2'!AZ140+'Incremental_Cost Year 3'!AY140+'Incremental_Cost Year 4'!AY140+'Incremental_Cost Year 5'!AY140+'Incremental_Cost Year 6'!AY140+'Incremental_Cost Year 7'!AY140+'Incremental_Cost Year 8'!AY140+'Incremental_Cost Year 9'!AY140+'Incremental_Cost Year 10'!AY140</f>
        <v>456000</v>
      </c>
      <c r="BH140" s="294">
        <f>'Incremental_Cost Year 1'!AZ140+'Incremental_Cost Year 2'!BA140+'Incremental_Cost Year 3'!AZ140+'Incremental_Cost Year 4'!AZ140+'Incremental_Cost Year 5'!AZ140+'Incremental_Cost Year 6'!AZ140+'Incremental_Cost Year 7'!AZ140+'Incremental_Cost Year 8'!AZ140+'Incremental_Cost Year 9'!AZ140+'Incremental_Cost Year 10'!AZ140</f>
        <v>756000</v>
      </c>
      <c r="BI140" s="294">
        <f>'Incremental_Cost Year 1'!BA140+'Incremental_Cost Year 2'!BA140+'Incremental_Cost Year 3'!BA140+'Incremental_Cost Year 4'!BA140+'Incremental_Cost Year 5'!BA140+'Incremental_Cost Year 6'!BA140+'Incremental_Cost Year 7'!BA140+'Incremental_Cost Year 8'!BA140+'Incremental_Cost Year 9'!BA140+'Incremental_Cost Year 10'!BA140</f>
        <v>0</v>
      </c>
      <c r="BJ140" s="294">
        <f t="shared" si="149"/>
        <v>1212000</v>
      </c>
    </row>
    <row r="141" spans="1:62" ht="15.6" outlineLevel="2">
      <c r="A141" s="98"/>
      <c r="B141" s="102"/>
      <c r="C141" s="23"/>
      <c r="D141" s="269"/>
      <c r="E141" s="269"/>
      <c r="F141" s="172"/>
      <c r="G141" s="173"/>
      <c r="H141" s="272"/>
      <c r="I141" s="258"/>
      <c r="J141" s="259"/>
      <c r="K141" s="259"/>
      <c r="L141" s="106" t="str">
        <f>IF(I141&lt;&gt;0,((VLOOKUP(I141,'1. Standard_Cost'!$B$4:$D$11,2)+VLOOKUP(I141,'1. Standard_Cost'!$B$4:$D$11,3))*J141*K141),"0")</f>
        <v>0</v>
      </c>
      <c r="M141" s="106">
        <f>L141*'1. Standard_Cost'!$F$4</f>
        <v>0</v>
      </c>
      <c r="N141" s="260"/>
      <c r="O141" s="260"/>
      <c r="P141" s="260"/>
      <c r="Q141" s="260"/>
      <c r="R141" s="108">
        <f>'1. Standard_Cost'!$B$15*N141*P141</f>
        <v>0</v>
      </c>
      <c r="S141" s="108">
        <f>N141*O141*P141*'1. Standard_Cost'!$C$15</f>
        <v>0</v>
      </c>
      <c r="T141" s="108">
        <f>N141*P141*Q141*'1. Standard_Cost'!$D$15</f>
        <v>0</v>
      </c>
      <c r="U141" s="108">
        <f>N141*O141*'1. Standard_Cost'!$E$15</f>
        <v>0</v>
      </c>
      <c r="V141" s="260"/>
      <c r="W141" s="260"/>
      <c r="X141" s="260"/>
      <c r="Y141" s="108">
        <f>+V141*((X141*'1. Standard_Cost'!$B$19)+(W141*X141*'1. Standard_Cost'!$C$19))</f>
        <v>0</v>
      </c>
      <c r="Z141" s="260"/>
      <c r="AA141" s="260"/>
      <c r="AB141" s="108">
        <f>+Z141*'1. Standard_Cost'!$B$23+AA141*'1. Standard_Cost'!$C$23</f>
        <v>0</v>
      </c>
      <c r="AC141" s="261"/>
      <c r="AD141" s="262"/>
      <c r="AE141" s="108">
        <f>SUM(AD141,AC141,AB141,Y141,U141,T141,S141,R141)*'1. Standard_Cost'!$B$31</f>
        <v>0</v>
      </c>
      <c r="AF141" s="108">
        <f t="shared" si="155"/>
        <v>0</v>
      </c>
      <c r="AG141" s="260"/>
      <c r="AH141" s="260"/>
      <c r="AI141" s="260"/>
      <c r="AJ141" s="263"/>
      <c r="AK141" s="263"/>
      <c r="AL141" s="263"/>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56"/>
        <v>0</v>
      </c>
      <c r="AR141" s="14">
        <f t="shared" si="157"/>
        <v>0</v>
      </c>
      <c r="AS141" s="14">
        <f t="shared" si="158"/>
        <v>0</v>
      </c>
      <c r="AT141" s="14">
        <f t="shared" si="159"/>
        <v>0</v>
      </c>
      <c r="AU141" s="234"/>
      <c r="AV141" s="234"/>
      <c r="AW141" s="234"/>
      <c r="AX141" s="234"/>
      <c r="AY141" s="234"/>
      <c r="AZ141" s="234"/>
      <c r="BA141" s="234"/>
      <c r="BB141" s="16">
        <f t="shared" si="160"/>
        <v>0</v>
      </c>
      <c r="BD141" s="294">
        <f>'Incremental_Cost Year 1'!AV141+'Incremental_Cost Year 2'!AV141+'Incremental_Cost Year 3'!AV141+'Incremental_Cost Year 4'!AV141+'Incremental_Cost Year 5'!AV141+'Incremental_Cost Year 6'!AV141+'Incremental_Cost Year 7'!AV141+'Incremental_Cost Year 8'!AV141+'Incremental_Cost Year 9'!AV141+'Incremental_Cost Year 10'!AV141</f>
        <v>0</v>
      </c>
      <c r="BE141" s="294">
        <f>'Incremental_Cost Year 1'!AW141+'Incremental_Cost Year 2'!AW141+'Incremental_Cost Year 3'!AW141+'Incremental_Cost Year 4'!AW141+'Incremental_Cost Year 5'!AW141+'Incremental_Cost Year 6'!AW141+'Incremental_Cost Year 7'!AW141+'Incremental_Cost Year 8'!AW141+'Incremental_Cost Year 9'!AW141+'Incremental_Cost Year 10'!AW141</f>
        <v>0</v>
      </c>
      <c r="BF141" s="294">
        <f>'Incremental_Cost Year 1'!AX141+'Incremental_Cost Year 2'!AX141+'Incremental_Cost Year 3'!AX141+'Incremental_Cost Year 4'!AX141+'Incremental_Cost Year 5'!AX141+'Incremental_Cost Year 6'!AX141+'Incremental_Cost Year 7'!AX141+'Incremental_Cost Year 8'!AX141+'Incremental_Cost Year 9'!AX141+'Incremental_Cost Year 10'!AX141</f>
        <v>0</v>
      </c>
      <c r="BG141" s="294">
        <f>'Incremental_Cost Year 1'!AY141+'Incremental_Cost Year 2'!AZ141+'Incremental_Cost Year 3'!AY141+'Incremental_Cost Year 4'!AY141+'Incremental_Cost Year 5'!AY141+'Incremental_Cost Year 6'!AY141+'Incremental_Cost Year 7'!AY141+'Incremental_Cost Year 8'!AY141+'Incremental_Cost Year 9'!AY141+'Incremental_Cost Year 10'!AY141</f>
        <v>0</v>
      </c>
      <c r="BH141" s="294">
        <f>'Incremental_Cost Year 1'!AZ141+'Incremental_Cost Year 2'!BA141+'Incremental_Cost Year 3'!AZ141+'Incremental_Cost Year 4'!AZ141+'Incremental_Cost Year 5'!AZ141+'Incremental_Cost Year 6'!AZ141+'Incremental_Cost Year 7'!AZ141+'Incremental_Cost Year 8'!AZ141+'Incremental_Cost Year 9'!AZ141+'Incremental_Cost Year 10'!AZ141</f>
        <v>0</v>
      </c>
      <c r="BI141" s="294">
        <f>'Incremental_Cost Year 1'!BA141+'Incremental_Cost Year 2'!BA141+'Incremental_Cost Year 3'!BA141+'Incremental_Cost Year 4'!BA141+'Incremental_Cost Year 5'!BA141+'Incremental_Cost Year 6'!BA141+'Incremental_Cost Year 7'!BA141+'Incremental_Cost Year 8'!BA141+'Incremental_Cost Year 9'!BA141+'Incremental_Cost Year 10'!BA141</f>
        <v>0</v>
      </c>
      <c r="BJ141" s="294">
        <f t="shared" si="149"/>
        <v>0</v>
      </c>
    </row>
    <row r="142" spans="1:62" ht="28.5" customHeight="1" outlineLevel="1">
      <c r="A142" s="98"/>
      <c r="B142" s="102"/>
      <c r="C142" s="23"/>
      <c r="D142" s="56" t="s">
        <v>47</v>
      </c>
      <c r="E142" s="56" t="s">
        <v>232</v>
      </c>
      <c r="F142" s="253">
        <v>2022</v>
      </c>
      <c r="G142" s="254">
        <v>2023</v>
      </c>
      <c r="H142" s="277" t="s">
        <v>230</v>
      </c>
      <c r="I142" s="264"/>
      <c r="J142" s="264"/>
      <c r="K142" s="264"/>
      <c r="L142" s="113">
        <f>SUM(L140:L141)</f>
        <v>0</v>
      </c>
      <c r="M142" s="113">
        <f>SUM(M140:M141)</f>
        <v>0</v>
      </c>
      <c r="N142" s="264"/>
      <c r="O142" s="264"/>
      <c r="P142" s="264"/>
      <c r="Q142" s="264"/>
      <c r="R142" s="113">
        <f t="shared" ref="R142:U142" si="161">SUM(R140:R141)</f>
        <v>0</v>
      </c>
      <c r="S142" s="113">
        <f t="shared" si="161"/>
        <v>0</v>
      </c>
      <c r="T142" s="113">
        <f t="shared" si="161"/>
        <v>0</v>
      </c>
      <c r="U142" s="113">
        <f t="shared" si="161"/>
        <v>0</v>
      </c>
      <c r="V142" s="264"/>
      <c r="W142" s="264"/>
      <c r="X142" s="264"/>
      <c r="Y142" s="113">
        <f>SUM(Y140:Y141)</f>
        <v>0</v>
      </c>
      <c r="Z142" s="264"/>
      <c r="AA142" s="264"/>
      <c r="AB142" s="113">
        <f t="shared" ref="AB142:AF142" si="162">SUM(AB140:AB141)</f>
        <v>0</v>
      </c>
      <c r="AC142" s="265">
        <f t="shared" si="162"/>
        <v>0</v>
      </c>
      <c r="AD142" s="265">
        <f t="shared" si="162"/>
        <v>0</v>
      </c>
      <c r="AE142" s="113">
        <f t="shared" si="162"/>
        <v>0</v>
      </c>
      <c r="AF142" s="113">
        <f t="shared" si="162"/>
        <v>0</v>
      </c>
      <c r="AG142" s="264"/>
      <c r="AH142" s="264"/>
      <c r="AI142" s="264"/>
      <c r="AJ142" s="265">
        <f t="shared" ref="AJ142:AL142" si="163">SUM(AJ140:AJ141)</f>
        <v>0</v>
      </c>
      <c r="AK142" s="265">
        <f t="shared" si="163"/>
        <v>0</v>
      </c>
      <c r="AL142" s="265">
        <f t="shared" si="163"/>
        <v>0</v>
      </c>
      <c r="AM142" s="113">
        <f t="shared" ref="AM142:AN142" si="164">SUM(AM140:AM141)</f>
        <v>0</v>
      </c>
      <c r="AN142" s="113">
        <f t="shared" si="164"/>
        <v>0</v>
      </c>
      <c r="AO142" s="131"/>
      <c r="AP142" s="17"/>
      <c r="AQ142" s="113">
        <f t="shared" ref="AQ142:BB142" si="165">SUM(AQ140:AQ141)</f>
        <v>0</v>
      </c>
      <c r="AR142" s="113">
        <f t="shared" si="165"/>
        <v>0</v>
      </c>
      <c r="AS142" s="113">
        <f t="shared" si="165"/>
        <v>0</v>
      </c>
      <c r="AT142" s="113">
        <f t="shared" si="165"/>
        <v>0</v>
      </c>
      <c r="AU142" s="265">
        <f t="shared" si="165"/>
        <v>0</v>
      </c>
      <c r="AV142" s="265">
        <f t="shared" si="165"/>
        <v>0</v>
      </c>
      <c r="AW142" s="265">
        <f t="shared" si="165"/>
        <v>0</v>
      </c>
      <c r="AX142" s="265">
        <f t="shared" si="165"/>
        <v>0</v>
      </c>
      <c r="AY142" s="265">
        <f t="shared" si="165"/>
        <v>0</v>
      </c>
      <c r="AZ142" s="265">
        <f t="shared" si="165"/>
        <v>0</v>
      </c>
      <c r="BA142" s="265">
        <f t="shared" si="165"/>
        <v>0</v>
      </c>
      <c r="BB142" s="113">
        <f t="shared" si="165"/>
        <v>0</v>
      </c>
      <c r="BD142" s="294"/>
      <c r="BE142" s="294"/>
      <c r="BF142" s="294"/>
      <c r="BG142" s="294"/>
      <c r="BH142" s="294"/>
      <c r="BI142" s="294"/>
      <c r="BJ142" s="294"/>
    </row>
    <row r="143" spans="1:62" s="24" customFormat="1" ht="13.8" customHeight="1">
      <c r="A143" s="114"/>
      <c r="B143" s="115"/>
      <c r="C143" s="314" t="s">
        <v>233</v>
      </c>
      <c r="D143" s="314"/>
      <c r="E143" s="315"/>
      <c r="F143" s="246"/>
      <c r="G143" s="246"/>
      <c r="H143" s="278" t="s">
        <v>188</v>
      </c>
      <c r="I143" s="266"/>
      <c r="J143" s="266"/>
      <c r="K143" s="266"/>
      <c r="L143" s="117">
        <f>SUM(L168,L178)</f>
        <v>0</v>
      </c>
      <c r="M143" s="117">
        <f>SUM(M168,M178)</f>
        <v>0</v>
      </c>
      <c r="N143" s="266"/>
      <c r="O143" s="266"/>
      <c r="P143" s="266"/>
      <c r="Q143" s="266"/>
      <c r="R143" s="117">
        <f t="shared" ref="R143:U143" si="166">SUM(R168,R178)</f>
        <v>0</v>
      </c>
      <c r="S143" s="117">
        <f t="shared" si="166"/>
        <v>0</v>
      </c>
      <c r="T143" s="117">
        <f t="shared" si="166"/>
        <v>0</v>
      </c>
      <c r="U143" s="117">
        <f t="shared" si="166"/>
        <v>0</v>
      </c>
      <c r="V143" s="266"/>
      <c r="W143" s="266"/>
      <c r="X143" s="266"/>
      <c r="Y143" s="117">
        <f>SUM(Y168,Y178)</f>
        <v>0</v>
      </c>
      <c r="Z143" s="267"/>
      <c r="AA143" s="267"/>
      <c r="AB143" s="117">
        <f t="shared" ref="AB143:AF143" si="167">SUM(AB168,AB178)</f>
        <v>0</v>
      </c>
      <c r="AC143" s="267">
        <f t="shared" si="167"/>
        <v>0</v>
      </c>
      <c r="AD143" s="267">
        <f t="shared" si="167"/>
        <v>0</v>
      </c>
      <c r="AE143" s="117">
        <f t="shared" si="167"/>
        <v>0</v>
      </c>
      <c r="AF143" s="117">
        <f t="shared" si="167"/>
        <v>0</v>
      </c>
      <c r="AG143" s="266"/>
      <c r="AH143" s="266"/>
      <c r="AI143" s="266"/>
      <c r="AJ143" s="267">
        <f t="shared" ref="AJ143:AL143" si="168">SUM(AJ168,AJ178)</f>
        <v>0</v>
      </c>
      <c r="AK143" s="267">
        <f t="shared" si="168"/>
        <v>0</v>
      </c>
      <c r="AL143" s="267">
        <f t="shared" si="168"/>
        <v>0</v>
      </c>
      <c r="AM143" s="117">
        <f t="shared" ref="AM143:AN143" si="169">SUM(AM168,AM178)</f>
        <v>0</v>
      </c>
      <c r="AN143" s="117">
        <f t="shared" si="169"/>
        <v>0</v>
      </c>
      <c r="AO143" s="132"/>
      <c r="AP143" s="25"/>
      <c r="AQ143" s="117">
        <f t="shared" ref="AQ143:BB143" si="170">SUM(AQ168,AQ178)</f>
        <v>0</v>
      </c>
      <c r="AR143" s="117">
        <f t="shared" si="170"/>
        <v>0</v>
      </c>
      <c r="AS143" s="117">
        <f t="shared" si="170"/>
        <v>0</v>
      </c>
      <c r="AT143" s="117">
        <f t="shared" si="170"/>
        <v>0</v>
      </c>
      <c r="AU143" s="267">
        <f t="shared" si="170"/>
        <v>0</v>
      </c>
      <c r="AV143" s="267">
        <f t="shared" si="170"/>
        <v>0</v>
      </c>
      <c r="AW143" s="267">
        <f t="shared" si="170"/>
        <v>0</v>
      </c>
      <c r="AX143" s="267">
        <f t="shared" si="170"/>
        <v>0</v>
      </c>
      <c r="AY143" s="267">
        <f t="shared" si="170"/>
        <v>0</v>
      </c>
      <c r="AZ143" s="267">
        <f t="shared" si="170"/>
        <v>0</v>
      </c>
      <c r="BA143" s="267">
        <f t="shared" si="170"/>
        <v>0</v>
      </c>
      <c r="BB143" s="117">
        <f t="shared" si="170"/>
        <v>0</v>
      </c>
      <c r="BD143" s="294"/>
      <c r="BE143" s="294"/>
      <c r="BF143" s="294"/>
      <c r="BG143" s="294"/>
      <c r="BH143" s="294"/>
      <c r="BI143" s="294"/>
      <c r="BJ143" s="294"/>
    </row>
    <row r="144" spans="1:62" ht="27.6" outlineLevel="2">
      <c r="A144" s="98"/>
      <c r="B144" s="102"/>
      <c r="C144" s="23"/>
      <c r="D144" s="257"/>
      <c r="E144" s="123"/>
      <c r="F144" s="249"/>
      <c r="G144" s="283"/>
      <c r="H144" s="272"/>
      <c r="I144" s="258"/>
      <c r="J144" s="259"/>
      <c r="K144" s="259"/>
      <c r="L144" s="106" t="str">
        <f>IF(I144&lt;&gt;0,((VLOOKUP(I144,'1. Standard_Cost'!$B$4:$D$11,2)+VLOOKUP(I144,'1. Standard_Cost'!$B$4:$D$11,3))*J144*K144),"0")</f>
        <v>0</v>
      </c>
      <c r="M144" s="106">
        <f>L144*'1. Standard_Cost'!$F$4</f>
        <v>0</v>
      </c>
      <c r="N144" s="260"/>
      <c r="O144" s="260"/>
      <c r="P144" s="260"/>
      <c r="Q144" s="162"/>
      <c r="R144" s="108">
        <f>'1. Standard_Cost'!$B$15*N144*P144</f>
        <v>0</v>
      </c>
      <c r="S144" s="108">
        <f>N144*O144*P144*'1. Standard_Cost'!$C$15</f>
        <v>0</v>
      </c>
      <c r="T144" s="108">
        <f>N144*P144*Q144*'1. Standard_Cost'!$D$15</f>
        <v>0</v>
      </c>
      <c r="U144" s="108">
        <f>N144*O144*'1. Standard_Cost'!$E$15</f>
        <v>0</v>
      </c>
      <c r="V144" s="260"/>
      <c r="W144" s="260"/>
      <c r="X144" s="260"/>
      <c r="Y144" s="108">
        <f>+V144*((X144*'1. Standard_Cost'!$B$19)+(W144*X144*'1. Standard_Cost'!$C$19))</f>
        <v>0</v>
      </c>
      <c r="Z144" s="260"/>
      <c r="AA144" s="260"/>
      <c r="AB144" s="108">
        <f>+Z144*'1. Standard_Cost'!$B$23+AA144*'1. Standard_Cost'!$C$23</f>
        <v>0</v>
      </c>
      <c r="AC144" s="261"/>
      <c r="AD144" s="262"/>
      <c r="AE144" s="108">
        <f>SUM(AD144,AC144,AB144,Y144,U144,T144,S144,R144)*'1. Standard_Cost'!$B$31</f>
        <v>0</v>
      </c>
      <c r="AF144" s="108">
        <f t="shared" ref="AF144:AF167" si="171">SUM(AE144,AD144,AC144,AB144,Y144,U144,T144,S144,R144)</f>
        <v>0</v>
      </c>
      <c r="AG144" s="260"/>
      <c r="AH144" s="260"/>
      <c r="AI144" s="260"/>
      <c r="AJ144" s="263"/>
      <c r="AK144" s="263"/>
      <c r="AL144" s="263"/>
      <c r="AM144" s="108">
        <f>AG144*'1. Standard_Cost'!$B$27+'Incremental_Cost Year 10'!AH144*'1. Standard_Cost'!$C$27+'Incremental_Cost Year 10'!AI144*'1. Standard_Cost'!$D$27+'Incremental_Cost Year 10'!AJ144+'Incremental_Cost Year 10'!AL144+AK144</f>
        <v>0</v>
      </c>
      <c r="AN144" s="108">
        <f>AM144*'1. Standard_Cost'!$C$31</f>
        <v>0</v>
      </c>
      <c r="AO144" s="125" t="s">
        <v>370</v>
      </c>
      <c r="AQ144" s="14">
        <f t="shared" ref="AQ144:AQ167" si="172">L144+M144</f>
        <v>0</v>
      </c>
      <c r="AR144" s="14">
        <f t="shared" ref="AR144:AR167" si="173">AF144</f>
        <v>0</v>
      </c>
      <c r="AS144" s="14">
        <f t="shared" ref="AS144:AS167" si="174">AM144+AN144</f>
        <v>0</v>
      </c>
      <c r="AT144" s="14">
        <f>SUM(AQ144,AR144,AS144)</f>
        <v>0</v>
      </c>
      <c r="AU144" s="234"/>
      <c r="AV144" s="234"/>
      <c r="AW144" s="234"/>
      <c r="AX144" s="234"/>
      <c r="AY144" s="234"/>
      <c r="AZ144" s="234"/>
      <c r="BA144" s="234"/>
      <c r="BB144" s="16">
        <f t="shared" ref="BB144:BB167" si="175">SUM(AU144:BA144)-AT144</f>
        <v>0</v>
      </c>
      <c r="BD144" s="294">
        <f>'Incremental_Cost Year 1'!AV144+'Incremental_Cost Year 2'!AV144+'Incremental_Cost Year 3'!AV144+'Incremental_Cost Year 4'!AV144+'Incremental_Cost Year 5'!AV144+'Incremental_Cost Year 6'!AV144+'Incremental_Cost Year 7'!AV144+'Incremental_Cost Year 8'!AV144+'Incremental_Cost Year 9'!AV144+'Incremental_Cost Year 10'!AV144</f>
        <v>0</v>
      </c>
      <c r="BE144" s="294">
        <f>'Incremental_Cost Year 1'!AW144+'Incremental_Cost Year 2'!AW144+'Incremental_Cost Year 3'!AW144+'Incremental_Cost Year 4'!AW144+'Incremental_Cost Year 5'!AW144+'Incremental_Cost Year 6'!AW144+'Incremental_Cost Year 7'!AW144+'Incremental_Cost Year 8'!AW144+'Incremental_Cost Year 9'!AW144+'Incremental_Cost Year 10'!AW144</f>
        <v>0</v>
      </c>
      <c r="BF144" s="294">
        <f>'Incremental_Cost Year 1'!AX144+'Incremental_Cost Year 2'!AX144+'Incremental_Cost Year 3'!AX144+'Incremental_Cost Year 4'!AX144+'Incremental_Cost Year 5'!AX144+'Incremental_Cost Year 6'!AX144+'Incremental_Cost Year 7'!AX144+'Incremental_Cost Year 8'!AX144+'Incremental_Cost Year 9'!AX144+'Incremental_Cost Year 10'!AX144</f>
        <v>0</v>
      </c>
      <c r="BG144" s="294">
        <f>'Incremental_Cost Year 1'!AY144+'Incremental_Cost Year 2'!AZ144+'Incremental_Cost Year 3'!AY144+'Incremental_Cost Year 4'!AY144+'Incremental_Cost Year 5'!AY144+'Incremental_Cost Year 6'!AY144+'Incremental_Cost Year 7'!AY144+'Incremental_Cost Year 8'!AY144+'Incremental_Cost Year 9'!AY144+'Incremental_Cost Year 10'!AY144</f>
        <v>0</v>
      </c>
      <c r="BH144" s="294">
        <f>'Incremental_Cost Year 1'!AZ144+'Incremental_Cost Year 2'!BA144+'Incremental_Cost Year 3'!AZ144+'Incremental_Cost Year 4'!AZ144+'Incremental_Cost Year 5'!AZ144+'Incremental_Cost Year 6'!AZ144+'Incremental_Cost Year 7'!AZ144+'Incremental_Cost Year 8'!AZ144+'Incremental_Cost Year 9'!AZ144+'Incremental_Cost Year 10'!AZ144</f>
        <v>0</v>
      </c>
      <c r="BI144" s="294">
        <f>'Incremental_Cost Year 1'!BA144+'Incremental_Cost Year 2'!BA144+'Incremental_Cost Year 3'!BA144+'Incremental_Cost Year 4'!BA144+'Incremental_Cost Year 5'!BA144+'Incremental_Cost Year 6'!BA144+'Incremental_Cost Year 7'!BA144+'Incremental_Cost Year 8'!BA144+'Incremental_Cost Year 9'!BA144+'Incremental_Cost Year 10'!BA144</f>
        <v>0</v>
      </c>
      <c r="BJ144" s="294">
        <f t="shared" si="149"/>
        <v>0</v>
      </c>
    </row>
    <row r="145" spans="1:62" ht="21.6" customHeight="1" outlineLevel="2">
      <c r="A145" s="98"/>
      <c r="B145" s="102"/>
      <c r="C145" s="23"/>
      <c r="D145" s="269"/>
      <c r="E145" s="271"/>
      <c r="F145" s="161"/>
      <c r="G145" s="161"/>
      <c r="H145" s="160"/>
      <c r="I145" s="258"/>
      <c r="J145" s="259"/>
      <c r="K145" s="259"/>
      <c r="L145" s="106" t="str">
        <f>IF(I145&lt;&gt;0,((VLOOKUP(I145,'1. Standard_Cost'!$B$4:$D$11,2)+VLOOKUP(I145,'1. Standard_Cost'!$B$4:$D$11,3))*J145*K145),"0")</f>
        <v>0</v>
      </c>
      <c r="M145" s="106">
        <f>L145*'1. Standard_Cost'!$F$4</f>
        <v>0</v>
      </c>
      <c r="N145" s="260"/>
      <c r="O145" s="260"/>
      <c r="P145" s="260"/>
      <c r="Q145" s="162"/>
      <c r="R145" s="108">
        <f>'[1]1. Standard_Cost'!$B$15*N145*P145</f>
        <v>0</v>
      </c>
      <c r="S145" s="108">
        <f>N145*O145*P145*'[1]1. Standard_Cost'!$C$15</f>
        <v>0</v>
      </c>
      <c r="T145" s="108">
        <f>N145*P145*Q145*'[1]1. Standard_Cost'!$D$15</f>
        <v>0</v>
      </c>
      <c r="U145" s="108">
        <f>N145*O145*'[1]1. Standard_Cost'!$E$15</f>
        <v>0</v>
      </c>
      <c r="V145" s="260"/>
      <c r="W145" s="260"/>
      <c r="X145" s="260"/>
      <c r="Y145" s="108">
        <f>+V145*((X145*'[1]1. Standard_Cost'!$B$19)+(W145*X145*'[1]1. Standard_Cost'!$C$19))</f>
        <v>0</v>
      </c>
      <c r="Z145" s="260"/>
      <c r="AA145" s="260"/>
      <c r="AB145" s="108">
        <f>+Z145*'[1]1. Standard_Cost'!$B$23+AA145*'[1]1. Standard_Cost'!$C$23</f>
        <v>0</v>
      </c>
      <c r="AC145" s="261"/>
      <c r="AD145" s="262"/>
      <c r="AE145" s="108">
        <f>SUM(AD145,AC145,AB145,Y145,U145,T145,S145,R145)*'[1]1. Standard_Cost'!$B$31</f>
        <v>0</v>
      </c>
      <c r="AF145" s="108">
        <f t="shared" si="171"/>
        <v>0</v>
      </c>
      <c r="AG145" s="260"/>
      <c r="AH145" s="260"/>
      <c r="AI145" s="260"/>
      <c r="AJ145" s="263"/>
      <c r="AK145" s="263"/>
      <c r="AL145" s="263"/>
      <c r="AM145" s="108">
        <f>AG145*'[1]1. Standard_Cost'!$B$27+'[1]Incremental_Cost Year 10'!AH145*'[1]1. Standard_Cost'!$C$27+'[1]Incremental_Cost Year 10'!AI145*'[1]1. Standard_Cost'!$D$27+'[1]Incremental_Cost Year 10'!AJ145+'[1]Incremental_Cost Year 10'!AL145+AK145</f>
        <v>0</v>
      </c>
      <c r="AN145" s="108">
        <f>AM145*'[1]1. Standard_Cost'!$C$31</f>
        <v>0</v>
      </c>
      <c r="AO145" s="125"/>
      <c r="AQ145" s="14">
        <f t="shared" si="172"/>
        <v>0</v>
      </c>
      <c r="AR145" s="14">
        <f t="shared" si="173"/>
        <v>0</v>
      </c>
      <c r="AS145" s="14">
        <f t="shared" si="174"/>
        <v>0</v>
      </c>
      <c r="AT145" s="14">
        <f>SUM(AQ145,AR145,AS145)</f>
        <v>0</v>
      </c>
      <c r="AU145" s="234"/>
      <c r="AV145" s="234"/>
      <c r="AW145" s="234"/>
      <c r="AX145" s="234"/>
      <c r="AY145" s="234"/>
      <c r="AZ145" s="234"/>
      <c r="BA145" s="234"/>
      <c r="BB145" s="16">
        <f t="shared" si="175"/>
        <v>0</v>
      </c>
      <c r="BD145" s="294">
        <f>'Incremental_Cost Year 1'!AV145+'Incremental_Cost Year 2'!AV145+'Incremental_Cost Year 3'!AV145+'Incremental_Cost Year 4'!AV145+'Incremental_Cost Year 5'!AV145+'Incremental_Cost Year 6'!AV145+'Incremental_Cost Year 7'!AV145+'Incremental_Cost Year 8'!AV145+'Incremental_Cost Year 9'!AV145+'Incremental_Cost Year 10'!AV145</f>
        <v>0</v>
      </c>
      <c r="BE145" s="294">
        <f>'Incremental_Cost Year 1'!AW145+'Incremental_Cost Year 2'!AW145+'Incremental_Cost Year 3'!AW145+'Incremental_Cost Year 4'!AW145+'Incremental_Cost Year 5'!AW145+'Incremental_Cost Year 6'!AW145+'Incremental_Cost Year 7'!AW145+'Incremental_Cost Year 8'!AW145+'Incremental_Cost Year 9'!AW145+'Incremental_Cost Year 10'!AW145</f>
        <v>0</v>
      </c>
      <c r="BF145" s="294">
        <f>'Incremental_Cost Year 1'!AX145+'Incremental_Cost Year 2'!AX145+'Incremental_Cost Year 3'!AX145+'Incremental_Cost Year 4'!AX145+'Incremental_Cost Year 5'!AX145+'Incremental_Cost Year 6'!AX145+'Incremental_Cost Year 7'!AX145+'Incremental_Cost Year 8'!AX145+'Incremental_Cost Year 9'!AX145+'Incremental_Cost Year 10'!AX145</f>
        <v>0</v>
      </c>
      <c r="BG145" s="294">
        <f>'Incremental_Cost Year 1'!AY145+'Incremental_Cost Year 2'!AZ145+'Incremental_Cost Year 3'!AY145+'Incremental_Cost Year 4'!AY145+'Incremental_Cost Year 5'!AY145+'Incremental_Cost Year 6'!AY145+'Incremental_Cost Year 7'!AY145+'Incremental_Cost Year 8'!AY145+'Incremental_Cost Year 9'!AY145+'Incremental_Cost Year 10'!AY145</f>
        <v>0</v>
      </c>
      <c r="BH145" s="294">
        <f>'Incremental_Cost Year 1'!AZ145+'Incremental_Cost Year 2'!BA145+'Incremental_Cost Year 3'!AZ145+'Incremental_Cost Year 4'!AZ145+'Incremental_Cost Year 5'!AZ145+'Incremental_Cost Year 6'!AZ145+'Incremental_Cost Year 7'!AZ145+'Incremental_Cost Year 8'!AZ145+'Incremental_Cost Year 9'!AZ145+'Incremental_Cost Year 10'!AZ145</f>
        <v>0</v>
      </c>
      <c r="BI145" s="294">
        <f>'Incremental_Cost Year 1'!BA145+'Incremental_Cost Year 2'!BA145+'Incremental_Cost Year 3'!BA145+'Incremental_Cost Year 4'!BA145+'Incremental_Cost Year 5'!BA145+'Incremental_Cost Year 6'!BA145+'Incremental_Cost Year 7'!BA145+'Incremental_Cost Year 8'!BA145+'Incremental_Cost Year 9'!BA145+'Incremental_Cost Year 10'!BA145</f>
        <v>0</v>
      </c>
      <c r="BJ145" s="294">
        <f t="shared" si="149"/>
        <v>0</v>
      </c>
    </row>
    <row r="146" spans="1:62" ht="19.95" customHeight="1" outlineLevel="2">
      <c r="A146" s="98"/>
      <c r="B146" s="102"/>
      <c r="C146" s="23"/>
      <c r="D146" s="269"/>
      <c r="E146" s="271"/>
      <c r="F146" s="161"/>
      <c r="G146" s="161"/>
      <c r="H146" s="160"/>
      <c r="I146" s="258"/>
      <c r="J146" s="259"/>
      <c r="K146" s="259"/>
      <c r="L146" s="106" t="str">
        <f>IF(I146&lt;&gt;0,((VLOOKUP(I146,'1. Standard_Cost'!$B$4:$D$11,2)+VLOOKUP(I146,'1. Standard_Cost'!$B$4:$D$11,3))*J146*K146),"0")</f>
        <v>0</v>
      </c>
      <c r="M146" s="106">
        <f>L146*'1. Standard_Cost'!$F$4</f>
        <v>0</v>
      </c>
      <c r="N146" s="260"/>
      <c r="O146" s="260"/>
      <c r="P146" s="260"/>
      <c r="Q146" s="162"/>
      <c r="R146" s="108">
        <f>'[1]1. Standard_Cost'!$B$15*N146*P146</f>
        <v>0</v>
      </c>
      <c r="S146" s="108">
        <f>N146*O146*P146*'[1]1. Standard_Cost'!$C$15</f>
        <v>0</v>
      </c>
      <c r="T146" s="108">
        <f>N146*P146*Q146*'[1]1. Standard_Cost'!$D$15</f>
        <v>0</v>
      </c>
      <c r="U146" s="108">
        <f>N146*O146*'[1]1. Standard_Cost'!$E$15</f>
        <v>0</v>
      </c>
      <c r="V146" s="260"/>
      <c r="W146" s="260"/>
      <c r="X146" s="260"/>
      <c r="Y146" s="108">
        <f>+V146*((X146*'[1]1. Standard_Cost'!$B$19)+(W146*X146*'[1]1. Standard_Cost'!$C$19))</f>
        <v>0</v>
      </c>
      <c r="Z146" s="260"/>
      <c r="AA146" s="260"/>
      <c r="AB146" s="108">
        <f>+Z146*'[1]1. Standard_Cost'!$B$23+AA146*'[1]1. Standard_Cost'!$C$23</f>
        <v>0</v>
      </c>
      <c r="AC146" s="261"/>
      <c r="AD146" s="262"/>
      <c r="AE146" s="108">
        <f>SUM(AD146,AC146,AB146,Y146,U146,T146,S146,R146)*'[1]1. Standard_Cost'!$B$31</f>
        <v>0</v>
      </c>
      <c r="AF146" s="108">
        <f t="shared" si="171"/>
        <v>0</v>
      </c>
      <c r="AG146" s="260"/>
      <c r="AH146" s="260"/>
      <c r="AI146" s="260"/>
      <c r="AJ146" s="263"/>
      <c r="AK146" s="263"/>
      <c r="AL146" s="263"/>
      <c r="AM146" s="108">
        <f>AG146*'[1]1. Standard_Cost'!$B$27+'[1]Incremental_Cost Year 10'!AH146*'[1]1. Standard_Cost'!$C$27+'[1]Incremental_Cost Year 10'!AI146*'[1]1. Standard_Cost'!$D$27+'[1]Incremental_Cost Year 10'!AJ146+'[1]Incremental_Cost Year 10'!AL146+AK146</f>
        <v>0</v>
      </c>
      <c r="AN146" s="108">
        <f>AM146*'[1]1. Standard_Cost'!$C$31</f>
        <v>0</v>
      </c>
      <c r="AO146" s="125"/>
      <c r="AQ146" s="14">
        <f t="shared" si="172"/>
        <v>0</v>
      </c>
      <c r="AR146" s="14">
        <f t="shared" si="173"/>
        <v>0</v>
      </c>
      <c r="AS146" s="14">
        <f t="shared" si="174"/>
        <v>0</v>
      </c>
      <c r="AT146" s="14">
        <f>SUM(AQ146,AR146,AS146)</f>
        <v>0</v>
      </c>
      <c r="AU146" s="234"/>
      <c r="AV146" s="234"/>
      <c r="AW146" s="234"/>
      <c r="AX146" s="234"/>
      <c r="AY146" s="234"/>
      <c r="AZ146" s="234"/>
      <c r="BA146" s="234"/>
      <c r="BB146" s="16">
        <f t="shared" si="175"/>
        <v>0</v>
      </c>
      <c r="BD146" s="294">
        <f>'Incremental_Cost Year 1'!AV146+'Incremental_Cost Year 2'!AV146+'Incremental_Cost Year 3'!AV146+'Incremental_Cost Year 4'!AV146+'Incremental_Cost Year 5'!AV146+'Incremental_Cost Year 6'!AV146+'Incremental_Cost Year 7'!AV146+'Incremental_Cost Year 8'!AV146+'Incremental_Cost Year 9'!AV146+'Incremental_Cost Year 10'!AV146</f>
        <v>0</v>
      </c>
      <c r="BE146" s="294">
        <f>'Incremental_Cost Year 1'!AW146+'Incremental_Cost Year 2'!AW146+'Incremental_Cost Year 3'!AW146+'Incremental_Cost Year 4'!AW146+'Incremental_Cost Year 5'!AW146+'Incremental_Cost Year 6'!AW146+'Incremental_Cost Year 7'!AW146+'Incremental_Cost Year 8'!AW146+'Incremental_Cost Year 9'!AW146+'Incremental_Cost Year 10'!AW146</f>
        <v>0</v>
      </c>
      <c r="BF146" s="294">
        <f>'Incremental_Cost Year 1'!AX146+'Incremental_Cost Year 2'!AX146+'Incremental_Cost Year 3'!AX146+'Incremental_Cost Year 4'!AX146+'Incremental_Cost Year 5'!AX146+'Incremental_Cost Year 6'!AX146+'Incremental_Cost Year 7'!AX146+'Incremental_Cost Year 8'!AX146+'Incremental_Cost Year 9'!AX146+'Incremental_Cost Year 10'!AX146</f>
        <v>0</v>
      </c>
      <c r="BG146" s="294">
        <f>'Incremental_Cost Year 1'!AY146+'Incremental_Cost Year 2'!AZ146+'Incremental_Cost Year 3'!AY146+'Incremental_Cost Year 4'!AY146+'Incremental_Cost Year 5'!AY146+'Incremental_Cost Year 6'!AY146+'Incremental_Cost Year 7'!AY146+'Incremental_Cost Year 8'!AY146+'Incremental_Cost Year 9'!AY146+'Incremental_Cost Year 10'!AY146</f>
        <v>0</v>
      </c>
      <c r="BH146" s="294">
        <f>'Incremental_Cost Year 1'!AZ146+'Incremental_Cost Year 2'!BA146+'Incremental_Cost Year 3'!AZ146+'Incremental_Cost Year 4'!AZ146+'Incremental_Cost Year 5'!AZ146+'Incremental_Cost Year 6'!AZ146+'Incremental_Cost Year 7'!AZ146+'Incremental_Cost Year 8'!AZ146+'Incremental_Cost Year 9'!AZ146+'Incremental_Cost Year 10'!AZ146</f>
        <v>0</v>
      </c>
      <c r="BI146" s="294">
        <f>'Incremental_Cost Year 1'!BA146+'Incremental_Cost Year 2'!BA146+'Incremental_Cost Year 3'!BA146+'Incremental_Cost Year 4'!BA146+'Incremental_Cost Year 5'!BA146+'Incremental_Cost Year 6'!BA146+'Incremental_Cost Year 7'!BA146+'Incremental_Cost Year 8'!BA146+'Incremental_Cost Year 9'!BA146+'Incremental_Cost Year 10'!BA146</f>
        <v>0</v>
      </c>
      <c r="BJ146" s="294">
        <f t="shared" si="149"/>
        <v>0</v>
      </c>
    </row>
    <row r="147" spans="1:62" ht="27.6" outlineLevel="2">
      <c r="A147" s="98"/>
      <c r="B147" s="102"/>
      <c r="C147" s="23"/>
      <c r="D147" s="269"/>
      <c r="E147" s="271"/>
      <c r="F147" s="250"/>
      <c r="G147" s="255"/>
      <c r="H147" s="272"/>
      <c r="I147" s="258"/>
      <c r="J147" s="259"/>
      <c r="K147" s="259"/>
      <c r="L147" s="106" t="str">
        <f>IF(I147&lt;&gt;0,((VLOOKUP(I147,'1. Standard_Cost'!$B$4:$D$11,2)+VLOOKUP(I147,'1. Standard_Cost'!$B$4:$D$11,3))*J147*K147),"0")</f>
        <v>0</v>
      </c>
      <c r="M147" s="106">
        <f>L147*'1. Standard_Cost'!$F$4</f>
        <v>0</v>
      </c>
      <c r="N147" s="260"/>
      <c r="O147" s="260"/>
      <c r="P147" s="260"/>
      <c r="Q147" s="260"/>
      <c r="R147" s="108">
        <f>'1. Standard_Cost'!$B$15*N147*P147</f>
        <v>0</v>
      </c>
      <c r="S147" s="108">
        <f>N147*O147*P147*'1. Standard_Cost'!$C$15</f>
        <v>0</v>
      </c>
      <c r="T147" s="108">
        <f>N147*P147*Q147*'1. Standard_Cost'!$D$15</f>
        <v>0</v>
      </c>
      <c r="U147" s="108">
        <f>N147*O147*'1. Standard_Cost'!$E$15</f>
        <v>0</v>
      </c>
      <c r="V147" s="260"/>
      <c r="W147" s="260"/>
      <c r="X147" s="260"/>
      <c r="Y147" s="108">
        <f>+V147*((X147*'1. Standard_Cost'!$B$19)+(W147*X147*'1. Standard_Cost'!$C$19))</f>
        <v>0</v>
      </c>
      <c r="Z147" s="260"/>
      <c r="AA147" s="260"/>
      <c r="AB147" s="108">
        <f>+Z147*'1. Standard_Cost'!$B$23+AA147*'1. Standard_Cost'!$C$23</f>
        <v>0</v>
      </c>
      <c r="AC147" s="261"/>
      <c r="AD147" s="262"/>
      <c r="AE147" s="108">
        <f>SUM(AD147,AC147,AB147,Y147,U147,T147,S147,R147)*'1. Standard_Cost'!$B$31</f>
        <v>0</v>
      </c>
      <c r="AF147" s="108">
        <f t="shared" si="171"/>
        <v>0</v>
      </c>
      <c r="AG147" s="260"/>
      <c r="AH147" s="260"/>
      <c r="AI147" s="260"/>
      <c r="AJ147" s="263"/>
      <c r="AK147" s="263"/>
      <c r="AL147" s="263"/>
      <c r="AM147" s="108">
        <f>AG147*'1. Standard_Cost'!$B$27+'Incremental_Cost Year 10'!AH147*'1. Standard_Cost'!$C$27+'Incremental_Cost Year 10'!AI147*'1. Standard_Cost'!$D$27+'Incremental_Cost Year 10'!AJ147+'Incremental_Cost Year 10'!AL147+AK147</f>
        <v>0</v>
      </c>
      <c r="AN147" s="108">
        <f>AM147*'1. Standard_Cost'!$C$31</f>
        <v>0</v>
      </c>
      <c r="AO147" s="125" t="s">
        <v>371</v>
      </c>
      <c r="AQ147" s="14">
        <f t="shared" si="172"/>
        <v>0</v>
      </c>
      <c r="AR147" s="14">
        <f t="shared" si="173"/>
        <v>0</v>
      </c>
      <c r="AS147" s="14">
        <f t="shared" si="174"/>
        <v>0</v>
      </c>
      <c r="AT147" s="14">
        <f t="shared" ref="AT147:AT167" si="176">SUM(AQ147,AR147,AS147)</f>
        <v>0</v>
      </c>
      <c r="AU147" s="234"/>
      <c r="AV147" s="234"/>
      <c r="AW147" s="234"/>
      <c r="AX147" s="234"/>
      <c r="AY147" s="234"/>
      <c r="AZ147" s="234"/>
      <c r="BA147" s="234"/>
      <c r="BB147" s="16">
        <f t="shared" si="175"/>
        <v>0</v>
      </c>
      <c r="BD147" s="294">
        <f>'Incremental_Cost Year 1'!AV147+'Incremental_Cost Year 2'!AV147+'Incremental_Cost Year 3'!AV147+'Incremental_Cost Year 4'!AV147+'Incremental_Cost Year 5'!AV147+'Incremental_Cost Year 6'!AV147+'Incremental_Cost Year 7'!AV147+'Incremental_Cost Year 8'!AV147+'Incremental_Cost Year 9'!AV147+'Incremental_Cost Year 10'!AV147</f>
        <v>0</v>
      </c>
      <c r="BE147" s="294">
        <f>'Incremental_Cost Year 1'!AW147+'Incremental_Cost Year 2'!AW147+'Incremental_Cost Year 3'!AW147+'Incremental_Cost Year 4'!AW147+'Incremental_Cost Year 5'!AW147+'Incremental_Cost Year 6'!AW147+'Incremental_Cost Year 7'!AW147+'Incremental_Cost Year 8'!AW147+'Incremental_Cost Year 9'!AW147+'Incremental_Cost Year 10'!AW147</f>
        <v>0</v>
      </c>
      <c r="BF147" s="294">
        <f>'Incremental_Cost Year 1'!AX147+'Incremental_Cost Year 2'!AX147+'Incremental_Cost Year 3'!AX147+'Incremental_Cost Year 4'!AX147+'Incremental_Cost Year 5'!AX147+'Incremental_Cost Year 6'!AX147+'Incremental_Cost Year 7'!AX147+'Incremental_Cost Year 8'!AX147+'Incremental_Cost Year 9'!AX147+'Incremental_Cost Year 10'!AX147</f>
        <v>0</v>
      </c>
      <c r="BG147" s="294">
        <f>'Incremental_Cost Year 1'!AY147+'Incremental_Cost Year 2'!AZ147+'Incremental_Cost Year 3'!AY147+'Incremental_Cost Year 4'!AY147+'Incremental_Cost Year 5'!AY147+'Incremental_Cost Year 6'!AY147+'Incremental_Cost Year 7'!AY147+'Incremental_Cost Year 8'!AY147+'Incremental_Cost Year 9'!AY147+'Incremental_Cost Year 10'!AY147</f>
        <v>0</v>
      </c>
      <c r="BH147" s="294">
        <f>'Incremental_Cost Year 1'!AZ147+'Incremental_Cost Year 2'!BA147+'Incremental_Cost Year 3'!AZ147+'Incremental_Cost Year 4'!AZ147+'Incremental_Cost Year 5'!AZ147+'Incremental_Cost Year 6'!AZ147+'Incremental_Cost Year 7'!AZ147+'Incremental_Cost Year 8'!AZ147+'Incremental_Cost Year 9'!AZ147+'Incremental_Cost Year 10'!AZ147</f>
        <v>0</v>
      </c>
      <c r="BI147" s="294">
        <f>'Incremental_Cost Year 1'!BA147+'Incremental_Cost Year 2'!BA147+'Incremental_Cost Year 3'!BA147+'Incremental_Cost Year 4'!BA147+'Incremental_Cost Year 5'!BA147+'Incremental_Cost Year 6'!BA147+'Incremental_Cost Year 7'!BA147+'Incremental_Cost Year 8'!BA147+'Incremental_Cost Year 9'!BA147+'Incremental_Cost Year 10'!BA147</f>
        <v>0</v>
      </c>
      <c r="BJ147" s="294">
        <f t="shared" si="149"/>
        <v>0</v>
      </c>
    </row>
    <row r="148" spans="1:62" ht="124.2" customHeight="1" outlineLevel="2">
      <c r="A148" s="98"/>
      <c r="B148" s="102"/>
      <c r="C148" s="23"/>
      <c r="D148" s="269"/>
      <c r="E148" s="271"/>
      <c r="F148" s="161"/>
      <c r="G148" s="161"/>
      <c r="H148" s="202"/>
      <c r="I148" s="258"/>
      <c r="J148" s="259"/>
      <c r="K148" s="259"/>
      <c r="L148" s="106" t="str">
        <f>IF(I148&lt;&gt;0,((VLOOKUP(I148,'1. Standard_Cost'!$B$4:$D$11,2)+VLOOKUP(I148,'1. Standard_Cost'!$B$4:$D$11,3))*J148*K148),"0")</f>
        <v>0</v>
      </c>
      <c r="M148" s="106">
        <f>L148*'1. Standard_Cost'!$F$4</f>
        <v>0</v>
      </c>
      <c r="N148" s="260"/>
      <c r="O148" s="260"/>
      <c r="P148" s="260"/>
      <c r="Q148" s="260"/>
      <c r="R148" s="108">
        <f>'[1]1. Standard_Cost'!$B$15*N148*P148</f>
        <v>0</v>
      </c>
      <c r="S148" s="108">
        <f>N148*O148*P148*'[1]1. Standard_Cost'!$C$15</f>
        <v>0</v>
      </c>
      <c r="T148" s="108">
        <f>N148*P148*Q148*'[1]1. Standard_Cost'!$D$15</f>
        <v>0</v>
      </c>
      <c r="U148" s="108">
        <f>N148*O148*'[1]1. Standard_Cost'!$E$15</f>
        <v>0</v>
      </c>
      <c r="V148" s="260"/>
      <c r="W148" s="260"/>
      <c r="X148" s="260"/>
      <c r="Y148" s="108">
        <f>+V148*((X148*'[1]1. Standard_Cost'!$B$19)+(W148*X148*'[1]1. Standard_Cost'!$C$19))</f>
        <v>0</v>
      </c>
      <c r="Z148" s="260"/>
      <c r="AA148" s="260"/>
      <c r="AB148" s="108">
        <f>+Z148*'[1]1. Standard_Cost'!$B$23+AA148*'[1]1. Standard_Cost'!$C$23</f>
        <v>0</v>
      </c>
      <c r="AC148" s="261"/>
      <c r="AD148" s="262"/>
      <c r="AE148" s="108">
        <v>0</v>
      </c>
      <c r="AF148" s="108">
        <f t="shared" si="171"/>
        <v>0</v>
      </c>
      <c r="AG148" s="260"/>
      <c r="AH148" s="260"/>
      <c r="AI148" s="260"/>
      <c r="AJ148" s="263"/>
      <c r="AK148" s="263"/>
      <c r="AL148" s="263"/>
      <c r="AM148" s="108">
        <f>AG148*'[1]1. Standard_Cost'!$B$27+'[1]Incremental_Cost Year 10'!AH148*'[1]1. Standard_Cost'!$C$27+'[1]Incremental_Cost Year 10'!AI148*'[1]1. Standard_Cost'!$D$27+'[1]Incremental_Cost Year 10'!AJ148+'[1]Incremental_Cost Year 10'!AL148+AK148</f>
        <v>0</v>
      </c>
      <c r="AN148" s="108">
        <f>AM148*'[1]1. Standard_Cost'!$C$31</f>
        <v>0</v>
      </c>
      <c r="AO148" s="163" t="s">
        <v>487</v>
      </c>
      <c r="AQ148" s="14">
        <f t="shared" si="172"/>
        <v>0</v>
      </c>
      <c r="AR148" s="14">
        <f t="shared" si="173"/>
        <v>0</v>
      </c>
      <c r="AS148" s="14">
        <f t="shared" si="174"/>
        <v>0</v>
      </c>
      <c r="AT148" s="14">
        <f t="shared" si="176"/>
        <v>0</v>
      </c>
      <c r="AU148" s="234"/>
      <c r="AV148" s="234"/>
      <c r="AW148" s="234"/>
      <c r="AX148" s="234"/>
      <c r="AY148" s="234"/>
      <c r="AZ148" s="234"/>
      <c r="BA148" s="234"/>
      <c r="BB148" s="16">
        <f t="shared" si="175"/>
        <v>0</v>
      </c>
      <c r="BD148" s="294">
        <f>'Incremental_Cost Year 1'!AV148+'Incremental_Cost Year 2'!AV148+'Incremental_Cost Year 3'!AV148+'Incremental_Cost Year 4'!AV148+'Incremental_Cost Year 5'!AV148+'Incremental_Cost Year 6'!AV148+'Incremental_Cost Year 7'!AV148+'Incremental_Cost Year 8'!AV148+'Incremental_Cost Year 9'!AV148+'Incremental_Cost Year 10'!AV148</f>
        <v>0</v>
      </c>
      <c r="BE148" s="294">
        <f>'Incremental_Cost Year 1'!AW148+'Incremental_Cost Year 2'!AW148+'Incremental_Cost Year 3'!AW148+'Incremental_Cost Year 4'!AW148+'Incremental_Cost Year 5'!AW148+'Incremental_Cost Year 6'!AW148+'Incremental_Cost Year 7'!AW148+'Incremental_Cost Year 8'!AW148+'Incremental_Cost Year 9'!AW148+'Incremental_Cost Year 10'!AW148</f>
        <v>0</v>
      </c>
      <c r="BF148" s="294">
        <f>'Incremental_Cost Year 1'!AX148+'Incremental_Cost Year 2'!AX148+'Incremental_Cost Year 3'!AX148+'Incremental_Cost Year 4'!AX148+'Incremental_Cost Year 5'!AX148+'Incremental_Cost Year 6'!AX148+'Incremental_Cost Year 7'!AX148+'Incremental_Cost Year 8'!AX148+'Incremental_Cost Year 9'!AX148+'Incremental_Cost Year 10'!AX148</f>
        <v>0</v>
      </c>
      <c r="BG148" s="294">
        <f>'Incremental_Cost Year 1'!AY148+'Incremental_Cost Year 2'!AZ148+'Incremental_Cost Year 3'!AY148+'Incremental_Cost Year 4'!AY148+'Incremental_Cost Year 5'!AY148+'Incremental_Cost Year 6'!AY148+'Incremental_Cost Year 7'!AY148+'Incremental_Cost Year 8'!AY148+'Incremental_Cost Year 9'!AY148+'Incremental_Cost Year 10'!AY148</f>
        <v>27444000</v>
      </c>
      <c r="BH148" s="294">
        <f>'Incremental_Cost Year 1'!AZ148+'Incremental_Cost Year 2'!BA148+'Incremental_Cost Year 3'!AZ148+'Incremental_Cost Year 4'!AZ148+'Incremental_Cost Year 5'!AZ148+'Incremental_Cost Year 6'!AZ148+'Incremental_Cost Year 7'!AZ148+'Incremental_Cost Year 8'!AZ148+'Incremental_Cost Year 9'!AZ148+'Incremental_Cost Year 10'!AZ148</f>
        <v>11043000</v>
      </c>
      <c r="BI148" s="294">
        <f>'Incremental_Cost Year 1'!BA148+'Incremental_Cost Year 2'!BA148+'Incremental_Cost Year 3'!BA148+'Incremental_Cost Year 4'!BA148+'Incremental_Cost Year 5'!BA148+'Incremental_Cost Year 6'!BA148+'Incremental_Cost Year 7'!BA148+'Incremental_Cost Year 8'!BA148+'Incremental_Cost Year 9'!BA148+'Incremental_Cost Year 10'!BA148</f>
        <v>0</v>
      </c>
      <c r="BJ148" s="294">
        <f t="shared" si="149"/>
        <v>38487000</v>
      </c>
    </row>
    <row r="149" spans="1:62" ht="27.6" outlineLevel="2">
      <c r="A149" s="98"/>
      <c r="B149" s="102"/>
      <c r="C149" s="23"/>
      <c r="D149" s="269"/>
      <c r="E149" s="271"/>
      <c r="F149" s="250"/>
      <c r="G149" s="255"/>
      <c r="H149" s="272"/>
      <c r="I149" s="258"/>
      <c r="J149" s="259"/>
      <c r="K149" s="259"/>
      <c r="L149" s="106" t="str">
        <f>IF(I149&lt;&gt;0,((VLOOKUP(I149,'1. Standard_Cost'!$B$4:$D$11,2)+VLOOKUP(I149,'1. Standard_Cost'!$B$4:$D$11,3))*J149*K149),"0")</f>
        <v>0</v>
      </c>
      <c r="M149" s="106">
        <f>L149*'1. Standard_Cost'!$F$4</f>
        <v>0</v>
      </c>
      <c r="N149" s="260"/>
      <c r="O149" s="260"/>
      <c r="P149" s="260"/>
      <c r="Q149" s="260"/>
      <c r="R149" s="108">
        <f>'1. Standard_Cost'!$B$15*N149*P149</f>
        <v>0</v>
      </c>
      <c r="S149" s="108">
        <f>N149*O149*P149*'1. Standard_Cost'!$C$15</f>
        <v>0</v>
      </c>
      <c r="T149" s="108">
        <f>N149*P149*Q149*'1. Standard_Cost'!$D$15</f>
        <v>0</v>
      </c>
      <c r="U149" s="108">
        <f>N149*O149*'1. Standard_Cost'!$E$15</f>
        <v>0</v>
      </c>
      <c r="V149" s="260"/>
      <c r="W149" s="260"/>
      <c r="X149" s="260"/>
      <c r="Y149" s="108">
        <f>+V149*((X149*'1. Standard_Cost'!$B$19)+(W149*X149*'1. Standard_Cost'!$C$19))</f>
        <v>0</v>
      </c>
      <c r="Z149" s="260"/>
      <c r="AA149" s="260"/>
      <c r="AB149" s="108">
        <f>+Z149*'1. Standard_Cost'!$B$23+AA149*'1. Standard_Cost'!$C$23</f>
        <v>0</v>
      </c>
      <c r="AC149" s="261"/>
      <c r="AD149" s="262"/>
      <c r="AE149" s="108">
        <f>SUM(AD149,AC149,AB149,Y149,U149,T149,S149,R149)*'1. Standard_Cost'!$B$31</f>
        <v>0</v>
      </c>
      <c r="AF149" s="108">
        <f t="shared" si="171"/>
        <v>0</v>
      </c>
      <c r="AG149" s="260"/>
      <c r="AH149" s="260"/>
      <c r="AI149" s="260"/>
      <c r="AJ149" s="263"/>
      <c r="AK149" s="263"/>
      <c r="AL149" s="263"/>
      <c r="AM149" s="108">
        <f>AG149*'1. Standard_Cost'!$B$27+'Incremental_Cost Year 10'!AH149*'1. Standard_Cost'!$C$27+'Incremental_Cost Year 10'!AI149*'1. Standard_Cost'!$D$27+'Incremental_Cost Year 10'!AJ149+'Incremental_Cost Year 10'!AL149+AK149</f>
        <v>0</v>
      </c>
      <c r="AN149" s="108">
        <f>AM149*'1. Standard_Cost'!$C$31</f>
        <v>0</v>
      </c>
      <c r="AO149" s="125" t="s">
        <v>372</v>
      </c>
      <c r="AQ149" s="14">
        <f t="shared" si="172"/>
        <v>0</v>
      </c>
      <c r="AR149" s="14">
        <f t="shared" si="173"/>
        <v>0</v>
      </c>
      <c r="AS149" s="14">
        <f t="shared" si="174"/>
        <v>0</v>
      </c>
      <c r="AT149" s="14">
        <f t="shared" si="176"/>
        <v>0</v>
      </c>
      <c r="AU149" s="234"/>
      <c r="AV149" s="234"/>
      <c r="AW149" s="234"/>
      <c r="AX149" s="234"/>
      <c r="AY149" s="234"/>
      <c r="AZ149" s="234"/>
      <c r="BA149" s="234"/>
      <c r="BB149" s="16">
        <f t="shared" si="175"/>
        <v>0</v>
      </c>
      <c r="BD149" s="294">
        <f>'Incremental_Cost Year 1'!AV149+'Incremental_Cost Year 2'!AV149+'Incremental_Cost Year 3'!AV149+'Incremental_Cost Year 4'!AV149+'Incremental_Cost Year 5'!AV149+'Incremental_Cost Year 6'!AV149+'Incremental_Cost Year 7'!AV149+'Incremental_Cost Year 8'!AV149+'Incremental_Cost Year 9'!AV149+'Incremental_Cost Year 10'!AV149</f>
        <v>0</v>
      </c>
      <c r="BE149" s="294">
        <f>'Incremental_Cost Year 1'!AW149+'Incremental_Cost Year 2'!AW149+'Incremental_Cost Year 3'!AW149+'Incremental_Cost Year 4'!AW149+'Incremental_Cost Year 5'!AW149+'Incremental_Cost Year 6'!AW149+'Incremental_Cost Year 7'!AW149+'Incremental_Cost Year 8'!AW149+'Incremental_Cost Year 9'!AW149+'Incremental_Cost Year 10'!AW149</f>
        <v>0</v>
      </c>
      <c r="BF149" s="294">
        <f>'Incremental_Cost Year 1'!AX149+'Incremental_Cost Year 2'!AX149+'Incremental_Cost Year 3'!AX149+'Incremental_Cost Year 4'!AX149+'Incremental_Cost Year 5'!AX149+'Incremental_Cost Year 6'!AX149+'Incremental_Cost Year 7'!AX149+'Incremental_Cost Year 8'!AX149+'Incremental_Cost Year 9'!AX149+'Incremental_Cost Year 10'!AX149</f>
        <v>0</v>
      </c>
      <c r="BG149" s="294">
        <f>'Incremental_Cost Year 1'!AY149+'Incremental_Cost Year 2'!AZ149+'Incremental_Cost Year 3'!AY149+'Incremental_Cost Year 4'!AY149+'Incremental_Cost Year 5'!AY149+'Incremental_Cost Year 6'!AY149+'Incremental_Cost Year 7'!AY149+'Incremental_Cost Year 8'!AY149+'Incremental_Cost Year 9'!AY149+'Incremental_Cost Year 10'!AY149</f>
        <v>0</v>
      </c>
      <c r="BH149" s="294">
        <f>'Incremental_Cost Year 1'!AZ149+'Incremental_Cost Year 2'!BA149+'Incremental_Cost Year 3'!AZ149+'Incremental_Cost Year 4'!AZ149+'Incremental_Cost Year 5'!AZ149+'Incremental_Cost Year 6'!AZ149+'Incremental_Cost Year 7'!AZ149+'Incremental_Cost Year 8'!AZ149+'Incremental_Cost Year 9'!AZ149+'Incremental_Cost Year 10'!AZ149</f>
        <v>0</v>
      </c>
      <c r="BI149" s="294">
        <f>'Incremental_Cost Year 1'!BA149+'Incremental_Cost Year 2'!BA149+'Incremental_Cost Year 3'!BA149+'Incremental_Cost Year 4'!BA149+'Incremental_Cost Year 5'!BA149+'Incremental_Cost Year 6'!BA149+'Incremental_Cost Year 7'!BA149+'Incremental_Cost Year 8'!BA149+'Incremental_Cost Year 9'!BA149+'Incremental_Cost Year 10'!BA149</f>
        <v>0</v>
      </c>
      <c r="BJ149" s="294">
        <f t="shared" si="149"/>
        <v>0</v>
      </c>
    </row>
    <row r="150" spans="1:62" ht="15.6" outlineLevel="2">
      <c r="A150" s="98"/>
      <c r="B150" s="102"/>
      <c r="C150" s="23"/>
      <c r="D150" s="269"/>
      <c r="E150" s="271"/>
      <c r="F150" s="250"/>
      <c r="G150" s="255"/>
      <c r="H150" s="272"/>
      <c r="I150" s="258"/>
      <c r="J150" s="259"/>
      <c r="K150" s="259"/>
      <c r="L150" s="106" t="str">
        <f>IF(I150&lt;&gt;0,((VLOOKUP(I150,'1. Standard_Cost'!$B$4:$D$11,2)+VLOOKUP(I150,'1. Standard_Cost'!$B$4:$D$11,3))*J150*K150),"0")</f>
        <v>0</v>
      </c>
      <c r="M150" s="106">
        <f>L150*'1. Standard_Cost'!$F$4</f>
        <v>0</v>
      </c>
      <c r="N150" s="260"/>
      <c r="O150" s="260"/>
      <c r="P150" s="260"/>
      <c r="Q150" s="260"/>
      <c r="R150" s="108">
        <f>'1. Standard_Cost'!$B$15*N150*P150</f>
        <v>0</v>
      </c>
      <c r="S150" s="108">
        <f>N150*O150*P150*'1. Standard_Cost'!$C$15</f>
        <v>0</v>
      </c>
      <c r="T150" s="108">
        <f>N150*P150*Q150*'1. Standard_Cost'!$D$15</f>
        <v>0</v>
      </c>
      <c r="U150" s="108">
        <f>N150*O150*'1. Standard_Cost'!$E$15</f>
        <v>0</v>
      </c>
      <c r="V150" s="260"/>
      <c r="W150" s="260"/>
      <c r="X150" s="260"/>
      <c r="Y150" s="108">
        <f>+V150*((X150*'1. Standard_Cost'!$B$19)+(W150*X150*'1. Standard_Cost'!$C$19))</f>
        <v>0</v>
      </c>
      <c r="Z150" s="260"/>
      <c r="AA150" s="260"/>
      <c r="AB150" s="108">
        <f>+Z150*'1. Standard_Cost'!$B$23+AA150*'1. Standard_Cost'!$C$23</f>
        <v>0</v>
      </c>
      <c r="AC150" s="261"/>
      <c r="AD150" s="262"/>
      <c r="AE150" s="108"/>
      <c r="AF150" s="108">
        <f t="shared" si="171"/>
        <v>0</v>
      </c>
      <c r="AG150" s="260"/>
      <c r="AH150" s="260"/>
      <c r="AI150" s="260"/>
      <c r="AJ150" s="263"/>
      <c r="AK150" s="263"/>
      <c r="AL150" s="263"/>
      <c r="AM150" s="108">
        <f>AG150*'1. Standard_Cost'!$B$27+'Incremental_Cost Year 10'!AH150*'1. Standard_Cost'!$C$27+'Incremental_Cost Year 10'!AI150*'1. Standard_Cost'!$D$27+'Incremental_Cost Year 10'!AJ150+'Incremental_Cost Year 10'!AL150+AK150</f>
        <v>0</v>
      </c>
      <c r="AN150" s="108">
        <f>AM150*'1. Standard_Cost'!$C$31</f>
        <v>0</v>
      </c>
      <c r="AO150" s="125" t="s">
        <v>373</v>
      </c>
      <c r="AQ150" s="14">
        <f t="shared" si="172"/>
        <v>0</v>
      </c>
      <c r="AR150" s="14">
        <f t="shared" si="173"/>
        <v>0</v>
      </c>
      <c r="AS150" s="14">
        <f t="shared" si="174"/>
        <v>0</v>
      </c>
      <c r="AT150" s="14">
        <f t="shared" si="176"/>
        <v>0</v>
      </c>
      <c r="AU150" s="234"/>
      <c r="AV150" s="234"/>
      <c r="AW150" s="234"/>
      <c r="AX150" s="234"/>
      <c r="AY150" s="234"/>
      <c r="AZ150" s="234"/>
      <c r="BA150" s="234"/>
      <c r="BB150" s="16">
        <f t="shared" si="175"/>
        <v>0</v>
      </c>
      <c r="BD150" s="294">
        <f>'Incremental_Cost Year 1'!AV150+'Incremental_Cost Year 2'!AV150+'Incremental_Cost Year 3'!AV150+'Incremental_Cost Year 4'!AV150+'Incremental_Cost Year 5'!AV150+'Incremental_Cost Year 6'!AV150+'Incremental_Cost Year 7'!AV150+'Incremental_Cost Year 8'!AV150+'Incremental_Cost Year 9'!AV150+'Incremental_Cost Year 10'!AV150</f>
        <v>0</v>
      </c>
      <c r="BE150" s="294">
        <f>'Incremental_Cost Year 1'!AW150+'Incremental_Cost Year 2'!AW150+'Incremental_Cost Year 3'!AW150+'Incremental_Cost Year 4'!AW150+'Incremental_Cost Year 5'!AW150+'Incremental_Cost Year 6'!AW150+'Incremental_Cost Year 7'!AW150+'Incremental_Cost Year 8'!AW150+'Incremental_Cost Year 9'!AW150+'Incremental_Cost Year 10'!AW150</f>
        <v>0</v>
      </c>
      <c r="BF150" s="294">
        <f>'Incremental_Cost Year 1'!AX150+'Incremental_Cost Year 2'!AX150+'Incremental_Cost Year 3'!AX150+'Incremental_Cost Year 4'!AX150+'Incremental_Cost Year 5'!AX150+'Incremental_Cost Year 6'!AX150+'Incremental_Cost Year 7'!AX150+'Incremental_Cost Year 8'!AX150+'Incremental_Cost Year 9'!AX150+'Incremental_Cost Year 10'!AX150</f>
        <v>588000</v>
      </c>
      <c r="BG150" s="294">
        <f>'Incremental_Cost Year 1'!AY150+'Incremental_Cost Year 2'!AZ150+'Incremental_Cost Year 3'!AY150+'Incremental_Cost Year 4'!AY150+'Incremental_Cost Year 5'!AY150+'Incremental_Cost Year 6'!AY150+'Incremental_Cost Year 7'!AY150+'Incremental_Cost Year 8'!AY150+'Incremental_Cost Year 9'!AY150+'Incremental_Cost Year 10'!AY150</f>
        <v>0</v>
      </c>
      <c r="BH150" s="294">
        <f>'Incremental_Cost Year 1'!AZ150+'Incremental_Cost Year 2'!BA150+'Incremental_Cost Year 3'!AZ150+'Incremental_Cost Year 4'!AZ150+'Incremental_Cost Year 5'!AZ150+'Incremental_Cost Year 6'!AZ150+'Incremental_Cost Year 7'!AZ150+'Incremental_Cost Year 8'!AZ150+'Incremental_Cost Year 9'!AZ150+'Incremental_Cost Year 10'!AZ150</f>
        <v>0</v>
      </c>
      <c r="BI150" s="294">
        <f>'Incremental_Cost Year 1'!BA150+'Incremental_Cost Year 2'!BA150+'Incremental_Cost Year 3'!BA150+'Incremental_Cost Year 4'!BA150+'Incremental_Cost Year 5'!BA150+'Incremental_Cost Year 6'!BA150+'Incremental_Cost Year 7'!BA150+'Incremental_Cost Year 8'!BA150+'Incremental_Cost Year 9'!BA150+'Incremental_Cost Year 10'!BA150</f>
        <v>0</v>
      </c>
      <c r="BJ150" s="294">
        <f t="shared" si="149"/>
        <v>588000</v>
      </c>
    </row>
    <row r="151" spans="1:62" ht="15.6" outlineLevel="2">
      <c r="A151" s="98"/>
      <c r="B151" s="102"/>
      <c r="C151" s="23"/>
      <c r="D151" s="269"/>
      <c r="E151" s="271"/>
      <c r="F151" s="250"/>
      <c r="G151" s="177"/>
      <c r="H151" s="272"/>
      <c r="I151" s="258"/>
      <c r="J151" s="259"/>
      <c r="K151" s="259"/>
      <c r="L151" s="106" t="str">
        <f>IF(I151&lt;&gt;0,((VLOOKUP(I151,'1. Standard_Cost'!$B$4:$D$11,2)+VLOOKUP(I151,'1. Standard_Cost'!$B$4:$D$11,3))*J151*K151),"0")</f>
        <v>0</v>
      </c>
      <c r="M151" s="106">
        <f>L151*'1. Standard_Cost'!$F$4</f>
        <v>0</v>
      </c>
      <c r="N151" s="260"/>
      <c r="O151" s="260"/>
      <c r="P151" s="260"/>
      <c r="Q151" s="260"/>
      <c r="R151" s="108">
        <f>'1. Standard_Cost'!$B$15*N151*P151</f>
        <v>0</v>
      </c>
      <c r="S151" s="108">
        <f>N151*O151*P151*'1. Standard_Cost'!$C$15</f>
        <v>0</v>
      </c>
      <c r="T151" s="108">
        <f>N151*P151*Q151*'1. Standard_Cost'!$D$15</f>
        <v>0</v>
      </c>
      <c r="U151" s="108">
        <f>N151*O151*'1. Standard_Cost'!$E$15</f>
        <v>0</v>
      </c>
      <c r="V151" s="260"/>
      <c r="W151" s="260"/>
      <c r="X151" s="260"/>
      <c r="Y151" s="108">
        <f>+V151*((X151*'1. Standard_Cost'!$B$19)+(W151*X151*'1. Standard_Cost'!$C$19))</f>
        <v>0</v>
      </c>
      <c r="Z151" s="260"/>
      <c r="AA151" s="260"/>
      <c r="AB151" s="108">
        <f>+Z151*'1. Standard_Cost'!$B$23+AA151*'1. Standard_Cost'!$C$23</f>
        <v>0</v>
      </c>
      <c r="AC151" s="261"/>
      <c r="AD151" s="262"/>
      <c r="AE151" s="108">
        <f>SUM(AD151,AC151,AB151,Y151,U151,T151,S151,R151)*'1. Standard_Cost'!$B$31</f>
        <v>0</v>
      </c>
      <c r="AF151" s="108">
        <f t="shared" si="171"/>
        <v>0</v>
      </c>
      <c r="AG151" s="260"/>
      <c r="AH151" s="260"/>
      <c r="AI151" s="260"/>
      <c r="AJ151" s="263"/>
      <c r="AK151" s="263"/>
      <c r="AL151" s="263"/>
      <c r="AM151" s="108">
        <f>AG151*'1. Standard_Cost'!$B$27+'Incremental_Cost Year 10'!AH151*'1. Standard_Cost'!$C$27+'Incremental_Cost Year 10'!AI151*'1. Standard_Cost'!$D$27+'Incremental_Cost Year 10'!AJ151+'Incremental_Cost Year 10'!AL151+AK151</f>
        <v>0</v>
      </c>
      <c r="AN151" s="108">
        <f>AM151*'1. Standard_Cost'!$C$31</f>
        <v>0</v>
      </c>
      <c r="AO151" s="125" t="s">
        <v>374</v>
      </c>
      <c r="AQ151" s="14">
        <f t="shared" si="172"/>
        <v>0</v>
      </c>
      <c r="AR151" s="14">
        <f t="shared" si="173"/>
        <v>0</v>
      </c>
      <c r="AS151" s="14">
        <f t="shared" si="174"/>
        <v>0</v>
      </c>
      <c r="AT151" s="14">
        <f t="shared" si="176"/>
        <v>0</v>
      </c>
      <c r="AU151" s="234"/>
      <c r="AV151" s="234"/>
      <c r="AW151" s="234"/>
      <c r="AX151" s="234"/>
      <c r="AY151" s="234"/>
      <c r="AZ151" s="234"/>
      <c r="BA151" s="234"/>
      <c r="BB151" s="16">
        <f t="shared" si="175"/>
        <v>0</v>
      </c>
      <c r="BD151" s="294">
        <f>'Incremental_Cost Year 1'!AV151+'Incremental_Cost Year 2'!AV151+'Incremental_Cost Year 3'!AV151+'Incremental_Cost Year 4'!AV151+'Incremental_Cost Year 5'!AV151+'Incremental_Cost Year 6'!AV151+'Incremental_Cost Year 7'!AV151+'Incremental_Cost Year 8'!AV151+'Incremental_Cost Year 9'!AV151+'Incremental_Cost Year 10'!AV151</f>
        <v>0</v>
      </c>
      <c r="BE151" s="294">
        <f>'Incremental_Cost Year 1'!AW151+'Incremental_Cost Year 2'!AW151+'Incremental_Cost Year 3'!AW151+'Incremental_Cost Year 4'!AW151+'Incremental_Cost Year 5'!AW151+'Incremental_Cost Year 6'!AW151+'Incremental_Cost Year 7'!AW151+'Incremental_Cost Year 8'!AW151+'Incremental_Cost Year 9'!AW151+'Incremental_Cost Year 10'!AW151</f>
        <v>0</v>
      </c>
      <c r="BF151" s="294">
        <f>'Incremental_Cost Year 1'!AX151+'Incremental_Cost Year 2'!AX151+'Incremental_Cost Year 3'!AX151+'Incremental_Cost Year 4'!AX151+'Incremental_Cost Year 5'!AX151+'Incremental_Cost Year 6'!AX151+'Incremental_Cost Year 7'!AX151+'Incremental_Cost Year 8'!AX151+'Incremental_Cost Year 9'!AX151+'Incremental_Cost Year 10'!AX151</f>
        <v>1384000</v>
      </c>
      <c r="BG151" s="294">
        <f>'Incremental_Cost Year 1'!AY151+'Incremental_Cost Year 2'!AZ151+'Incremental_Cost Year 3'!AY151+'Incremental_Cost Year 4'!AY151+'Incremental_Cost Year 5'!AY151+'Incremental_Cost Year 6'!AY151+'Incremental_Cost Year 7'!AY151+'Incremental_Cost Year 8'!AY151+'Incremental_Cost Year 9'!AY151+'Incremental_Cost Year 10'!AY151</f>
        <v>0</v>
      </c>
      <c r="BH151" s="294">
        <f>'Incremental_Cost Year 1'!AZ151+'Incremental_Cost Year 2'!BA151+'Incremental_Cost Year 3'!AZ151+'Incremental_Cost Year 4'!AZ151+'Incremental_Cost Year 5'!AZ151+'Incremental_Cost Year 6'!AZ151+'Incremental_Cost Year 7'!AZ151+'Incremental_Cost Year 8'!AZ151+'Incremental_Cost Year 9'!AZ151+'Incremental_Cost Year 10'!AZ151</f>
        <v>0</v>
      </c>
      <c r="BI151" s="294">
        <f>'Incremental_Cost Year 1'!BA151+'Incremental_Cost Year 2'!BA151+'Incremental_Cost Year 3'!BA151+'Incremental_Cost Year 4'!BA151+'Incremental_Cost Year 5'!BA151+'Incremental_Cost Year 6'!BA151+'Incremental_Cost Year 7'!BA151+'Incremental_Cost Year 8'!BA151+'Incremental_Cost Year 9'!BA151+'Incremental_Cost Year 10'!BA151</f>
        <v>0</v>
      </c>
      <c r="BJ151" s="294">
        <f t="shared" si="149"/>
        <v>1384000</v>
      </c>
    </row>
    <row r="152" spans="1:62" ht="41.4" customHeight="1" outlineLevel="2">
      <c r="A152" s="98"/>
      <c r="B152" s="102"/>
      <c r="C152" s="23"/>
      <c r="D152" s="269"/>
      <c r="E152" s="271"/>
      <c r="F152" s="161"/>
      <c r="G152" s="161"/>
      <c r="H152" s="164"/>
      <c r="I152" s="258"/>
      <c r="J152" s="259"/>
      <c r="K152" s="259"/>
      <c r="L152" s="106" t="str">
        <f>IF(I152&lt;&gt;0,((VLOOKUP(I152,'1. Standard_Cost'!$B$4:$D$11,2)+VLOOKUP(I152,'1. Standard_Cost'!$B$4:$D$11,3))*J152*K152),"0")</f>
        <v>0</v>
      </c>
      <c r="M152" s="106">
        <f>L152*'1. Standard_Cost'!$F$4</f>
        <v>0</v>
      </c>
      <c r="N152" s="260"/>
      <c r="O152" s="260"/>
      <c r="P152" s="260"/>
      <c r="Q152" s="260"/>
      <c r="R152" s="108">
        <f>'[1]1. Standard_Cost'!$B$15*N152*P152</f>
        <v>0</v>
      </c>
      <c r="S152" s="108">
        <f>N152*O152*P152*'[1]1. Standard_Cost'!$C$15</f>
        <v>0</v>
      </c>
      <c r="T152" s="108">
        <f>N152*P152*Q152*'[1]1. Standard_Cost'!$D$15</f>
        <v>0</v>
      </c>
      <c r="U152" s="108">
        <f>N152*O152*'[1]1. Standard_Cost'!$E$15</f>
        <v>0</v>
      </c>
      <c r="V152" s="260"/>
      <c r="W152" s="260"/>
      <c r="X152" s="260"/>
      <c r="Y152" s="108">
        <f>+V152*((X152*'[1]1. Standard_Cost'!$B$19)+(W152*X152*'[1]1. Standard_Cost'!$C$19))</f>
        <v>0</v>
      </c>
      <c r="Z152" s="260"/>
      <c r="AA152" s="260"/>
      <c r="AB152" s="108">
        <f>+Z152*'[1]1. Standard_Cost'!$B$23+AA152*'[1]1. Standard_Cost'!$C$23</f>
        <v>0</v>
      </c>
      <c r="AC152" s="261"/>
      <c r="AD152" s="262"/>
      <c r="AE152" s="108">
        <f>SUM(AD152,AC152,AB152,Y152,U152,T152,S152,R152)*'[1]1. Standard_Cost'!$B$31</f>
        <v>0</v>
      </c>
      <c r="AF152" s="108">
        <f t="shared" si="171"/>
        <v>0</v>
      </c>
      <c r="AG152" s="260"/>
      <c r="AH152" s="260"/>
      <c r="AI152" s="260"/>
      <c r="AJ152" s="263"/>
      <c r="AK152" s="263"/>
      <c r="AL152" s="263"/>
      <c r="AM152" s="108">
        <f>AG152*'[1]1. Standard_Cost'!$B$27+'[1]Incremental_Cost Year 10'!AH152*'[1]1. Standard_Cost'!$C$27+'[1]Incremental_Cost Year 10'!AI152*'[1]1. Standard_Cost'!$D$27+'[1]Incremental_Cost Year 10'!AJ152+'[1]Incremental_Cost Year 10'!AL152+AK152</f>
        <v>0</v>
      </c>
      <c r="AN152" s="108">
        <f>AM152*'[1]1. Standard_Cost'!$C$31</f>
        <v>0</v>
      </c>
      <c r="AO152" s="125" t="s">
        <v>374</v>
      </c>
      <c r="AQ152" s="14">
        <f t="shared" si="172"/>
        <v>0</v>
      </c>
      <c r="AR152" s="14">
        <f t="shared" si="173"/>
        <v>0</v>
      </c>
      <c r="AS152" s="14">
        <f t="shared" si="174"/>
        <v>0</v>
      </c>
      <c r="AT152" s="14">
        <f t="shared" si="176"/>
        <v>0</v>
      </c>
      <c r="AU152" s="234"/>
      <c r="AV152" s="234"/>
      <c r="AW152" s="234"/>
      <c r="AX152" s="234"/>
      <c r="AY152" s="234"/>
      <c r="AZ152" s="234"/>
      <c r="BA152" s="234"/>
      <c r="BB152" s="16">
        <f t="shared" si="175"/>
        <v>0</v>
      </c>
      <c r="BD152" s="294">
        <f>'Incremental_Cost Year 1'!AV152+'Incremental_Cost Year 2'!AV152+'Incremental_Cost Year 3'!AV152+'Incremental_Cost Year 4'!AV152+'Incremental_Cost Year 5'!AV152+'Incremental_Cost Year 6'!AV152+'Incremental_Cost Year 7'!AV152+'Incremental_Cost Year 8'!AV152+'Incremental_Cost Year 9'!AV152+'Incremental_Cost Year 10'!AV152</f>
        <v>0</v>
      </c>
      <c r="BE152" s="294">
        <f>'Incremental_Cost Year 1'!AW152+'Incremental_Cost Year 2'!AW152+'Incremental_Cost Year 3'!AW152+'Incremental_Cost Year 4'!AW152+'Incremental_Cost Year 5'!AW152+'Incremental_Cost Year 6'!AW152+'Incremental_Cost Year 7'!AW152+'Incremental_Cost Year 8'!AW152+'Incremental_Cost Year 9'!AW152+'Incremental_Cost Year 10'!AW152</f>
        <v>0</v>
      </c>
      <c r="BF152" s="294">
        <f>'Incremental_Cost Year 1'!AX152+'Incremental_Cost Year 2'!AX152+'Incremental_Cost Year 3'!AX152+'Incremental_Cost Year 4'!AX152+'Incremental_Cost Year 5'!AX152+'Incremental_Cost Year 6'!AX152+'Incremental_Cost Year 7'!AX152+'Incremental_Cost Year 8'!AX152+'Incremental_Cost Year 9'!AX152+'Incremental_Cost Year 10'!AX152</f>
        <v>0</v>
      </c>
      <c r="BG152" s="294">
        <f>'Incremental_Cost Year 1'!AY152+'Incremental_Cost Year 2'!AZ152+'Incremental_Cost Year 3'!AY152+'Incremental_Cost Year 4'!AY152+'Incremental_Cost Year 5'!AY152+'Incremental_Cost Year 6'!AY152+'Incremental_Cost Year 7'!AY152+'Incremental_Cost Year 8'!AY152+'Incremental_Cost Year 9'!AY152+'Incremental_Cost Year 10'!AY152</f>
        <v>0</v>
      </c>
      <c r="BH152" s="294">
        <f>'Incremental_Cost Year 1'!AZ152+'Incremental_Cost Year 2'!BA152+'Incremental_Cost Year 3'!AZ152+'Incremental_Cost Year 4'!AZ152+'Incremental_Cost Year 5'!AZ152+'Incremental_Cost Year 6'!AZ152+'Incremental_Cost Year 7'!AZ152+'Incremental_Cost Year 8'!AZ152+'Incremental_Cost Year 9'!AZ152+'Incremental_Cost Year 10'!AZ152</f>
        <v>0</v>
      </c>
      <c r="BI152" s="294">
        <f>'Incremental_Cost Year 1'!BA152+'Incremental_Cost Year 2'!BA152+'Incremental_Cost Year 3'!BA152+'Incremental_Cost Year 4'!BA152+'Incremental_Cost Year 5'!BA152+'Incremental_Cost Year 6'!BA152+'Incremental_Cost Year 7'!BA152+'Incremental_Cost Year 8'!BA152+'Incremental_Cost Year 9'!BA152+'Incremental_Cost Year 10'!BA152</f>
        <v>0</v>
      </c>
      <c r="BJ152" s="294">
        <f t="shared" si="149"/>
        <v>0</v>
      </c>
    </row>
    <row r="153" spans="1:62" ht="15.6" outlineLevel="2">
      <c r="A153" s="98"/>
      <c r="B153" s="102"/>
      <c r="C153" s="23"/>
      <c r="D153" s="269"/>
      <c r="E153" s="271"/>
      <c r="F153" s="250"/>
      <c r="G153" s="255"/>
      <c r="H153" s="272"/>
      <c r="I153" s="258"/>
      <c r="J153" s="259"/>
      <c r="K153" s="259"/>
      <c r="L153" s="106" t="str">
        <f>IF(I153&lt;&gt;0,((VLOOKUP(I153,'1. Standard_Cost'!$B$4:$D$11,2)+VLOOKUP(I153,'1. Standard_Cost'!$B$4:$D$11,3))*J153*K153),"0")</f>
        <v>0</v>
      </c>
      <c r="M153" s="106">
        <f>L153*'1. Standard_Cost'!$F$4</f>
        <v>0</v>
      </c>
      <c r="N153" s="260"/>
      <c r="O153" s="260"/>
      <c r="P153" s="260"/>
      <c r="Q153" s="260"/>
      <c r="R153" s="108">
        <f>'1. Standard_Cost'!$B$15*N153*P153</f>
        <v>0</v>
      </c>
      <c r="S153" s="108">
        <f>N153*O153*P153*'1. Standard_Cost'!$C$15</f>
        <v>0</v>
      </c>
      <c r="T153" s="108">
        <f>N153*P153*Q153*'1. Standard_Cost'!$D$15</f>
        <v>0</v>
      </c>
      <c r="U153" s="108">
        <f>N153*O153*'1. Standard_Cost'!$E$15</f>
        <v>0</v>
      </c>
      <c r="V153" s="260"/>
      <c r="W153" s="260"/>
      <c r="X153" s="260"/>
      <c r="Y153" s="108">
        <f>+V153*((X153*'1. Standard_Cost'!$B$19)+(W153*X153*'1. Standard_Cost'!$C$19))</f>
        <v>0</v>
      </c>
      <c r="Z153" s="260"/>
      <c r="AA153" s="260"/>
      <c r="AB153" s="108">
        <f>+Z153*'1. Standard_Cost'!$B$23+AA153*'1. Standard_Cost'!$C$23</f>
        <v>0</v>
      </c>
      <c r="AC153" s="261"/>
      <c r="AD153" s="262"/>
      <c r="AE153" s="108">
        <f>SUM(AD153,AC153,AB153,Y153,U153,T153,S153,R153)*'1. Standard_Cost'!$B$31</f>
        <v>0</v>
      </c>
      <c r="AF153" s="108">
        <f t="shared" si="171"/>
        <v>0</v>
      </c>
      <c r="AG153" s="260"/>
      <c r="AH153" s="260"/>
      <c r="AI153" s="260"/>
      <c r="AJ153" s="263"/>
      <c r="AK153" s="263"/>
      <c r="AL153" s="263"/>
      <c r="AM153" s="108">
        <f>AG153*'1. Standard_Cost'!$B$27+'Incremental_Cost Year 10'!AH153*'1. Standard_Cost'!$C$27+'Incremental_Cost Year 10'!AI153*'1. Standard_Cost'!$D$27+'Incremental_Cost Year 10'!AJ153+'Incremental_Cost Year 10'!AL153+AK153</f>
        <v>0</v>
      </c>
      <c r="AN153" s="108">
        <f>AM153*'1. Standard_Cost'!$C$31</f>
        <v>0</v>
      </c>
      <c r="AO153" s="125" t="s">
        <v>313</v>
      </c>
      <c r="AQ153" s="14">
        <f t="shared" si="172"/>
        <v>0</v>
      </c>
      <c r="AR153" s="14">
        <f t="shared" si="173"/>
        <v>0</v>
      </c>
      <c r="AS153" s="14">
        <f t="shared" si="174"/>
        <v>0</v>
      </c>
      <c r="AT153" s="14">
        <f t="shared" si="176"/>
        <v>0</v>
      </c>
      <c r="AU153" s="234"/>
      <c r="AV153" s="234"/>
      <c r="AW153" s="234"/>
      <c r="AX153" s="234"/>
      <c r="AY153" s="234"/>
      <c r="AZ153" s="234"/>
      <c r="BA153" s="234"/>
      <c r="BB153" s="16">
        <f t="shared" si="175"/>
        <v>0</v>
      </c>
      <c r="BD153" s="294">
        <f>'Incremental_Cost Year 1'!AV153+'Incremental_Cost Year 2'!AV153+'Incremental_Cost Year 3'!AV153+'Incremental_Cost Year 4'!AV153+'Incremental_Cost Year 5'!AV153+'Incremental_Cost Year 6'!AV153+'Incremental_Cost Year 7'!AV153+'Incremental_Cost Year 8'!AV153+'Incremental_Cost Year 9'!AV153+'Incremental_Cost Year 10'!AV153</f>
        <v>0</v>
      </c>
      <c r="BE153" s="294">
        <f>'Incremental_Cost Year 1'!AW153+'Incremental_Cost Year 2'!AW153+'Incremental_Cost Year 3'!AW153+'Incremental_Cost Year 4'!AW153+'Incremental_Cost Year 5'!AW153+'Incremental_Cost Year 6'!AW153+'Incremental_Cost Year 7'!AW153+'Incremental_Cost Year 8'!AW153+'Incremental_Cost Year 9'!AW153+'Incremental_Cost Year 10'!AW153</f>
        <v>0</v>
      </c>
      <c r="BF153" s="294">
        <f>'Incremental_Cost Year 1'!AX153+'Incremental_Cost Year 2'!AX153+'Incremental_Cost Year 3'!AX153+'Incremental_Cost Year 4'!AX153+'Incremental_Cost Year 5'!AX153+'Incremental_Cost Year 6'!AX153+'Incremental_Cost Year 7'!AX153+'Incremental_Cost Year 8'!AX153+'Incremental_Cost Year 9'!AX153+'Incremental_Cost Year 10'!AX153</f>
        <v>6210800</v>
      </c>
      <c r="BG153" s="294">
        <f>'Incremental_Cost Year 1'!AY153+'Incremental_Cost Year 2'!AZ153+'Incremental_Cost Year 3'!AY153+'Incremental_Cost Year 4'!AY153+'Incremental_Cost Year 5'!AY153+'Incremental_Cost Year 6'!AY153+'Incremental_Cost Year 7'!AY153+'Incremental_Cost Year 8'!AY153+'Incremental_Cost Year 9'!AY153+'Incremental_Cost Year 10'!AY153</f>
        <v>490000</v>
      </c>
      <c r="BH153" s="294">
        <f>'Incremental_Cost Year 1'!AZ153+'Incremental_Cost Year 2'!BA153+'Incremental_Cost Year 3'!AZ153+'Incremental_Cost Year 4'!AZ153+'Incremental_Cost Year 5'!AZ153+'Incremental_Cost Year 6'!AZ153+'Incremental_Cost Year 7'!AZ153+'Incremental_Cost Year 8'!AZ153+'Incremental_Cost Year 9'!AZ153+'Incremental_Cost Year 10'!AZ153</f>
        <v>100000</v>
      </c>
      <c r="BI153" s="294">
        <f>'Incremental_Cost Year 1'!BA153+'Incremental_Cost Year 2'!BA153+'Incremental_Cost Year 3'!BA153+'Incremental_Cost Year 4'!BA153+'Incremental_Cost Year 5'!BA153+'Incremental_Cost Year 6'!BA153+'Incremental_Cost Year 7'!BA153+'Incremental_Cost Year 8'!BA153+'Incremental_Cost Year 9'!BA153+'Incremental_Cost Year 10'!BA153</f>
        <v>0</v>
      </c>
      <c r="BJ153" s="294">
        <f t="shared" si="149"/>
        <v>6800800</v>
      </c>
    </row>
    <row r="154" spans="1:62" ht="15.6" outlineLevel="2">
      <c r="A154" s="98"/>
      <c r="B154" s="102"/>
      <c r="C154" s="23"/>
      <c r="D154" s="269"/>
      <c r="E154" s="271"/>
      <c r="F154" s="250"/>
      <c r="G154" s="255"/>
      <c r="H154" s="272"/>
      <c r="I154" s="258"/>
      <c r="J154" s="259"/>
      <c r="K154" s="259"/>
      <c r="L154" s="106" t="str">
        <f>IF(I154&lt;&gt;0,((VLOOKUP(I154,'1. Standard_Cost'!$B$4:$D$11,2)+VLOOKUP(I154,'1. Standard_Cost'!$B$4:$D$11,3))*J154*K154),"0")</f>
        <v>0</v>
      </c>
      <c r="M154" s="106">
        <f>L154*'1. Standard_Cost'!$F$4</f>
        <v>0</v>
      </c>
      <c r="N154" s="260"/>
      <c r="O154" s="260"/>
      <c r="P154" s="260"/>
      <c r="Q154" s="260"/>
      <c r="R154" s="108">
        <f>'1. Standard_Cost'!$B$15*N154*P154</f>
        <v>0</v>
      </c>
      <c r="S154" s="108">
        <f>N154*O154*P154*'1. Standard_Cost'!$C$15</f>
        <v>0</v>
      </c>
      <c r="T154" s="108">
        <f>N154*P154*Q154*'1. Standard_Cost'!$D$15</f>
        <v>0</v>
      </c>
      <c r="U154" s="108">
        <f>N154*O154*'1. Standard_Cost'!$E$15</f>
        <v>0</v>
      </c>
      <c r="V154" s="260"/>
      <c r="W154" s="260"/>
      <c r="X154" s="260"/>
      <c r="Y154" s="108">
        <f>+V154*((X154*'1. Standard_Cost'!$B$19)+(W154*X154*'1. Standard_Cost'!$C$19))</f>
        <v>0</v>
      </c>
      <c r="Z154" s="260"/>
      <c r="AA154" s="260"/>
      <c r="AB154" s="108">
        <f>+Z154*'1. Standard_Cost'!$B$23+AA154*'1. Standard_Cost'!$C$23</f>
        <v>0</v>
      </c>
      <c r="AC154" s="261"/>
      <c r="AD154" s="262"/>
      <c r="AE154" s="108">
        <f>SUM(AD154,AC154,AB154,Y154,U154,T154,S154,R154)*'1. Standard_Cost'!$B$31</f>
        <v>0</v>
      </c>
      <c r="AF154" s="108">
        <f t="shared" si="171"/>
        <v>0</v>
      </c>
      <c r="AG154" s="260"/>
      <c r="AH154" s="260"/>
      <c r="AI154" s="260"/>
      <c r="AJ154" s="263"/>
      <c r="AK154" s="263"/>
      <c r="AL154" s="263"/>
      <c r="AM154" s="108">
        <f>AG154*'1. Standard_Cost'!$B$27+'Incremental_Cost Year 10'!AH154*'1. Standard_Cost'!$C$27+'Incremental_Cost Year 10'!AI154*'1. Standard_Cost'!$D$27+'Incremental_Cost Year 10'!AJ154+'Incremental_Cost Year 10'!AL154+AK154</f>
        <v>0</v>
      </c>
      <c r="AN154" s="108">
        <f>AM154*'1. Standard_Cost'!$C$31</f>
        <v>0</v>
      </c>
      <c r="AO154" s="125" t="s">
        <v>375</v>
      </c>
      <c r="AQ154" s="14">
        <f t="shared" si="172"/>
        <v>0</v>
      </c>
      <c r="AR154" s="14">
        <f t="shared" si="173"/>
        <v>0</v>
      </c>
      <c r="AS154" s="14">
        <f t="shared" si="174"/>
        <v>0</v>
      </c>
      <c r="AT154" s="14">
        <f t="shared" si="176"/>
        <v>0</v>
      </c>
      <c r="AU154" s="234"/>
      <c r="AV154" s="234"/>
      <c r="AW154" s="234"/>
      <c r="AX154" s="234"/>
      <c r="AY154" s="234"/>
      <c r="AZ154" s="234"/>
      <c r="BA154" s="234"/>
      <c r="BB154" s="16">
        <f t="shared" si="175"/>
        <v>0</v>
      </c>
      <c r="BD154" s="294">
        <f>'Incremental_Cost Year 1'!AV154+'Incremental_Cost Year 2'!AV154+'Incremental_Cost Year 3'!AV154+'Incremental_Cost Year 4'!AV154+'Incremental_Cost Year 5'!AV154+'Incremental_Cost Year 6'!AV154+'Incremental_Cost Year 7'!AV154+'Incremental_Cost Year 8'!AV154+'Incremental_Cost Year 9'!AV154+'Incremental_Cost Year 10'!AV154</f>
        <v>0</v>
      </c>
      <c r="BE154" s="294">
        <f>'Incremental_Cost Year 1'!AW154+'Incremental_Cost Year 2'!AW154+'Incremental_Cost Year 3'!AW154+'Incremental_Cost Year 4'!AW154+'Incremental_Cost Year 5'!AW154+'Incremental_Cost Year 6'!AW154+'Incremental_Cost Year 7'!AW154+'Incremental_Cost Year 8'!AW154+'Incremental_Cost Year 9'!AW154+'Incremental_Cost Year 10'!AW154</f>
        <v>0</v>
      </c>
      <c r="BF154" s="294">
        <f>'Incremental_Cost Year 1'!AX154+'Incremental_Cost Year 2'!AX154+'Incremental_Cost Year 3'!AX154+'Incremental_Cost Year 4'!AX154+'Incremental_Cost Year 5'!AX154+'Incremental_Cost Year 6'!AX154+'Incremental_Cost Year 7'!AX154+'Incremental_Cost Year 8'!AX154+'Incremental_Cost Year 9'!AX154+'Incremental_Cost Year 10'!AX154</f>
        <v>0</v>
      </c>
      <c r="BG154" s="294">
        <f>'Incremental_Cost Year 1'!AY154+'Incremental_Cost Year 2'!AZ154+'Incremental_Cost Year 3'!AY154+'Incremental_Cost Year 4'!AY154+'Incremental_Cost Year 5'!AY154+'Incremental_Cost Year 6'!AY154+'Incremental_Cost Year 7'!AY154+'Incremental_Cost Year 8'!AY154+'Incremental_Cost Year 9'!AY154+'Incremental_Cost Year 10'!AY154</f>
        <v>0</v>
      </c>
      <c r="BH154" s="294">
        <f>'Incremental_Cost Year 1'!AZ154+'Incremental_Cost Year 2'!BA154+'Incremental_Cost Year 3'!AZ154+'Incremental_Cost Year 4'!AZ154+'Incremental_Cost Year 5'!AZ154+'Incremental_Cost Year 6'!AZ154+'Incremental_Cost Year 7'!AZ154+'Incremental_Cost Year 8'!AZ154+'Incremental_Cost Year 9'!AZ154+'Incremental_Cost Year 10'!AZ154</f>
        <v>0</v>
      </c>
      <c r="BI154" s="294">
        <f>'Incremental_Cost Year 1'!BA154+'Incremental_Cost Year 2'!BA154+'Incremental_Cost Year 3'!BA154+'Incremental_Cost Year 4'!BA154+'Incremental_Cost Year 5'!BA154+'Incremental_Cost Year 6'!BA154+'Incremental_Cost Year 7'!BA154+'Incremental_Cost Year 8'!BA154+'Incremental_Cost Year 9'!BA154+'Incremental_Cost Year 10'!BA154</f>
        <v>0</v>
      </c>
      <c r="BJ154" s="294">
        <f t="shared" si="149"/>
        <v>0</v>
      </c>
    </row>
    <row r="155" spans="1:62" ht="15.6" outlineLevel="2">
      <c r="A155" s="98"/>
      <c r="B155" s="102"/>
      <c r="C155" s="23"/>
      <c r="D155" s="269"/>
      <c r="E155" s="271"/>
      <c r="F155" s="250"/>
      <c r="G155" s="255"/>
      <c r="H155" s="165"/>
      <c r="I155" s="258"/>
      <c r="J155" s="259"/>
      <c r="K155" s="259"/>
      <c r="L155" s="106" t="str">
        <f>IF(I155&lt;&gt;0,((VLOOKUP(I155,'1. Standard_Cost'!$B$4:$D$11,2)+VLOOKUP(I155,'1. Standard_Cost'!$B$4:$D$11,3))*J155*K155),"0")</f>
        <v>0</v>
      </c>
      <c r="M155" s="106">
        <f>L155*'1. Standard_Cost'!$F$4</f>
        <v>0</v>
      </c>
      <c r="N155" s="260"/>
      <c r="O155" s="260"/>
      <c r="P155" s="260"/>
      <c r="Q155" s="260"/>
      <c r="R155" s="108">
        <f>'[1]1. Standard_Cost'!$B$15*N155*P155</f>
        <v>0</v>
      </c>
      <c r="S155" s="108">
        <f>N155*O155*P155*'[1]1. Standard_Cost'!$C$15</f>
        <v>0</v>
      </c>
      <c r="T155" s="108">
        <f>N155*P155*Q155*'[1]1. Standard_Cost'!$D$15</f>
        <v>0</v>
      </c>
      <c r="U155" s="108">
        <f>N155*O155*'[1]1. Standard_Cost'!$E$15</f>
        <v>0</v>
      </c>
      <c r="V155" s="260"/>
      <c r="W155" s="260"/>
      <c r="X155" s="260"/>
      <c r="Y155" s="108">
        <f>+V155*((X155*'[1]1. Standard_Cost'!$B$19)+(W155*X155*'[1]1. Standard_Cost'!$C$19))</f>
        <v>0</v>
      </c>
      <c r="Z155" s="260"/>
      <c r="AA155" s="260"/>
      <c r="AB155" s="108">
        <f>+Z155*'[1]1. Standard_Cost'!$B$23+AA155*'[1]1. Standard_Cost'!$C$23</f>
        <v>0</v>
      </c>
      <c r="AC155" s="261"/>
      <c r="AD155" s="262"/>
      <c r="AE155" s="108">
        <f>SUM(AD155,AC155,AB155,Y155,U155,T155,S155,R155)*'[1]1. Standard_Cost'!$B$31</f>
        <v>0</v>
      </c>
      <c r="AF155" s="108">
        <f t="shared" si="171"/>
        <v>0</v>
      </c>
      <c r="AG155" s="260"/>
      <c r="AH155" s="260"/>
      <c r="AI155" s="260"/>
      <c r="AJ155" s="263"/>
      <c r="AK155" s="263"/>
      <c r="AL155" s="263"/>
      <c r="AM155" s="108">
        <f>AG155*'[1]1. Standard_Cost'!$B$27+'[1]Incremental_Cost Year 10'!AH155*'[1]1. Standard_Cost'!$C$27+'[1]Incremental_Cost Year 10'!AI155*'[1]1. Standard_Cost'!$D$27+'[1]Incremental_Cost Year 10'!AJ155+'[1]Incremental_Cost Year 10'!AL155+AK155</f>
        <v>0</v>
      </c>
      <c r="AN155" s="108">
        <f>AM155*'[1]1. Standard_Cost'!$C$31</f>
        <v>0</v>
      </c>
      <c r="AO155" s="125" t="s">
        <v>376</v>
      </c>
      <c r="AQ155" s="14">
        <f t="shared" si="172"/>
        <v>0</v>
      </c>
      <c r="AR155" s="14">
        <f t="shared" si="173"/>
        <v>0</v>
      </c>
      <c r="AS155" s="14">
        <f t="shared" si="174"/>
        <v>0</v>
      </c>
      <c r="AT155" s="14">
        <f t="shared" si="176"/>
        <v>0</v>
      </c>
      <c r="AU155" s="234"/>
      <c r="AV155" s="234"/>
      <c r="AW155" s="234"/>
      <c r="AX155" s="234"/>
      <c r="AY155" s="234"/>
      <c r="AZ155" s="234"/>
      <c r="BA155" s="234"/>
      <c r="BB155" s="16">
        <f t="shared" si="175"/>
        <v>0</v>
      </c>
      <c r="BD155" s="294">
        <f>'Incremental_Cost Year 1'!AV155+'Incremental_Cost Year 2'!AV155+'Incremental_Cost Year 3'!AV155+'Incremental_Cost Year 4'!AV155+'Incremental_Cost Year 5'!AV155+'Incremental_Cost Year 6'!AV155+'Incremental_Cost Year 7'!AV155+'Incremental_Cost Year 8'!AV155+'Incremental_Cost Year 9'!AV155+'Incremental_Cost Year 10'!AV155</f>
        <v>0</v>
      </c>
      <c r="BE155" s="294">
        <f>'Incremental_Cost Year 1'!AW155+'Incremental_Cost Year 2'!AW155+'Incremental_Cost Year 3'!AW155+'Incremental_Cost Year 4'!AW155+'Incremental_Cost Year 5'!AW155+'Incremental_Cost Year 6'!AW155+'Incremental_Cost Year 7'!AW155+'Incremental_Cost Year 8'!AW155+'Incremental_Cost Year 9'!AW155+'Incremental_Cost Year 10'!AW155</f>
        <v>0</v>
      </c>
      <c r="BF155" s="294">
        <f>'Incremental_Cost Year 1'!AX155+'Incremental_Cost Year 2'!AX155+'Incremental_Cost Year 3'!AX155+'Incremental_Cost Year 4'!AX155+'Incremental_Cost Year 5'!AX155+'Incremental_Cost Year 6'!AX155+'Incremental_Cost Year 7'!AX155+'Incremental_Cost Year 8'!AX155+'Incremental_Cost Year 9'!AX155+'Incremental_Cost Year 10'!AX155</f>
        <v>0</v>
      </c>
      <c r="BG155" s="294">
        <f>'Incremental_Cost Year 1'!AY155+'Incremental_Cost Year 2'!AZ155+'Incremental_Cost Year 3'!AY155+'Incremental_Cost Year 4'!AY155+'Incremental_Cost Year 5'!AY155+'Incremental_Cost Year 6'!AY155+'Incremental_Cost Year 7'!AY155+'Incremental_Cost Year 8'!AY155+'Incremental_Cost Year 9'!AY155+'Incremental_Cost Year 10'!AY155</f>
        <v>0</v>
      </c>
      <c r="BH155" s="294">
        <f>'Incremental_Cost Year 1'!AZ155+'Incremental_Cost Year 2'!BA155+'Incremental_Cost Year 3'!AZ155+'Incremental_Cost Year 4'!AZ155+'Incremental_Cost Year 5'!AZ155+'Incremental_Cost Year 6'!AZ155+'Incremental_Cost Year 7'!AZ155+'Incremental_Cost Year 8'!AZ155+'Incremental_Cost Year 9'!AZ155+'Incremental_Cost Year 10'!AZ155</f>
        <v>0</v>
      </c>
      <c r="BI155" s="294">
        <f>'Incremental_Cost Year 1'!BA155+'Incremental_Cost Year 2'!BA155+'Incremental_Cost Year 3'!BA155+'Incremental_Cost Year 4'!BA155+'Incremental_Cost Year 5'!BA155+'Incremental_Cost Year 6'!BA155+'Incremental_Cost Year 7'!BA155+'Incremental_Cost Year 8'!BA155+'Incremental_Cost Year 9'!BA155+'Incremental_Cost Year 10'!BA155</f>
        <v>0</v>
      </c>
      <c r="BJ155" s="294">
        <f t="shared" si="149"/>
        <v>0</v>
      </c>
    </row>
    <row r="156" spans="1:62" ht="27.6" outlineLevel="2">
      <c r="A156" s="98"/>
      <c r="B156" s="102"/>
      <c r="C156" s="23"/>
      <c r="D156" s="269"/>
      <c r="E156" s="271"/>
      <c r="F156" s="250"/>
      <c r="G156" s="255"/>
      <c r="H156" s="272"/>
      <c r="I156" s="258"/>
      <c r="J156" s="259"/>
      <c r="K156" s="259"/>
      <c r="L156" s="106" t="str">
        <f>IF(I156&lt;&gt;0,((VLOOKUP(I156,'1. Standard_Cost'!$B$4:$D$11,2)+VLOOKUP(I156,'1. Standard_Cost'!$B$4:$D$11,3))*J156*K156),"0")</f>
        <v>0</v>
      </c>
      <c r="M156" s="106">
        <f>L156*'1. Standard_Cost'!$F$4</f>
        <v>0</v>
      </c>
      <c r="N156" s="260"/>
      <c r="O156" s="260"/>
      <c r="P156" s="260"/>
      <c r="Q156" s="260"/>
      <c r="R156" s="108">
        <f>'1. Standard_Cost'!$B$15*N156*P156</f>
        <v>0</v>
      </c>
      <c r="S156" s="108">
        <f>N156*O156*P156*'1. Standard_Cost'!$C$15</f>
        <v>0</v>
      </c>
      <c r="T156" s="108">
        <f>N156*P156*Q156*'1. Standard_Cost'!$D$15</f>
        <v>0</v>
      </c>
      <c r="U156" s="108">
        <f>N156*O156*'1. Standard_Cost'!$E$15</f>
        <v>0</v>
      </c>
      <c r="V156" s="260"/>
      <c r="W156" s="260"/>
      <c r="X156" s="260"/>
      <c r="Y156" s="108">
        <f>+V156*((X156*'1. Standard_Cost'!$B$19)+(W156*X156*'1. Standard_Cost'!$C$19))</f>
        <v>0</v>
      </c>
      <c r="Z156" s="260"/>
      <c r="AA156" s="260"/>
      <c r="AB156" s="108">
        <f>+Z156*'1. Standard_Cost'!$B$23+AA156*'1. Standard_Cost'!$C$23</f>
        <v>0</v>
      </c>
      <c r="AC156" s="261"/>
      <c r="AD156" s="262"/>
      <c r="AE156" s="108">
        <f>SUM(AD156,AC156,AB156,Y156,U156,T156,S156,R156)*'1. Standard_Cost'!$B$31</f>
        <v>0</v>
      </c>
      <c r="AF156" s="108">
        <f t="shared" si="171"/>
        <v>0</v>
      </c>
      <c r="AG156" s="260"/>
      <c r="AH156" s="260"/>
      <c r="AI156" s="260"/>
      <c r="AJ156" s="263"/>
      <c r="AK156" s="263"/>
      <c r="AL156" s="263"/>
      <c r="AM156" s="108">
        <f>AG156*'1. Standard_Cost'!$B$27+'Incremental_Cost Year 10'!AH156*'1. Standard_Cost'!$C$27+'Incremental_Cost Year 10'!AI156*'1. Standard_Cost'!$D$27+'Incremental_Cost Year 10'!AJ156+'Incremental_Cost Year 10'!AL156+AK156</f>
        <v>0</v>
      </c>
      <c r="AN156" s="108">
        <f>AM156*'1. Standard_Cost'!$C$31</f>
        <v>0</v>
      </c>
      <c r="AO156" s="125" t="s">
        <v>377</v>
      </c>
      <c r="AQ156" s="14">
        <f t="shared" si="172"/>
        <v>0</v>
      </c>
      <c r="AR156" s="14">
        <f t="shared" si="173"/>
        <v>0</v>
      </c>
      <c r="AS156" s="14">
        <f t="shared" si="174"/>
        <v>0</v>
      </c>
      <c r="AT156" s="14">
        <f t="shared" si="176"/>
        <v>0</v>
      </c>
      <c r="AU156" s="234"/>
      <c r="AV156" s="234"/>
      <c r="AW156" s="234"/>
      <c r="AX156" s="234"/>
      <c r="AY156" s="234"/>
      <c r="AZ156" s="234"/>
      <c r="BA156" s="234"/>
      <c r="BB156" s="16">
        <f t="shared" si="175"/>
        <v>0</v>
      </c>
      <c r="BD156" s="294">
        <f>'Incremental_Cost Year 1'!AV156+'Incremental_Cost Year 2'!AV156+'Incremental_Cost Year 3'!AV156+'Incremental_Cost Year 4'!AV156+'Incremental_Cost Year 5'!AV156+'Incremental_Cost Year 6'!AV156+'Incremental_Cost Year 7'!AV156+'Incremental_Cost Year 8'!AV156+'Incremental_Cost Year 9'!AV156+'Incremental_Cost Year 10'!AV156</f>
        <v>0</v>
      </c>
      <c r="BE156" s="294">
        <f>'Incremental_Cost Year 1'!AW156+'Incremental_Cost Year 2'!AW156+'Incremental_Cost Year 3'!AW156+'Incremental_Cost Year 4'!AW156+'Incremental_Cost Year 5'!AW156+'Incremental_Cost Year 6'!AW156+'Incremental_Cost Year 7'!AW156+'Incremental_Cost Year 8'!AW156+'Incremental_Cost Year 9'!AW156+'Incremental_Cost Year 10'!AW156</f>
        <v>0</v>
      </c>
      <c r="BF156" s="294">
        <f>'Incremental_Cost Year 1'!AX156+'Incremental_Cost Year 2'!AX156+'Incremental_Cost Year 3'!AX156+'Incremental_Cost Year 4'!AX156+'Incremental_Cost Year 5'!AX156+'Incremental_Cost Year 6'!AX156+'Incremental_Cost Year 7'!AX156+'Incremental_Cost Year 8'!AX156+'Incremental_Cost Year 9'!AX156+'Incremental_Cost Year 10'!AX156</f>
        <v>0</v>
      </c>
      <c r="BG156" s="294">
        <f>'Incremental_Cost Year 1'!AY156+'Incremental_Cost Year 2'!AZ156+'Incremental_Cost Year 3'!AY156+'Incremental_Cost Year 4'!AY156+'Incremental_Cost Year 5'!AY156+'Incremental_Cost Year 6'!AY156+'Incremental_Cost Year 7'!AY156+'Incremental_Cost Year 8'!AY156+'Incremental_Cost Year 9'!AY156+'Incremental_Cost Year 10'!AY156</f>
        <v>193000</v>
      </c>
      <c r="BH156" s="294">
        <f>'Incremental_Cost Year 1'!AZ156+'Incremental_Cost Year 2'!BA156+'Incremental_Cost Year 3'!AZ156+'Incremental_Cost Year 4'!AZ156+'Incremental_Cost Year 5'!AZ156+'Incremental_Cost Year 6'!AZ156+'Incremental_Cost Year 7'!AZ156+'Incremental_Cost Year 8'!AZ156+'Incremental_Cost Year 9'!AZ156+'Incremental_Cost Year 10'!AZ156</f>
        <v>193000</v>
      </c>
      <c r="BI156" s="294">
        <f>'Incremental_Cost Year 1'!BA156+'Incremental_Cost Year 2'!BA156+'Incremental_Cost Year 3'!BA156+'Incremental_Cost Year 4'!BA156+'Incremental_Cost Year 5'!BA156+'Incremental_Cost Year 6'!BA156+'Incremental_Cost Year 7'!BA156+'Incremental_Cost Year 8'!BA156+'Incremental_Cost Year 9'!BA156+'Incremental_Cost Year 10'!BA156</f>
        <v>0</v>
      </c>
      <c r="BJ156" s="294">
        <f t="shared" si="149"/>
        <v>386000</v>
      </c>
    </row>
    <row r="157" spans="1:62" ht="15.6" outlineLevel="2">
      <c r="A157" s="98"/>
      <c r="B157" s="102"/>
      <c r="C157" s="23"/>
      <c r="D157" s="269"/>
      <c r="E157" s="271"/>
      <c r="F157" s="250"/>
      <c r="G157" s="255"/>
      <c r="H157" s="272"/>
      <c r="I157" s="258"/>
      <c r="J157" s="259"/>
      <c r="K157" s="259"/>
      <c r="L157" s="106" t="str">
        <f>IF(I157&lt;&gt;0,((VLOOKUP(I157,'1. Standard_Cost'!$B$4:$D$11,2)+VLOOKUP(I157,'1. Standard_Cost'!$B$4:$D$11,3))*J157*K157),"0")</f>
        <v>0</v>
      </c>
      <c r="M157" s="106">
        <f>L157*'1. Standard_Cost'!$F$4</f>
        <v>0</v>
      </c>
      <c r="N157" s="260"/>
      <c r="O157" s="260"/>
      <c r="P157" s="260"/>
      <c r="Q157" s="260"/>
      <c r="R157" s="108">
        <f>'1. Standard_Cost'!$B$15*N157*P157</f>
        <v>0</v>
      </c>
      <c r="S157" s="108">
        <f>N157*O157*P157*'1. Standard_Cost'!$C$15</f>
        <v>0</v>
      </c>
      <c r="T157" s="108">
        <f>N157*P157*Q157*'1. Standard_Cost'!$D$15</f>
        <v>0</v>
      </c>
      <c r="U157" s="108">
        <f>N157*O157*'1. Standard_Cost'!$E$15</f>
        <v>0</v>
      </c>
      <c r="V157" s="260"/>
      <c r="W157" s="260"/>
      <c r="X157" s="260"/>
      <c r="Y157" s="108">
        <f>+V157*((X157*'1. Standard_Cost'!$B$19)+(W157*X157*'1. Standard_Cost'!$C$19))</f>
        <v>0</v>
      </c>
      <c r="Z157" s="260"/>
      <c r="AA157" s="260"/>
      <c r="AB157" s="108">
        <f>+Z157*'1. Standard_Cost'!$B$23+AA157*'1. Standard_Cost'!$C$23</f>
        <v>0</v>
      </c>
      <c r="AC157" s="261"/>
      <c r="AD157" s="262"/>
      <c r="AE157" s="108">
        <f>SUM(AD157,AC157,AB157,Y157,U157,T157,S157,R157)*'1. Standard_Cost'!$B$31</f>
        <v>0</v>
      </c>
      <c r="AF157" s="108">
        <f t="shared" si="171"/>
        <v>0</v>
      </c>
      <c r="AG157" s="260"/>
      <c r="AH157" s="260"/>
      <c r="AI157" s="260"/>
      <c r="AJ157" s="263"/>
      <c r="AK157" s="263"/>
      <c r="AL157" s="263"/>
      <c r="AM157" s="108">
        <f>AG157*'1. Standard_Cost'!$B$27+'Incremental_Cost Year 10'!AH157*'1. Standard_Cost'!$C$27+'Incremental_Cost Year 10'!AI157*'1. Standard_Cost'!$D$27+'Incremental_Cost Year 10'!AJ157+'Incremental_Cost Year 10'!AL157+AK157</f>
        <v>0</v>
      </c>
      <c r="AN157" s="108">
        <f>AM157*'1. Standard_Cost'!$C$31</f>
        <v>0</v>
      </c>
      <c r="AO157" s="125" t="s">
        <v>378</v>
      </c>
      <c r="AQ157" s="14">
        <f t="shared" si="172"/>
        <v>0</v>
      </c>
      <c r="AR157" s="14">
        <f t="shared" si="173"/>
        <v>0</v>
      </c>
      <c r="AS157" s="14">
        <f t="shared" si="174"/>
        <v>0</v>
      </c>
      <c r="AT157" s="14">
        <f t="shared" si="176"/>
        <v>0</v>
      </c>
      <c r="AU157" s="234"/>
      <c r="AV157" s="234"/>
      <c r="AW157" s="234"/>
      <c r="AX157" s="234"/>
      <c r="AY157" s="234"/>
      <c r="AZ157" s="234"/>
      <c r="BA157" s="234"/>
      <c r="BB157" s="16">
        <f t="shared" si="175"/>
        <v>0</v>
      </c>
      <c r="BD157" s="294">
        <f>'Incremental_Cost Year 1'!AV157+'Incremental_Cost Year 2'!AV157+'Incremental_Cost Year 3'!AV157+'Incremental_Cost Year 4'!AV157+'Incremental_Cost Year 5'!AV157+'Incremental_Cost Year 6'!AV157+'Incremental_Cost Year 7'!AV157+'Incremental_Cost Year 8'!AV157+'Incremental_Cost Year 9'!AV157+'Incremental_Cost Year 10'!AV157</f>
        <v>0</v>
      </c>
      <c r="BE157" s="294">
        <f>'Incremental_Cost Year 1'!AW157+'Incremental_Cost Year 2'!AW157+'Incremental_Cost Year 3'!AW157+'Incremental_Cost Year 4'!AW157+'Incremental_Cost Year 5'!AW157+'Incremental_Cost Year 6'!AW157+'Incremental_Cost Year 7'!AW157+'Incremental_Cost Year 8'!AW157+'Incremental_Cost Year 9'!AW157+'Incremental_Cost Year 10'!AW157</f>
        <v>0</v>
      </c>
      <c r="BF157" s="294">
        <f>'Incremental_Cost Year 1'!AX157+'Incremental_Cost Year 2'!AX157+'Incremental_Cost Year 3'!AX157+'Incremental_Cost Year 4'!AX157+'Incremental_Cost Year 5'!AX157+'Incremental_Cost Year 6'!AX157+'Incremental_Cost Year 7'!AX157+'Incremental_Cost Year 8'!AX157+'Incremental_Cost Year 9'!AX157+'Incremental_Cost Year 10'!AX157</f>
        <v>0</v>
      </c>
      <c r="BG157" s="294">
        <f>'Incremental_Cost Year 1'!AY157+'Incremental_Cost Year 2'!AZ157+'Incremental_Cost Year 3'!AY157+'Incremental_Cost Year 4'!AY157+'Incremental_Cost Year 5'!AY157+'Incremental_Cost Year 6'!AY157+'Incremental_Cost Year 7'!AY157+'Incremental_Cost Year 8'!AY157+'Incremental_Cost Year 9'!AY157+'Incremental_Cost Year 10'!AY157</f>
        <v>0</v>
      </c>
      <c r="BH157" s="294">
        <f>'Incremental_Cost Year 1'!AZ157+'Incremental_Cost Year 2'!BA157+'Incremental_Cost Year 3'!AZ157+'Incremental_Cost Year 4'!AZ157+'Incremental_Cost Year 5'!AZ157+'Incremental_Cost Year 6'!AZ157+'Incremental_Cost Year 7'!AZ157+'Incremental_Cost Year 8'!AZ157+'Incremental_Cost Year 9'!AZ157+'Incremental_Cost Year 10'!AZ157</f>
        <v>0</v>
      </c>
      <c r="BI157" s="294">
        <f>'Incremental_Cost Year 1'!BA157+'Incremental_Cost Year 2'!BA157+'Incremental_Cost Year 3'!BA157+'Incremental_Cost Year 4'!BA157+'Incremental_Cost Year 5'!BA157+'Incremental_Cost Year 6'!BA157+'Incremental_Cost Year 7'!BA157+'Incremental_Cost Year 8'!BA157+'Incremental_Cost Year 9'!BA157+'Incremental_Cost Year 10'!BA157</f>
        <v>0</v>
      </c>
      <c r="BJ157" s="294">
        <f t="shared" si="149"/>
        <v>0</v>
      </c>
    </row>
    <row r="158" spans="1:62" ht="15.6" outlineLevel="2">
      <c r="A158" s="98"/>
      <c r="B158" s="102"/>
      <c r="C158" s="23"/>
      <c r="D158" s="269"/>
      <c r="E158" s="271"/>
      <c r="F158" s="250"/>
      <c r="G158" s="255"/>
      <c r="H158" s="272"/>
      <c r="I158" s="258"/>
      <c r="J158" s="259"/>
      <c r="K158" s="259"/>
      <c r="L158" s="106" t="str">
        <f>IF(I158&lt;&gt;0,((VLOOKUP(I158,'1. Standard_Cost'!$B$4:$D$11,2)+VLOOKUP(I158,'1. Standard_Cost'!$B$4:$D$11,3))*J158*K158),"0")</f>
        <v>0</v>
      </c>
      <c r="M158" s="106">
        <f>L158*'1. Standard_Cost'!$F$4</f>
        <v>0</v>
      </c>
      <c r="N158" s="260"/>
      <c r="O158" s="260"/>
      <c r="P158" s="260"/>
      <c r="Q158" s="260"/>
      <c r="R158" s="108">
        <f>'1. Standard_Cost'!$B$15*N158*P158</f>
        <v>0</v>
      </c>
      <c r="S158" s="108">
        <f>N158*O158*P158*'1. Standard_Cost'!$C$15</f>
        <v>0</v>
      </c>
      <c r="T158" s="108">
        <f>N158*P158*Q158*'1. Standard_Cost'!$D$15</f>
        <v>0</v>
      </c>
      <c r="U158" s="108">
        <f>N158*O158*'1. Standard_Cost'!$E$15</f>
        <v>0</v>
      </c>
      <c r="V158" s="260"/>
      <c r="W158" s="260"/>
      <c r="X158" s="260"/>
      <c r="Y158" s="108">
        <f>+V158*((X158*'1. Standard_Cost'!$B$19)+(W158*X158*'1. Standard_Cost'!$C$19))</f>
        <v>0</v>
      </c>
      <c r="Z158" s="260"/>
      <c r="AA158" s="260"/>
      <c r="AB158" s="108">
        <f>+Z158*'1. Standard_Cost'!$B$23+AA158*'1. Standard_Cost'!$C$23</f>
        <v>0</v>
      </c>
      <c r="AC158" s="261"/>
      <c r="AD158" s="262"/>
      <c r="AE158" s="108">
        <f>SUM(AD158,AC158,AB158,Y158,U158,T158,S158,R158)*'1. Standard_Cost'!$B$31</f>
        <v>0</v>
      </c>
      <c r="AF158" s="108">
        <f t="shared" si="171"/>
        <v>0</v>
      </c>
      <c r="AG158" s="260"/>
      <c r="AH158" s="260"/>
      <c r="AI158" s="260"/>
      <c r="AJ158" s="263"/>
      <c r="AK158" s="263"/>
      <c r="AL158" s="263"/>
      <c r="AM158" s="108">
        <f>AG158*'1. Standard_Cost'!$B$27+'Incremental_Cost Year 10'!AH158*'1. Standard_Cost'!$C$27+'Incremental_Cost Year 10'!AI158*'1. Standard_Cost'!$D$27+'Incremental_Cost Year 10'!AJ158+'Incremental_Cost Year 10'!AL158+AK158</f>
        <v>0</v>
      </c>
      <c r="AN158" s="108">
        <f>AM158*'1. Standard_Cost'!$C$31</f>
        <v>0</v>
      </c>
      <c r="AO158" s="125" t="s">
        <v>379</v>
      </c>
      <c r="AQ158" s="14">
        <f t="shared" si="172"/>
        <v>0</v>
      </c>
      <c r="AR158" s="14">
        <f t="shared" si="173"/>
        <v>0</v>
      </c>
      <c r="AS158" s="14">
        <f t="shared" si="174"/>
        <v>0</v>
      </c>
      <c r="AT158" s="14">
        <f t="shared" si="176"/>
        <v>0</v>
      </c>
      <c r="AU158" s="234"/>
      <c r="AV158" s="234"/>
      <c r="AW158" s="234"/>
      <c r="AX158" s="234"/>
      <c r="AY158" s="234"/>
      <c r="AZ158" s="234"/>
      <c r="BA158" s="234"/>
      <c r="BB158" s="16">
        <f t="shared" si="175"/>
        <v>0</v>
      </c>
      <c r="BD158" s="294">
        <f>'Incremental_Cost Year 1'!AV158+'Incremental_Cost Year 2'!AV158+'Incremental_Cost Year 3'!AV158+'Incremental_Cost Year 4'!AV158+'Incremental_Cost Year 5'!AV158+'Incremental_Cost Year 6'!AV158+'Incremental_Cost Year 7'!AV158+'Incremental_Cost Year 8'!AV158+'Incremental_Cost Year 9'!AV158+'Incremental_Cost Year 10'!AV158</f>
        <v>0</v>
      </c>
      <c r="BE158" s="294">
        <f>'Incremental_Cost Year 1'!AW158+'Incremental_Cost Year 2'!AW158+'Incremental_Cost Year 3'!AW158+'Incremental_Cost Year 4'!AW158+'Incremental_Cost Year 5'!AW158+'Incremental_Cost Year 6'!AW158+'Incremental_Cost Year 7'!AW158+'Incremental_Cost Year 8'!AW158+'Incremental_Cost Year 9'!AW158+'Incremental_Cost Year 10'!AW158</f>
        <v>0</v>
      </c>
      <c r="BF158" s="294">
        <f>'Incremental_Cost Year 1'!AX158+'Incremental_Cost Year 2'!AX158+'Incremental_Cost Year 3'!AX158+'Incremental_Cost Year 4'!AX158+'Incremental_Cost Year 5'!AX158+'Incremental_Cost Year 6'!AX158+'Incremental_Cost Year 7'!AX158+'Incremental_Cost Year 8'!AX158+'Incremental_Cost Year 9'!AX158+'Incremental_Cost Year 10'!AX158</f>
        <v>0</v>
      </c>
      <c r="BG158" s="294">
        <f>'Incremental_Cost Year 1'!AY158+'Incremental_Cost Year 2'!AZ158+'Incremental_Cost Year 3'!AY158+'Incremental_Cost Year 4'!AY158+'Incremental_Cost Year 5'!AY158+'Incremental_Cost Year 6'!AY158+'Incremental_Cost Year 7'!AY158+'Incremental_Cost Year 8'!AY158+'Incremental_Cost Year 9'!AY158+'Incremental_Cost Year 10'!AY158</f>
        <v>0</v>
      </c>
      <c r="BH158" s="294">
        <f>'Incremental_Cost Year 1'!AZ158+'Incremental_Cost Year 2'!BA158+'Incremental_Cost Year 3'!AZ158+'Incremental_Cost Year 4'!AZ158+'Incremental_Cost Year 5'!AZ158+'Incremental_Cost Year 6'!AZ158+'Incremental_Cost Year 7'!AZ158+'Incremental_Cost Year 8'!AZ158+'Incremental_Cost Year 9'!AZ158+'Incremental_Cost Year 10'!AZ158</f>
        <v>0</v>
      </c>
      <c r="BI158" s="294">
        <f>'Incremental_Cost Year 1'!BA158+'Incremental_Cost Year 2'!BA158+'Incremental_Cost Year 3'!BA158+'Incremental_Cost Year 4'!BA158+'Incremental_Cost Year 5'!BA158+'Incremental_Cost Year 6'!BA158+'Incremental_Cost Year 7'!BA158+'Incremental_Cost Year 8'!BA158+'Incremental_Cost Year 9'!BA158+'Incremental_Cost Year 10'!BA158</f>
        <v>0</v>
      </c>
      <c r="BJ158" s="294">
        <f t="shared" si="149"/>
        <v>0</v>
      </c>
    </row>
    <row r="159" spans="1:62" ht="15.6" outlineLevel="2">
      <c r="A159" s="98"/>
      <c r="B159" s="102"/>
      <c r="C159" s="23"/>
      <c r="D159" s="269"/>
      <c r="E159" s="271"/>
      <c r="F159" s="250"/>
      <c r="G159" s="255"/>
      <c r="H159" s="272"/>
      <c r="I159" s="258"/>
      <c r="J159" s="259"/>
      <c r="K159" s="259"/>
      <c r="L159" s="106" t="str">
        <f>IF(I159&lt;&gt;0,((VLOOKUP(I159,'1. Standard_Cost'!$B$4:$D$11,2)+VLOOKUP(I159,'1. Standard_Cost'!$B$4:$D$11,3))*J159*K159),"0")</f>
        <v>0</v>
      </c>
      <c r="M159" s="106">
        <f>L159*'1. Standard_Cost'!$F$4</f>
        <v>0</v>
      </c>
      <c r="N159" s="260"/>
      <c r="O159" s="260"/>
      <c r="P159" s="260"/>
      <c r="Q159" s="260"/>
      <c r="R159" s="108">
        <f>'1. Standard_Cost'!$B$15*N159*P159</f>
        <v>0</v>
      </c>
      <c r="S159" s="108">
        <f>N159*O159*P159*'1. Standard_Cost'!$C$15</f>
        <v>0</v>
      </c>
      <c r="T159" s="108">
        <f>N159*P159*Q159*'1. Standard_Cost'!$D$15</f>
        <v>0</v>
      </c>
      <c r="U159" s="108">
        <f>N159*O159*'1. Standard_Cost'!$E$15</f>
        <v>0</v>
      </c>
      <c r="V159" s="260"/>
      <c r="W159" s="260"/>
      <c r="X159" s="260"/>
      <c r="Y159" s="108">
        <f>+V159*((X159*'1. Standard_Cost'!$B$19)+(W159*X159*'1. Standard_Cost'!$C$19))</f>
        <v>0</v>
      </c>
      <c r="Z159" s="260"/>
      <c r="AA159" s="260"/>
      <c r="AB159" s="108">
        <f>+Z159*'1. Standard_Cost'!$B$23+AA159*'1. Standard_Cost'!$C$23</f>
        <v>0</v>
      </c>
      <c r="AC159" s="261"/>
      <c r="AD159" s="262"/>
      <c r="AE159" s="108">
        <f>SUM(AD159,AC159,AB159,Y159,U159,T159,S159,R159)*'1. Standard_Cost'!$B$31</f>
        <v>0</v>
      </c>
      <c r="AF159" s="108">
        <f t="shared" si="171"/>
        <v>0</v>
      </c>
      <c r="AG159" s="260"/>
      <c r="AH159" s="260"/>
      <c r="AI159" s="260"/>
      <c r="AJ159" s="263"/>
      <c r="AK159" s="263"/>
      <c r="AL159" s="263"/>
      <c r="AM159" s="108">
        <f>AG159*'1. Standard_Cost'!$B$27+'Incremental_Cost Year 10'!AH159*'1. Standard_Cost'!$C$27+'Incremental_Cost Year 10'!AI159*'1. Standard_Cost'!$D$27+'Incremental_Cost Year 10'!AJ159+'Incremental_Cost Year 10'!AL159+AK159</f>
        <v>0</v>
      </c>
      <c r="AN159" s="108">
        <f>AM159*'1. Standard_Cost'!$C$31</f>
        <v>0</v>
      </c>
      <c r="AO159" s="125" t="s">
        <v>380</v>
      </c>
      <c r="AQ159" s="14">
        <f t="shared" si="172"/>
        <v>0</v>
      </c>
      <c r="AR159" s="14">
        <f t="shared" si="173"/>
        <v>0</v>
      </c>
      <c r="AS159" s="14">
        <f t="shared" si="174"/>
        <v>0</v>
      </c>
      <c r="AT159" s="14">
        <f t="shared" si="176"/>
        <v>0</v>
      </c>
      <c r="AU159" s="234"/>
      <c r="AV159" s="234"/>
      <c r="AW159" s="234"/>
      <c r="AX159" s="234"/>
      <c r="AY159" s="234"/>
      <c r="AZ159" s="234"/>
      <c r="BA159" s="234"/>
      <c r="BB159" s="16">
        <f t="shared" si="175"/>
        <v>0</v>
      </c>
      <c r="BD159" s="294">
        <f>'Incremental_Cost Year 1'!AV159+'Incremental_Cost Year 2'!AV159+'Incremental_Cost Year 3'!AV159+'Incremental_Cost Year 4'!AV159+'Incremental_Cost Year 5'!AV159+'Incremental_Cost Year 6'!AV159+'Incremental_Cost Year 7'!AV159+'Incremental_Cost Year 8'!AV159+'Incremental_Cost Year 9'!AV159+'Incremental_Cost Year 10'!AV159</f>
        <v>0</v>
      </c>
      <c r="BE159" s="294">
        <f>'Incremental_Cost Year 1'!AW159+'Incremental_Cost Year 2'!AW159+'Incremental_Cost Year 3'!AW159+'Incremental_Cost Year 4'!AW159+'Incremental_Cost Year 5'!AW159+'Incremental_Cost Year 6'!AW159+'Incremental_Cost Year 7'!AW159+'Incremental_Cost Year 8'!AW159+'Incremental_Cost Year 9'!AW159+'Incremental_Cost Year 10'!AW159</f>
        <v>0</v>
      </c>
      <c r="BF159" s="294">
        <f>'Incremental_Cost Year 1'!AX159+'Incremental_Cost Year 2'!AX159+'Incremental_Cost Year 3'!AX159+'Incremental_Cost Year 4'!AX159+'Incremental_Cost Year 5'!AX159+'Incremental_Cost Year 6'!AX159+'Incremental_Cost Year 7'!AX159+'Incremental_Cost Year 8'!AX159+'Incremental_Cost Year 9'!AX159+'Incremental_Cost Year 10'!AX159</f>
        <v>0</v>
      </c>
      <c r="BG159" s="294">
        <f>'Incremental_Cost Year 1'!AY159+'Incremental_Cost Year 2'!AZ159+'Incremental_Cost Year 3'!AY159+'Incremental_Cost Year 4'!AY159+'Incremental_Cost Year 5'!AY159+'Incremental_Cost Year 6'!AY159+'Incremental_Cost Year 7'!AY159+'Incremental_Cost Year 8'!AY159+'Incremental_Cost Year 9'!AY159+'Incremental_Cost Year 10'!AY159</f>
        <v>0</v>
      </c>
      <c r="BH159" s="294">
        <f>'Incremental_Cost Year 1'!AZ159+'Incremental_Cost Year 2'!BA159+'Incremental_Cost Year 3'!AZ159+'Incremental_Cost Year 4'!AZ159+'Incremental_Cost Year 5'!AZ159+'Incremental_Cost Year 6'!AZ159+'Incremental_Cost Year 7'!AZ159+'Incremental_Cost Year 8'!AZ159+'Incremental_Cost Year 9'!AZ159+'Incremental_Cost Year 10'!AZ159</f>
        <v>0</v>
      </c>
      <c r="BI159" s="294">
        <f>'Incremental_Cost Year 1'!BA159+'Incremental_Cost Year 2'!BA159+'Incremental_Cost Year 3'!BA159+'Incremental_Cost Year 4'!BA159+'Incremental_Cost Year 5'!BA159+'Incremental_Cost Year 6'!BA159+'Incremental_Cost Year 7'!BA159+'Incremental_Cost Year 8'!BA159+'Incremental_Cost Year 9'!BA159+'Incremental_Cost Year 10'!BA159</f>
        <v>0</v>
      </c>
      <c r="BJ159" s="294">
        <f t="shared" si="149"/>
        <v>0</v>
      </c>
    </row>
    <row r="160" spans="1:62" ht="15.6" outlineLevel="2">
      <c r="A160" s="98"/>
      <c r="B160" s="102"/>
      <c r="C160" s="23"/>
      <c r="D160" s="269"/>
      <c r="E160" s="271"/>
      <c r="F160" s="250"/>
      <c r="G160" s="177"/>
      <c r="H160" s="272"/>
      <c r="I160" s="258"/>
      <c r="J160" s="259"/>
      <c r="K160" s="259"/>
      <c r="L160" s="106" t="str">
        <f>IF(I160&lt;&gt;0,((VLOOKUP(I160,'1. Standard_Cost'!$B$4:$D$11,2)+VLOOKUP(I160,'1. Standard_Cost'!$B$4:$D$11,3))*J160*K160),"0")</f>
        <v>0</v>
      </c>
      <c r="M160" s="106">
        <f>L160*'1. Standard_Cost'!$F$4</f>
        <v>0</v>
      </c>
      <c r="N160" s="260"/>
      <c r="O160" s="260"/>
      <c r="P160" s="260"/>
      <c r="Q160" s="260"/>
      <c r="R160" s="108">
        <f>'1. Standard_Cost'!$B$15*N160*P160</f>
        <v>0</v>
      </c>
      <c r="S160" s="108">
        <f>N160*O160*P160*'1. Standard_Cost'!$C$15</f>
        <v>0</v>
      </c>
      <c r="T160" s="108">
        <f>N160*P160*Q160*'1. Standard_Cost'!$D$15</f>
        <v>0</v>
      </c>
      <c r="U160" s="108">
        <f>N160*O160*'1. Standard_Cost'!$E$15</f>
        <v>0</v>
      </c>
      <c r="V160" s="260"/>
      <c r="W160" s="260"/>
      <c r="X160" s="260"/>
      <c r="Y160" s="108">
        <f>+V160*((X160*'1. Standard_Cost'!$B$19)+(W160*X160*'1. Standard_Cost'!$C$19))</f>
        <v>0</v>
      </c>
      <c r="Z160" s="260"/>
      <c r="AA160" s="260"/>
      <c r="AB160" s="108">
        <f>+Z160*'1. Standard_Cost'!$B$23+AA160*'1. Standard_Cost'!$C$23</f>
        <v>0</v>
      </c>
      <c r="AC160" s="261"/>
      <c r="AD160" s="262"/>
      <c r="AE160" s="108">
        <f>SUM(AD160,AC160,AB160,Y160,U160,T160,S160,R160)*'1. Standard_Cost'!$B$31</f>
        <v>0</v>
      </c>
      <c r="AF160" s="108">
        <f t="shared" si="171"/>
        <v>0</v>
      </c>
      <c r="AG160" s="260"/>
      <c r="AH160" s="260"/>
      <c r="AI160" s="260"/>
      <c r="AJ160" s="263"/>
      <c r="AK160" s="263"/>
      <c r="AL160" s="263"/>
      <c r="AM160" s="108">
        <f>AG160*'1. Standard_Cost'!$B$27+'Incremental_Cost Year 10'!AH160*'1. Standard_Cost'!$C$27+'Incremental_Cost Year 10'!AI160*'1. Standard_Cost'!$D$27+'Incremental_Cost Year 10'!AJ160+'Incremental_Cost Year 10'!AL160+AK160</f>
        <v>0</v>
      </c>
      <c r="AN160" s="108">
        <f>AM160*'1. Standard_Cost'!$C$31</f>
        <v>0</v>
      </c>
      <c r="AO160" s="125" t="s">
        <v>381</v>
      </c>
      <c r="AQ160" s="14">
        <f t="shared" si="172"/>
        <v>0</v>
      </c>
      <c r="AR160" s="14">
        <f t="shared" si="173"/>
        <v>0</v>
      </c>
      <c r="AS160" s="14">
        <f t="shared" si="174"/>
        <v>0</v>
      </c>
      <c r="AT160" s="14">
        <f t="shared" si="176"/>
        <v>0</v>
      </c>
      <c r="AU160" s="234"/>
      <c r="AV160" s="234"/>
      <c r="AW160" s="234"/>
      <c r="AX160" s="234"/>
      <c r="AY160" s="234"/>
      <c r="AZ160" s="234"/>
      <c r="BA160" s="234"/>
      <c r="BB160" s="16">
        <f t="shared" si="175"/>
        <v>0</v>
      </c>
      <c r="BD160" s="294">
        <f>'Incremental_Cost Year 1'!AV160+'Incremental_Cost Year 2'!AV160+'Incremental_Cost Year 3'!AV160+'Incremental_Cost Year 4'!AV160+'Incremental_Cost Year 5'!AV160+'Incremental_Cost Year 6'!AV160+'Incremental_Cost Year 7'!AV160+'Incremental_Cost Year 8'!AV160+'Incremental_Cost Year 9'!AV160+'Incremental_Cost Year 10'!AV160</f>
        <v>0</v>
      </c>
      <c r="BE160" s="294">
        <f>'Incremental_Cost Year 1'!AW160+'Incremental_Cost Year 2'!AW160+'Incremental_Cost Year 3'!AW160+'Incremental_Cost Year 4'!AW160+'Incremental_Cost Year 5'!AW160+'Incremental_Cost Year 6'!AW160+'Incremental_Cost Year 7'!AW160+'Incremental_Cost Year 8'!AW160+'Incremental_Cost Year 9'!AW160+'Incremental_Cost Year 10'!AW160</f>
        <v>0</v>
      </c>
      <c r="BF160" s="294">
        <f>'Incremental_Cost Year 1'!AX160+'Incremental_Cost Year 2'!AX160+'Incremental_Cost Year 3'!AX160+'Incremental_Cost Year 4'!AX160+'Incremental_Cost Year 5'!AX160+'Incremental_Cost Year 6'!AX160+'Incremental_Cost Year 7'!AX160+'Incremental_Cost Year 8'!AX160+'Incremental_Cost Year 9'!AX160+'Incremental_Cost Year 10'!AX160</f>
        <v>0</v>
      </c>
      <c r="BG160" s="294">
        <f>'Incremental_Cost Year 1'!AY160+'Incremental_Cost Year 2'!AZ160+'Incremental_Cost Year 3'!AY160+'Incremental_Cost Year 4'!AY160+'Incremental_Cost Year 5'!AY160+'Incremental_Cost Year 6'!AY160+'Incremental_Cost Year 7'!AY160+'Incremental_Cost Year 8'!AY160+'Incremental_Cost Year 9'!AY160+'Incremental_Cost Year 10'!AY160</f>
        <v>0</v>
      </c>
      <c r="BH160" s="294">
        <f>'Incremental_Cost Year 1'!AZ160+'Incremental_Cost Year 2'!BA160+'Incremental_Cost Year 3'!AZ160+'Incremental_Cost Year 4'!AZ160+'Incremental_Cost Year 5'!AZ160+'Incremental_Cost Year 6'!AZ160+'Incremental_Cost Year 7'!AZ160+'Incremental_Cost Year 8'!AZ160+'Incremental_Cost Year 9'!AZ160+'Incremental_Cost Year 10'!AZ160</f>
        <v>0</v>
      </c>
      <c r="BI160" s="294">
        <f>'Incremental_Cost Year 1'!BA160+'Incremental_Cost Year 2'!BA160+'Incremental_Cost Year 3'!BA160+'Incremental_Cost Year 4'!BA160+'Incremental_Cost Year 5'!BA160+'Incremental_Cost Year 6'!BA160+'Incremental_Cost Year 7'!BA160+'Incremental_Cost Year 8'!BA160+'Incremental_Cost Year 9'!BA160+'Incremental_Cost Year 10'!BA160</f>
        <v>0</v>
      </c>
      <c r="BJ160" s="294">
        <f t="shared" si="149"/>
        <v>0</v>
      </c>
    </row>
    <row r="161" spans="1:62" ht="15.6" outlineLevel="2">
      <c r="A161" s="98"/>
      <c r="B161" s="102"/>
      <c r="C161" s="23"/>
      <c r="D161" s="269"/>
      <c r="E161" s="271"/>
      <c r="F161" s="250"/>
      <c r="G161" s="255"/>
      <c r="H161" s="272"/>
      <c r="I161" s="258"/>
      <c r="J161" s="259"/>
      <c r="K161" s="259"/>
      <c r="L161" s="106" t="str">
        <f>IF(I161&lt;&gt;0,((VLOOKUP(I161,'1. Standard_Cost'!$B$4:$D$11,2)+VLOOKUP(I161,'1. Standard_Cost'!$B$4:$D$11,3))*J161*K161),"0")</f>
        <v>0</v>
      </c>
      <c r="M161" s="106">
        <f>L161*'1. Standard_Cost'!$F$4</f>
        <v>0</v>
      </c>
      <c r="N161" s="260"/>
      <c r="O161" s="260"/>
      <c r="P161" s="260"/>
      <c r="Q161" s="260"/>
      <c r="R161" s="108">
        <f>'1. Standard_Cost'!$B$15*N161*P161</f>
        <v>0</v>
      </c>
      <c r="S161" s="108">
        <f>N161*O161*P161*'1. Standard_Cost'!$C$15</f>
        <v>0</v>
      </c>
      <c r="T161" s="108">
        <f>N161*P161*Q161*'1. Standard_Cost'!$D$15</f>
        <v>0</v>
      </c>
      <c r="U161" s="108">
        <f>N161*O161*'1. Standard_Cost'!$E$15</f>
        <v>0</v>
      </c>
      <c r="V161" s="260"/>
      <c r="W161" s="260"/>
      <c r="X161" s="260"/>
      <c r="Y161" s="108">
        <f>+V161*((X161*'1. Standard_Cost'!$B$19)+(W161*X161*'1. Standard_Cost'!$C$19))</f>
        <v>0</v>
      </c>
      <c r="Z161" s="260"/>
      <c r="AA161" s="260"/>
      <c r="AB161" s="108">
        <f>+Z161*'1. Standard_Cost'!$B$23+AA161*'1. Standard_Cost'!$C$23</f>
        <v>0</v>
      </c>
      <c r="AC161" s="261"/>
      <c r="AD161" s="262"/>
      <c r="AE161" s="108">
        <f>SUM(AD161,AC161,AB161,Y161,U161,T161,S161,R161)*'1. Standard_Cost'!$B$31</f>
        <v>0</v>
      </c>
      <c r="AF161" s="108">
        <f t="shared" si="171"/>
        <v>0</v>
      </c>
      <c r="AG161" s="260"/>
      <c r="AH161" s="260"/>
      <c r="AI161" s="260"/>
      <c r="AJ161" s="263"/>
      <c r="AK161" s="263"/>
      <c r="AL161" s="263"/>
      <c r="AM161" s="108">
        <f>AG161*'1. Standard_Cost'!$B$27+'Incremental_Cost Year 10'!AH161*'1. Standard_Cost'!$C$27+'Incremental_Cost Year 10'!AI161*'1. Standard_Cost'!$D$27+'Incremental_Cost Year 10'!AJ161+'Incremental_Cost Year 10'!AL161+AK161</f>
        <v>0</v>
      </c>
      <c r="AN161" s="108">
        <f>AM161*'1. Standard_Cost'!$C$31</f>
        <v>0</v>
      </c>
      <c r="AO161" s="125" t="s">
        <v>277</v>
      </c>
      <c r="AQ161" s="14">
        <f t="shared" si="172"/>
        <v>0</v>
      </c>
      <c r="AR161" s="14">
        <f t="shared" si="173"/>
        <v>0</v>
      </c>
      <c r="AS161" s="14">
        <f t="shared" si="174"/>
        <v>0</v>
      </c>
      <c r="AT161" s="14">
        <f t="shared" si="176"/>
        <v>0</v>
      </c>
      <c r="AU161" s="234"/>
      <c r="AV161" s="234"/>
      <c r="AW161" s="234"/>
      <c r="AX161" s="234"/>
      <c r="AY161" s="234"/>
      <c r="AZ161" s="234"/>
      <c r="BA161" s="234"/>
      <c r="BB161" s="16">
        <f t="shared" si="175"/>
        <v>0</v>
      </c>
      <c r="BD161" s="294">
        <f>'Incremental_Cost Year 1'!AV161+'Incremental_Cost Year 2'!AV161+'Incremental_Cost Year 3'!AV161+'Incremental_Cost Year 4'!AV161+'Incremental_Cost Year 5'!AV161+'Incremental_Cost Year 6'!AV161+'Incremental_Cost Year 7'!AV161+'Incremental_Cost Year 8'!AV161+'Incremental_Cost Year 9'!AV161+'Incremental_Cost Year 10'!AV161</f>
        <v>0</v>
      </c>
      <c r="BE161" s="294">
        <f>'Incremental_Cost Year 1'!AW161+'Incremental_Cost Year 2'!AW161+'Incremental_Cost Year 3'!AW161+'Incremental_Cost Year 4'!AW161+'Incremental_Cost Year 5'!AW161+'Incremental_Cost Year 6'!AW161+'Incremental_Cost Year 7'!AW161+'Incremental_Cost Year 8'!AW161+'Incremental_Cost Year 9'!AW161+'Incremental_Cost Year 10'!AW161</f>
        <v>0</v>
      </c>
      <c r="BF161" s="294">
        <f>'Incremental_Cost Year 1'!AX161+'Incremental_Cost Year 2'!AX161+'Incremental_Cost Year 3'!AX161+'Incremental_Cost Year 4'!AX161+'Incremental_Cost Year 5'!AX161+'Incremental_Cost Year 6'!AX161+'Incremental_Cost Year 7'!AX161+'Incremental_Cost Year 8'!AX161+'Incremental_Cost Year 9'!AX161+'Incremental_Cost Year 10'!AX161</f>
        <v>0</v>
      </c>
      <c r="BG161" s="294">
        <f>'Incremental_Cost Year 1'!AY161+'Incremental_Cost Year 2'!AZ161+'Incremental_Cost Year 3'!AY161+'Incremental_Cost Year 4'!AY161+'Incremental_Cost Year 5'!AY161+'Incremental_Cost Year 6'!AY161+'Incremental_Cost Year 7'!AY161+'Incremental_Cost Year 8'!AY161+'Incremental_Cost Year 9'!AY161+'Incremental_Cost Year 10'!AY161</f>
        <v>0</v>
      </c>
      <c r="BH161" s="294">
        <f>'Incremental_Cost Year 1'!AZ161+'Incremental_Cost Year 2'!BA161+'Incremental_Cost Year 3'!AZ161+'Incremental_Cost Year 4'!AZ161+'Incremental_Cost Year 5'!AZ161+'Incremental_Cost Year 6'!AZ161+'Incremental_Cost Year 7'!AZ161+'Incremental_Cost Year 8'!AZ161+'Incremental_Cost Year 9'!AZ161+'Incremental_Cost Year 10'!AZ161</f>
        <v>0</v>
      </c>
      <c r="BI161" s="294">
        <f>'Incremental_Cost Year 1'!BA161+'Incremental_Cost Year 2'!BA161+'Incremental_Cost Year 3'!BA161+'Incremental_Cost Year 4'!BA161+'Incremental_Cost Year 5'!BA161+'Incremental_Cost Year 6'!BA161+'Incremental_Cost Year 7'!BA161+'Incremental_Cost Year 8'!BA161+'Incremental_Cost Year 9'!BA161+'Incremental_Cost Year 10'!BA161</f>
        <v>0</v>
      </c>
      <c r="BJ161" s="294">
        <f t="shared" si="149"/>
        <v>0</v>
      </c>
    </row>
    <row r="162" spans="1:62" ht="15.6" outlineLevel="2">
      <c r="A162" s="98"/>
      <c r="B162" s="102"/>
      <c r="C162" s="23"/>
      <c r="D162" s="251"/>
      <c r="E162" s="251"/>
      <c r="F162" s="251"/>
      <c r="G162" s="250"/>
      <c r="H162" s="272"/>
      <c r="I162" s="258"/>
      <c r="J162" s="259"/>
      <c r="K162" s="259"/>
      <c r="L162" s="106" t="str">
        <f>IF(I162&lt;&gt;0,((VLOOKUP(I162,'1. Standard_Cost'!$B$4:$D$11,2)+VLOOKUP(I162,'1. Standard_Cost'!$B$4:$D$11,3))*J162*K162),"0")</f>
        <v>0</v>
      </c>
      <c r="M162" s="106">
        <f>L162*'1. Standard_Cost'!$F$4</f>
        <v>0</v>
      </c>
      <c r="N162" s="260"/>
      <c r="O162" s="260"/>
      <c r="P162" s="260"/>
      <c r="Q162" s="260"/>
      <c r="R162" s="108">
        <f>'1. Standard_Cost'!$B$15*N162*P162</f>
        <v>0</v>
      </c>
      <c r="S162" s="108">
        <f>N162*O162*P162*'1. Standard_Cost'!$C$15</f>
        <v>0</v>
      </c>
      <c r="T162" s="108">
        <f>N162*P162*Q162*'1. Standard_Cost'!$D$15</f>
        <v>0</v>
      </c>
      <c r="U162" s="108">
        <f>N162*O162*'1. Standard_Cost'!$E$15</f>
        <v>0</v>
      </c>
      <c r="V162" s="260"/>
      <c r="W162" s="260"/>
      <c r="X162" s="260"/>
      <c r="Y162" s="108">
        <f>+V162*((X162*'1. Standard_Cost'!$B$19)+(W162*X162*'1. Standard_Cost'!$C$19))</f>
        <v>0</v>
      </c>
      <c r="Z162" s="260"/>
      <c r="AA162" s="260"/>
      <c r="AB162" s="108">
        <f>+Z162*'1. Standard_Cost'!$B$23+AA162*'1. Standard_Cost'!$C$23</f>
        <v>0</v>
      </c>
      <c r="AC162" s="261"/>
      <c r="AD162" s="262"/>
      <c r="AE162" s="108">
        <f>SUM(AD162,AC162,AB162,Y162,U162,T162,S162,R162)*'1. Standard_Cost'!$B$31</f>
        <v>0</v>
      </c>
      <c r="AF162" s="108">
        <f t="shared" si="171"/>
        <v>0</v>
      </c>
      <c r="AG162" s="260"/>
      <c r="AH162" s="260"/>
      <c r="AI162" s="260"/>
      <c r="AJ162" s="263"/>
      <c r="AK162" s="263"/>
      <c r="AL162" s="263"/>
      <c r="AM162" s="108">
        <f>AG162*'1. Standard_Cost'!$B$27+'Incremental_Cost Year 10'!AH162*'1. Standard_Cost'!$C$27+'Incremental_Cost Year 10'!AI162*'1. Standard_Cost'!$D$27+'Incremental_Cost Year 10'!AJ162+'Incremental_Cost Year 10'!AL162+AK162</f>
        <v>0</v>
      </c>
      <c r="AN162" s="108">
        <f>AM162*'1. Standard_Cost'!$C$31</f>
        <v>0</v>
      </c>
      <c r="AO162" s="125" t="s">
        <v>382</v>
      </c>
      <c r="AQ162" s="14">
        <f t="shared" si="172"/>
        <v>0</v>
      </c>
      <c r="AR162" s="14">
        <f t="shared" si="173"/>
        <v>0</v>
      </c>
      <c r="AS162" s="14">
        <f t="shared" si="174"/>
        <v>0</v>
      </c>
      <c r="AT162" s="14">
        <f t="shared" si="176"/>
        <v>0</v>
      </c>
      <c r="AU162" s="234"/>
      <c r="AV162" s="234"/>
      <c r="AW162" s="234"/>
      <c r="AX162" s="234"/>
      <c r="AY162" s="234"/>
      <c r="AZ162" s="234"/>
      <c r="BA162" s="234"/>
      <c r="BB162" s="16">
        <f t="shared" si="175"/>
        <v>0</v>
      </c>
      <c r="BD162" s="294">
        <f>'Incremental_Cost Year 1'!AV162+'Incremental_Cost Year 2'!AV162+'Incremental_Cost Year 3'!AV162+'Incremental_Cost Year 4'!AV162+'Incremental_Cost Year 5'!AV162+'Incremental_Cost Year 6'!AV162+'Incremental_Cost Year 7'!AV162+'Incremental_Cost Year 8'!AV162+'Incremental_Cost Year 9'!AV162+'Incremental_Cost Year 10'!AV162</f>
        <v>0</v>
      </c>
      <c r="BE162" s="294">
        <f>'Incremental_Cost Year 1'!AW162+'Incremental_Cost Year 2'!AW162+'Incremental_Cost Year 3'!AW162+'Incremental_Cost Year 4'!AW162+'Incremental_Cost Year 5'!AW162+'Incremental_Cost Year 6'!AW162+'Incremental_Cost Year 7'!AW162+'Incremental_Cost Year 8'!AW162+'Incremental_Cost Year 9'!AW162+'Incremental_Cost Year 10'!AW162</f>
        <v>0</v>
      </c>
      <c r="BF162" s="294">
        <f>'Incremental_Cost Year 1'!AX162+'Incremental_Cost Year 2'!AX162+'Incremental_Cost Year 3'!AX162+'Incremental_Cost Year 4'!AX162+'Incremental_Cost Year 5'!AX162+'Incremental_Cost Year 6'!AX162+'Incremental_Cost Year 7'!AX162+'Incremental_Cost Year 8'!AX162+'Incremental_Cost Year 9'!AX162+'Incremental_Cost Year 10'!AX162</f>
        <v>0</v>
      </c>
      <c r="BG162" s="294">
        <f>'Incremental_Cost Year 1'!AY162+'Incremental_Cost Year 2'!AZ162+'Incremental_Cost Year 3'!AY162+'Incremental_Cost Year 4'!AY162+'Incremental_Cost Year 5'!AY162+'Incremental_Cost Year 6'!AY162+'Incremental_Cost Year 7'!AY162+'Incremental_Cost Year 8'!AY162+'Incremental_Cost Year 9'!AY162+'Incremental_Cost Year 10'!AY162</f>
        <v>0</v>
      </c>
      <c r="BH162" s="294">
        <f>'Incremental_Cost Year 1'!AZ162+'Incremental_Cost Year 2'!BA162+'Incremental_Cost Year 3'!AZ162+'Incremental_Cost Year 4'!AZ162+'Incremental_Cost Year 5'!AZ162+'Incremental_Cost Year 6'!AZ162+'Incremental_Cost Year 7'!AZ162+'Incremental_Cost Year 8'!AZ162+'Incremental_Cost Year 9'!AZ162+'Incremental_Cost Year 10'!AZ162</f>
        <v>0</v>
      </c>
      <c r="BI162" s="294">
        <f>'Incremental_Cost Year 1'!BA162+'Incremental_Cost Year 2'!BA162+'Incremental_Cost Year 3'!BA162+'Incremental_Cost Year 4'!BA162+'Incremental_Cost Year 5'!BA162+'Incremental_Cost Year 6'!BA162+'Incremental_Cost Year 7'!BA162+'Incremental_Cost Year 8'!BA162+'Incremental_Cost Year 9'!BA162+'Incremental_Cost Year 10'!BA162</f>
        <v>0</v>
      </c>
      <c r="BJ162" s="294">
        <f t="shared" si="149"/>
        <v>0</v>
      </c>
    </row>
    <row r="163" spans="1:62" ht="32.25" customHeight="1" outlineLevel="2">
      <c r="A163" s="98"/>
      <c r="B163" s="102"/>
      <c r="C163" s="23"/>
      <c r="D163" s="251"/>
      <c r="E163" s="251"/>
      <c r="F163" s="251"/>
      <c r="G163" s="250"/>
      <c r="H163" s="272"/>
      <c r="I163" s="258"/>
      <c r="J163" s="259"/>
      <c r="K163" s="259"/>
      <c r="L163" s="106" t="str">
        <f>IF(I163&lt;&gt;0,((VLOOKUP(I163,'1. Standard_Cost'!$B$4:$D$11,2)+VLOOKUP(I163,'1. Standard_Cost'!$B$4:$D$11,3))*J163*K163),"0")</f>
        <v>0</v>
      </c>
      <c r="M163" s="106">
        <f>L163*'1. Standard_Cost'!$F$4</f>
        <v>0</v>
      </c>
      <c r="N163" s="260"/>
      <c r="O163" s="260"/>
      <c r="P163" s="260"/>
      <c r="Q163" s="260"/>
      <c r="R163" s="108">
        <f>'1. Standard_Cost'!$B$15*N163*P163</f>
        <v>0</v>
      </c>
      <c r="S163" s="108">
        <f>N163*O163*P163*'1. Standard_Cost'!$C$15</f>
        <v>0</v>
      </c>
      <c r="T163" s="108">
        <f>N163*P163*Q163*'1. Standard_Cost'!$D$15</f>
        <v>0</v>
      </c>
      <c r="U163" s="108">
        <f>N163*O163*'1. Standard_Cost'!$E$15</f>
        <v>0</v>
      </c>
      <c r="V163" s="260"/>
      <c r="W163" s="260"/>
      <c r="X163" s="260"/>
      <c r="Y163" s="108">
        <f>+V163*((X163*'1. Standard_Cost'!$B$19)+(W163*X163*'1. Standard_Cost'!$C$19))</f>
        <v>0</v>
      </c>
      <c r="Z163" s="260"/>
      <c r="AA163" s="260"/>
      <c r="AB163" s="108">
        <f>+Z163*'1. Standard_Cost'!$B$23+AA163*'1. Standard_Cost'!$C$23</f>
        <v>0</v>
      </c>
      <c r="AC163" s="261"/>
      <c r="AD163" s="262"/>
      <c r="AE163" s="108">
        <f>SUM(AD163,AC163,AB163,Y163,U163,T163,S163,R163)*'1. Standard_Cost'!$B$31</f>
        <v>0</v>
      </c>
      <c r="AF163" s="108">
        <f t="shared" si="171"/>
        <v>0</v>
      </c>
      <c r="AG163" s="260"/>
      <c r="AH163" s="260"/>
      <c r="AI163" s="260"/>
      <c r="AJ163" s="263"/>
      <c r="AK163" s="263"/>
      <c r="AL163" s="263"/>
      <c r="AM163" s="108">
        <f>AG163*'1. Standard_Cost'!$B$27+'Incremental_Cost Year 10'!AH163*'1. Standard_Cost'!$C$27+'Incremental_Cost Year 10'!AI163*'1. Standard_Cost'!$D$27+'Incremental_Cost Year 10'!AJ163+'Incremental_Cost Year 10'!AL163+AK163</f>
        <v>0</v>
      </c>
      <c r="AN163" s="108">
        <f>AM163*'1. Standard_Cost'!$C$31</f>
        <v>0</v>
      </c>
      <c r="AO163" s="125" t="s">
        <v>383</v>
      </c>
      <c r="AQ163" s="14">
        <f t="shared" si="172"/>
        <v>0</v>
      </c>
      <c r="AR163" s="14">
        <f t="shared" si="173"/>
        <v>0</v>
      </c>
      <c r="AS163" s="14">
        <f t="shared" si="174"/>
        <v>0</v>
      </c>
      <c r="AT163" s="14">
        <f t="shared" si="176"/>
        <v>0</v>
      </c>
      <c r="AU163" s="234"/>
      <c r="AV163" s="234"/>
      <c r="AW163" s="234"/>
      <c r="AX163" s="234"/>
      <c r="AY163" s="234"/>
      <c r="AZ163" s="234"/>
      <c r="BA163" s="234"/>
      <c r="BB163" s="16">
        <f t="shared" si="175"/>
        <v>0</v>
      </c>
      <c r="BD163" s="294">
        <f>'Incremental_Cost Year 1'!AV163+'Incremental_Cost Year 2'!AV163+'Incremental_Cost Year 3'!AV163+'Incremental_Cost Year 4'!AV163+'Incremental_Cost Year 5'!AV163+'Incremental_Cost Year 6'!AV163+'Incremental_Cost Year 7'!AV163+'Incremental_Cost Year 8'!AV163+'Incremental_Cost Year 9'!AV163+'Incremental_Cost Year 10'!AV163</f>
        <v>0</v>
      </c>
      <c r="BE163" s="294">
        <f>'Incremental_Cost Year 1'!AW163+'Incremental_Cost Year 2'!AW163+'Incremental_Cost Year 3'!AW163+'Incremental_Cost Year 4'!AW163+'Incremental_Cost Year 5'!AW163+'Incremental_Cost Year 6'!AW163+'Incremental_Cost Year 7'!AW163+'Incremental_Cost Year 8'!AW163+'Incremental_Cost Year 9'!AW163+'Incremental_Cost Year 10'!AW163</f>
        <v>0</v>
      </c>
      <c r="BF163" s="294">
        <f>'Incremental_Cost Year 1'!AX163+'Incremental_Cost Year 2'!AX163+'Incremental_Cost Year 3'!AX163+'Incremental_Cost Year 4'!AX163+'Incremental_Cost Year 5'!AX163+'Incremental_Cost Year 6'!AX163+'Incremental_Cost Year 7'!AX163+'Incremental_Cost Year 8'!AX163+'Incremental_Cost Year 9'!AX163+'Incremental_Cost Year 10'!AX163</f>
        <v>0</v>
      </c>
      <c r="BG163" s="294">
        <f>'Incremental_Cost Year 1'!AY163+'Incremental_Cost Year 2'!AZ163+'Incremental_Cost Year 3'!AY163+'Incremental_Cost Year 4'!AY163+'Incremental_Cost Year 5'!AY163+'Incremental_Cost Year 6'!AY163+'Incremental_Cost Year 7'!AY163+'Incremental_Cost Year 8'!AY163+'Incremental_Cost Year 9'!AY163+'Incremental_Cost Year 10'!AY163</f>
        <v>0</v>
      </c>
      <c r="BH163" s="294">
        <f>'Incremental_Cost Year 1'!AZ163+'Incremental_Cost Year 2'!BA163+'Incremental_Cost Year 3'!AZ163+'Incremental_Cost Year 4'!AZ163+'Incremental_Cost Year 5'!AZ163+'Incremental_Cost Year 6'!AZ163+'Incremental_Cost Year 7'!AZ163+'Incremental_Cost Year 8'!AZ163+'Incremental_Cost Year 9'!AZ163+'Incremental_Cost Year 10'!AZ163</f>
        <v>0</v>
      </c>
      <c r="BI163" s="294">
        <f>'Incremental_Cost Year 1'!BA163+'Incremental_Cost Year 2'!BA163+'Incremental_Cost Year 3'!BA163+'Incremental_Cost Year 4'!BA163+'Incremental_Cost Year 5'!BA163+'Incremental_Cost Year 6'!BA163+'Incremental_Cost Year 7'!BA163+'Incremental_Cost Year 8'!BA163+'Incremental_Cost Year 9'!BA163+'Incremental_Cost Year 10'!BA163</f>
        <v>0</v>
      </c>
      <c r="BJ163" s="294">
        <f t="shared" si="149"/>
        <v>0</v>
      </c>
    </row>
    <row r="164" spans="1:62" ht="45" customHeight="1" outlineLevel="2">
      <c r="A164" s="98"/>
      <c r="B164" s="102"/>
      <c r="C164" s="23"/>
      <c r="D164" s="251"/>
      <c r="E164" s="251"/>
      <c r="F164" s="251"/>
      <c r="G164" s="250"/>
      <c r="H164" s="272"/>
      <c r="I164" s="258"/>
      <c r="J164" s="259"/>
      <c r="K164" s="259"/>
      <c r="L164" s="106" t="str">
        <f>IF(I164&lt;&gt;0,((VLOOKUP(I164,'1. Standard_Cost'!$B$4:$D$11,2)+VLOOKUP(I164,'1. Standard_Cost'!$B$4:$D$11,3))*J164*K164),"0")</f>
        <v>0</v>
      </c>
      <c r="M164" s="106">
        <f>L164*'1. Standard_Cost'!$F$4</f>
        <v>0</v>
      </c>
      <c r="N164" s="260"/>
      <c r="O164" s="260"/>
      <c r="P164" s="260"/>
      <c r="Q164" s="260"/>
      <c r="R164" s="108">
        <f>'1. Standard_Cost'!$B$15*N164*P164</f>
        <v>0</v>
      </c>
      <c r="S164" s="108">
        <f>N164*O164*P164*'1. Standard_Cost'!$C$15</f>
        <v>0</v>
      </c>
      <c r="T164" s="108">
        <f>N164*P164*Q164*'1. Standard_Cost'!$D$15</f>
        <v>0</v>
      </c>
      <c r="U164" s="108">
        <f>N164*O164*'1. Standard_Cost'!$E$15</f>
        <v>0</v>
      </c>
      <c r="V164" s="260"/>
      <c r="W164" s="260"/>
      <c r="X164" s="260"/>
      <c r="Y164" s="108">
        <f>+V164*((X164*'1. Standard_Cost'!$B$19)+(W164*X164*'1. Standard_Cost'!$C$19))</f>
        <v>0</v>
      </c>
      <c r="Z164" s="260"/>
      <c r="AA164" s="260"/>
      <c r="AB164" s="108">
        <f>+Z164*'1. Standard_Cost'!$B$23+AA164*'1. Standard_Cost'!$C$23</f>
        <v>0</v>
      </c>
      <c r="AC164" s="261"/>
      <c r="AD164" s="262"/>
      <c r="AE164" s="108">
        <f>SUM(AD164,AC164,AB164,Y164,U164,T164,S164,R164)*'1. Standard_Cost'!$B$31</f>
        <v>0</v>
      </c>
      <c r="AF164" s="108">
        <f t="shared" si="171"/>
        <v>0</v>
      </c>
      <c r="AG164" s="260"/>
      <c r="AH164" s="260"/>
      <c r="AI164" s="260"/>
      <c r="AJ164" s="263"/>
      <c r="AK164" s="263"/>
      <c r="AL164" s="263"/>
      <c r="AM164" s="108">
        <f>AG164*'1. Standard_Cost'!$B$27+'Incremental_Cost Year 10'!AH164*'1. Standard_Cost'!$C$27+'Incremental_Cost Year 10'!AI164*'1. Standard_Cost'!$D$27+'Incremental_Cost Year 10'!AJ164+'Incremental_Cost Year 10'!AL164+AK164</f>
        <v>0</v>
      </c>
      <c r="AN164" s="108">
        <f>AM164*'1. Standard_Cost'!$C$31</f>
        <v>0</v>
      </c>
      <c r="AO164" s="125" t="s">
        <v>384</v>
      </c>
      <c r="AQ164" s="14">
        <f t="shared" si="172"/>
        <v>0</v>
      </c>
      <c r="AR164" s="14">
        <f t="shared" si="173"/>
        <v>0</v>
      </c>
      <c r="AS164" s="14">
        <f t="shared" si="174"/>
        <v>0</v>
      </c>
      <c r="AT164" s="14">
        <f t="shared" si="176"/>
        <v>0</v>
      </c>
      <c r="AU164" s="234"/>
      <c r="AV164" s="234"/>
      <c r="AW164" s="234"/>
      <c r="AX164" s="234"/>
      <c r="AY164" s="234"/>
      <c r="AZ164" s="234"/>
      <c r="BA164" s="234"/>
      <c r="BB164" s="16">
        <f t="shared" si="175"/>
        <v>0</v>
      </c>
      <c r="BD164" s="294">
        <f>'Incremental_Cost Year 1'!AV164+'Incremental_Cost Year 2'!AV164+'Incremental_Cost Year 3'!AV164+'Incremental_Cost Year 4'!AV164+'Incremental_Cost Year 5'!AV164+'Incremental_Cost Year 6'!AV164+'Incremental_Cost Year 7'!AV164+'Incremental_Cost Year 8'!AV164+'Incremental_Cost Year 9'!AV164+'Incremental_Cost Year 10'!AV164</f>
        <v>0</v>
      </c>
      <c r="BE164" s="294">
        <f>'Incremental_Cost Year 1'!AW164+'Incremental_Cost Year 2'!AW164+'Incremental_Cost Year 3'!AW164+'Incremental_Cost Year 4'!AW164+'Incremental_Cost Year 5'!AW164+'Incremental_Cost Year 6'!AW164+'Incremental_Cost Year 7'!AW164+'Incremental_Cost Year 8'!AW164+'Incremental_Cost Year 9'!AW164+'Incremental_Cost Year 10'!AW164</f>
        <v>0</v>
      </c>
      <c r="BF164" s="294">
        <f>'Incremental_Cost Year 1'!AX164+'Incremental_Cost Year 2'!AX164+'Incremental_Cost Year 3'!AX164+'Incremental_Cost Year 4'!AX164+'Incremental_Cost Year 5'!AX164+'Incremental_Cost Year 6'!AX164+'Incremental_Cost Year 7'!AX164+'Incremental_Cost Year 8'!AX164+'Incremental_Cost Year 9'!AX164+'Incremental_Cost Year 10'!AX164</f>
        <v>0</v>
      </c>
      <c r="BG164" s="294">
        <f>'Incremental_Cost Year 1'!AY164+'Incremental_Cost Year 2'!AZ164+'Incremental_Cost Year 3'!AY164+'Incremental_Cost Year 4'!AY164+'Incremental_Cost Year 5'!AY164+'Incremental_Cost Year 6'!AY164+'Incremental_Cost Year 7'!AY164+'Incremental_Cost Year 8'!AY164+'Incremental_Cost Year 9'!AY164+'Incremental_Cost Year 10'!AY164</f>
        <v>0</v>
      </c>
      <c r="BH164" s="294">
        <f>'Incremental_Cost Year 1'!AZ164+'Incremental_Cost Year 2'!BA164+'Incremental_Cost Year 3'!AZ164+'Incremental_Cost Year 4'!AZ164+'Incremental_Cost Year 5'!AZ164+'Incremental_Cost Year 6'!AZ164+'Incremental_Cost Year 7'!AZ164+'Incremental_Cost Year 8'!AZ164+'Incremental_Cost Year 9'!AZ164+'Incremental_Cost Year 10'!AZ164</f>
        <v>0</v>
      </c>
      <c r="BI164" s="294">
        <f>'Incremental_Cost Year 1'!BA164+'Incremental_Cost Year 2'!BA164+'Incremental_Cost Year 3'!BA164+'Incremental_Cost Year 4'!BA164+'Incremental_Cost Year 5'!BA164+'Incremental_Cost Year 6'!BA164+'Incremental_Cost Year 7'!BA164+'Incremental_Cost Year 8'!BA164+'Incremental_Cost Year 9'!BA164+'Incremental_Cost Year 10'!BA164</f>
        <v>0</v>
      </c>
      <c r="BJ164" s="294">
        <f t="shared" si="149"/>
        <v>0</v>
      </c>
    </row>
    <row r="165" spans="1:62" ht="41.4" outlineLevel="2">
      <c r="A165" s="98"/>
      <c r="B165" s="102"/>
      <c r="C165" s="23"/>
      <c r="D165" s="251"/>
      <c r="E165" s="251"/>
      <c r="F165" s="251"/>
      <c r="G165" s="250"/>
      <c r="H165" s="272"/>
      <c r="I165" s="258"/>
      <c r="J165" s="259"/>
      <c r="K165" s="259"/>
      <c r="L165" s="106" t="str">
        <f>IF(I165&lt;&gt;0,((VLOOKUP(I165,'1. Standard_Cost'!$B$4:$D$11,2)+VLOOKUP(I165,'1. Standard_Cost'!$B$4:$D$11,3))*J165*K165),"0")</f>
        <v>0</v>
      </c>
      <c r="M165" s="106">
        <f>L165*'1. Standard_Cost'!$F$4</f>
        <v>0</v>
      </c>
      <c r="N165" s="260"/>
      <c r="O165" s="260"/>
      <c r="P165" s="260"/>
      <c r="Q165" s="260"/>
      <c r="R165" s="108">
        <f>'1. Standard_Cost'!$B$15*N165*P165</f>
        <v>0</v>
      </c>
      <c r="S165" s="108">
        <f>N165*O165*P165*'1. Standard_Cost'!$C$15</f>
        <v>0</v>
      </c>
      <c r="T165" s="108">
        <f>N165*P165*Q165*'1. Standard_Cost'!$D$15</f>
        <v>0</v>
      </c>
      <c r="U165" s="108">
        <f>N165*O165*'1. Standard_Cost'!$E$15</f>
        <v>0</v>
      </c>
      <c r="V165" s="260"/>
      <c r="W165" s="260"/>
      <c r="X165" s="260"/>
      <c r="Y165" s="108">
        <f>+V165*((X165*'1. Standard_Cost'!$B$19)+(W165*X165*'1. Standard_Cost'!$C$19))</f>
        <v>0</v>
      </c>
      <c r="Z165" s="260"/>
      <c r="AA165" s="260"/>
      <c r="AB165" s="108">
        <f>+Z165*'1. Standard_Cost'!$B$23+AA165*'1. Standard_Cost'!$C$23</f>
        <v>0</v>
      </c>
      <c r="AC165" s="261"/>
      <c r="AD165" s="262"/>
      <c r="AE165" s="108">
        <f>SUM(AD165,AC165,AB165,Y165,U165,T165,S165,R165)*'1. Standard_Cost'!$B$31</f>
        <v>0</v>
      </c>
      <c r="AF165" s="108">
        <f t="shared" si="171"/>
        <v>0</v>
      </c>
      <c r="AG165" s="260"/>
      <c r="AH165" s="260"/>
      <c r="AI165" s="260"/>
      <c r="AJ165" s="263"/>
      <c r="AK165" s="263"/>
      <c r="AL165" s="263"/>
      <c r="AM165" s="108">
        <f>AG165*'1. Standard_Cost'!$B$27+'Incremental_Cost Year 10'!AH165*'1. Standard_Cost'!$C$27+'Incremental_Cost Year 10'!AI165*'1. Standard_Cost'!$D$27+'Incremental_Cost Year 10'!AJ165+'Incremental_Cost Year 10'!AL165+AK165</f>
        <v>0</v>
      </c>
      <c r="AN165" s="108">
        <f>AM165*'1. Standard_Cost'!$C$31</f>
        <v>0</v>
      </c>
      <c r="AO165" s="125" t="s">
        <v>385</v>
      </c>
      <c r="AQ165" s="14">
        <f t="shared" si="172"/>
        <v>0</v>
      </c>
      <c r="AR165" s="14">
        <f t="shared" si="173"/>
        <v>0</v>
      </c>
      <c r="AS165" s="14">
        <f t="shared" si="174"/>
        <v>0</v>
      </c>
      <c r="AT165" s="14">
        <f t="shared" si="176"/>
        <v>0</v>
      </c>
      <c r="AU165" s="234"/>
      <c r="AV165" s="234"/>
      <c r="AW165" s="234"/>
      <c r="AX165" s="234"/>
      <c r="AY165" s="234"/>
      <c r="AZ165" s="234"/>
      <c r="BA165" s="234"/>
      <c r="BB165" s="16">
        <f t="shared" si="175"/>
        <v>0</v>
      </c>
      <c r="BD165" s="294">
        <f>'Incremental_Cost Year 1'!AV165+'Incremental_Cost Year 2'!AV165+'Incremental_Cost Year 3'!AV165+'Incremental_Cost Year 4'!AV165+'Incremental_Cost Year 5'!AV165+'Incremental_Cost Year 6'!AV165+'Incremental_Cost Year 7'!AV165+'Incremental_Cost Year 8'!AV165+'Incremental_Cost Year 9'!AV165+'Incremental_Cost Year 10'!AV165</f>
        <v>0</v>
      </c>
      <c r="BE165" s="294">
        <f>'Incremental_Cost Year 1'!AW165+'Incremental_Cost Year 2'!AW165+'Incremental_Cost Year 3'!AW165+'Incremental_Cost Year 4'!AW165+'Incremental_Cost Year 5'!AW165+'Incremental_Cost Year 6'!AW165+'Incremental_Cost Year 7'!AW165+'Incremental_Cost Year 8'!AW165+'Incremental_Cost Year 9'!AW165+'Incremental_Cost Year 10'!AW165</f>
        <v>0</v>
      </c>
      <c r="BF165" s="294">
        <f>'Incremental_Cost Year 1'!AX165+'Incremental_Cost Year 2'!AX165+'Incremental_Cost Year 3'!AX165+'Incremental_Cost Year 4'!AX165+'Incremental_Cost Year 5'!AX165+'Incremental_Cost Year 6'!AX165+'Incremental_Cost Year 7'!AX165+'Incremental_Cost Year 8'!AX165+'Incremental_Cost Year 9'!AX165+'Incremental_Cost Year 10'!AX165</f>
        <v>0</v>
      </c>
      <c r="BG165" s="294">
        <f>'Incremental_Cost Year 1'!AY165+'Incremental_Cost Year 2'!AZ165+'Incremental_Cost Year 3'!AY165+'Incremental_Cost Year 4'!AY165+'Incremental_Cost Year 5'!AY165+'Incremental_Cost Year 6'!AY165+'Incremental_Cost Year 7'!AY165+'Incremental_Cost Year 8'!AY165+'Incremental_Cost Year 9'!AY165+'Incremental_Cost Year 10'!AY165</f>
        <v>0</v>
      </c>
      <c r="BH165" s="294">
        <f>'Incremental_Cost Year 1'!AZ165+'Incremental_Cost Year 2'!BA165+'Incremental_Cost Year 3'!AZ165+'Incremental_Cost Year 4'!AZ165+'Incremental_Cost Year 5'!AZ165+'Incremental_Cost Year 6'!AZ165+'Incremental_Cost Year 7'!AZ165+'Incremental_Cost Year 8'!AZ165+'Incremental_Cost Year 9'!AZ165+'Incremental_Cost Year 10'!AZ165</f>
        <v>0</v>
      </c>
      <c r="BI165" s="294">
        <f>'Incremental_Cost Year 1'!BA165+'Incremental_Cost Year 2'!BA165+'Incremental_Cost Year 3'!BA165+'Incremental_Cost Year 4'!BA165+'Incremental_Cost Year 5'!BA165+'Incremental_Cost Year 6'!BA165+'Incremental_Cost Year 7'!BA165+'Incremental_Cost Year 8'!BA165+'Incremental_Cost Year 9'!BA165+'Incremental_Cost Year 10'!BA165</f>
        <v>0</v>
      </c>
      <c r="BJ165" s="294">
        <f t="shared" si="149"/>
        <v>0</v>
      </c>
    </row>
    <row r="166" spans="1:62" ht="161.4" customHeight="1" outlineLevel="2">
      <c r="A166" s="98"/>
      <c r="B166" s="102"/>
      <c r="C166" s="23"/>
      <c r="D166" s="251"/>
      <c r="E166" s="251"/>
      <c r="F166" s="161"/>
      <c r="G166" s="161"/>
      <c r="H166" s="166"/>
      <c r="I166" s="258"/>
      <c r="J166" s="259"/>
      <c r="K166" s="259"/>
      <c r="L166" s="106" t="str">
        <f>IF(I166&lt;&gt;0,((VLOOKUP(I166,'1. Standard_Cost'!$B$4:$D$11,2)+VLOOKUP(I166,'1. Standard_Cost'!$B$4:$D$11,3))*J166*K166),"0")</f>
        <v>0</v>
      </c>
      <c r="M166" s="106">
        <f>L166*'1. Standard_Cost'!$F$4</f>
        <v>0</v>
      </c>
      <c r="N166" s="260"/>
      <c r="O166" s="260"/>
      <c r="P166" s="260"/>
      <c r="Q166" s="260"/>
      <c r="R166" s="108">
        <f>'[1]1. Standard_Cost'!$B$15*N166*P166</f>
        <v>0</v>
      </c>
      <c r="S166" s="108">
        <f>N166*O166*P166*'[1]1. Standard_Cost'!$C$15</f>
        <v>0</v>
      </c>
      <c r="T166" s="108">
        <f>N166*P166*Q166*'[1]1. Standard_Cost'!$D$15</f>
        <v>0</v>
      </c>
      <c r="U166" s="108">
        <f>N166*O166*'[1]1. Standard_Cost'!$E$15</f>
        <v>0</v>
      </c>
      <c r="V166" s="260"/>
      <c r="W166" s="260"/>
      <c r="X166" s="260"/>
      <c r="Y166" s="108">
        <f>+V166*((X166*'[1]1. Standard_Cost'!$B$19)+(W166*X166*'[1]1. Standard_Cost'!$C$19))</f>
        <v>0</v>
      </c>
      <c r="Z166" s="260"/>
      <c r="AA166" s="260"/>
      <c r="AB166" s="108">
        <f>+Z166*'[1]1. Standard_Cost'!$B$23+AA166*'[1]1. Standard_Cost'!$C$23</f>
        <v>0</v>
      </c>
      <c r="AC166" s="261"/>
      <c r="AD166" s="262"/>
      <c r="AE166" s="108">
        <f>SUM(AD166,AC166,AB166,Y166,U166,T166,S166,R166)*'[1]1. Standard_Cost'!$B$31</f>
        <v>0</v>
      </c>
      <c r="AF166" s="108">
        <f t="shared" si="171"/>
        <v>0</v>
      </c>
      <c r="AG166" s="260"/>
      <c r="AH166" s="260"/>
      <c r="AI166" s="260"/>
      <c r="AJ166" s="263"/>
      <c r="AK166" s="263"/>
      <c r="AL166" s="263"/>
      <c r="AM166" s="108">
        <f>AG166*'[1]1. Standard_Cost'!$B$27+'[1]Incremental_Cost Year 10'!AH166*'[1]1. Standard_Cost'!$C$27+'[1]Incremental_Cost Year 10'!AI166*'[1]1. Standard_Cost'!$D$27+'[1]Incremental_Cost Year 10'!AJ166+'[1]Incremental_Cost Year 10'!AL166+AK166</f>
        <v>0</v>
      </c>
      <c r="AN166" s="108">
        <f>AM166*'[1]1. Standard_Cost'!$C$31</f>
        <v>0</v>
      </c>
      <c r="AO166" s="163" t="s">
        <v>509</v>
      </c>
      <c r="AQ166" s="14">
        <f t="shared" si="172"/>
        <v>0</v>
      </c>
      <c r="AR166" s="14">
        <f t="shared" si="173"/>
        <v>0</v>
      </c>
      <c r="AS166" s="14">
        <f t="shared" si="174"/>
        <v>0</v>
      </c>
      <c r="AT166" s="14">
        <f t="shared" si="176"/>
        <v>0</v>
      </c>
      <c r="AU166" s="234"/>
      <c r="AV166" s="234"/>
      <c r="AW166" s="234"/>
      <c r="AX166" s="234"/>
      <c r="AY166" s="234"/>
      <c r="AZ166" s="234"/>
      <c r="BA166" s="234"/>
      <c r="BB166" s="16">
        <f t="shared" si="175"/>
        <v>0</v>
      </c>
      <c r="BD166" s="294">
        <f>'Incremental_Cost Year 1'!AV166+'Incremental_Cost Year 2'!AV166+'Incremental_Cost Year 3'!AV166+'Incremental_Cost Year 4'!AV166+'Incremental_Cost Year 5'!AV166+'Incremental_Cost Year 6'!AV166+'Incremental_Cost Year 7'!AV166+'Incremental_Cost Year 8'!AV166+'Incremental_Cost Year 9'!AV166+'Incremental_Cost Year 10'!AV166</f>
        <v>0</v>
      </c>
      <c r="BE166" s="294">
        <f>'Incremental_Cost Year 1'!AW166+'Incremental_Cost Year 2'!AW166+'Incremental_Cost Year 3'!AW166+'Incremental_Cost Year 4'!AW166+'Incremental_Cost Year 5'!AW166+'Incremental_Cost Year 6'!AW166+'Incremental_Cost Year 7'!AW166+'Incremental_Cost Year 8'!AW166+'Incremental_Cost Year 9'!AW166+'Incremental_Cost Year 10'!AW166</f>
        <v>0</v>
      </c>
      <c r="BF166" s="294">
        <f>'Incremental_Cost Year 1'!AX166+'Incremental_Cost Year 2'!AX166+'Incremental_Cost Year 3'!AX166+'Incremental_Cost Year 4'!AX166+'Incremental_Cost Year 5'!AX166+'Incremental_Cost Year 6'!AX166+'Incremental_Cost Year 7'!AX166+'Incremental_Cost Year 8'!AX166+'Incremental_Cost Year 9'!AX166+'Incremental_Cost Year 10'!AX166</f>
        <v>0</v>
      </c>
      <c r="BG166" s="294">
        <f>'Incremental_Cost Year 1'!AY166+'Incremental_Cost Year 2'!AZ166+'Incremental_Cost Year 3'!AY166+'Incremental_Cost Year 4'!AY166+'Incremental_Cost Year 5'!AY166+'Incremental_Cost Year 6'!AY166+'Incremental_Cost Year 7'!AY166+'Incremental_Cost Year 8'!AY166+'Incremental_Cost Year 9'!AY166+'Incremental_Cost Year 10'!AY166</f>
        <v>36000000</v>
      </c>
      <c r="BH166" s="294">
        <f>'Incremental_Cost Year 1'!AZ166+'Incremental_Cost Year 2'!BA166+'Incremental_Cost Year 3'!AZ166+'Incremental_Cost Year 4'!AZ166+'Incremental_Cost Year 5'!AZ166+'Incremental_Cost Year 6'!AZ166+'Incremental_Cost Year 7'!AZ166+'Incremental_Cost Year 8'!AZ166+'Incremental_Cost Year 9'!AZ166+'Incremental_Cost Year 10'!AZ166</f>
        <v>4200000</v>
      </c>
      <c r="BI166" s="294">
        <f>'Incremental_Cost Year 1'!BA166+'Incremental_Cost Year 2'!BA166+'Incremental_Cost Year 3'!BA166+'Incremental_Cost Year 4'!BA166+'Incremental_Cost Year 5'!BA166+'Incremental_Cost Year 6'!BA166+'Incremental_Cost Year 7'!BA166+'Incremental_Cost Year 8'!BA166+'Incremental_Cost Year 9'!BA166+'Incremental_Cost Year 10'!BA166</f>
        <v>0</v>
      </c>
      <c r="BJ166" s="294">
        <f t="shared" si="149"/>
        <v>40200000</v>
      </c>
    </row>
    <row r="167" spans="1:62" ht="32.25" customHeight="1" outlineLevel="2">
      <c r="A167" s="98"/>
      <c r="B167" s="102"/>
      <c r="C167" s="23"/>
      <c r="D167" s="251"/>
      <c r="E167" s="251"/>
      <c r="F167" s="251"/>
      <c r="G167" s="250"/>
      <c r="H167" s="272"/>
      <c r="I167" s="258"/>
      <c r="J167" s="259"/>
      <c r="K167" s="259"/>
      <c r="L167" s="106" t="str">
        <f>IF(I167&lt;&gt;0,((VLOOKUP(I167,'1. Standard_Cost'!$B$4:$D$11,2)+VLOOKUP(I167,'1. Standard_Cost'!$B$4:$D$11,3))*J167*K167),"0")</f>
        <v>0</v>
      </c>
      <c r="M167" s="106">
        <f>L167*'1. Standard_Cost'!$F$4</f>
        <v>0</v>
      </c>
      <c r="N167" s="260"/>
      <c r="O167" s="260"/>
      <c r="P167" s="260"/>
      <c r="Q167" s="260"/>
      <c r="R167" s="108">
        <f>'1. Standard_Cost'!$B$15*N167*P167</f>
        <v>0</v>
      </c>
      <c r="S167" s="108">
        <f>N167*O167*P167*'1. Standard_Cost'!$C$15</f>
        <v>0</v>
      </c>
      <c r="T167" s="108">
        <f>N167*P167*Q167*'1. Standard_Cost'!$D$15</f>
        <v>0</v>
      </c>
      <c r="U167" s="108">
        <f>N167*O167*'1. Standard_Cost'!$E$15</f>
        <v>0</v>
      </c>
      <c r="V167" s="260"/>
      <c r="W167" s="260"/>
      <c r="X167" s="260"/>
      <c r="Y167" s="108">
        <f>+V167*((X167*'1. Standard_Cost'!$B$19)+(W167*X167*'1. Standard_Cost'!$C$19))</f>
        <v>0</v>
      </c>
      <c r="Z167" s="260"/>
      <c r="AA167" s="260"/>
      <c r="AB167" s="108">
        <f>+Z167*'1. Standard_Cost'!$B$23+AA167*'1. Standard_Cost'!$C$23</f>
        <v>0</v>
      </c>
      <c r="AC167" s="261"/>
      <c r="AD167" s="262"/>
      <c r="AE167" s="108">
        <f>SUM(AD167,AC167,AB167,Y167,U167,T167,S167,R167)*'1. Standard_Cost'!$B$31</f>
        <v>0</v>
      </c>
      <c r="AF167" s="108">
        <f t="shared" si="171"/>
        <v>0</v>
      </c>
      <c r="AG167" s="260"/>
      <c r="AH167" s="260"/>
      <c r="AI167" s="260"/>
      <c r="AJ167" s="263"/>
      <c r="AK167" s="263"/>
      <c r="AL167" s="263"/>
      <c r="AM167" s="108">
        <f>AG167*'1. Standard_Cost'!$B$27+'Incremental_Cost Year 10'!AH167*'1. Standard_Cost'!$C$27+'Incremental_Cost Year 10'!AI167*'1. Standard_Cost'!$D$27+'Incremental_Cost Year 10'!AJ167+'Incremental_Cost Year 10'!AL167+AK167</f>
        <v>0</v>
      </c>
      <c r="AN167" s="108">
        <f>AM167*'1. Standard_Cost'!$C$31</f>
        <v>0</v>
      </c>
      <c r="AO167" s="137" t="s">
        <v>386</v>
      </c>
      <c r="AQ167" s="14">
        <f t="shared" si="172"/>
        <v>0</v>
      </c>
      <c r="AR167" s="14">
        <f t="shared" si="173"/>
        <v>0</v>
      </c>
      <c r="AS167" s="14">
        <f t="shared" si="174"/>
        <v>0</v>
      </c>
      <c r="AT167" s="14">
        <f t="shared" si="176"/>
        <v>0</v>
      </c>
      <c r="AU167" s="234"/>
      <c r="AV167" s="234"/>
      <c r="AW167" s="234"/>
      <c r="AX167" s="234"/>
      <c r="AY167" s="234"/>
      <c r="AZ167" s="234"/>
      <c r="BA167" s="234"/>
      <c r="BB167" s="16">
        <f t="shared" si="175"/>
        <v>0</v>
      </c>
      <c r="BD167" s="294">
        <f>'Incremental_Cost Year 1'!AV167+'Incremental_Cost Year 2'!AV167+'Incremental_Cost Year 3'!AV167+'Incremental_Cost Year 4'!AV167+'Incremental_Cost Year 5'!AV167+'Incremental_Cost Year 6'!AV167+'Incremental_Cost Year 7'!AV167+'Incremental_Cost Year 8'!AV167+'Incremental_Cost Year 9'!AV167+'Incremental_Cost Year 10'!AV167</f>
        <v>0</v>
      </c>
      <c r="BE167" s="294">
        <f>'Incremental_Cost Year 1'!AW167+'Incremental_Cost Year 2'!AW167+'Incremental_Cost Year 3'!AW167+'Incremental_Cost Year 4'!AW167+'Incremental_Cost Year 5'!AW167+'Incremental_Cost Year 6'!AW167+'Incremental_Cost Year 7'!AW167+'Incremental_Cost Year 8'!AW167+'Incremental_Cost Year 9'!AW167+'Incremental_Cost Year 10'!AW167</f>
        <v>0</v>
      </c>
      <c r="BF167" s="294">
        <f>'Incremental_Cost Year 1'!AX167+'Incremental_Cost Year 2'!AX167+'Incremental_Cost Year 3'!AX167+'Incremental_Cost Year 4'!AX167+'Incremental_Cost Year 5'!AX167+'Incremental_Cost Year 6'!AX167+'Incremental_Cost Year 7'!AX167+'Incremental_Cost Year 8'!AX167+'Incremental_Cost Year 9'!AX167+'Incremental_Cost Year 10'!AX167</f>
        <v>0</v>
      </c>
      <c r="BG167" s="294">
        <f>'Incremental_Cost Year 1'!AY167+'Incremental_Cost Year 2'!AZ167+'Incremental_Cost Year 3'!AY167+'Incremental_Cost Year 4'!AY167+'Incremental_Cost Year 5'!AY167+'Incremental_Cost Year 6'!AY167+'Incremental_Cost Year 7'!AY167+'Incremental_Cost Year 8'!AY167+'Incremental_Cost Year 9'!AY167+'Incremental_Cost Year 10'!AY167</f>
        <v>0</v>
      </c>
      <c r="BH167" s="294">
        <f>'Incremental_Cost Year 1'!AZ167+'Incremental_Cost Year 2'!BA167+'Incremental_Cost Year 3'!AZ167+'Incremental_Cost Year 4'!AZ167+'Incremental_Cost Year 5'!AZ167+'Incremental_Cost Year 6'!AZ167+'Incremental_Cost Year 7'!AZ167+'Incremental_Cost Year 8'!AZ167+'Incremental_Cost Year 9'!AZ167+'Incremental_Cost Year 10'!AZ167</f>
        <v>0</v>
      </c>
      <c r="BI167" s="294">
        <f>'Incremental_Cost Year 1'!BA167+'Incremental_Cost Year 2'!BA167+'Incremental_Cost Year 3'!BA167+'Incremental_Cost Year 4'!BA167+'Incremental_Cost Year 5'!BA167+'Incremental_Cost Year 6'!BA167+'Incremental_Cost Year 7'!BA167+'Incremental_Cost Year 8'!BA167+'Incremental_Cost Year 9'!BA167+'Incremental_Cost Year 10'!BA167</f>
        <v>0</v>
      </c>
      <c r="BJ167" s="294">
        <f t="shared" si="149"/>
        <v>0</v>
      </c>
    </row>
    <row r="168" spans="1:62" ht="27.6" outlineLevel="1">
      <c r="A168" s="98"/>
      <c r="B168" s="102"/>
      <c r="C168" s="23"/>
      <c r="D168" s="56" t="s">
        <v>47</v>
      </c>
      <c r="E168" s="56" t="s">
        <v>234</v>
      </c>
      <c r="F168" s="253">
        <v>2021</v>
      </c>
      <c r="G168" s="254">
        <v>2026</v>
      </c>
      <c r="H168" s="279" t="s">
        <v>189</v>
      </c>
      <c r="I168" s="264"/>
      <c r="J168" s="264"/>
      <c r="K168" s="264"/>
      <c r="L168" s="113">
        <f>SUM(L144:L167)</f>
        <v>0</v>
      </c>
      <c r="M168" s="113">
        <f>SUM(M144:M167)</f>
        <v>0</v>
      </c>
      <c r="N168" s="264"/>
      <c r="O168" s="264"/>
      <c r="P168" s="264"/>
      <c r="Q168" s="264"/>
      <c r="R168" s="113">
        <f t="shared" ref="R168:U168" si="177">SUM(R144:R167)</f>
        <v>0</v>
      </c>
      <c r="S168" s="113">
        <f t="shared" si="177"/>
        <v>0</v>
      </c>
      <c r="T168" s="113">
        <f t="shared" si="177"/>
        <v>0</v>
      </c>
      <c r="U168" s="113">
        <f t="shared" si="177"/>
        <v>0</v>
      </c>
      <c r="V168" s="264"/>
      <c r="W168" s="264"/>
      <c r="X168" s="264"/>
      <c r="Y168" s="113">
        <f>SUM(Y144:Y167)</f>
        <v>0</v>
      </c>
      <c r="Z168" s="265"/>
      <c r="AA168" s="264"/>
      <c r="AB168" s="113">
        <f t="shared" ref="AB168:AF168" si="178">SUM(AB144:AB167)</f>
        <v>0</v>
      </c>
      <c r="AC168" s="265">
        <f t="shared" si="178"/>
        <v>0</v>
      </c>
      <c r="AD168" s="265">
        <f t="shared" si="178"/>
        <v>0</v>
      </c>
      <c r="AE168" s="113">
        <f t="shared" si="178"/>
        <v>0</v>
      </c>
      <c r="AF168" s="113">
        <f t="shared" si="178"/>
        <v>0</v>
      </c>
      <c r="AG168" s="264"/>
      <c r="AH168" s="264"/>
      <c r="AI168" s="264"/>
      <c r="AJ168" s="265">
        <f t="shared" ref="AJ168:AL168" si="179">SUM(AJ144:AJ167)</f>
        <v>0</v>
      </c>
      <c r="AK168" s="265">
        <f t="shared" si="179"/>
        <v>0</v>
      </c>
      <c r="AL168" s="265">
        <f t="shared" si="179"/>
        <v>0</v>
      </c>
      <c r="AM168" s="113">
        <f t="shared" ref="AM168:AN168" si="180">SUM(AM144:AM167)</f>
        <v>0</v>
      </c>
      <c r="AN168" s="113">
        <f t="shared" si="180"/>
        <v>0</v>
      </c>
      <c r="AO168" s="131"/>
      <c r="AP168" s="17"/>
      <c r="AQ168" s="113">
        <f t="shared" ref="AQ168:BB168" si="181">SUM(AQ144:AQ167)</f>
        <v>0</v>
      </c>
      <c r="AR168" s="113">
        <f t="shared" si="181"/>
        <v>0</v>
      </c>
      <c r="AS168" s="113">
        <f t="shared" si="181"/>
        <v>0</v>
      </c>
      <c r="AT168" s="113">
        <f t="shared" si="181"/>
        <v>0</v>
      </c>
      <c r="AU168" s="265">
        <f t="shared" si="181"/>
        <v>0</v>
      </c>
      <c r="AV168" s="265">
        <f t="shared" si="181"/>
        <v>0</v>
      </c>
      <c r="AW168" s="265">
        <f t="shared" si="181"/>
        <v>0</v>
      </c>
      <c r="AX168" s="265">
        <f t="shared" si="181"/>
        <v>0</v>
      </c>
      <c r="AY168" s="265">
        <f t="shared" si="181"/>
        <v>0</v>
      </c>
      <c r="AZ168" s="265">
        <f t="shared" si="181"/>
        <v>0</v>
      </c>
      <c r="BA168" s="265">
        <f t="shared" si="181"/>
        <v>0</v>
      </c>
      <c r="BB168" s="113">
        <f t="shared" si="181"/>
        <v>0</v>
      </c>
      <c r="BD168" s="294"/>
      <c r="BE168" s="294"/>
      <c r="BF168" s="294"/>
      <c r="BG168" s="294"/>
      <c r="BH168" s="294"/>
      <c r="BI168" s="294"/>
      <c r="BJ168" s="294"/>
    </row>
    <row r="169" spans="1:62" ht="15.6" outlineLevel="2">
      <c r="A169" s="98"/>
      <c r="B169" s="102"/>
      <c r="C169" s="23"/>
      <c r="D169" s="257"/>
      <c r="E169" s="123"/>
      <c r="F169" s="249"/>
      <c r="G169" s="283"/>
      <c r="H169" s="272"/>
      <c r="I169" s="258"/>
      <c r="J169" s="259"/>
      <c r="K169" s="259"/>
      <c r="L169" s="106" t="str">
        <f>IF(I169&lt;&gt;0,((VLOOKUP(I169,'1. Standard_Cost'!$B$4:$D$11,2)+VLOOKUP(I169,'1. Standard_Cost'!$B$4:$D$11,3))*J169*K169),"0")</f>
        <v>0</v>
      </c>
      <c r="M169" s="106">
        <f>L169*'1. Standard_Cost'!$F$4</f>
        <v>0</v>
      </c>
      <c r="N169" s="260"/>
      <c r="O169" s="260"/>
      <c r="P169" s="260"/>
      <c r="Q169" s="260"/>
      <c r="R169" s="108">
        <f>'1. Standard_Cost'!$B$15*N169*P169</f>
        <v>0</v>
      </c>
      <c r="S169" s="108">
        <f>N169*O169*P169*'1. Standard_Cost'!$C$15</f>
        <v>0</v>
      </c>
      <c r="T169" s="108">
        <f>N169*P169*Q169*'1. Standard_Cost'!$D$15</f>
        <v>0</v>
      </c>
      <c r="U169" s="108">
        <f>N169*O169*'1. Standard_Cost'!$E$15</f>
        <v>0</v>
      </c>
      <c r="V169" s="260"/>
      <c r="W169" s="260"/>
      <c r="X169" s="260"/>
      <c r="Y169" s="108">
        <f>+V169*((X169*'1. Standard_Cost'!$B$19)+(W169*X169*'1. Standard_Cost'!$C$19))</f>
        <v>0</v>
      </c>
      <c r="Z169" s="260"/>
      <c r="AA169" s="260"/>
      <c r="AB169" s="108">
        <f>+Z169*'1. Standard_Cost'!$B$23+AA169*'1. Standard_Cost'!$C$23</f>
        <v>0</v>
      </c>
      <c r="AC169" s="261"/>
      <c r="AD169" s="262"/>
      <c r="AE169" s="108">
        <f>SUM(AD169,AC169,AB169,Y169,U169,T169,S169,R169)*'1. Standard_Cost'!$B$31</f>
        <v>0</v>
      </c>
      <c r="AF169" s="108">
        <f t="shared" ref="AF169:AF177" si="182">SUM(AE169,AD169,AC169,AB169,Y169,U169,T169,S169,R169)</f>
        <v>0</v>
      </c>
      <c r="AG169" s="260"/>
      <c r="AH169" s="260"/>
      <c r="AI169" s="260"/>
      <c r="AJ169" s="263"/>
      <c r="AK169" s="263"/>
      <c r="AL169" s="263"/>
      <c r="AM169" s="108">
        <f>AG169*'1. Standard_Cost'!$B$27+'Incremental_Cost Year 10'!AH169*'1. Standard_Cost'!$C$27+'Incremental_Cost Year 10'!AI169*'1. Standard_Cost'!$D$27+'Incremental_Cost Year 10'!AJ169+'Incremental_Cost Year 10'!AL169+AK169</f>
        <v>0</v>
      </c>
      <c r="AN169" s="108">
        <f>AM169*'1. Standard_Cost'!$C$31</f>
        <v>0</v>
      </c>
      <c r="AO169" s="125" t="s">
        <v>387</v>
      </c>
      <c r="AQ169" s="14">
        <f t="shared" ref="AQ169:AQ177" si="183">L169+M169</f>
        <v>0</v>
      </c>
      <c r="AR169" s="14">
        <f t="shared" ref="AR169:AR177" si="184">AF169</f>
        <v>0</v>
      </c>
      <c r="AS169" s="14">
        <f t="shared" ref="AS169:AS177" si="185">AM169+AN169</f>
        <v>0</v>
      </c>
      <c r="AT169" s="14">
        <f>SUM(AQ169,AR169,AS169)</f>
        <v>0</v>
      </c>
      <c r="AU169" s="234"/>
      <c r="AV169" s="234"/>
      <c r="AW169" s="234"/>
      <c r="AX169" s="234"/>
      <c r="AY169" s="234"/>
      <c r="AZ169" s="234"/>
      <c r="BA169" s="234"/>
      <c r="BB169" s="16">
        <f t="shared" ref="BB169:BB177" si="186">SUM(AU169:BA169)-AT169</f>
        <v>0</v>
      </c>
      <c r="BD169" s="294">
        <f>'Incremental_Cost Year 1'!AV169+'Incremental_Cost Year 2'!AV169+'Incremental_Cost Year 3'!AV169+'Incremental_Cost Year 4'!AV169+'Incremental_Cost Year 5'!AV169+'Incremental_Cost Year 6'!AV169+'Incremental_Cost Year 7'!AV169+'Incremental_Cost Year 8'!AV169+'Incremental_Cost Year 9'!AV169+'Incremental_Cost Year 10'!AV169</f>
        <v>0</v>
      </c>
      <c r="BE169" s="294">
        <f>'Incremental_Cost Year 1'!AW169+'Incremental_Cost Year 2'!AW169+'Incremental_Cost Year 3'!AW169+'Incremental_Cost Year 4'!AW169+'Incremental_Cost Year 5'!AW169+'Incremental_Cost Year 6'!AW169+'Incremental_Cost Year 7'!AW169+'Incremental_Cost Year 8'!AW169+'Incremental_Cost Year 9'!AW169+'Incremental_Cost Year 10'!AW169</f>
        <v>0</v>
      </c>
      <c r="BF169" s="294">
        <f>'Incremental_Cost Year 1'!AX169+'Incremental_Cost Year 2'!AX169+'Incremental_Cost Year 3'!AX169+'Incremental_Cost Year 4'!AX169+'Incremental_Cost Year 5'!AX169+'Incremental_Cost Year 6'!AX169+'Incremental_Cost Year 7'!AX169+'Incremental_Cost Year 8'!AX169+'Incremental_Cost Year 9'!AX169+'Incremental_Cost Year 10'!AX169</f>
        <v>0</v>
      </c>
      <c r="BG169" s="294">
        <f>'Incremental_Cost Year 1'!AY169+'Incremental_Cost Year 2'!AZ169+'Incremental_Cost Year 3'!AY169+'Incremental_Cost Year 4'!AY169+'Incremental_Cost Year 5'!AY169+'Incremental_Cost Year 6'!AY169+'Incremental_Cost Year 7'!AY169+'Incremental_Cost Year 8'!AY169+'Incremental_Cost Year 9'!AY169+'Incremental_Cost Year 10'!AY169</f>
        <v>0</v>
      </c>
      <c r="BH169" s="294">
        <f>'Incremental_Cost Year 1'!AZ169+'Incremental_Cost Year 2'!BA169+'Incremental_Cost Year 3'!AZ169+'Incremental_Cost Year 4'!AZ169+'Incremental_Cost Year 5'!AZ169+'Incremental_Cost Year 6'!AZ169+'Incremental_Cost Year 7'!AZ169+'Incremental_Cost Year 8'!AZ169+'Incremental_Cost Year 9'!AZ169+'Incremental_Cost Year 10'!AZ169</f>
        <v>0</v>
      </c>
      <c r="BI169" s="294">
        <f>'Incremental_Cost Year 1'!BA169+'Incremental_Cost Year 2'!BA169+'Incremental_Cost Year 3'!BA169+'Incremental_Cost Year 4'!BA169+'Incremental_Cost Year 5'!BA169+'Incremental_Cost Year 6'!BA169+'Incremental_Cost Year 7'!BA169+'Incremental_Cost Year 8'!BA169+'Incremental_Cost Year 9'!BA169+'Incremental_Cost Year 10'!BA169</f>
        <v>0</v>
      </c>
      <c r="BJ169" s="294">
        <f t="shared" si="149"/>
        <v>0</v>
      </c>
    </row>
    <row r="170" spans="1:62" ht="15.6" outlineLevel="2">
      <c r="A170" s="98"/>
      <c r="B170" s="102"/>
      <c r="C170" s="23"/>
      <c r="D170" s="269"/>
      <c r="E170" s="271"/>
      <c r="F170" s="250"/>
      <c r="G170" s="255"/>
      <c r="H170" s="272"/>
      <c r="I170" s="258"/>
      <c r="J170" s="259"/>
      <c r="K170" s="259"/>
      <c r="L170" s="106" t="str">
        <f>IF(I170&lt;&gt;0,((VLOOKUP(I170,'1. Standard_Cost'!$B$4:$D$11,2)+VLOOKUP(I170,'1. Standard_Cost'!$B$4:$D$11,3))*J170*K170),"0")</f>
        <v>0</v>
      </c>
      <c r="M170" s="106">
        <f>L170*'1. Standard_Cost'!$F$4</f>
        <v>0</v>
      </c>
      <c r="N170" s="260"/>
      <c r="O170" s="260"/>
      <c r="P170" s="260"/>
      <c r="Q170" s="260"/>
      <c r="R170" s="108">
        <f>'1. Standard_Cost'!$B$15*N170*P170</f>
        <v>0</v>
      </c>
      <c r="S170" s="108">
        <f>N170*O170*P170*'1. Standard_Cost'!$C$15</f>
        <v>0</v>
      </c>
      <c r="T170" s="108">
        <f>N170*P170*Q170*'1. Standard_Cost'!$D$15</f>
        <v>0</v>
      </c>
      <c r="U170" s="108">
        <f>N170*O170*'1. Standard_Cost'!$E$15</f>
        <v>0</v>
      </c>
      <c r="V170" s="260"/>
      <c r="W170" s="260"/>
      <c r="X170" s="260"/>
      <c r="Y170" s="108">
        <f>+V170*((X170*'1. Standard_Cost'!$B$19)+(W170*X170*'1. Standard_Cost'!$C$19))</f>
        <v>0</v>
      </c>
      <c r="Z170" s="260"/>
      <c r="AA170" s="260"/>
      <c r="AB170" s="108">
        <f>+Z170*'1. Standard_Cost'!$B$23+AA170*'1. Standard_Cost'!$C$23</f>
        <v>0</v>
      </c>
      <c r="AC170" s="261"/>
      <c r="AD170" s="262"/>
      <c r="AE170" s="108">
        <f>SUM(AD170,AC170,AB170,Y170,U170,T170,S170,R170)*'1. Standard_Cost'!$B$31</f>
        <v>0</v>
      </c>
      <c r="AF170" s="108">
        <f t="shared" si="182"/>
        <v>0</v>
      </c>
      <c r="AG170" s="260"/>
      <c r="AH170" s="260"/>
      <c r="AI170" s="260"/>
      <c r="AJ170" s="263"/>
      <c r="AK170" s="263"/>
      <c r="AL170" s="263"/>
      <c r="AM170" s="108">
        <f>AG170*'1. Standard_Cost'!$B$27+'Incremental_Cost Year 10'!AH170*'1. Standard_Cost'!$C$27+'Incremental_Cost Year 10'!AI170*'1. Standard_Cost'!$D$27+'Incremental_Cost Year 10'!AJ170+'Incremental_Cost Year 10'!AL170+AK170</f>
        <v>0</v>
      </c>
      <c r="AN170" s="108">
        <f>AM170*'1. Standard_Cost'!$C$31</f>
        <v>0</v>
      </c>
      <c r="AO170" s="125" t="s">
        <v>388</v>
      </c>
      <c r="AQ170" s="14">
        <f t="shared" si="183"/>
        <v>0</v>
      </c>
      <c r="AR170" s="14">
        <f t="shared" si="184"/>
        <v>0</v>
      </c>
      <c r="AS170" s="14">
        <f t="shared" si="185"/>
        <v>0</v>
      </c>
      <c r="AT170" s="14">
        <f t="shared" ref="AT170:AT177" si="187">SUM(AQ170,AR170,AS170)</f>
        <v>0</v>
      </c>
      <c r="AU170" s="234"/>
      <c r="AV170" s="234"/>
      <c r="AW170" s="234"/>
      <c r="AX170" s="234"/>
      <c r="AY170" s="234"/>
      <c r="AZ170" s="234"/>
      <c r="BA170" s="234"/>
      <c r="BB170" s="16">
        <f t="shared" si="186"/>
        <v>0</v>
      </c>
      <c r="BD170" s="294">
        <f>'Incremental_Cost Year 1'!AV170+'Incremental_Cost Year 2'!AV170+'Incremental_Cost Year 3'!AV170+'Incremental_Cost Year 4'!AV170+'Incremental_Cost Year 5'!AV170+'Incremental_Cost Year 6'!AV170+'Incremental_Cost Year 7'!AV170+'Incremental_Cost Year 8'!AV170+'Incremental_Cost Year 9'!AV170+'Incremental_Cost Year 10'!AV170</f>
        <v>0</v>
      </c>
      <c r="BE170" s="294">
        <f>'Incremental_Cost Year 1'!AW170+'Incremental_Cost Year 2'!AW170+'Incremental_Cost Year 3'!AW170+'Incremental_Cost Year 4'!AW170+'Incremental_Cost Year 5'!AW170+'Incremental_Cost Year 6'!AW170+'Incremental_Cost Year 7'!AW170+'Incremental_Cost Year 8'!AW170+'Incremental_Cost Year 9'!AW170+'Incremental_Cost Year 10'!AW170</f>
        <v>0</v>
      </c>
      <c r="BF170" s="294">
        <f>'Incremental_Cost Year 1'!AX170+'Incremental_Cost Year 2'!AX170+'Incremental_Cost Year 3'!AX170+'Incremental_Cost Year 4'!AX170+'Incremental_Cost Year 5'!AX170+'Incremental_Cost Year 6'!AX170+'Incremental_Cost Year 7'!AX170+'Incremental_Cost Year 8'!AX170+'Incremental_Cost Year 9'!AX170+'Incremental_Cost Year 10'!AX170</f>
        <v>0</v>
      </c>
      <c r="BG170" s="294">
        <f>'Incremental_Cost Year 1'!AY170+'Incremental_Cost Year 2'!AZ170+'Incremental_Cost Year 3'!AY170+'Incremental_Cost Year 4'!AY170+'Incremental_Cost Year 5'!AY170+'Incremental_Cost Year 6'!AY170+'Incremental_Cost Year 7'!AY170+'Incremental_Cost Year 8'!AY170+'Incremental_Cost Year 9'!AY170+'Incremental_Cost Year 10'!AY170</f>
        <v>0</v>
      </c>
      <c r="BH170" s="294">
        <f>'Incremental_Cost Year 1'!AZ170+'Incremental_Cost Year 2'!BA170+'Incremental_Cost Year 3'!AZ170+'Incremental_Cost Year 4'!AZ170+'Incremental_Cost Year 5'!AZ170+'Incremental_Cost Year 6'!AZ170+'Incremental_Cost Year 7'!AZ170+'Incremental_Cost Year 8'!AZ170+'Incremental_Cost Year 9'!AZ170+'Incremental_Cost Year 10'!AZ170</f>
        <v>0</v>
      </c>
      <c r="BI170" s="294">
        <f>'Incremental_Cost Year 1'!BA170+'Incremental_Cost Year 2'!BA170+'Incremental_Cost Year 3'!BA170+'Incremental_Cost Year 4'!BA170+'Incremental_Cost Year 5'!BA170+'Incremental_Cost Year 6'!BA170+'Incremental_Cost Year 7'!BA170+'Incremental_Cost Year 8'!BA170+'Incremental_Cost Year 9'!BA170+'Incremental_Cost Year 10'!BA170</f>
        <v>0</v>
      </c>
      <c r="BJ170" s="294">
        <f t="shared" si="149"/>
        <v>0</v>
      </c>
    </row>
    <row r="171" spans="1:62" ht="27.6" outlineLevel="2">
      <c r="A171" s="98"/>
      <c r="B171" s="102"/>
      <c r="C171" s="23"/>
      <c r="D171" s="269"/>
      <c r="E171" s="271"/>
      <c r="F171" s="250"/>
      <c r="G171" s="255"/>
      <c r="H171" s="272"/>
      <c r="I171" s="258"/>
      <c r="J171" s="259"/>
      <c r="K171" s="259"/>
      <c r="L171" s="106" t="str">
        <f>IF(I171&lt;&gt;0,((VLOOKUP(I171,'1. Standard_Cost'!$B$4:$D$11,2)+VLOOKUP(I171,'1. Standard_Cost'!$B$4:$D$11,3))*J171*K171),"0")</f>
        <v>0</v>
      </c>
      <c r="M171" s="106">
        <f>L171*'1. Standard_Cost'!$F$4</f>
        <v>0</v>
      </c>
      <c r="N171" s="260"/>
      <c r="O171" s="260"/>
      <c r="P171" s="260"/>
      <c r="Q171" s="260"/>
      <c r="R171" s="108">
        <f>'1. Standard_Cost'!$B$15*N171*P171</f>
        <v>0</v>
      </c>
      <c r="S171" s="108">
        <f>N171*O171*P171*'1. Standard_Cost'!$C$15</f>
        <v>0</v>
      </c>
      <c r="T171" s="108">
        <f>N171*P171*Q171*'1. Standard_Cost'!$D$15</f>
        <v>0</v>
      </c>
      <c r="U171" s="108">
        <f>N171*O171*'1. Standard_Cost'!$E$15</f>
        <v>0</v>
      </c>
      <c r="V171" s="260"/>
      <c r="W171" s="260"/>
      <c r="X171" s="260"/>
      <c r="Y171" s="108">
        <f>+V171*((X171*'1. Standard_Cost'!$B$19)+(W171*X171*'1. Standard_Cost'!$C$19))</f>
        <v>0</v>
      </c>
      <c r="Z171" s="260"/>
      <c r="AA171" s="260"/>
      <c r="AB171" s="108">
        <f>+Z171*'1. Standard_Cost'!$B$23+AA171*'1. Standard_Cost'!$C$23</f>
        <v>0</v>
      </c>
      <c r="AC171" s="261"/>
      <c r="AD171" s="262"/>
      <c r="AE171" s="108">
        <f>SUM(AD171,AC171,AB171,Y171,U171,T171,S171,R171)*'1. Standard_Cost'!$B$31</f>
        <v>0</v>
      </c>
      <c r="AF171" s="108">
        <f t="shared" si="182"/>
        <v>0</v>
      </c>
      <c r="AG171" s="260"/>
      <c r="AH171" s="260"/>
      <c r="AI171" s="260"/>
      <c r="AJ171" s="263"/>
      <c r="AK171" s="263"/>
      <c r="AL171" s="263"/>
      <c r="AM171" s="108">
        <f>AG171*'1. Standard_Cost'!$B$27+'Incremental_Cost Year 10'!AH171*'1. Standard_Cost'!$C$27+'Incremental_Cost Year 10'!AI171*'1. Standard_Cost'!$D$27+'Incremental_Cost Year 10'!AJ171+'Incremental_Cost Year 10'!AL171+AK171</f>
        <v>0</v>
      </c>
      <c r="AN171" s="108">
        <f>AM171*'1. Standard_Cost'!$C$31</f>
        <v>0</v>
      </c>
      <c r="AO171" s="125" t="s">
        <v>389</v>
      </c>
      <c r="AQ171" s="14">
        <f t="shared" si="183"/>
        <v>0</v>
      </c>
      <c r="AR171" s="14">
        <f t="shared" si="184"/>
        <v>0</v>
      </c>
      <c r="AS171" s="14">
        <f t="shared" si="185"/>
        <v>0</v>
      </c>
      <c r="AT171" s="14">
        <f t="shared" si="187"/>
        <v>0</v>
      </c>
      <c r="AU171" s="234"/>
      <c r="AV171" s="234"/>
      <c r="AW171" s="234"/>
      <c r="AX171" s="234"/>
      <c r="AY171" s="234"/>
      <c r="AZ171" s="234"/>
      <c r="BA171" s="234"/>
      <c r="BB171" s="16">
        <f t="shared" si="186"/>
        <v>0</v>
      </c>
      <c r="BD171" s="294">
        <f>'Incremental_Cost Year 1'!AV171+'Incremental_Cost Year 2'!AV171+'Incremental_Cost Year 3'!AV171+'Incremental_Cost Year 4'!AV171+'Incremental_Cost Year 5'!AV171+'Incremental_Cost Year 6'!AV171+'Incremental_Cost Year 7'!AV171+'Incremental_Cost Year 8'!AV171+'Incremental_Cost Year 9'!AV171+'Incremental_Cost Year 10'!AV171</f>
        <v>0</v>
      </c>
      <c r="BE171" s="294">
        <f>'Incremental_Cost Year 1'!AW171+'Incremental_Cost Year 2'!AW171+'Incremental_Cost Year 3'!AW171+'Incremental_Cost Year 4'!AW171+'Incremental_Cost Year 5'!AW171+'Incremental_Cost Year 6'!AW171+'Incremental_Cost Year 7'!AW171+'Incremental_Cost Year 8'!AW171+'Incremental_Cost Year 9'!AW171+'Incremental_Cost Year 10'!AW171</f>
        <v>0</v>
      </c>
      <c r="BF171" s="294">
        <f>'Incremental_Cost Year 1'!AX171+'Incremental_Cost Year 2'!AX171+'Incremental_Cost Year 3'!AX171+'Incremental_Cost Year 4'!AX171+'Incremental_Cost Year 5'!AX171+'Incremental_Cost Year 6'!AX171+'Incremental_Cost Year 7'!AX171+'Incremental_Cost Year 8'!AX171+'Incremental_Cost Year 9'!AX171+'Incremental_Cost Year 10'!AX171</f>
        <v>0</v>
      </c>
      <c r="BG171" s="294">
        <f>'Incremental_Cost Year 1'!AY171+'Incremental_Cost Year 2'!AZ171+'Incremental_Cost Year 3'!AY171+'Incremental_Cost Year 4'!AY171+'Incremental_Cost Year 5'!AY171+'Incremental_Cost Year 6'!AY171+'Incremental_Cost Year 7'!AY171+'Incremental_Cost Year 8'!AY171+'Incremental_Cost Year 9'!AY171+'Incremental_Cost Year 10'!AY171</f>
        <v>0</v>
      </c>
      <c r="BH171" s="294">
        <f>'Incremental_Cost Year 1'!AZ171+'Incremental_Cost Year 2'!BA171+'Incremental_Cost Year 3'!AZ171+'Incremental_Cost Year 4'!AZ171+'Incremental_Cost Year 5'!AZ171+'Incremental_Cost Year 6'!AZ171+'Incremental_Cost Year 7'!AZ171+'Incremental_Cost Year 8'!AZ171+'Incremental_Cost Year 9'!AZ171+'Incremental_Cost Year 10'!AZ171</f>
        <v>0</v>
      </c>
      <c r="BI171" s="294">
        <f>'Incremental_Cost Year 1'!BA171+'Incremental_Cost Year 2'!BA171+'Incremental_Cost Year 3'!BA171+'Incremental_Cost Year 4'!BA171+'Incremental_Cost Year 5'!BA171+'Incremental_Cost Year 6'!BA171+'Incremental_Cost Year 7'!BA171+'Incremental_Cost Year 8'!BA171+'Incremental_Cost Year 9'!BA171+'Incremental_Cost Year 10'!BA171</f>
        <v>0</v>
      </c>
      <c r="BJ171" s="294">
        <f t="shared" si="149"/>
        <v>0</v>
      </c>
    </row>
    <row r="172" spans="1:62" ht="15.6" outlineLevel="2">
      <c r="A172" s="98"/>
      <c r="B172" s="102"/>
      <c r="C172" s="23"/>
      <c r="D172" s="269"/>
      <c r="E172" s="271"/>
      <c r="F172" s="250"/>
      <c r="G172" s="255"/>
      <c r="H172" s="272"/>
      <c r="I172" s="258"/>
      <c r="J172" s="259"/>
      <c r="K172" s="259"/>
      <c r="L172" s="106" t="str">
        <f>IF(I172&lt;&gt;0,((VLOOKUP(I172,'1. Standard_Cost'!$B$4:$D$11,2)+VLOOKUP(I172,'1. Standard_Cost'!$B$4:$D$11,3))*J172*K172),"0")</f>
        <v>0</v>
      </c>
      <c r="M172" s="106">
        <f>L172*'1. Standard_Cost'!$F$4</f>
        <v>0</v>
      </c>
      <c r="N172" s="260"/>
      <c r="O172" s="260"/>
      <c r="P172" s="260"/>
      <c r="Q172" s="260"/>
      <c r="R172" s="108">
        <f>'1. Standard_Cost'!$B$15*N172*P172</f>
        <v>0</v>
      </c>
      <c r="S172" s="108">
        <f>N172*O172*P172*'1. Standard_Cost'!$C$15</f>
        <v>0</v>
      </c>
      <c r="T172" s="108">
        <f>N172*P172*Q172*'1. Standard_Cost'!$D$15</f>
        <v>0</v>
      </c>
      <c r="U172" s="108">
        <f>N172*O172*'1. Standard_Cost'!$E$15</f>
        <v>0</v>
      </c>
      <c r="V172" s="260"/>
      <c r="W172" s="260"/>
      <c r="X172" s="260"/>
      <c r="Y172" s="108">
        <f>+V172*((X172*'1. Standard_Cost'!$B$19)+(W172*X172*'1. Standard_Cost'!$C$19))</f>
        <v>0</v>
      </c>
      <c r="Z172" s="260"/>
      <c r="AA172" s="260"/>
      <c r="AB172" s="108">
        <f>+Z172*'1. Standard_Cost'!$B$23+AA172*'1. Standard_Cost'!$C$23</f>
        <v>0</v>
      </c>
      <c r="AC172" s="261"/>
      <c r="AD172" s="262"/>
      <c r="AE172" s="108">
        <f>SUM(AD172,AC172,AB172,Y172,U172,T172,S172,R172)*'1. Standard_Cost'!$B$31</f>
        <v>0</v>
      </c>
      <c r="AF172" s="108">
        <f t="shared" si="182"/>
        <v>0</v>
      </c>
      <c r="AG172" s="260"/>
      <c r="AH172" s="260"/>
      <c r="AI172" s="260"/>
      <c r="AJ172" s="263"/>
      <c r="AK172" s="263"/>
      <c r="AL172" s="263"/>
      <c r="AM172" s="108">
        <f>AG172*'1. Standard_Cost'!$B$27+'Incremental_Cost Year 10'!AH172*'1. Standard_Cost'!$C$27+'Incremental_Cost Year 10'!AI172*'1. Standard_Cost'!$D$27+'Incremental_Cost Year 10'!AJ172+'Incremental_Cost Year 10'!AL172+AK172</f>
        <v>0</v>
      </c>
      <c r="AN172" s="108">
        <f>AM172*'1. Standard_Cost'!$C$31</f>
        <v>0</v>
      </c>
      <c r="AO172" s="125" t="s">
        <v>390</v>
      </c>
      <c r="AQ172" s="14">
        <f t="shared" si="183"/>
        <v>0</v>
      </c>
      <c r="AR172" s="14">
        <f t="shared" si="184"/>
        <v>0</v>
      </c>
      <c r="AS172" s="14">
        <f t="shared" si="185"/>
        <v>0</v>
      </c>
      <c r="AT172" s="14">
        <f t="shared" si="187"/>
        <v>0</v>
      </c>
      <c r="AU172" s="234"/>
      <c r="AV172" s="234"/>
      <c r="AW172" s="234"/>
      <c r="AX172" s="234"/>
      <c r="AY172" s="234"/>
      <c r="AZ172" s="234"/>
      <c r="BA172" s="234"/>
      <c r="BB172" s="16">
        <f t="shared" si="186"/>
        <v>0</v>
      </c>
      <c r="BD172" s="294">
        <f>'Incremental_Cost Year 1'!AV172+'Incremental_Cost Year 2'!AV172+'Incremental_Cost Year 3'!AV172+'Incremental_Cost Year 4'!AV172+'Incremental_Cost Year 5'!AV172+'Incremental_Cost Year 6'!AV172+'Incremental_Cost Year 7'!AV172+'Incremental_Cost Year 8'!AV172+'Incremental_Cost Year 9'!AV172+'Incremental_Cost Year 10'!AV172</f>
        <v>0</v>
      </c>
      <c r="BE172" s="294">
        <f>'Incremental_Cost Year 1'!AW172+'Incremental_Cost Year 2'!AW172+'Incremental_Cost Year 3'!AW172+'Incremental_Cost Year 4'!AW172+'Incremental_Cost Year 5'!AW172+'Incremental_Cost Year 6'!AW172+'Incremental_Cost Year 7'!AW172+'Incremental_Cost Year 8'!AW172+'Incremental_Cost Year 9'!AW172+'Incremental_Cost Year 10'!AW172</f>
        <v>0</v>
      </c>
      <c r="BF172" s="294">
        <f>'Incremental_Cost Year 1'!AX172+'Incremental_Cost Year 2'!AX172+'Incremental_Cost Year 3'!AX172+'Incremental_Cost Year 4'!AX172+'Incremental_Cost Year 5'!AX172+'Incremental_Cost Year 6'!AX172+'Incremental_Cost Year 7'!AX172+'Incremental_Cost Year 8'!AX172+'Incremental_Cost Year 9'!AX172+'Incremental_Cost Year 10'!AX172</f>
        <v>0</v>
      </c>
      <c r="BG172" s="294">
        <f>'Incremental_Cost Year 1'!AY172+'Incremental_Cost Year 2'!AZ172+'Incremental_Cost Year 3'!AY172+'Incremental_Cost Year 4'!AY172+'Incremental_Cost Year 5'!AY172+'Incremental_Cost Year 6'!AY172+'Incremental_Cost Year 7'!AY172+'Incremental_Cost Year 8'!AY172+'Incremental_Cost Year 9'!AY172+'Incremental_Cost Year 10'!AY172</f>
        <v>0</v>
      </c>
      <c r="BH172" s="294">
        <f>'Incremental_Cost Year 1'!AZ172+'Incremental_Cost Year 2'!BA172+'Incremental_Cost Year 3'!AZ172+'Incremental_Cost Year 4'!AZ172+'Incremental_Cost Year 5'!AZ172+'Incremental_Cost Year 6'!AZ172+'Incremental_Cost Year 7'!AZ172+'Incremental_Cost Year 8'!AZ172+'Incremental_Cost Year 9'!AZ172+'Incremental_Cost Year 10'!AZ172</f>
        <v>0</v>
      </c>
      <c r="BI172" s="294">
        <f>'Incremental_Cost Year 1'!BA172+'Incremental_Cost Year 2'!BA172+'Incremental_Cost Year 3'!BA172+'Incremental_Cost Year 4'!BA172+'Incremental_Cost Year 5'!BA172+'Incremental_Cost Year 6'!BA172+'Incremental_Cost Year 7'!BA172+'Incremental_Cost Year 8'!BA172+'Incremental_Cost Year 9'!BA172+'Incremental_Cost Year 10'!BA172</f>
        <v>0</v>
      </c>
      <c r="BJ172" s="294">
        <f t="shared" si="149"/>
        <v>0</v>
      </c>
    </row>
    <row r="173" spans="1:62" ht="15.6" outlineLevel="2">
      <c r="A173" s="98"/>
      <c r="B173" s="102"/>
      <c r="C173" s="23"/>
      <c r="D173" s="269"/>
      <c r="E173" s="271"/>
      <c r="F173" s="250"/>
      <c r="G173" s="255"/>
      <c r="H173" s="272"/>
      <c r="I173" s="258"/>
      <c r="J173" s="259"/>
      <c r="K173" s="259"/>
      <c r="L173" s="106" t="str">
        <f>IF(I173&lt;&gt;0,((VLOOKUP(I173,'1. Standard_Cost'!$B$4:$D$11,2)+VLOOKUP(I173,'1. Standard_Cost'!$B$4:$D$11,3))*J173*K173),"0")</f>
        <v>0</v>
      </c>
      <c r="M173" s="106">
        <f>L173*'1. Standard_Cost'!$F$4</f>
        <v>0</v>
      </c>
      <c r="N173" s="260"/>
      <c r="O173" s="260"/>
      <c r="P173" s="260"/>
      <c r="Q173" s="260"/>
      <c r="R173" s="108">
        <f>'1. Standard_Cost'!$B$15*N173*P173</f>
        <v>0</v>
      </c>
      <c r="S173" s="108">
        <f>N173*O173*P173*'1. Standard_Cost'!$C$15</f>
        <v>0</v>
      </c>
      <c r="T173" s="108">
        <f>N173*P173*Q173*'1. Standard_Cost'!$D$15</f>
        <v>0</v>
      </c>
      <c r="U173" s="108">
        <f>N173*O173*'1. Standard_Cost'!$E$15</f>
        <v>0</v>
      </c>
      <c r="V173" s="260"/>
      <c r="W173" s="260"/>
      <c r="X173" s="260"/>
      <c r="Y173" s="108">
        <f>+V173*((X173*'1. Standard_Cost'!$B$19)+(W173*X173*'1. Standard_Cost'!$C$19))</f>
        <v>0</v>
      </c>
      <c r="Z173" s="260"/>
      <c r="AA173" s="260"/>
      <c r="AB173" s="108">
        <f>+Z173*'1. Standard_Cost'!$B$23+AA173*'1. Standard_Cost'!$C$23</f>
        <v>0</v>
      </c>
      <c r="AC173" s="261"/>
      <c r="AD173" s="262"/>
      <c r="AE173" s="108">
        <f>SUM(AD173,AC173,AB173,Y173,U173,T173,S173,R173)*'1. Standard_Cost'!$B$31</f>
        <v>0</v>
      </c>
      <c r="AF173" s="108">
        <f t="shared" si="182"/>
        <v>0</v>
      </c>
      <c r="AG173" s="260"/>
      <c r="AH173" s="260"/>
      <c r="AI173" s="260"/>
      <c r="AJ173" s="263"/>
      <c r="AK173" s="263"/>
      <c r="AL173" s="263"/>
      <c r="AM173" s="108">
        <f>AG173*'1. Standard_Cost'!$B$27+'Incremental_Cost Year 10'!AH173*'1. Standard_Cost'!$C$27+'Incremental_Cost Year 10'!AI173*'1. Standard_Cost'!$D$27+'Incremental_Cost Year 10'!AJ173+'Incremental_Cost Year 10'!AL173+AK173</f>
        <v>0</v>
      </c>
      <c r="AN173" s="108">
        <f>AM173*'1. Standard_Cost'!$C$31</f>
        <v>0</v>
      </c>
      <c r="AO173" s="125" t="s">
        <v>391</v>
      </c>
      <c r="AQ173" s="14">
        <f t="shared" si="183"/>
        <v>0</v>
      </c>
      <c r="AR173" s="14">
        <f t="shared" si="184"/>
        <v>0</v>
      </c>
      <c r="AS173" s="14">
        <f t="shared" si="185"/>
        <v>0</v>
      </c>
      <c r="AT173" s="14">
        <f t="shared" si="187"/>
        <v>0</v>
      </c>
      <c r="AU173" s="234"/>
      <c r="AV173" s="234"/>
      <c r="AW173" s="234"/>
      <c r="AX173" s="234"/>
      <c r="AY173" s="234"/>
      <c r="AZ173" s="234"/>
      <c r="BA173" s="234"/>
      <c r="BB173" s="16">
        <f t="shared" si="186"/>
        <v>0</v>
      </c>
      <c r="BD173" s="294">
        <f>'Incremental_Cost Year 1'!AV173+'Incremental_Cost Year 2'!AV173+'Incremental_Cost Year 3'!AV173+'Incremental_Cost Year 4'!AV173+'Incremental_Cost Year 5'!AV173+'Incremental_Cost Year 6'!AV173+'Incremental_Cost Year 7'!AV173+'Incremental_Cost Year 8'!AV173+'Incremental_Cost Year 9'!AV173+'Incremental_Cost Year 10'!AV173</f>
        <v>0</v>
      </c>
      <c r="BE173" s="294">
        <f>'Incremental_Cost Year 1'!AW173+'Incremental_Cost Year 2'!AW173+'Incremental_Cost Year 3'!AW173+'Incremental_Cost Year 4'!AW173+'Incremental_Cost Year 5'!AW173+'Incremental_Cost Year 6'!AW173+'Incremental_Cost Year 7'!AW173+'Incremental_Cost Year 8'!AW173+'Incremental_Cost Year 9'!AW173+'Incremental_Cost Year 10'!AW173</f>
        <v>0</v>
      </c>
      <c r="BF173" s="294">
        <f>'Incremental_Cost Year 1'!AX173+'Incremental_Cost Year 2'!AX173+'Incremental_Cost Year 3'!AX173+'Incremental_Cost Year 4'!AX173+'Incremental_Cost Year 5'!AX173+'Incremental_Cost Year 6'!AX173+'Incremental_Cost Year 7'!AX173+'Incremental_Cost Year 8'!AX173+'Incremental_Cost Year 9'!AX173+'Incremental_Cost Year 10'!AX173</f>
        <v>0</v>
      </c>
      <c r="BG173" s="294">
        <f>'Incremental_Cost Year 1'!AY173+'Incremental_Cost Year 2'!AZ173+'Incremental_Cost Year 3'!AY173+'Incremental_Cost Year 4'!AY173+'Incremental_Cost Year 5'!AY173+'Incremental_Cost Year 6'!AY173+'Incremental_Cost Year 7'!AY173+'Incremental_Cost Year 8'!AY173+'Incremental_Cost Year 9'!AY173+'Incremental_Cost Year 10'!AY173</f>
        <v>0</v>
      </c>
      <c r="BH173" s="294">
        <f>'Incremental_Cost Year 1'!AZ173+'Incremental_Cost Year 2'!BA173+'Incremental_Cost Year 3'!AZ173+'Incremental_Cost Year 4'!AZ173+'Incremental_Cost Year 5'!AZ173+'Incremental_Cost Year 6'!AZ173+'Incremental_Cost Year 7'!AZ173+'Incremental_Cost Year 8'!AZ173+'Incremental_Cost Year 9'!AZ173+'Incremental_Cost Year 10'!AZ173</f>
        <v>0</v>
      </c>
      <c r="BI173" s="294">
        <f>'Incremental_Cost Year 1'!BA173+'Incremental_Cost Year 2'!BA173+'Incremental_Cost Year 3'!BA173+'Incremental_Cost Year 4'!BA173+'Incremental_Cost Year 5'!BA173+'Incremental_Cost Year 6'!BA173+'Incremental_Cost Year 7'!BA173+'Incremental_Cost Year 8'!BA173+'Incremental_Cost Year 9'!BA173+'Incremental_Cost Year 10'!BA173</f>
        <v>0</v>
      </c>
      <c r="BJ173" s="294">
        <f t="shared" si="149"/>
        <v>0</v>
      </c>
    </row>
    <row r="174" spans="1:62" ht="15.6" outlineLevel="2">
      <c r="A174" s="98"/>
      <c r="B174" s="102"/>
      <c r="C174" s="23"/>
      <c r="D174" s="269"/>
      <c r="E174" s="271"/>
      <c r="F174" s="250"/>
      <c r="G174" s="255"/>
      <c r="H174" s="272"/>
      <c r="I174" s="258"/>
      <c r="J174" s="259"/>
      <c r="K174" s="259"/>
      <c r="L174" s="106" t="str">
        <f>IF(I174&lt;&gt;0,((VLOOKUP(I174,'1. Standard_Cost'!$B$4:$D$11,2)+VLOOKUP(I174,'1. Standard_Cost'!$B$4:$D$11,3))*J174*K174),"0")</f>
        <v>0</v>
      </c>
      <c r="M174" s="106">
        <f>L174*'1. Standard_Cost'!$F$4</f>
        <v>0</v>
      </c>
      <c r="N174" s="260"/>
      <c r="O174" s="260"/>
      <c r="P174" s="260"/>
      <c r="Q174" s="260"/>
      <c r="R174" s="108">
        <f>'1. Standard_Cost'!$B$15*N174*P174</f>
        <v>0</v>
      </c>
      <c r="S174" s="108">
        <f>N174*O174*P174*'1. Standard_Cost'!$C$15</f>
        <v>0</v>
      </c>
      <c r="T174" s="108">
        <f>N174*P174*Q174*'1. Standard_Cost'!$D$15</f>
        <v>0</v>
      </c>
      <c r="U174" s="108">
        <f>N174*O174*'1. Standard_Cost'!$E$15</f>
        <v>0</v>
      </c>
      <c r="V174" s="260"/>
      <c r="W174" s="260"/>
      <c r="X174" s="260"/>
      <c r="Y174" s="108">
        <f>+V174*((X174*'1. Standard_Cost'!$B$19)+(W174*X174*'1. Standard_Cost'!$C$19))</f>
        <v>0</v>
      </c>
      <c r="Z174" s="260"/>
      <c r="AA174" s="260"/>
      <c r="AB174" s="108">
        <f>+Z174*'1. Standard_Cost'!$B$23+AA174*'1. Standard_Cost'!$C$23</f>
        <v>0</v>
      </c>
      <c r="AC174" s="261"/>
      <c r="AD174" s="262"/>
      <c r="AE174" s="108">
        <f>SUM(AD174,AC174,AB174,Y174,U174,T174,S174,R174)*'1. Standard_Cost'!$B$31</f>
        <v>0</v>
      </c>
      <c r="AF174" s="108">
        <f t="shared" si="182"/>
        <v>0</v>
      </c>
      <c r="AG174" s="260"/>
      <c r="AH174" s="260"/>
      <c r="AI174" s="260"/>
      <c r="AJ174" s="263"/>
      <c r="AK174" s="263"/>
      <c r="AL174" s="263"/>
      <c r="AM174" s="108">
        <f>AG174*'1. Standard_Cost'!$B$27+'Incremental_Cost Year 10'!AH174*'1. Standard_Cost'!$C$27+'Incremental_Cost Year 10'!AI174*'1. Standard_Cost'!$D$27+'Incremental_Cost Year 10'!AJ174+'Incremental_Cost Year 10'!AL174+AK174</f>
        <v>0</v>
      </c>
      <c r="AN174" s="108">
        <f>AM174*'1. Standard_Cost'!$C$31</f>
        <v>0</v>
      </c>
      <c r="AO174" s="125" t="s">
        <v>392</v>
      </c>
      <c r="AQ174" s="14">
        <f t="shared" si="183"/>
        <v>0</v>
      </c>
      <c r="AR174" s="14">
        <f t="shared" si="184"/>
        <v>0</v>
      </c>
      <c r="AS174" s="14">
        <f t="shared" si="185"/>
        <v>0</v>
      </c>
      <c r="AT174" s="14">
        <f t="shared" si="187"/>
        <v>0</v>
      </c>
      <c r="AU174" s="234"/>
      <c r="AV174" s="234"/>
      <c r="AW174" s="234"/>
      <c r="AX174" s="234"/>
      <c r="AY174" s="234"/>
      <c r="AZ174" s="234"/>
      <c r="BA174" s="234"/>
      <c r="BB174" s="16">
        <f t="shared" si="186"/>
        <v>0</v>
      </c>
      <c r="BD174" s="294">
        <f>'Incremental_Cost Year 1'!AV174+'Incremental_Cost Year 2'!AV174+'Incremental_Cost Year 3'!AV174+'Incremental_Cost Year 4'!AV174+'Incremental_Cost Year 5'!AV174+'Incremental_Cost Year 6'!AV174+'Incremental_Cost Year 7'!AV174+'Incremental_Cost Year 8'!AV174+'Incremental_Cost Year 9'!AV174+'Incremental_Cost Year 10'!AV174</f>
        <v>0</v>
      </c>
      <c r="BE174" s="294">
        <f>'Incremental_Cost Year 1'!AW174+'Incremental_Cost Year 2'!AW174+'Incremental_Cost Year 3'!AW174+'Incremental_Cost Year 4'!AW174+'Incremental_Cost Year 5'!AW174+'Incremental_Cost Year 6'!AW174+'Incremental_Cost Year 7'!AW174+'Incremental_Cost Year 8'!AW174+'Incremental_Cost Year 9'!AW174+'Incremental_Cost Year 10'!AW174</f>
        <v>0</v>
      </c>
      <c r="BF174" s="294">
        <f>'Incremental_Cost Year 1'!AX174+'Incremental_Cost Year 2'!AX174+'Incremental_Cost Year 3'!AX174+'Incremental_Cost Year 4'!AX174+'Incremental_Cost Year 5'!AX174+'Incremental_Cost Year 6'!AX174+'Incremental_Cost Year 7'!AX174+'Incremental_Cost Year 8'!AX174+'Incremental_Cost Year 9'!AX174+'Incremental_Cost Year 10'!AX174</f>
        <v>0</v>
      </c>
      <c r="BG174" s="294">
        <f>'Incremental_Cost Year 1'!AY174+'Incremental_Cost Year 2'!AZ174+'Incremental_Cost Year 3'!AY174+'Incremental_Cost Year 4'!AY174+'Incremental_Cost Year 5'!AY174+'Incremental_Cost Year 6'!AY174+'Incremental_Cost Year 7'!AY174+'Incremental_Cost Year 8'!AY174+'Incremental_Cost Year 9'!AY174+'Incremental_Cost Year 10'!AY174</f>
        <v>0</v>
      </c>
      <c r="BH174" s="294">
        <f>'Incremental_Cost Year 1'!AZ174+'Incremental_Cost Year 2'!BA174+'Incremental_Cost Year 3'!AZ174+'Incremental_Cost Year 4'!AZ174+'Incremental_Cost Year 5'!AZ174+'Incremental_Cost Year 6'!AZ174+'Incremental_Cost Year 7'!AZ174+'Incremental_Cost Year 8'!AZ174+'Incremental_Cost Year 9'!AZ174+'Incremental_Cost Year 10'!AZ174</f>
        <v>0</v>
      </c>
      <c r="BI174" s="294">
        <f>'Incremental_Cost Year 1'!BA174+'Incremental_Cost Year 2'!BA174+'Incremental_Cost Year 3'!BA174+'Incremental_Cost Year 4'!BA174+'Incremental_Cost Year 5'!BA174+'Incremental_Cost Year 6'!BA174+'Incremental_Cost Year 7'!BA174+'Incremental_Cost Year 8'!BA174+'Incremental_Cost Year 9'!BA174+'Incremental_Cost Year 10'!BA174</f>
        <v>0</v>
      </c>
      <c r="BJ174" s="294">
        <f t="shared" si="149"/>
        <v>0</v>
      </c>
    </row>
    <row r="175" spans="1:62" ht="27.6" outlineLevel="2">
      <c r="A175" s="98"/>
      <c r="B175" s="102"/>
      <c r="C175" s="23"/>
      <c r="D175" s="269"/>
      <c r="E175" s="271"/>
      <c r="F175" s="250"/>
      <c r="G175" s="255"/>
      <c r="H175" s="272"/>
      <c r="I175" s="258"/>
      <c r="J175" s="259"/>
      <c r="K175" s="259"/>
      <c r="L175" s="106" t="str">
        <f>IF(I175&lt;&gt;0,((VLOOKUP(I175,'1. Standard_Cost'!$B$4:$D$11,2)+VLOOKUP(I175,'1. Standard_Cost'!$B$4:$D$11,3))*J175*K175),"0")</f>
        <v>0</v>
      </c>
      <c r="M175" s="106">
        <f>L175*'1. Standard_Cost'!$F$4</f>
        <v>0</v>
      </c>
      <c r="N175" s="260"/>
      <c r="O175" s="260"/>
      <c r="P175" s="260"/>
      <c r="Q175" s="260"/>
      <c r="R175" s="108">
        <f>'1. Standard_Cost'!$B$15*N175*P175</f>
        <v>0</v>
      </c>
      <c r="S175" s="108">
        <f>N175*O175*P175*'1. Standard_Cost'!$C$15</f>
        <v>0</v>
      </c>
      <c r="T175" s="108">
        <f>N175*P175*Q175*'1. Standard_Cost'!$D$15</f>
        <v>0</v>
      </c>
      <c r="U175" s="108">
        <f>N175*O175*'1. Standard_Cost'!$E$15</f>
        <v>0</v>
      </c>
      <c r="V175" s="260"/>
      <c r="W175" s="260"/>
      <c r="X175" s="260"/>
      <c r="Y175" s="108">
        <f>+V175*((X175*'1. Standard_Cost'!$B$19)+(W175*X175*'1. Standard_Cost'!$C$19))</f>
        <v>0</v>
      </c>
      <c r="Z175" s="260"/>
      <c r="AA175" s="260"/>
      <c r="AB175" s="108">
        <f>+Z175*'1. Standard_Cost'!$B$23+AA175*'1. Standard_Cost'!$C$23</f>
        <v>0</v>
      </c>
      <c r="AC175" s="261"/>
      <c r="AD175" s="262"/>
      <c r="AE175" s="108">
        <f>SUM(AD175,AC175,AB175,Y175,U175,T175,S175,R175)*'1. Standard_Cost'!$B$31</f>
        <v>0</v>
      </c>
      <c r="AF175" s="108">
        <f t="shared" si="182"/>
        <v>0</v>
      </c>
      <c r="AG175" s="260"/>
      <c r="AH175" s="260"/>
      <c r="AI175" s="260"/>
      <c r="AJ175" s="263"/>
      <c r="AK175" s="263"/>
      <c r="AL175" s="263"/>
      <c r="AM175" s="108">
        <f>AG175*'1. Standard_Cost'!$B$27+'Incremental_Cost Year 10'!AH175*'1. Standard_Cost'!$C$27+'Incremental_Cost Year 10'!AI175*'1. Standard_Cost'!$D$27+'Incremental_Cost Year 10'!AJ175+'Incremental_Cost Year 10'!AL175+AK175</f>
        <v>0</v>
      </c>
      <c r="AN175" s="108">
        <f>AM175*'1. Standard_Cost'!$C$31</f>
        <v>0</v>
      </c>
      <c r="AO175" s="125" t="s">
        <v>393</v>
      </c>
      <c r="AQ175" s="14">
        <f t="shared" si="183"/>
        <v>0</v>
      </c>
      <c r="AR175" s="14">
        <f t="shared" si="184"/>
        <v>0</v>
      </c>
      <c r="AS175" s="14">
        <f t="shared" si="185"/>
        <v>0</v>
      </c>
      <c r="AT175" s="14">
        <f t="shared" si="187"/>
        <v>0</v>
      </c>
      <c r="AU175" s="234"/>
      <c r="AV175" s="234"/>
      <c r="AW175" s="234"/>
      <c r="AX175" s="234"/>
      <c r="AY175" s="234"/>
      <c r="AZ175" s="234"/>
      <c r="BA175" s="234"/>
      <c r="BB175" s="16">
        <f t="shared" si="186"/>
        <v>0</v>
      </c>
      <c r="BD175" s="294">
        <f>'Incremental_Cost Year 1'!AV175+'Incremental_Cost Year 2'!AV175+'Incremental_Cost Year 3'!AV175+'Incremental_Cost Year 4'!AV175+'Incremental_Cost Year 5'!AV175+'Incremental_Cost Year 6'!AV175+'Incremental_Cost Year 7'!AV175+'Incremental_Cost Year 8'!AV175+'Incremental_Cost Year 9'!AV175+'Incremental_Cost Year 10'!AV175</f>
        <v>0</v>
      </c>
      <c r="BE175" s="294">
        <f>'Incremental_Cost Year 1'!AW175+'Incremental_Cost Year 2'!AW175+'Incremental_Cost Year 3'!AW175+'Incremental_Cost Year 4'!AW175+'Incremental_Cost Year 5'!AW175+'Incremental_Cost Year 6'!AW175+'Incremental_Cost Year 7'!AW175+'Incremental_Cost Year 8'!AW175+'Incremental_Cost Year 9'!AW175+'Incremental_Cost Year 10'!AW175</f>
        <v>0</v>
      </c>
      <c r="BF175" s="294">
        <f>'Incremental_Cost Year 1'!AX175+'Incremental_Cost Year 2'!AX175+'Incremental_Cost Year 3'!AX175+'Incremental_Cost Year 4'!AX175+'Incremental_Cost Year 5'!AX175+'Incremental_Cost Year 6'!AX175+'Incremental_Cost Year 7'!AX175+'Incremental_Cost Year 8'!AX175+'Incremental_Cost Year 9'!AX175+'Incremental_Cost Year 10'!AX175</f>
        <v>0</v>
      </c>
      <c r="BG175" s="294">
        <f>'Incremental_Cost Year 1'!AY175+'Incremental_Cost Year 2'!AZ175+'Incremental_Cost Year 3'!AY175+'Incremental_Cost Year 4'!AY175+'Incremental_Cost Year 5'!AY175+'Incremental_Cost Year 6'!AY175+'Incremental_Cost Year 7'!AY175+'Incremental_Cost Year 8'!AY175+'Incremental_Cost Year 9'!AY175+'Incremental_Cost Year 10'!AY175</f>
        <v>0</v>
      </c>
      <c r="BH175" s="294">
        <f>'Incremental_Cost Year 1'!AZ175+'Incremental_Cost Year 2'!BA175+'Incremental_Cost Year 3'!AZ175+'Incremental_Cost Year 4'!AZ175+'Incremental_Cost Year 5'!AZ175+'Incremental_Cost Year 6'!AZ175+'Incremental_Cost Year 7'!AZ175+'Incremental_Cost Year 8'!AZ175+'Incremental_Cost Year 9'!AZ175+'Incremental_Cost Year 10'!AZ175</f>
        <v>0</v>
      </c>
      <c r="BI175" s="294">
        <f>'Incremental_Cost Year 1'!BA175+'Incremental_Cost Year 2'!BA175+'Incremental_Cost Year 3'!BA175+'Incremental_Cost Year 4'!BA175+'Incremental_Cost Year 5'!BA175+'Incremental_Cost Year 6'!BA175+'Incremental_Cost Year 7'!BA175+'Incremental_Cost Year 8'!BA175+'Incremental_Cost Year 9'!BA175+'Incremental_Cost Year 10'!BA175</f>
        <v>0</v>
      </c>
      <c r="BJ175" s="294">
        <f t="shared" si="149"/>
        <v>0</v>
      </c>
    </row>
    <row r="176" spans="1:62" ht="25.2" customHeight="1" outlineLevel="2">
      <c r="A176" s="98"/>
      <c r="B176" s="102"/>
      <c r="C176" s="23"/>
      <c r="D176" s="269"/>
      <c r="E176" s="271"/>
      <c r="F176" s="271"/>
      <c r="G176" s="167"/>
      <c r="H176" s="272"/>
      <c r="I176" s="258"/>
      <c r="J176" s="259"/>
      <c r="K176" s="259"/>
      <c r="L176" s="106" t="str">
        <f>IF(I176&lt;&gt;0,((VLOOKUP(I176,'[1]1. Standard_Cost'!$B$4:$D$11,2)+VLOOKUP(I176,'[1]1. Standard_Cost'!$B$4:$D$11,3))*J176*K176),"0")</f>
        <v>0</v>
      </c>
      <c r="M176" s="106">
        <f>L176*'[1]1. Standard_Cost'!$F$4</f>
        <v>0</v>
      </c>
      <c r="N176" s="260"/>
      <c r="O176" s="260"/>
      <c r="P176" s="260"/>
      <c r="Q176" s="260"/>
      <c r="R176" s="108">
        <f>'[1]1. Standard_Cost'!$B$15*N176*P176</f>
        <v>0</v>
      </c>
      <c r="S176" s="108">
        <f>N176*O176*P176*'[1]1. Standard_Cost'!$C$15</f>
        <v>0</v>
      </c>
      <c r="T176" s="108">
        <f>N176*P176*Q176*'[1]1. Standard_Cost'!$D$15</f>
        <v>0</v>
      </c>
      <c r="U176" s="108">
        <f>N176*O176*'[1]1. Standard_Cost'!$E$15</f>
        <v>0</v>
      </c>
      <c r="V176" s="260"/>
      <c r="W176" s="260"/>
      <c r="X176" s="260"/>
      <c r="Y176" s="108">
        <f>+V176*((X176*'[1]1. Standard_Cost'!$B$19)+(W176*X176*'[1]1. Standard_Cost'!$C$19))</f>
        <v>0</v>
      </c>
      <c r="Z176" s="260"/>
      <c r="AA176" s="260"/>
      <c r="AB176" s="108">
        <f>+Z176*'[1]1. Standard_Cost'!$B$23+AA176*'[1]1. Standard_Cost'!$C$23</f>
        <v>0</v>
      </c>
      <c r="AC176" s="261"/>
      <c r="AD176" s="262"/>
      <c r="AE176" s="108">
        <f>SUM(AD176,AC176,AB176,Y176,U176,T176,S176,R176)*'[1]1. Standard_Cost'!$B$31</f>
        <v>0</v>
      </c>
      <c r="AF176" s="108">
        <f t="shared" si="182"/>
        <v>0</v>
      </c>
      <c r="AG176" s="260"/>
      <c r="AH176" s="260"/>
      <c r="AI176" s="260"/>
      <c r="AJ176" s="263"/>
      <c r="AK176" s="263"/>
      <c r="AL176" s="263"/>
      <c r="AM176" s="108">
        <f>AG176*'[1]1. Standard_Cost'!$B$27+'[1]Incremental_Cost Year 10'!AH176*'[1]1. Standard_Cost'!$C$27+'[1]Incremental_Cost Year 10'!AI176*'[1]1. Standard_Cost'!$D$27+'[1]Incremental_Cost Year 10'!AJ176+'[1]Incremental_Cost Year 10'!AL176+AK176</f>
        <v>0</v>
      </c>
      <c r="AN176" s="108">
        <f>AM176*'[1]1. Standard_Cost'!$C$31</f>
        <v>0</v>
      </c>
      <c r="AO176" s="125" t="s">
        <v>393</v>
      </c>
      <c r="AQ176" s="14">
        <f t="shared" si="183"/>
        <v>0</v>
      </c>
      <c r="AR176" s="14">
        <f t="shared" si="184"/>
        <v>0</v>
      </c>
      <c r="AS176" s="14">
        <f t="shared" si="185"/>
        <v>0</v>
      </c>
      <c r="AT176" s="14">
        <f t="shared" si="187"/>
        <v>0</v>
      </c>
      <c r="AU176" s="234"/>
      <c r="AV176" s="234"/>
      <c r="AW176" s="234"/>
      <c r="AX176" s="234"/>
      <c r="AY176" s="234"/>
      <c r="AZ176" s="234"/>
      <c r="BA176" s="234"/>
      <c r="BB176" s="16">
        <f t="shared" si="186"/>
        <v>0</v>
      </c>
      <c r="BD176" s="294">
        <f>'Incremental_Cost Year 1'!AV176+'Incremental_Cost Year 2'!AV176+'Incremental_Cost Year 3'!AV176+'Incremental_Cost Year 4'!AV176+'Incremental_Cost Year 5'!AV176+'Incremental_Cost Year 6'!AV176+'Incremental_Cost Year 7'!AV176+'Incremental_Cost Year 8'!AV176+'Incremental_Cost Year 9'!AV176+'Incremental_Cost Year 10'!AV176</f>
        <v>0</v>
      </c>
      <c r="BE176" s="294">
        <f>'Incremental_Cost Year 1'!AW176+'Incremental_Cost Year 2'!AW176+'Incremental_Cost Year 3'!AW176+'Incremental_Cost Year 4'!AW176+'Incremental_Cost Year 5'!AW176+'Incremental_Cost Year 6'!AW176+'Incremental_Cost Year 7'!AW176+'Incremental_Cost Year 8'!AW176+'Incremental_Cost Year 9'!AW176+'Incremental_Cost Year 10'!AW176</f>
        <v>0</v>
      </c>
      <c r="BF176" s="294">
        <f>'Incremental_Cost Year 1'!AX176+'Incremental_Cost Year 2'!AX176+'Incremental_Cost Year 3'!AX176+'Incremental_Cost Year 4'!AX176+'Incremental_Cost Year 5'!AX176+'Incremental_Cost Year 6'!AX176+'Incremental_Cost Year 7'!AX176+'Incremental_Cost Year 8'!AX176+'Incremental_Cost Year 9'!AX176+'Incremental_Cost Year 10'!AX176</f>
        <v>0</v>
      </c>
      <c r="BG176" s="294">
        <f>'Incremental_Cost Year 1'!AY176+'Incremental_Cost Year 2'!AZ176+'Incremental_Cost Year 3'!AY176+'Incremental_Cost Year 4'!AY176+'Incremental_Cost Year 5'!AY176+'Incremental_Cost Year 6'!AY176+'Incremental_Cost Year 7'!AY176+'Incremental_Cost Year 8'!AY176+'Incremental_Cost Year 9'!AY176+'Incremental_Cost Year 10'!AY176</f>
        <v>0</v>
      </c>
      <c r="BH176" s="294">
        <f>'Incremental_Cost Year 1'!AZ176+'Incremental_Cost Year 2'!BA176+'Incremental_Cost Year 3'!AZ176+'Incremental_Cost Year 4'!AZ176+'Incremental_Cost Year 5'!AZ176+'Incremental_Cost Year 6'!AZ176+'Incremental_Cost Year 7'!AZ176+'Incremental_Cost Year 8'!AZ176+'Incremental_Cost Year 9'!AZ176+'Incremental_Cost Year 10'!AZ176</f>
        <v>0</v>
      </c>
      <c r="BI176" s="294">
        <f>'Incremental_Cost Year 1'!BA176+'Incremental_Cost Year 2'!BA176+'Incremental_Cost Year 3'!BA176+'Incremental_Cost Year 4'!BA176+'Incremental_Cost Year 5'!BA176+'Incremental_Cost Year 6'!BA176+'Incremental_Cost Year 7'!BA176+'Incremental_Cost Year 8'!BA176+'Incremental_Cost Year 9'!BA176+'Incremental_Cost Year 10'!BA176</f>
        <v>0</v>
      </c>
      <c r="BJ176" s="294">
        <f t="shared" si="149"/>
        <v>0</v>
      </c>
    </row>
    <row r="177" spans="1:62" ht="27.6" outlineLevel="2">
      <c r="A177" s="98"/>
      <c r="B177" s="102"/>
      <c r="C177" s="23"/>
      <c r="D177" s="269"/>
      <c r="E177" s="271"/>
      <c r="F177" s="250"/>
      <c r="G177" s="255"/>
      <c r="H177" s="272"/>
      <c r="I177" s="258"/>
      <c r="J177" s="259"/>
      <c r="K177" s="259"/>
      <c r="L177" s="106" t="str">
        <f>IF(I177&lt;&gt;0,((VLOOKUP(I177,'1. Standard_Cost'!$B$4:$D$11,2)+VLOOKUP(I177,'1. Standard_Cost'!$B$4:$D$11,3))*J177*K177),"0")</f>
        <v>0</v>
      </c>
      <c r="M177" s="106">
        <f>L177*'1. Standard_Cost'!$F$4</f>
        <v>0</v>
      </c>
      <c r="N177" s="260"/>
      <c r="O177" s="260"/>
      <c r="P177" s="260"/>
      <c r="Q177" s="260"/>
      <c r="R177" s="108">
        <f>'1. Standard_Cost'!$B$15*N177*P177</f>
        <v>0</v>
      </c>
      <c r="S177" s="108">
        <f>N177*O177*P177*'1. Standard_Cost'!$C$15</f>
        <v>0</v>
      </c>
      <c r="T177" s="108">
        <f>N177*P177*Q177*'1. Standard_Cost'!$D$15</f>
        <v>0</v>
      </c>
      <c r="U177" s="108">
        <f>N177*O177*'1. Standard_Cost'!$E$15</f>
        <v>0</v>
      </c>
      <c r="V177" s="260"/>
      <c r="W177" s="260"/>
      <c r="X177" s="260"/>
      <c r="Y177" s="108">
        <f>+V177*((X177*'1. Standard_Cost'!$B$19)+(W177*X177*'1. Standard_Cost'!$C$19))</f>
        <v>0</v>
      </c>
      <c r="Z177" s="260"/>
      <c r="AA177" s="260"/>
      <c r="AB177" s="108">
        <f>+Z177*'1. Standard_Cost'!$B$23+AA177*'1. Standard_Cost'!$C$23</f>
        <v>0</v>
      </c>
      <c r="AC177" s="261"/>
      <c r="AD177" s="262"/>
      <c r="AE177" s="108">
        <f>SUM(AD177,AC177,AB177,Y177,U177,T177,S177,R177)*'1. Standard_Cost'!$B$31</f>
        <v>0</v>
      </c>
      <c r="AF177" s="108">
        <f t="shared" si="182"/>
        <v>0</v>
      </c>
      <c r="AG177" s="260"/>
      <c r="AH177" s="260"/>
      <c r="AI177" s="260"/>
      <c r="AJ177" s="263"/>
      <c r="AK177" s="263"/>
      <c r="AL177" s="263"/>
      <c r="AM177" s="108">
        <f>AG177*'1. Standard_Cost'!$B$27+'Incremental_Cost Year 10'!AH177*'1. Standard_Cost'!$C$27+'Incremental_Cost Year 10'!AI177*'1. Standard_Cost'!$D$27+'Incremental_Cost Year 10'!AJ177+'Incremental_Cost Year 10'!AL177+AK177</f>
        <v>0</v>
      </c>
      <c r="AN177" s="108">
        <f>AM177*'1. Standard_Cost'!$C$31</f>
        <v>0</v>
      </c>
      <c r="AO177" s="125" t="s">
        <v>394</v>
      </c>
      <c r="AQ177" s="14">
        <f t="shared" si="183"/>
        <v>0</v>
      </c>
      <c r="AR177" s="14">
        <f t="shared" si="184"/>
        <v>0</v>
      </c>
      <c r="AS177" s="14">
        <f t="shared" si="185"/>
        <v>0</v>
      </c>
      <c r="AT177" s="14">
        <f t="shared" si="187"/>
        <v>0</v>
      </c>
      <c r="AU177" s="234"/>
      <c r="AV177" s="234"/>
      <c r="AW177" s="234"/>
      <c r="AX177" s="234"/>
      <c r="AY177" s="234"/>
      <c r="AZ177" s="234"/>
      <c r="BA177" s="234"/>
      <c r="BB177" s="16">
        <f t="shared" si="186"/>
        <v>0</v>
      </c>
      <c r="BD177" s="294">
        <f>'Incremental_Cost Year 1'!AV177+'Incremental_Cost Year 2'!AV177+'Incremental_Cost Year 3'!AV177+'Incremental_Cost Year 4'!AV177+'Incremental_Cost Year 5'!AV177+'Incremental_Cost Year 6'!AV177+'Incremental_Cost Year 7'!AV177+'Incremental_Cost Year 8'!AV177+'Incremental_Cost Year 9'!AV177+'Incremental_Cost Year 10'!AV177</f>
        <v>0</v>
      </c>
      <c r="BE177" s="294">
        <f>'Incremental_Cost Year 1'!AW177+'Incremental_Cost Year 2'!AW177+'Incremental_Cost Year 3'!AW177+'Incremental_Cost Year 4'!AW177+'Incremental_Cost Year 5'!AW177+'Incremental_Cost Year 6'!AW177+'Incremental_Cost Year 7'!AW177+'Incremental_Cost Year 8'!AW177+'Incremental_Cost Year 9'!AW177+'Incremental_Cost Year 10'!AW177</f>
        <v>0</v>
      </c>
      <c r="BF177" s="294">
        <f>'Incremental_Cost Year 1'!AX177+'Incremental_Cost Year 2'!AX177+'Incremental_Cost Year 3'!AX177+'Incremental_Cost Year 4'!AX177+'Incremental_Cost Year 5'!AX177+'Incremental_Cost Year 6'!AX177+'Incremental_Cost Year 7'!AX177+'Incremental_Cost Year 8'!AX177+'Incremental_Cost Year 9'!AX177+'Incremental_Cost Year 10'!AX177</f>
        <v>0</v>
      </c>
      <c r="BG177" s="294">
        <f>'Incremental_Cost Year 1'!AY177+'Incremental_Cost Year 2'!AZ177+'Incremental_Cost Year 3'!AY177+'Incremental_Cost Year 4'!AY177+'Incremental_Cost Year 5'!AY177+'Incremental_Cost Year 6'!AY177+'Incremental_Cost Year 7'!AY177+'Incremental_Cost Year 8'!AY177+'Incremental_Cost Year 9'!AY177+'Incremental_Cost Year 10'!AY177</f>
        <v>1808000</v>
      </c>
      <c r="BH177" s="294">
        <f>'Incremental_Cost Year 1'!AZ177+'Incremental_Cost Year 2'!BA177+'Incremental_Cost Year 3'!AZ177+'Incremental_Cost Year 4'!AZ177+'Incremental_Cost Year 5'!AZ177+'Incremental_Cost Year 6'!AZ177+'Incremental_Cost Year 7'!AZ177+'Incremental_Cost Year 8'!AZ177+'Incremental_Cost Year 9'!AZ177+'Incremental_Cost Year 10'!AZ177</f>
        <v>6672000</v>
      </c>
      <c r="BI177" s="294">
        <f>'Incremental_Cost Year 1'!BA177+'Incremental_Cost Year 2'!BA177+'Incremental_Cost Year 3'!BA177+'Incremental_Cost Year 4'!BA177+'Incremental_Cost Year 5'!BA177+'Incremental_Cost Year 6'!BA177+'Incremental_Cost Year 7'!BA177+'Incremental_Cost Year 8'!BA177+'Incremental_Cost Year 9'!BA177+'Incremental_Cost Year 10'!BA177</f>
        <v>0</v>
      </c>
      <c r="BJ177" s="294">
        <f t="shared" si="149"/>
        <v>8480000</v>
      </c>
    </row>
    <row r="178" spans="1:62" ht="27.6" outlineLevel="1">
      <c r="A178" s="98"/>
      <c r="B178" s="102"/>
      <c r="C178" s="23"/>
      <c r="D178" s="56" t="s">
        <v>47</v>
      </c>
      <c r="E178" s="56" t="s">
        <v>239</v>
      </c>
      <c r="F178" s="253">
        <v>2021</v>
      </c>
      <c r="G178" s="254">
        <v>2026</v>
      </c>
      <c r="H178" s="279" t="s">
        <v>240</v>
      </c>
      <c r="I178" s="264"/>
      <c r="J178" s="264"/>
      <c r="K178" s="264"/>
      <c r="L178" s="113">
        <f>SUM(L169:L177)</f>
        <v>0</v>
      </c>
      <c r="M178" s="113">
        <f>SUM(M169:M177)</f>
        <v>0</v>
      </c>
      <c r="N178" s="264"/>
      <c r="O178" s="264"/>
      <c r="P178" s="264"/>
      <c r="Q178" s="264"/>
      <c r="R178" s="113">
        <f>SUM(R169:R177)</f>
        <v>0</v>
      </c>
      <c r="S178" s="113">
        <f>SUM(S169:S177)</f>
        <v>0</v>
      </c>
      <c r="T178" s="113">
        <f>SUM(T169:T177)</f>
        <v>0</v>
      </c>
      <c r="U178" s="113">
        <f>SUM(U169:U177)</f>
        <v>0</v>
      </c>
      <c r="V178" s="264"/>
      <c r="W178" s="264"/>
      <c r="X178" s="264"/>
      <c r="Y178" s="113">
        <f>SUM(Y169:Y177)</f>
        <v>0</v>
      </c>
      <c r="Z178" s="265"/>
      <c r="AA178" s="264"/>
      <c r="AB178" s="113">
        <f>SUM(AB169:AB177)</f>
        <v>0</v>
      </c>
      <c r="AC178" s="265">
        <f>SUM(AC169:AC177)</f>
        <v>0</v>
      </c>
      <c r="AD178" s="265">
        <f>SUM(AD169:AD177)</f>
        <v>0</v>
      </c>
      <c r="AE178" s="113">
        <f>SUM(AE169:AE177)</f>
        <v>0</v>
      </c>
      <c r="AF178" s="113">
        <f>SUM(AF169:AF177)</f>
        <v>0</v>
      </c>
      <c r="AG178" s="264"/>
      <c r="AH178" s="264"/>
      <c r="AI178" s="264"/>
      <c r="AJ178" s="265">
        <f>SUM(AJ169:AJ177)</f>
        <v>0</v>
      </c>
      <c r="AK178" s="265">
        <f>SUM(AK169:AK177)</f>
        <v>0</v>
      </c>
      <c r="AL178" s="265">
        <f>SUM(AL169:AL177)</f>
        <v>0</v>
      </c>
      <c r="AM178" s="113">
        <f>SUM(AM169:AM177)</f>
        <v>0</v>
      </c>
      <c r="AN178" s="113">
        <f>SUM(AN169:AN177)</f>
        <v>0</v>
      </c>
      <c r="AO178" s="131"/>
      <c r="AP178" s="17"/>
      <c r="AQ178" s="113">
        <f t="shared" ref="AQ178:BB178" si="188">SUM(AQ169:AQ177)</f>
        <v>0</v>
      </c>
      <c r="AR178" s="113">
        <f t="shared" si="188"/>
        <v>0</v>
      </c>
      <c r="AS178" s="113">
        <f t="shared" si="188"/>
        <v>0</v>
      </c>
      <c r="AT178" s="113">
        <f t="shared" si="188"/>
        <v>0</v>
      </c>
      <c r="AU178" s="265">
        <f t="shared" si="188"/>
        <v>0</v>
      </c>
      <c r="AV178" s="265">
        <f t="shared" si="188"/>
        <v>0</v>
      </c>
      <c r="AW178" s="265">
        <f t="shared" si="188"/>
        <v>0</v>
      </c>
      <c r="AX178" s="265">
        <f t="shared" si="188"/>
        <v>0</v>
      </c>
      <c r="AY178" s="265">
        <f t="shared" si="188"/>
        <v>0</v>
      </c>
      <c r="AZ178" s="265">
        <f t="shared" si="188"/>
        <v>0</v>
      </c>
      <c r="BA178" s="265">
        <f t="shared" si="188"/>
        <v>0</v>
      </c>
      <c r="BB178" s="113">
        <f t="shared" si="188"/>
        <v>0</v>
      </c>
      <c r="BD178" s="294"/>
      <c r="BE178" s="294"/>
      <c r="BF178" s="294"/>
      <c r="BG178" s="294"/>
      <c r="BH178" s="294"/>
      <c r="BI178" s="294"/>
      <c r="BJ178" s="294"/>
    </row>
    <row r="179" spans="1:62" s="24" customFormat="1" ht="13.8" customHeight="1">
      <c r="A179" s="114"/>
      <c r="B179" s="115"/>
      <c r="C179" s="314" t="s">
        <v>241</v>
      </c>
      <c r="D179" s="314"/>
      <c r="E179" s="315"/>
      <c r="F179" s="246"/>
      <c r="G179" s="246"/>
      <c r="H179" s="278" t="s">
        <v>242</v>
      </c>
      <c r="I179" s="266"/>
      <c r="J179" s="266"/>
      <c r="K179" s="266"/>
      <c r="L179" s="117">
        <f>SUM(L201)</f>
        <v>0</v>
      </c>
      <c r="M179" s="117">
        <f>SUM(M201)</f>
        <v>0</v>
      </c>
      <c r="N179" s="266"/>
      <c r="O179" s="266"/>
      <c r="P179" s="266"/>
      <c r="Q179" s="266"/>
      <c r="R179" s="117">
        <f t="shared" ref="R179:U179" si="189">SUM(R201)</f>
        <v>0</v>
      </c>
      <c r="S179" s="117">
        <f t="shared" si="189"/>
        <v>0</v>
      </c>
      <c r="T179" s="117">
        <f t="shared" si="189"/>
        <v>0</v>
      </c>
      <c r="U179" s="117">
        <f t="shared" si="189"/>
        <v>0</v>
      </c>
      <c r="V179" s="266"/>
      <c r="W179" s="266"/>
      <c r="X179" s="266"/>
      <c r="Y179" s="117">
        <f>SUM(Y201)</f>
        <v>0</v>
      </c>
      <c r="Z179" s="267"/>
      <c r="AA179" s="267"/>
      <c r="AB179" s="117">
        <f t="shared" ref="AB179:AF179" si="190">SUM(AB201)</f>
        <v>0</v>
      </c>
      <c r="AC179" s="267">
        <f t="shared" ref="AC179:AD179" si="191">SUM(AC201)</f>
        <v>0</v>
      </c>
      <c r="AD179" s="267">
        <f t="shared" si="191"/>
        <v>0</v>
      </c>
      <c r="AE179" s="117">
        <f t="shared" si="190"/>
        <v>0</v>
      </c>
      <c r="AF179" s="117">
        <f t="shared" si="190"/>
        <v>0</v>
      </c>
      <c r="AG179" s="266"/>
      <c r="AH179" s="266"/>
      <c r="AI179" s="266"/>
      <c r="AJ179" s="267">
        <f t="shared" ref="AJ179:AL179" si="192">SUM(AJ201)</f>
        <v>0</v>
      </c>
      <c r="AK179" s="267">
        <f t="shared" si="192"/>
        <v>0</v>
      </c>
      <c r="AL179" s="267">
        <f t="shared" si="192"/>
        <v>0</v>
      </c>
      <c r="AM179" s="117">
        <f t="shared" ref="AM179:AN179" si="193">SUM(AM201)</f>
        <v>0</v>
      </c>
      <c r="AN179" s="117">
        <f t="shared" si="193"/>
        <v>0</v>
      </c>
      <c r="AO179" s="132"/>
      <c r="AP179" s="25"/>
      <c r="AQ179" s="117">
        <f t="shared" ref="AQ179:BB179" si="194">SUM(AQ201)</f>
        <v>0</v>
      </c>
      <c r="AR179" s="117">
        <f t="shared" si="194"/>
        <v>0</v>
      </c>
      <c r="AS179" s="117">
        <f t="shared" si="194"/>
        <v>0</v>
      </c>
      <c r="AT179" s="117">
        <f t="shared" si="194"/>
        <v>0</v>
      </c>
      <c r="AU179" s="267">
        <f t="shared" ref="AU179:BA179" si="195">SUM(AU201)</f>
        <v>0</v>
      </c>
      <c r="AV179" s="267">
        <f t="shared" si="195"/>
        <v>0</v>
      </c>
      <c r="AW179" s="267">
        <f t="shared" si="195"/>
        <v>0</v>
      </c>
      <c r="AX179" s="267">
        <f t="shared" si="195"/>
        <v>0</v>
      </c>
      <c r="AY179" s="267">
        <f t="shared" si="195"/>
        <v>0</v>
      </c>
      <c r="AZ179" s="267">
        <f t="shared" si="195"/>
        <v>0</v>
      </c>
      <c r="BA179" s="267">
        <f t="shared" si="195"/>
        <v>0</v>
      </c>
      <c r="BB179" s="117">
        <f t="shared" si="194"/>
        <v>0</v>
      </c>
      <c r="BD179" s="294"/>
      <c r="BE179" s="294"/>
      <c r="BF179" s="294"/>
      <c r="BG179" s="294"/>
      <c r="BH179" s="294"/>
      <c r="BI179" s="294"/>
      <c r="BJ179" s="294"/>
    </row>
    <row r="180" spans="1:62" ht="15.6" outlineLevel="2">
      <c r="A180" s="98"/>
      <c r="B180" s="102"/>
      <c r="C180" s="23"/>
      <c r="D180" s="257"/>
      <c r="E180" s="123"/>
      <c r="F180" s="249"/>
      <c r="G180" s="283"/>
      <c r="H180" s="272"/>
      <c r="I180" s="258"/>
      <c r="J180" s="259"/>
      <c r="K180" s="259"/>
      <c r="L180" s="106" t="str">
        <f>IF(I180&lt;&gt;0,((VLOOKUP(I180,'1. Standard_Cost'!$B$4:$D$11,2)+VLOOKUP(I180,'1. Standard_Cost'!$B$4:$D$11,3))*J180*K180),"0")</f>
        <v>0</v>
      </c>
      <c r="M180" s="106">
        <f>L180*'1. Standard_Cost'!$F$4</f>
        <v>0</v>
      </c>
      <c r="N180" s="260"/>
      <c r="O180" s="260"/>
      <c r="P180" s="260"/>
      <c r="Q180" s="260"/>
      <c r="R180" s="108">
        <f>'1. Standard_Cost'!$B$15*N180*P180</f>
        <v>0</v>
      </c>
      <c r="S180" s="108">
        <f>N180*O180*P180*'1. Standard_Cost'!$C$15</f>
        <v>0</v>
      </c>
      <c r="T180" s="108">
        <f>N180*P180*Q180*'1. Standard_Cost'!$D$15</f>
        <v>0</v>
      </c>
      <c r="U180" s="108">
        <f>N180*O180*'1. Standard_Cost'!$E$15</f>
        <v>0</v>
      </c>
      <c r="V180" s="260"/>
      <c r="W180" s="260"/>
      <c r="X180" s="260"/>
      <c r="Y180" s="108">
        <f>+V180*((X180*'1. Standard_Cost'!$B$19)+(W180*X180*'1. Standard_Cost'!$C$19))</f>
        <v>0</v>
      </c>
      <c r="Z180" s="260"/>
      <c r="AA180" s="260"/>
      <c r="AB180" s="108">
        <f>+Z180*'1. Standard_Cost'!$B$23+AA180*'1. Standard_Cost'!$C$23</f>
        <v>0</v>
      </c>
      <c r="AC180" s="261"/>
      <c r="AD180" s="262"/>
      <c r="AE180" s="108">
        <f>SUM(AD180,AC180,AB180,Y180,U180,T180,S180,R180)*'1. Standard_Cost'!$B$31</f>
        <v>0</v>
      </c>
      <c r="AF180" s="108">
        <f t="shared" ref="AF180:AF200" si="196">SUM(AE180,AD180,AC180,AB180,Y180,U180,T180,S180,R180)</f>
        <v>0</v>
      </c>
      <c r="AG180" s="260"/>
      <c r="AH180" s="260"/>
      <c r="AI180" s="260"/>
      <c r="AJ180" s="263"/>
      <c r="AK180" s="263"/>
      <c r="AL180" s="263"/>
      <c r="AM180" s="108">
        <f>AG180*'1. Standard_Cost'!$B$27+'Incremental_Cost Year 10'!AH180*'1. Standard_Cost'!$C$27+'Incremental_Cost Year 10'!AI180*'1. Standard_Cost'!$D$27+'Incremental_Cost Year 10'!AJ180+'Incremental_Cost Year 10'!AL180+AK180</f>
        <v>0</v>
      </c>
      <c r="AN180" s="108">
        <f>AM180*'1. Standard_Cost'!$C$31</f>
        <v>0</v>
      </c>
      <c r="AO180" s="125" t="s">
        <v>395</v>
      </c>
      <c r="AQ180" s="14">
        <f t="shared" ref="AQ180:AQ200" si="197">L180+M180</f>
        <v>0</v>
      </c>
      <c r="AR180" s="14">
        <f t="shared" ref="AR180:AR200" si="198">AF180</f>
        <v>0</v>
      </c>
      <c r="AS180" s="14">
        <f t="shared" ref="AS180:AS200" si="199">AM180+AN180</f>
        <v>0</v>
      </c>
      <c r="AT180" s="14">
        <f>SUM(AQ180,AR180,AS180)</f>
        <v>0</v>
      </c>
      <c r="AU180" s="234"/>
      <c r="AV180" s="234"/>
      <c r="AW180" s="234"/>
      <c r="AX180" s="234"/>
      <c r="AY180" s="234"/>
      <c r="AZ180" s="234"/>
      <c r="BA180" s="234"/>
      <c r="BB180" s="16">
        <f t="shared" ref="BB180:BB200" si="200">SUM(AU180:BA180)-AT180</f>
        <v>0</v>
      </c>
      <c r="BD180" s="294">
        <f>'Incremental_Cost Year 1'!AV180+'Incremental_Cost Year 2'!AV180+'Incremental_Cost Year 3'!AV180+'Incremental_Cost Year 4'!AV180+'Incremental_Cost Year 5'!AV180+'Incremental_Cost Year 6'!AV180+'Incremental_Cost Year 7'!AV180+'Incremental_Cost Year 8'!AV180+'Incremental_Cost Year 9'!AV180+'Incremental_Cost Year 10'!AV180</f>
        <v>0</v>
      </c>
      <c r="BE180" s="294">
        <f>'Incremental_Cost Year 1'!AW180+'Incremental_Cost Year 2'!AW180+'Incremental_Cost Year 3'!AW180+'Incremental_Cost Year 4'!AW180+'Incremental_Cost Year 5'!AW180+'Incremental_Cost Year 6'!AW180+'Incremental_Cost Year 7'!AW180+'Incremental_Cost Year 8'!AW180+'Incremental_Cost Year 9'!AW180+'Incremental_Cost Year 10'!AW180</f>
        <v>0</v>
      </c>
      <c r="BF180" s="294">
        <f>'Incremental_Cost Year 1'!AX180+'Incremental_Cost Year 2'!AX180+'Incremental_Cost Year 3'!AX180+'Incremental_Cost Year 4'!AX180+'Incremental_Cost Year 5'!AX180+'Incremental_Cost Year 6'!AX180+'Incremental_Cost Year 7'!AX180+'Incremental_Cost Year 8'!AX180+'Incremental_Cost Year 9'!AX180+'Incremental_Cost Year 10'!AX180</f>
        <v>0</v>
      </c>
      <c r="BG180" s="294">
        <f>'Incremental_Cost Year 1'!AY180+'Incremental_Cost Year 2'!AZ180+'Incremental_Cost Year 3'!AY180+'Incremental_Cost Year 4'!AY180+'Incremental_Cost Year 5'!AY180+'Incremental_Cost Year 6'!AY180+'Incremental_Cost Year 7'!AY180+'Incremental_Cost Year 8'!AY180+'Incremental_Cost Year 9'!AY180+'Incremental_Cost Year 10'!AY180</f>
        <v>0</v>
      </c>
      <c r="BH180" s="294">
        <f>'Incremental_Cost Year 1'!AZ180+'Incremental_Cost Year 2'!BA180+'Incremental_Cost Year 3'!AZ180+'Incremental_Cost Year 4'!AZ180+'Incremental_Cost Year 5'!AZ180+'Incremental_Cost Year 6'!AZ180+'Incremental_Cost Year 7'!AZ180+'Incremental_Cost Year 8'!AZ180+'Incremental_Cost Year 9'!AZ180+'Incremental_Cost Year 10'!AZ180</f>
        <v>0</v>
      </c>
      <c r="BI180" s="294">
        <f>'Incremental_Cost Year 1'!BA180+'Incremental_Cost Year 2'!BA180+'Incremental_Cost Year 3'!BA180+'Incremental_Cost Year 4'!BA180+'Incremental_Cost Year 5'!BA180+'Incremental_Cost Year 6'!BA180+'Incremental_Cost Year 7'!BA180+'Incremental_Cost Year 8'!BA180+'Incremental_Cost Year 9'!BA180+'Incremental_Cost Year 10'!BA180</f>
        <v>0</v>
      </c>
      <c r="BJ180" s="294">
        <f t="shared" si="149"/>
        <v>0</v>
      </c>
    </row>
    <row r="181" spans="1:62" ht="202.8" customHeight="1" outlineLevel="2">
      <c r="A181" s="98"/>
      <c r="B181" s="102"/>
      <c r="C181" s="23"/>
      <c r="D181" s="269"/>
      <c r="E181" s="271"/>
      <c r="F181" s="250"/>
      <c r="G181" s="255"/>
      <c r="H181" s="272"/>
      <c r="I181" s="258"/>
      <c r="J181" s="259"/>
      <c r="K181" s="259"/>
      <c r="L181" s="106" t="str">
        <f>IF(I181&lt;&gt;0,((VLOOKUP(I181,'1. Standard_Cost'!$B$4:$D$11,2)+VLOOKUP(I181,'1. Standard_Cost'!$B$4:$D$11,3))*J181*K181),"0")</f>
        <v>0</v>
      </c>
      <c r="M181" s="106">
        <f>L181*'1. Standard_Cost'!$F$4</f>
        <v>0</v>
      </c>
      <c r="N181" s="260"/>
      <c r="O181" s="260"/>
      <c r="P181" s="260"/>
      <c r="Q181" s="260"/>
      <c r="R181" s="108">
        <f>'1. Standard_Cost'!$B$15*N181*P181</f>
        <v>0</v>
      </c>
      <c r="S181" s="108">
        <f>N181*O181*P181*'1. Standard_Cost'!$C$15</f>
        <v>0</v>
      </c>
      <c r="T181" s="108">
        <f>N181*P181*Q181*'1. Standard_Cost'!$D$15</f>
        <v>0</v>
      </c>
      <c r="U181" s="108">
        <f>N181*O181*'1. Standard_Cost'!$E$15</f>
        <v>0</v>
      </c>
      <c r="V181" s="260"/>
      <c r="W181" s="260"/>
      <c r="X181" s="260"/>
      <c r="Y181" s="108">
        <f>+V181*((X181*'1. Standard_Cost'!$B$19)+(W181*X181*'1. Standard_Cost'!$C$19))</f>
        <v>0</v>
      </c>
      <c r="Z181" s="260"/>
      <c r="AA181" s="260"/>
      <c r="AB181" s="108">
        <f>+Z181*'1. Standard_Cost'!$B$23+AA181*'1. Standard_Cost'!$C$23</f>
        <v>0</v>
      </c>
      <c r="AC181" s="261"/>
      <c r="AD181" s="262"/>
      <c r="AE181" s="108">
        <f>SUM(AD181,AC181,AB181,Y181,U181,T181,S181,R181)*'1. Standard_Cost'!$B$31</f>
        <v>0</v>
      </c>
      <c r="AF181" s="108">
        <f t="shared" si="196"/>
        <v>0</v>
      </c>
      <c r="AG181" s="260"/>
      <c r="AH181" s="260"/>
      <c r="AI181" s="260"/>
      <c r="AJ181" s="263"/>
      <c r="AK181" s="263"/>
      <c r="AL181" s="263"/>
      <c r="AM181" s="108">
        <f>AG181*'1. Standard_Cost'!$B$27+'Incremental_Cost Year 10'!AH181*'1. Standard_Cost'!$C$27+'Incremental_Cost Year 10'!AI181*'1. Standard_Cost'!$D$27+'Incremental_Cost Year 10'!AJ181+'Incremental_Cost Year 10'!AL181+AK181</f>
        <v>0</v>
      </c>
      <c r="AN181" s="108">
        <f>AM181*'1. Standard_Cost'!$C$31</f>
        <v>0</v>
      </c>
      <c r="AO181" s="125" t="s">
        <v>396</v>
      </c>
      <c r="AQ181" s="14">
        <f t="shared" si="197"/>
        <v>0</v>
      </c>
      <c r="AR181" s="14">
        <f t="shared" si="198"/>
        <v>0</v>
      </c>
      <c r="AS181" s="14">
        <f t="shared" si="199"/>
        <v>0</v>
      </c>
      <c r="AT181" s="14">
        <f t="shared" ref="AT181:AT200" si="201">SUM(AQ181,AR181,AS181)</f>
        <v>0</v>
      </c>
      <c r="AU181" s="234"/>
      <c r="AV181" s="234"/>
      <c r="AW181" s="234"/>
      <c r="AX181" s="234"/>
      <c r="AY181" s="234"/>
      <c r="AZ181" s="234"/>
      <c r="BA181" s="234"/>
      <c r="BB181" s="16">
        <f t="shared" si="200"/>
        <v>0</v>
      </c>
      <c r="BD181" s="294">
        <f>'Incremental_Cost Year 1'!AV181+'Incremental_Cost Year 2'!AV181+'Incremental_Cost Year 3'!AV181+'Incremental_Cost Year 4'!AV181+'Incremental_Cost Year 5'!AV181+'Incremental_Cost Year 6'!AV181+'Incremental_Cost Year 7'!AV181+'Incremental_Cost Year 8'!AV181+'Incremental_Cost Year 9'!AV181+'Incremental_Cost Year 10'!AV181</f>
        <v>0</v>
      </c>
      <c r="BE181" s="294">
        <f>'Incremental_Cost Year 1'!AW181+'Incremental_Cost Year 2'!AW181+'Incremental_Cost Year 3'!AW181+'Incremental_Cost Year 4'!AW181+'Incremental_Cost Year 5'!AW181+'Incremental_Cost Year 6'!AW181+'Incremental_Cost Year 7'!AW181+'Incremental_Cost Year 8'!AW181+'Incremental_Cost Year 9'!AW181+'Incremental_Cost Year 10'!AW181</f>
        <v>0</v>
      </c>
      <c r="BF181" s="294">
        <f>'Incremental_Cost Year 1'!AX181+'Incremental_Cost Year 2'!AX181+'Incremental_Cost Year 3'!AX181+'Incremental_Cost Year 4'!AX181+'Incremental_Cost Year 5'!AX181+'Incremental_Cost Year 6'!AX181+'Incremental_Cost Year 7'!AX181+'Incremental_Cost Year 8'!AX181+'Incremental_Cost Year 9'!AX181+'Incremental_Cost Year 10'!AX181</f>
        <v>470400</v>
      </c>
      <c r="BG181" s="294">
        <f>'Incremental_Cost Year 1'!AY181+'Incremental_Cost Year 2'!AZ181+'Incremental_Cost Year 3'!AY181+'Incremental_Cost Year 4'!AY181+'Incremental_Cost Year 5'!AY181+'Incremental_Cost Year 6'!AY181+'Incremental_Cost Year 7'!AY181+'Incremental_Cost Year 8'!AY181+'Incremental_Cost Year 9'!AY181+'Incremental_Cost Year 10'!AY181</f>
        <v>0</v>
      </c>
      <c r="BH181" s="294">
        <f>'Incremental_Cost Year 1'!AZ181+'Incremental_Cost Year 2'!BA181+'Incremental_Cost Year 3'!AZ181+'Incremental_Cost Year 4'!AZ181+'Incremental_Cost Year 5'!AZ181+'Incremental_Cost Year 6'!AZ181+'Incremental_Cost Year 7'!AZ181+'Incremental_Cost Year 8'!AZ181+'Incremental_Cost Year 9'!AZ181+'Incremental_Cost Year 10'!AZ181</f>
        <v>0</v>
      </c>
      <c r="BI181" s="294">
        <f>'Incremental_Cost Year 1'!BA181+'Incremental_Cost Year 2'!BA181+'Incremental_Cost Year 3'!BA181+'Incremental_Cost Year 4'!BA181+'Incremental_Cost Year 5'!BA181+'Incremental_Cost Year 6'!BA181+'Incremental_Cost Year 7'!BA181+'Incremental_Cost Year 8'!BA181+'Incremental_Cost Year 9'!BA181+'Incremental_Cost Year 10'!BA181</f>
        <v>0</v>
      </c>
      <c r="BJ181" s="294">
        <f t="shared" si="149"/>
        <v>470400</v>
      </c>
    </row>
    <row r="182" spans="1:62" ht="15.6" outlineLevel="2">
      <c r="A182" s="98"/>
      <c r="B182" s="102"/>
      <c r="C182" s="23"/>
      <c r="D182" s="269"/>
      <c r="E182" s="271"/>
      <c r="F182" s="250"/>
      <c r="G182" s="255"/>
      <c r="H182" s="272"/>
      <c r="I182" s="258"/>
      <c r="J182" s="259"/>
      <c r="K182" s="259"/>
      <c r="L182" s="106" t="str">
        <f>IF(I182&lt;&gt;0,((VLOOKUP(I182,'1. Standard_Cost'!$B$4:$D$11,2)+VLOOKUP(I182,'1. Standard_Cost'!$B$4:$D$11,3))*J182*K182),"0")</f>
        <v>0</v>
      </c>
      <c r="M182" s="106">
        <f>L182*'1. Standard_Cost'!$F$4</f>
        <v>0</v>
      </c>
      <c r="N182" s="260"/>
      <c r="O182" s="260"/>
      <c r="P182" s="260"/>
      <c r="Q182" s="260"/>
      <c r="R182" s="108">
        <f>'1. Standard_Cost'!$B$15*N182*P182</f>
        <v>0</v>
      </c>
      <c r="S182" s="108">
        <f>N182*O182*P182*'1. Standard_Cost'!$C$15</f>
        <v>0</v>
      </c>
      <c r="T182" s="108">
        <f>N182*P182*Q182*'1. Standard_Cost'!$D$15</f>
        <v>0</v>
      </c>
      <c r="U182" s="108">
        <f>N182*O182*'1. Standard_Cost'!$E$15</f>
        <v>0</v>
      </c>
      <c r="V182" s="260"/>
      <c r="W182" s="260"/>
      <c r="X182" s="260"/>
      <c r="Y182" s="108">
        <f>+V182*((X182*'1. Standard_Cost'!$B$19)+(W182*X182*'1. Standard_Cost'!$C$19))</f>
        <v>0</v>
      </c>
      <c r="Z182" s="260"/>
      <c r="AA182" s="260"/>
      <c r="AB182" s="108">
        <f>+Z182*'1. Standard_Cost'!$B$23+AA182*'1. Standard_Cost'!$C$23</f>
        <v>0</v>
      </c>
      <c r="AC182" s="261"/>
      <c r="AD182" s="262"/>
      <c r="AE182" s="108">
        <f>SUM(AD182,AC182,AB182,Y182,U182,T182,S182,R182)*'1. Standard_Cost'!$B$31</f>
        <v>0</v>
      </c>
      <c r="AF182" s="108">
        <f t="shared" si="196"/>
        <v>0</v>
      </c>
      <c r="AG182" s="260"/>
      <c r="AH182" s="260"/>
      <c r="AI182" s="260"/>
      <c r="AJ182" s="263"/>
      <c r="AK182" s="263"/>
      <c r="AL182" s="263"/>
      <c r="AM182" s="108">
        <f>AG182*'1. Standard_Cost'!$B$27+'Incremental_Cost Year 10'!AH182*'1. Standard_Cost'!$C$27+'Incremental_Cost Year 10'!AI182*'1. Standard_Cost'!$D$27+'Incremental_Cost Year 10'!AJ182+'Incremental_Cost Year 10'!AL182+AK182</f>
        <v>0</v>
      </c>
      <c r="AN182" s="108">
        <f>AM182*'1. Standard_Cost'!$C$31</f>
        <v>0</v>
      </c>
      <c r="AO182" s="125" t="s">
        <v>397</v>
      </c>
      <c r="AQ182" s="14">
        <f t="shared" si="197"/>
        <v>0</v>
      </c>
      <c r="AR182" s="14">
        <f t="shared" si="198"/>
        <v>0</v>
      </c>
      <c r="AS182" s="14">
        <f t="shared" si="199"/>
        <v>0</v>
      </c>
      <c r="AT182" s="14">
        <f t="shared" si="201"/>
        <v>0</v>
      </c>
      <c r="AU182" s="234"/>
      <c r="AV182" s="234"/>
      <c r="AW182" s="234"/>
      <c r="AX182" s="234"/>
      <c r="AY182" s="234"/>
      <c r="AZ182" s="234"/>
      <c r="BA182" s="234"/>
      <c r="BB182" s="16">
        <f t="shared" si="200"/>
        <v>0</v>
      </c>
      <c r="BD182" s="294">
        <f>'Incremental_Cost Year 1'!AV182+'Incremental_Cost Year 2'!AV182+'Incremental_Cost Year 3'!AV182+'Incremental_Cost Year 4'!AV182+'Incremental_Cost Year 5'!AV182+'Incremental_Cost Year 6'!AV182+'Incremental_Cost Year 7'!AV182+'Incremental_Cost Year 8'!AV182+'Incremental_Cost Year 9'!AV182+'Incremental_Cost Year 10'!AV182</f>
        <v>0</v>
      </c>
      <c r="BE182" s="294">
        <f>'Incremental_Cost Year 1'!AW182+'Incremental_Cost Year 2'!AW182+'Incremental_Cost Year 3'!AW182+'Incremental_Cost Year 4'!AW182+'Incremental_Cost Year 5'!AW182+'Incremental_Cost Year 6'!AW182+'Incremental_Cost Year 7'!AW182+'Incremental_Cost Year 8'!AW182+'Incremental_Cost Year 9'!AW182+'Incremental_Cost Year 10'!AW182</f>
        <v>0</v>
      </c>
      <c r="BF182" s="294">
        <f>'Incremental_Cost Year 1'!AX182+'Incremental_Cost Year 2'!AX182+'Incremental_Cost Year 3'!AX182+'Incremental_Cost Year 4'!AX182+'Incremental_Cost Year 5'!AX182+'Incremental_Cost Year 6'!AX182+'Incremental_Cost Year 7'!AX182+'Incremental_Cost Year 8'!AX182+'Incremental_Cost Year 9'!AX182+'Incremental_Cost Year 10'!AX182</f>
        <v>0</v>
      </c>
      <c r="BG182" s="294">
        <f>'Incremental_Cost Year 1'!AY182+'Incremental_Cost Year 2'!AZ182+'Incremental_Cost Year 3'!AY182+'Incremental_Cost Year 4'!AY182+'Incremental_Cost Year 5'!AY182+'Incremental_Cost Year 6'!AY182+'Incremental_Cost Year 7'!AY182+'Incremental_Cost Year 8'!AY182+'Incremental_Cost Year 9'!AY182+'Incremental_Cost Year 10'!AY182</f>
        <v>0</v>
      </c>
      <c r="BH182" s="294">
        <f>'Incremental_Cost Year 1'!AZ182+'Incremental_Cost Year 2'!BA182+'Incremental_Cost Year 3'!AZ182+'Incremental_Cost Year 4'!AZ182+'Incremental_Cost Year 5'!AZ182+'Incremental_Cost Year 6'!AZ182+'Incremental_Cost Year 7'!AZ182+'Incremental_Cost Year 8'!AZ182+'Incremental_Cost Year 9'!AZ182+'Incremental_Cost Year 10'!AZ182</f>
        <v>0</v>
      </c>
      <c r="BI182" s="294">
        <f>'Incremental_Cost Year 1'!BA182+'Incremental_Cost Year 2'!BA182+'Incremental_Cost Year 3'!BA182+'Incremental_Cost Year 4'!BA182+'Incremental_Cost Year 5'!BA182+'Incremental_Cost Year 6'!BA182+'Incremental_Cost Year 7'!BA182+'Incremental_Cost Year 8'!BA182+'Incremental_Cost Year 9'!BA182+'Incremental_Cost Year 10'!BA182</f>
        <v>0</v>
      </c>
      <c r="BJ182" s="294">
        <f t="shared" si="149"/>
        <v>0</v>
      </c>
    </row>
    <row r="183" spans="1:62" ht="15.6" outlineLevel="2">
      <c r="A183" s="98"/>
      <c r="B183" s="102"/>
      <c r="C183" s="23"/>
      <c r="D183" s="269"/>
      <c r="E183" s="271"/>
      <c r="F183" s="250"/>
      <c r="G183" s="255"/>
      <c r="H183" s="272"/>
      <c r="I183" s="258"/>
      <c r="J183" s="259"/>
      <c r="K183" s="259"/>
      <c r="L183" s="106" t="str">
        <f>IF(I183&lt;&gt;0,((VLOOKUP(I183,'1. Standard_Cost'!$B$4:$D$11,2)+VLOOKUP(I183,'1. Standard_Cost'!$B$4:$D$11,3))*J183*K183),"0")</f>
        <v>0</v>
      </c>
      <c r="M183" s="106">
        <f>L183*'1. Standard_Cost'!$F$4</f>
        <v>0</v>
      </c>
      <c r="N183" s="260"/>
      <c r="O183" s="260"/>
      <c r="P183" s="260"/>
      <c r="Q183" s="260"/>
      <c r="R183" s="108">
        <f>'1. Standard_Cost'!$B$15*N183*P183</f>
        <v>0</v>
      </c>
      <c r="S183" s="108">
        <f>N183*O183*P183*'1. Standard_Cost'!$C$15</f>
        <v>0</v>
      </c>
      <c r="T183" s="108">
        <f>N183*P183*Q183*'1. Standard_Cost'!$D$15</f>
        <v>0</v>
      </c>
      <c r="U183" s="108">
        <f>N183*O183*'1. Standard_Cost'!$E$15</f>
        <v>0</v>
      </c>
      <c r="V183" s="260"/>
      <c r="W183" s="260"/>
      <c r="X183" s="260"/>
      <c r="Y183" s="108">
        <f>+V183*((X183*'1. Standard_Cost'!$B$19)+(W183*X183*'1. Standard_Cost'!$C$19))</f>
        <v>0</v>
      </c>
      <c r="Z183" s="260"/>
      <c r="AA183" s="260"/>
      <c r="AB183" s="108">
        <f>+Z183*'1. Standard_Cost'!$B$23+AA183*'1. Standard_Cost'!$C$23</f>
        <v>0</v>
      </c>
      <c r="AC183" s="261"/>
      <c r="AD183" s="262"/>
      <c r="AE183" s="108">
        <f>SUM(AD183,AC183,AB183,Y183,U183,T183,S183,R183)*'1. Standard_Cost'!$B$31</f>
        <v>0</v>
      </c>
      <c r="AF183" s="108">
        <f t="shared" si="196"/>
        <v>0</v>
      </c>
      <c r="AG183" s="260"/>
      <c r="AH183" s="260"/>
      <c r="AI183" s="260"/>
      <c r="AJ183" s="263"/>
      <c r="AK183" s="263"/>
      <c r="AL183" s="263"/>
      <c r="AM183" s="108">
        <f>AG183*'1. Standard_Cost'!$B$27+'Incremental_Cost Year 10'!AH183*'1. Standard_Cost'!$C$27+'Incremental_Cost Year 10'!AI183*'1. Standard_Cost'!$D$27+'Incremental_Cost Year 10'!AJ183+'Incremental_Cost Year 10'!AL183+AK183</f>
        <v>0</v>
      </c>
      <c r="AN183" s="108">
        <f>AM183*'1. Standard_Cost'!$C$31</f>
        <v>0</v>
      </c>
      <c r="AO183" s="125" t="s">
        <v>398</v>
      </c>
      <c r="AQ183" s="14">
        <f t="shared" si="197"/>
        <v>0</v>
      </c>
      <c r="AR183" s="14">
        <f t="shared" si="198"/>
        <v>0</v>
      </c>
      <c r="AS183" s="14">
        <f t="shared" si="199"/>
        <v>0</v>
      </c>
      <c r="AT183" s="14">
        <f t="shared" si="201"/>
        <v>0</v>
      </c>
      <c r="AU183" s="234"/>
      <c r="AV183" s="234"/>
      <c r="AW183" s="234"/>
      <c r="AX183" s="234"/>
      <c r="AY183" s="234"/>
      <c r="AZ183" s="234"/>
      <c r="BA183" s="234"/>
      <c r="BB183" s="16">
        <f t="shared" si="200"/>
        <v>0</v>
      </c>
      <c r="BD183" s="294">
        <f>'Incremental_Cost Year 1'!AV183+'Incremental_Cost Year 2'!AV183+'Incremental_Cost Year 3'!AV183+'Incremental_Cost Year 4'!AV183+'Incremental_Cost Year 5'!AV183+'Incremental_Cost Year 6'!AV183+'Incremental_Cost Year 7'!AV183+'Incremental_Cost Year 8'!AV183+'Incremental_Cost Year 9'!AV183+'Incremental_Cost Year 10'!AV183</f>
        <v>0</v>
      </c>
      <c r="BE183" s="294">
        <f>'Incremental_Cost Year 1'!AW183+'Incremental_Cost Year 2'!AW183+'Incremental_Cost Year 3'!AW183+'Incremental_Cost Year 4'!AW183+'Incremental_Cost Year 5'!AW183+'Incremental_Cost Year 6'!AW183+'Incremental_Cost Year 7'!AW183+'Incremental_Cost Year 8'!AW183+'Incremental_Cost Year 9'!AW183+'Incremental_Cost Year 10'!AW183</f>
        <v>0</v>
      </c>
      <c r="BF183" s="294">
        <f>'Incremental_Cost Year 1'!AX183+'Incremental_Cost Year 2'!AX183+'Incremental_Cost Year 3'!AX183+'Incremental_Cost Year 4'!AX183+'Incremental_Cost Year 5'!AX183+'Incremental_Cost Year 6'!AX183+'Incremental_Cost Year 7'!AX183+'Incremental_Cost Year 8'!AX183+'Incremental_Cost Year 9'!AX183+'Incremental_Cost Year 10'!AX183</f>
        <v>0</v>
      </c>
      <c r="BG183" s="294">
        <f>'Incremental_Cost Year 1'!AY183+'Incremental_Cost Year 2'!AZ183+'Incremental_Cost Year 3'!AY183+'Incremental_Cost Year 4'!AY183+'Incremental_Cost Year 5'!AY183+'Incremental_Cost Year 6'!AY183+'Incremental_Cost Year 7'!AY183+'Incremental_Cost Year 8'!AY183+'Incremental_Cost Year 9'!AY183+'Incremental_Cost Year 10'!AY183</f>
        <v>0</v>
      </c>
      <c r="BH183" s="294">
        <f>'Incremental_Cost Year 1'!AZ183+'Incremental_Cost Year 2'!BA183+'Incremental_Cost Year 3'!AZ183+'Incremental_Cost Year 4'!AZ183+'Incremental_Cost Year 5'!AZ183+'Incremental_Cost Year 6'!AZ183+'Incremental_Cost Year 7'!AZ183+'Incremental_Cost Year 8'!AZ183+'Incremental_Cost Year 9'!AZ183+'Incremental_Cost Year 10'!AZ183</f>
        <v>0</v>
      </c>
      <c r="BI183" s="294">
        <f>'Incremental_Cost Year 1'!BA183+'Incremental_Cost Year 2'!BA183+'Incremental_Cost Year 3'!BA183+'Incremental_Cost Year 4'!BA183+'Incremental_Cost Year 5'!BA183+'Incremental_Cost Year 6'!BA183+'Incremental_Cost Year 7'!BA183+'Incremental_Cost Year 8'!BA183+'Incremental_Cost Year 9'!BA183+'Incremental_Cost Year 10'!BA183</f>
        <v>0</v>
      </c>
      <c r="BJ183" s="294">
        <f t="shared" si="149"/>
        <v>0</v>
      </c>
    </row>
    <row r="184" spans="1:62" ht="15.6" outlineLevel="2">
      <c r="A184" s="98"/>
      <c r="B184" s="102"/>
      <c r="C184" s="23"/>
      <c r="D184" s="269"/>
      <c r="E184" s="271"/>
      <c r="F184" s="250"/>
      <c r="G184" s="255"/>
      <c r="H184" s="272"/>
      <c r="I184" s="258"/>
      <c r="J184" s="259"/>
      <c r="K184" s="259"/>
      <c r="L184" s="106" t="str">
        <f>IF(I184&lt;&gt;0,((VLOOKUP(I184,'1. Standard_Cost'!$B$4:$D$11,2)+VLOOKUP(I184,'1. Standard_Cost'!$B$4:$D$11,3))*J184*K184),"0")</f>
        <v>0</v>
      </c>
      <c r="M184" s="106">
        <f>L184*'1. Standard_Cost'!$F$4</f>
        <v>0</v>
      </c>
      <c r="N184" s="260"/>
      <c r="O184" s="260"/>
      <c r="P184" s="260"/>
      <c r="Q184" s="260"/>
      <c r="R184" s="108">
        <f>'1. Standard_Cost'!$B$15*N184*P184</f>
        <v>0</v>
      </c>
      <c r="S184" s="108">
        <f>N184*O184*P184*'1. Standard_Cost'!$C$15</f>
        <v>0</v>
      </c>
      <c r="T184" s="108">
        <f>N184*P184*Q184*'1. Standard_Cost'!$D$15</f>
        <v>0</v>
      </c>
      <c r="U184" s="108">
        <f>N184*O184*'1. Standard_Cost'!$E$15</f>
        <v>0</v>
      </c>
      <c r="V184" s="260"/>
      <c r="W184" s="260"/>
      <c r="X184" s="260"/>
      <c r="Y184" s="108">
        <f>+V184*((X184*'1. Standard_Cost'!$B$19)+(W184*X184*'1. Standard_Cost'!$C$19))</f>
        <v>0</v>
      </c>
      <c r="Z184" s="260"/>
      <c r="AA184" s="260"/>
      <c r="AB184" s="108">
        <f>+Z184*'1. Standard_Cost'!$B$23+AA184*'1. Standard_Cost'!$C$23</f>
        <v>0</v>
      </c>
      <c r="AC184" s="261"/>
      <c r="AD184" s="262"/>
      <c r="AE184" s="108">
        <f>SUM(AD184,AC184,AB184,Y184,U184,T184,S184,R184)*'1. Standard_Cost'!$B$31</f>
        <v>0</v>
      </c>
      <c r="AF184" s="108">
        <f t="shared" si="196"/>
        <v>0</v>
      </c>
      <c r="AG184" s="260"/>
      <c r="AH184" s="260"/>
      <c r="AI184" s="260"/>
      <c r="AJ184" s="263"/>
      <c r="AK184" s="263"/>
      <c r="AL184" s="263"/>
      <c r="AM184" s="108">
        <f>AG184*'1. Standard_Cost'!$B$27+'Incremental_Cost Year 10'!AH184*'1. Standard_Cost'!$C$27+'Incremental_Cost Year 10'!AI184*'1. Standard_Cost'!$D$27+'Incremental_Cost Year 10'!AJ184+'Incremental_Cost Year 10'!AL184+AK184</f>
        <v>0</v>
      </c>
      <c r="AN184" s="108">
        <f>AM184*'1. Standard_Cost'!$C$31</f>
        <v>0</v>
      </c>
      <c r="AO184" s="125" t="s">
        <v>399</v>
      </c>
      <c r="AQ184" s="14">
        <f t="shared" si="197"/>
        <v>0</v>
      </c>
      <c r="AR184" s="14">
        <f t="shared" si="198"/>
        <v>0</v>
      </c>
      <c r="AS184" s="14">
        <f t="shared" si="199"/>
        <v>0</v>
      </c>
      <c r="AT184" s="14">
        <f t="shared" si="201"/>
        <v>0</v>
      </c>
      <c r="AU184" s="234"/>
      <c r="AV184" s="234"/>
      <c r="AW184" s="234"/>
      <c r="AX184" s="234"/>
      <c r="AY184" s="234"/>
      <c r="AZ184" s="234"/>
      <c r="BA184" s="234"/>
      <c r="BB184" s="16">
        <f t="shared" si="200"/>
        <v>0</v>
      </c>
      <c r="BD184" s="294">
        <f>'Incremental_Cost Year 1'!AV184+'Incremental_Cost Year 2'!AV184+'Incremental_Cost Year 3'!AV184+'Incremental_Cost Year 4'!AV184+'Incremental_Cost Year 5'!AV184+'Incremental_Cost Year 6'!AV184+'Incremental_Cost Year 7'!AV184+'Incremental_Cost Year 8'!AV184+'Incremental_Cost Year 9'!AV184+'Incremental_Cost Year 10'!AV184</f>
        <v>0</v>
      </c>
      <c r="BE184" s="294">
        <f>'Incremental_Cost Year 1'!AW184+'Incremental_Cost Year 2'!AW184+'Incremental_Cost Year 3'!AW184+'Incremental_Cost Year 4'!AW184+'Incremental_Cost Year 5'!AW184+'Incremental_Cost Year 6'!AW184+'Incremental_Cost Year 7'!AW184+'Incremental_Cost Year 8'!AW184+'Incremental_Cost Year 9'!AW184+'Incremental_Cost Year 10'!AW184</f>
        <v>0</v>
      </c>
      <c r="BF184" s="294">
        <f>'Incremental_Cost Year 1'!AX184+'Incremental_Cost Year 2'!AX184+'Incremental_Cost Year 3'!AX184+'Incremental_Cost Year 4'!AX184+'Incremental_Cost Year 5'!AX184+'Incremental_Cost Year 6'!AX184+'Incremental_Cost Year 7'!AX184+'Incremental_Cost Year 8'!AX184+'Incremental_Cost Year 9'!AX184+'Incremental_Cost Year 10'!AX184</f>
        <v>0</v>
      </c>
      <c r="BG184" s="294">
        <f>'Incremental_Cost Year 1'!AY184+'Incremental_Cost Year 2'!AZ184+'Incremental_Cost Year 3'!AY184+'Incremental_Cost Year 4'!AY184+'Incremental_Cost Year 5'!AY184+'Incremental_Cost Year 6'!AY184+'Incremental_Cost Year 7'!AY184+'Incremental_Cost Year 8'!AY184+'Incremental_Cost Year 9'!AY184+'Incremental_Cost Year 10'!AY184</f>
        <v>15288970.5</v>
      </c>
      <c r="BH184" s="294">
        <f>'Incremental_Cost Year 1'!AZ184+'Incremental_Cost Year 2'!BA184+'Incremental_Cost Year 3'!AZ184+'Incremental_Cost Year 4'!AZ184+'Incremental_Cost Year 5'!AZ184+'Incremental_Cost Year 6'!AZ184+'Incremental_Cost Year 7'!AZ184+'Incremental_Cost Year 8'!AZ184+'Incremental_Cost Year 9'!AZ184+'Incremental_Cost Year 10'!AZ184</f>
        <v>11567600</v>
      </c>
      <c r="BI184" s="294">
        <f>'Incremental_Cost Year 1'!BA184+'Incremental_Cost Year 2'!BA184+'Incremental_Cost Year 3'!BA184+'Incremental_Cost Year 4'!BA184+'Incremental_Cost Year 5'!BA184+'Incremental_Cost Year 6'!BA184+'Incremental_Cost Year 7'!BA184+'Incremental_Cost Year 8'!BA184+'Incremental_Cost Year 9'!BA184+'Incremental_Cost Year 10'!BA184</f>
        <v>0</v>
      </c>
      <c r="BJ184" s="294">
        <f t="shared" si="149"/>
        <v>26856570.5</v>
      </c>
    </row>
    <row r="185" spans="1:62" ht="15.6" outlineLevel="2">
      <c r="A185" s="98"/>
      <c r="B185" s="102"/>
      <c r="C185" s="23"/>
      <c r="D185" s="269"/>
      <c r="E185" s="271"/>
      <c r="F185" s="250"/>
      <c r="G185" s="255"/>
      <c r="H185" s="272"/>
      <c r="I185" s="258"/>
      <c r="J185" s="259"/>
      <c r="K185" s="259"/>
      <c r="L185" s="106" t="str">
        <f>IF(I185&lt;&gt;0,((VLOOKUP(I185,'1. Standard_Cost'!$B$4:$D$11,2)+VLOOKUP(I185,'1. Standard_Cost'!$B$4:$D$11,3))*J185*K185),"0")</f>
        <v>0</v>
      </c>
      <c r="M185" s="106">
        <f>L185*'1. Standard_Cost'!$F$4</f>
        <v>0</v>
      </c>
      <c r="N185" s="260"/>
      <c r="O185" s="260"/>
      <c r="P185" s="260"/>
      <c r="Q185" s="260"/>
      <c r="R185" s="108">
        <f>'1. Standard_Cost'!$B$15*N185*P185</f>
        <v>0</v>
      </c>
      <c r="S185" s="108">
        <f>N185*O185*P185*'1. Standard_Cost'!$C$15</f>
        <v>0</v>
      </c>
      <c r="T185" s="108">
        <f>N185*P185*Q185*'1. Standard_Cost'!$D$15</f>
        <v>0</v>
      </c>
      <c r="U185" s="108">
        <f>N185*O185*'1. Standard_Cost'!$E$15</f>
        <v>0</v>
      </c>
      <c r="V185" s="260"/>
      <c r="W185" s="260"/>
      <c r="X185" s="260"/>
      <c r="Y185" s="108">
        <f>+V185*((X185*'1. Standard_Cost'!$B$19)+(W185*X185*'1. Standard_Cost'!$C$19))</f>
        <v>0</v>
      </c>
      <c r="Z185" s="260"/>
      <c r="AA185" s="260"/>
      <c r="AB185" s="108">
        <f>+Z185*'1. Standard_Cost'!$B$23+AA185*'1. Standard_Cost'!$C$23</f>
        <v>0</v>
      </c>
      <c r="AC185" s="261"/>
      <c r="AD185" s="262"/>
      <c r="AE185" s="108">
        <f>SUM(AD185,AC185,AB185,Y185,U185,T185,S185,R185)*'1. Standard_Cost'!$B$31</f>
        <v>0</v>
      </c>
      <c r="AF185" s="108">
        <f t="shared" si="196"/>
        <v>0</v>
      </c>
      <c r="AG185" s="260"/>
      <c r="AH185" s="260"/>
      <c r="AI185" s="260"/>
      <c r="AJ185" s="263"/>
      <c r="AK185" s="263"/>
      <c r="AL185" s="263"/>
      <c r="AM185" s="108">
        <f>AG185*'1. Standard_Cost'!$B$27+'Incremental_Cost Year 10'!AH185*'1. Standard_Cost'!$C$27+'Incremental_Cost Year 10'!AI185*'1. Standard_Cost'!$D$27+'Incremental_Cost Year 10'!AJ185+'Incremental_Cost Year 10'!AL185+AK185</f>
        <v>0</v>
      </c>
      <c r="AN185" s="108">
        <f>AM185*'1. Standard_Cost'!$C$31</f>
        <v>0</v>
      </c>
      <c r="AO185" s="125" t="s">
        <v>400</v>
      </c>
      <c r="AQ185" s="14">
        <f t="shared" si="197"/>
        <v>0</v>
      </c>
      <c r="AR185" s="14">
        <f t="shared" si="198"/>
        <v>0</v>
      </c>
      <c r="AS185" s="14">
        <f t="shared" si="199"/>
        <v>0</v>
      </c>
      <c r="AT185" s="14">
        <f t="shared" si="201"/>
        <v>0</v>
      </c>
      <c r="AU185" s="234"/>
      <c r="AV185" s="234"/>
      <c r="AW185" s="234"/>
      <c r="AX185" s="234"/>
      <c r="AY185" s="234"/>
      <c r="AZ185" s="234"/>
      <c r="BA185" s="234"/>
      <c r="BB185" s="16">
        <f t="shared" si="200"/>
        <v>0</v>
      </c>
      <c r="BD185" s="294">
        <f>'Incremental_Cost Year 1'!AV185+'Incremental_Cost Year 2'!AV185+'Incremental_Cost Year 3'!AV185+'Incremental_Cost Year 4'!AV185+'Incremental_Cost Year 5'!AV185+'Incremental_Cost Year 6'!AV185+'Incremental_Cost Year 7'!AV185+'Incremental_Cost Year 8'!AV185+'Incremental_Cost Year 9'!AV185+'Incremental_Cost Year 10'!AV185</f>
        <v>0</v>
      </c>
      <c r="BE185" s="294">
        <f>'Incremental_Cost Year 1'!AW185+'Incremental_Cost Year 2'!AW185+'Incremental_Cost Year 3'!AW185+'Incremental_Cost Year 4'!AW185+'Incremental_Cost Year 5'!AW185+'Incremental_Cost Year 6'!AW185+'Incremental_Cost Year 7'!AW185+'Incremental_Cost Year 8'!AW185+'Incremental_Cost Year 9'!AW185+'Incremental_Cost Year 10'!AW185</f>
        <v>0</v>
      </c>
      <c r="BF185" s="294">
        <f>'Incremental_Cost Year 1'!AX185+'Incremental_Cost Year 2'!AX185+'Incremental_Cost Year 3'!AX185+'Incremental_Cost Year 4'!AX185+'Incremental_Cost Year 5'!AX185+'Incremental_Cost Year 6'!AX185+'Incremental_Cost Year 7'!AX185+'Incremental_Cost Year 8'!AX185+'Incremental_Cost Year 9'!AX185+'Incremental_Cost Year 10'!AX185</f>
        <v>0</v>
      </c>
      <c r="BG185" s="294">
        <f>'Incremental_Cost Year 1'!AY185+'Incremental_Cost Year 2'!AZ185+'Incremental_Cost Year 3'!AY185+'Incremental_Cost Year 4'!AY185+'Incremental_Cost Year 5'!AY185+'Incremental_Cost Year 6'!AY185+'Incremental_Cost Year 7'!AY185+'Incremental_Cost Year 8'!AY185+'Incremental_Cost Year 9'!AY185+'Incremental_Cost Year 10'!AY185</f>
        <v>684000</v>
      </c>
      <c r="BH185" s="294">
        <f>'Incremental_Cost Year 1'!AZ185+'Incremental_Cost Year 2'!BA185+'Incremental_Cost Year 3'!AZ185+'Incremental_Cost Year 4'!AZ185+'Incremental_Cost Year 5'!AZ185+'Incremental_Cost Year 6'!AZ185+'Incremental_Cost Year 7'!AZ185+'Incremental_Cost Year 8'!AZ185+'Incremental_Cost Year 9'!AZ185+'Incremental_Cost Year 10'!AZ185</f>
        <v>570000</v>
      </c>
      <c r="BI185" s="294">
        <f>'Incremental_Cost Year 1'!BA185+'Incremental_Cost Year 2'!BA185+'Incremental_Cost Year 3'!BA185+'Incremental_Cost Year 4'!BA185+'Incremental_Cost Year 5'!BA185+'Incremental_Cost Year 6'!BA185+'Incremental_Cost Year 7'!BA185+'Incremental_Cost Year 8'!BA185+'Incremental_Cost Year 9'!BA185+'Incremental_Cost Year 10'!BA185</f>
        <v>0</v>
      </c>
      <c r="BJ185" s="294">
        <f t="shared" si="149"/>
        <v>1254000</v>
      </c>
    </row>
    <row r="186" spans="1:62" ht="15.6" outlineLevel="2">
      <c r="A186" s="98"/>
      <c r="B186" s="102"/>
      <c r="C186" s="23"/>
      <c r="D186" s="269"/>
      <c r="E186" s="271"/>
      <c r="F186" s="250"/>
      <c r="G186" s="255"/>
      <c r="H186" s="272"/>
      <c r="I186" s="258"/>
      <c r="J186" s="259"/>
      <c r="K186" s="259"/>
      <c r="L186" s="106" t="str">
        <f>IF(I186&lt;&gt;0,((VLOOKUP(I186,'1. Standard_Cost'!$B$4:$D$11,2)+VLOOKUP(I186,'1. Standard_Cost'!$B$4:$D$11,3))*J186*K186),"0")</f>
        <v>0</v>
      </c>
      <c r="M186" s="106">
        <f>L186*'1. Standard_Cost'!$F$4</f>
        <v>0</v>
      </c>
      <c r="N186" s="260"/>
      <c r="O186" s="260"/>
      <c r="P186" s="260"/>
      <c r="Q186" s="260"/>
      <c r="R186" s="108">
        <f>'1. Standard_Cost'!$B$15*N186*P186</f>
        <v>0</v>
      </c>
      <c r="S186" s="108">
        <f>N186*O186*P186*'1. Standard_Cost'!$C$15</f>
        <v>0</v>
      </c>
      <c r="T186" s="108">
        <f>N186*P186*Q186*'1. Standard_Cost'!$D$15</f>
        <v>0</v>
      </c>
      <c r="U186" s="108">
        <f>N186*O186*'1. Standard_Cost'!$E$15</f>
        <v>0</v>
      </c>
      <c r="V186" s="260"/>
      <c r="W186" s="260"/>
      <c r="X186" s="260"/>
      <c r="Y186" s="108">
        <f>+V186*((X186*'1. Standard_Cost'!$B$19)+(W186*X186*'1. Standard_Cost'!$C$19))</f>
        <v>0</v>
      </c>
      <c r="Z186" s="260"/>
      <c r="AA186" s="260"/>
      <c r="AB186" s="108">
        <f>+Z186*'1. Standard_Cost'!$B$23+AA186*'1. Standard_Cost'!$C$23</f>
        <v>0</v>
      </c>
      <c r="AC186" s="261"/>
      <c r="AD186" s="262"/>
      <c r="AE186" s="108">
        <f>SUM(AD186,AC186,AB186,Y186,U186,T186,S186,R186)*'1. Standard_Cost'!$B$31</f>
        <v>0</v>
      </c>
      <c r="AF186" s="108">
        <f t="shared" si="196"/>
        <v>0</v>
      </c>
      <c r="AG186" s="260"/>
      <c r="AH186" s="260"/>
      <c r="AI186" s="260"/>
      <c r="AJ186" s="263"/>
      <c r="AK186" s="263"/>
      <c r="AL186" s="263"/>
      <c r="AM186" s="108">
        <f>AG186*'1. Standard_Cost'!$B$27+'Incremental_Cost Year 10'!AH186*'1. Standard_Cost'!$C$27+'Incremental_Cost Year 10'!AI186*'1. Standard_Cost'!$D$27+'Incremental_Cost Year 10'!AJ186+'Incremental_Cost Year 10'!AL186+AK186</f>
        <v>0</v>
      </c>
      <c r="AN186" s="108">
        <f>AM186*'1. Standard_Cost'!$C$31</f>
        <v>0</v>
      </c>
      <c r="AO186" s="125" t="s">
        <v>401</v>
      </c>
      <c r="AQ186" s="14">
        <f t="shared" si="197"/>
        <v>0</v>
      </c>
      <c r="AR186" s="14">
        <f t="shared" si="198"/>
        <v>0</v>
      </c>
      <c r="AS186" s="14">
        <f t="shared" si="199"/>
        <v>0</v>
      </c>
      <c r="AT186" s="14">
        <f t="shared" si="201"/>
        <v>0</v>
      </c>
      <c r="AU186" s="234"/>
      <c r="AV186" s="234"/>
      <c r="AW186" s="234"/>
      <c r="AX186" s="234"/>
      <c r="AY186" s="234"/>
      <c r="AZ186" s="234"/>
      <c r="BA186" s="234"/>
      <c r="BB186" s="16">
        <f t="shared" si="200"/>
        <v>0</v>
      </c>
      <c r="BD186" s="294">
        <f>'Incremental_Cost Year 1'!AV186+'Incremental_Cost Year 2'!AV186+'Incremental_Cost Year 3'!AV186+'Incremental_Cost Year 4'!AV186+'Incremental_Cost Year 5'!AV186+'Incremental_Cost Year 6'!AV186+'Incremental_Cost Year 7'!AV186+'Incremental_Cost Year 8'!AV186+'Incremental_Cost Year 9'!AV186+'Incremental_Cost Year 10'!AV186</f>
        <v>0</v>
      </c>
      <c r="BE186" s="294">
        <f>'Incremental_Cost Year 1'!AW186+'Incremental_Cost Year 2'!AW186+'Incremental_Cost Year 3'!AW186+'Incremental_Cost Year 4'!AW186+'Incremental_Cost Year 5'!AW186+'Incremental_Cost Year 6'!AW186+'Incremental_Cost Year 7'!AW186+'Incremental_Cost Year 8'!AW186+'Incremental_Cost Year 9'!AW186+'Incremental_Cost Year 10'!AW186</f>
        <v>0</v>
      </c>
      <c r="BF186" s="294">
        <f>'Incremental_Cost Year 1'!AX186+'Incremental_Cost Year 2'!AX186+'Incremental_Cost Year 3'!AX186+'Incremental_Cost Year 4'!AX186+'Incremental_Cost Year 5'!AX186+'Incremental_Cost Year 6'!AX186+'Incremental_Cost Year 7'!AX186+'Incremental_Cost Year 8'!AX186+'Incremental_Cost Year 9'!AX186+'Incremental_Cost Year 10'!AX186</f>
        <v>0</v>
      </c>
      <c r="BG186" s="294">
        <f>'Incremental_Cost Year 1'!AY186+'Incremental_Cost Year 2'!AZ186+'Incremental_Cost Year 3'!AY186+'Incremental_Cost Year 4'!AY186+'Incremental_Cost Year 5'!AY186+'Incremental_Cost Year 6'!AY186+'Incremental_Cost Year 7'!AY186+'Incremental_Cost Year 8'!AY186+'Incremental_Cost Year 9'!AY186+'Incremental_Cost Year 10'!AY186</f>
        <v>0</v>
      </c>
      <c r="BH186" s="294">
        <f>'Incremental_Cost Year 1'!AZ186+'Incremental_Cost Year 2'!BA186+'Incremental_Cost Year 3'!AZ186+'Incremental_Cost Year 4'!AZ186+'Incremental_Cost Year 5'!AZ186+'Incremental_Cost Year 6'!AZ186+'Incremental_Cost Year 7'!AZ186+'Incremental_Cost Year 8'!AZ186+'Incremental_Cost Year 9'!AZ186+'Incremental_Cost Year 10'!AZ186</f>
        <v>0</v>
      </c>
      <c r="BI186" s="294">
        <f>'Incremental_Cost Year 1'!BA186+'Incremental_Cost Year 2'!BA186+'Incremental_Cost Year 3'!BA186+'Incremental_Cost Year 4'!BA186+'Incremental_Cost Year 5'!BA186+'Incremental_Cost Year 6'!BA186+'Incremental_Cost Year 7'!BA186+'Incremental_Cost Year 8'!BA186+'Incremental_Cost Year 9'!BA186+'Incremental_Cost Year 10'!BA186</f>
        <v>0</v>
      </c>
      <c r="BJ186" s="294">
        <f t="shared" si="149"/>
        <v>0</v>
      </c>
    </row>
    <row r="187" spans="1:62" ht="15.6" outlineLevel="2">
      <c r="A187" s="98"/>
      <c r="B187" s="102"/>
      <c r="C187" s="23"/>
      <c r="D187" s="269"/>
      <c r="E187" s="271"/>
      <c r="F187" s="250"/>
      <c r="G187" s="255"/>
      <c r="H187" s="272"/>
      <c r="I187" s="258"/>
      <c r="J187" s="259"/>
      <c r="K187" s="259"/>
      <c r="L187" s="106" t="str">
        <f>IF(I187&lt;&gt;0,((VLOOKUP(I187,'1. Standard_Cost'!$B$4:$D$11,2)+VLOOKUP(I187,'1. Standard_Cost'!$B$4:$D$11,3))*J187*K187),"0")</f>
        <v>0</v>
      </c>
      <c r="M187" s="106">
        <f>L187*'1. Standard_Cost'!$F$4</f>
        <v>0</v>
      </c>
      <c r="N187" s="260"/>
      <c r="O187" s="260"/>
      <c r="P187" s="260"/>
      <c r="Q187" s="260"/>
      <c r="R187" s="108">
        <f>'1. Standard_Cost'!$B$15*N187*P187</f>
        <v>0</v>
      </c>
      <c r="S187" s="108">
        <f>N187*O187*P187*'1. Standard_Cost'!$C$15</f>
        <v>0</v>
      </c>
      <c r="T187" s="108">
        <f>N187*P187*Q187*'1. Standard_Cost'!$D$15</f>
        <v>0</v>
      </c>
      <c r="U187" s="108">
        <f>N187*O187*'1. Standard_Cost'!$E$15</f>
        <v>0</v>
      </c>
      <c r="V187" s="260"/>
      <c r="W187" s="260"/>
      <c r="X187" s="260"/>
      <c r="Y187" s="108">
        <f>+V187*((X187*'1. Standard_Cost'!$B$19)+(W187*X187*'1. Standard_Cost'!$C$19))</f>
        <v>0</v>
      </c>
      <c r="Z187" s="260"/>
      <c r="AA187" s="260"/>
      <c r="AB187" s="108">
        <f>+Z187*'1. Standard_Cost'!$B$23+AA187*'1. Standard_Cost'!$C$23</f>
        <v>0</v>
      </c>
      <c r="AC187" s="261"/>
      <c r="AD187" s="262"/>
      <c r="AE187" s="108">
        <f>SUM(AD187,AC187,AB187,Y187,U187,T187,S187,R187)*'1. Standard_Cost'!$B$31</f>
        <v>0</v>
      </c>
      <c r="AF187" s="108">
        <f t="shared" si="196"/>
        <v>0</v>
      </c>
      <c r="AG187" s="260"/>
      <c r="AH187" s="260"/>
      <c r="AI187" s="260"/>
      <c r="AJ187" s="263"/>
      <c r="AK187" s="263"/>
      <c r="AL187" s="263"/>
      <c r="AM187" s="108">
        <f>AG187*'1. Standard_Cost'!$B$27+'Incremental_Cost Year 10'!AH187*'1. Standard_Cost'!$C$27+'Incremental_Cost Year 10'!AI187*'1. Standard_Cost'!$D$27+'Incremental_Cost Year 10'!AJ187+'Incremental_Cost Year 10'!AL187+AK187</f>
        <v>0</v>
      </c>
      <c r="AN187" s="108">
        <f>AM187*'1. Standard_Cost'!$C$31</f>
        <v>0</v>
      </c>
      <c r="AO187" s="125" t="s">
        <v>402</v>
      </c>
      <c r="AQ187" s="14">
        <f t="shared" si="197"/>
        <v>0</v>
      </c>
      <c r="AR187" s="14">
        <f t="shared" si="198"/>
        <v>0</v>
      </c>
      <c r="AS187" s="14">
        <f t="shared" si="199"/>
        <v>0</v>
      </c>
      <c r="AT187" s="14">
        <f t="shared" si="201"/>
        <v>0</v>
      </c>
      <c r="AU187" s="234"/>
      <c r="AV187" s="234"/>
      <c r="AW187" s="234"/>
      <c r="AX187" s="234"/>
      <c r="AY187" s="234"/>
      <c r="AZ187" s="234"/>
      <c r="BA187" s="234"/>
      <c r="BB187" s="16">
        <f t="shared" si="200"/>
        <v>0</v>
      </c>
      <c r="BD187" s="294">
        <f>'Incremental_Cost Year 1'!AV187+'Incremental_Cost Year 2'!AV187+'Incremental_Cost Year 3'!AV187+'Incremental_Cost Year 4'!AV187+'Incremental_Cost Year 5'!AV187+'Incremental_Cost Year 6'!AV187+'Incremental_Cost Year 7'!AV187+'Incremental_Cost Year 8'!AV187+'Incremental_Cost Year 9'!AV187+'Incremental_Cost Year 10'!AV187</f>
        <v>0</v>
      </c>
      <c r="BE187" s="294">
        <f>'Incremental_Cost Year 1'!AW187+'Incremental_Cost Year 2'!AW187+'Incremental_Cost Year 3'!AW187+'Incremental_Cost Year 4'!AW187+'Incremental_Cost Year 5'!AW187+'Incremental_Cost Year 6'!AW187+'Incremental_Cost Year 7'!AW187+'Incremental_Cost Year 8'!AW187+'Incremental_Cost Year 9'!AW187+'Incremental_Cost Year 10'!AW187</f>
        <v>0</v>
      </c>
      <c r="BF187" s="294">
        <f>'Incremental_Cost Year 1'!AX187+'Incremental_Cost Year 2'!AX187+'Incremental_Cost Year 3'!AX187+'Incremental_Cost Year 4'!AX187+'Incremental_Cost Year 5'!AX187+'Incremental_Cost Year 6'!AX187+'Incremental_Cost Year 7'!AX187+'Incremental_Cost Year 8'!AX187+'Incremental_Cost Year 9'!AX187+'Incremental_Cost Year 10'!AX187</f>
        <v>0</v>
      </c>
      <c r="BG187" s="294">
        <f>'Incremental_Cost Year 1'!AY187+'Incremental_Cost Year 2'!AZ187+'Incremental_Cost Year 3'!AY187+'Incremental_Cost Year 4'!AY187+'Incremental_Cost Year 5'!AY187+'Incremental_Cost Year 6'!AY187+'Incremental_Cost Year 7'!AY187+'Incremental_Cost Year 8'!AY187+'Incremental_Cost Year 9'!AY187+'Incremental_Cost Year 10'!AY187</f>
        <v>0</v>
      </c>
      <c r="BH187" s="294">
        <f>'Incremental_Cost Year 1'!AZ187+'Incremental_Cost Year 2'!BA187+'Incremental_Cost Year 3'!AZ187+'Incremental_Cost Year 4'!AZ187+'Incremental_Cost Year 5'!AZ187+'Incremental_Cost Year 6'!AZ187+'Incremental_Cost Year 7'!AZ187+'Incremental_Cost Year 8'!AZ187+'Incremental_Cost Year 9'!AZ187+'Incremental_Cost Year 10'!AZ187</f>
        <v>0</v>
      </c>
      <c r="BI187" s="294">
        <f>'Incremental_Cost Year 1'!BA187+'Incremental_Cost Year 2'!BA187+'Incremental_Cost Year 3'!BA187+'Incremental_Cost Year 4'!BA187+'Incremental_Cost Year 5'!BA187+'Incremental_Cost Year 6'!BA187+'Incremental_Cost Year 7'!BA187+'Incremental_Cost Year 8'!BA187+'Incremental_Cost Year 9'!BA187+'Incremental_Cost Year 10'!BA187</f>
        <v>0</v>
      </c>
      <c r="BJ187" s="294">
        <f t="shared" si="149"/>
        <v>0</v>
      </c>
    </row>
    <row r="188" spans="1:62" ht="15.6" outlineLevel="2">
      <c r="A188" s="98"/>
      <c r="B188" s="102"/>
      <c r="C188" s="23"/>
      <c r="D188" s="269"/>
      <c r="E188" s="271"/>
      <c r="F188" s="250"/>
      <c r="G188" s="177"/>
      <c r="H188" s="272"/>
      <c r="I188" s="258"/>
      <c r="J188" s="259"/>
      <c r="K188" s="259"/>
      <c r="L188" s="106" t="str">
        <f>IF(I188&lt;&gt;0,((VLOOKUP(I188,'1. Standard_Cost'!$B$4:$D$11,2)+VLOOKUP(I188,'1. Standard_Cost'!$B$4:$D$11,3))*J188*K188),"0")</f>
        <v>0</v>
      </c>
      <c r="M188" s="106">
        <f>L188*'1. Standard_Cost'!$F$4</f>
        <v>0</v>
      </c>
      <c r="N188" s="260"/>
      <c r="O188" s="260"/>
      <c r="P188" s="260"/>
      <c r="Q188" s="260"/>
      <c r="R188" s="108">
        <f>'1. Standard_Cost'!$B$15*N188*P188</f>
        <v>0</v>
      </c>
      <c r="S188" s="108">
        <f>N188*O188*P188*'1. Standard_Cost'!$C$15</f>
        <v>0</v>
      </c>
      <c r="T188" s="108">
        <f>N188*P188*Q188*'1. Standard_Cost'!$D$15</f>
        <v>0</v>
      </c>
      <c r="U188" s="108">
        <f>N188*O188*'1. Standard_Cost'!$E$15</f>
        <v>0</v>
      </c>
      <c r="V188" s="260"/>
      <c r="W188" s="260"/>
      <c r="X188" s="260"/>
      <c r="Y188" s="108">
        <f>+V188*((X188*'1. Standard_Cost'!$B$19)+(W188*X188*'1. Standard_Cost'!$C$19))</f>
        <v>0</v>
      </c>
      <c r="Z188" s="260"/>
      <c r="AA188" s="260"/>
      <c r="AB188" s="108">
        <f>+Z188*'1. Standard_Cost'!$B$23+AA188*'1. Standard_Cost'!$C$23</f>
        <v>0</v>
      </c>
      <c r="AC188" s="261"/>
      <c r="AD188" s="262"/>
      <c r="AE188" s="108">
        <f>SUM(AD188,AC188,AB188,Y188,U188,T188,S188,R188)*'1. Standard_Cost'!$B$31</f>
        <v>0</v>
      </c>
      <c r="AF188" s="108">
        <f t="shared" si="196"/>
        <v>0</v>
      </c>
      <c r="AG188" s="260"/>
      <c r="AH188" s="260"/>
      <c r="AI188" s="260"/>
      <c r="AJ188" s="263"/>
      <c r="AK188" s="263"/>
      <c r="AL188" s="263"/>
      <c r="AM188" s="108">
        <f>AG188*'1. Standard_Cost'!$B$27+'Incremental_Cost Year 10'!AH188*'1. Standard_Cost'!$C$27+'Incremental_Cost Year 10'!AI188*'1. Standard_Cost'!$D$27+'Incremental_Cost Year 10'!AJ188+'Incremental_Cost Year 10'!AL188+AK188</f>
        <v>0</v>
      </c>
      <c r="AN188" s="108">
        <f>AM188*'1. Standard_Cost'!$C$31</f>
        <v>0</v>
      </c>
      <c r="AO188" s="125" t="s">
        <v>335</v>
      </c>
      <c r="AQ188" s="14">
        <f t="shared" si="197"/>
        <v>0</v>
      </c>
      <c r="AR188" s="14">
        <f t="shared" si="198"/>
        <v>0</v>
      </c>
      <c r="AS188" s="14">
        <f t="shared" si="199"/>
        <v>0</v>
      </c>
      <c r="AT188" s="14">
        <f t="shared" si="201"/>
        <v>0</v>
      </c>
      <c r="AU188" s="234"/>
      <c r="AV188" s="234"/>
      <c r="AW188" s="234"/>
      <c r="AX188" s="234"/>
      <c r="AY188" s="234"/>
      <c r="AZ188" s="234"/>
      <c r="BA188" s="234"/>
      <c r="BB188" s="16">
        <f t="shared" si="200"/>
        <v>0</v>
      </c>
      <c r="BD188" s="294">
        <f>'Incremental_Cost Year 1'!AV188+'Incremental_Cost Year 2'!AV188+'Incremental_Cost Year 3'!AV188+'Incremental_Cost Year 4'!AV188+'Incremental_Cost Year 5'!AV188+'Incremental_Cost Year 6'!AV188+'Incremental_Cost Year 7'!AV188+'Incremental_Cost Year 8'!AV188+'Incremental_Cost Year 9'!AV188+'Incremental_Cost Year 10'!AV188</f>
        <v>0</v>
      </c>
      <c r="BE188" s="294">
        <f>'Incremental_Cost Year 1'!AW188+'Incremental_Cost Year 2'!AW188+'Incremental_Cost Year 3'!AW188+'Incremental_Cost Year 4'!AW188+'Incremental_Cost Year 5'!AW188+'Incremental_Cost Year 6'!AW188+'Incremental_Cost Year 7'!AW188+'Incremental_Cost Year 8'!AW188+'Incremental_Cost Year 9'!AW188+'Incremental_Cost Year 10'!AW188</f>
        <v>0</v>
      </c>
      <c r="BF188" s="294">
        <f>'Incremental_Cost Year 1'!AX188+'Incremental_Cost Year 2'!AX188+'Incremental_Cost Year 3'!AX188+'Incremental_Cost Year 4'!AX188+'Incremental_Cost Year 5'!AX188+'Incremental_Cost Year 6'!AX188+'Incremental_Cost Year 7'!AX188+'Incremental_Cost Year 8'!AX188+'Incremental_Cost Year 9'!AX188+'Incremental_Cost Year 10'!AX188</f>
        <v>0</v>
      </c>
      <c r="BG188" s="294">
        <f>'Incremental_Cost Year 1'!AY188+'Incremental_Cost Year 2'!AZ188+'Incremental_Cost Year 3'!AY188+'Incremental_Cost Year 4'!AY188+'Incremental_Cost Year 5'!AY188+'Incremental_Cost Year 6'!AY188+'Incremental_Cost Year 7'!AY188+'Incremental_Cost Year 8'!AY188+'Incremental_Cost Year 9'!AY188+'Incremental_Cost Year 10'!AY188</f>
        <v>0</v>
      </c>
      <c r="BH188" s="294">
        <f>'Incremental_Cost Year 1'!AZ188+'Incremental_Cost Year 2'!BA188+'Incremental_Cost Year 3'!AZ188+'Incremental_Cost Year 4'!AZ188+'Incremental_Cost Year 5'!AZ188+'Incremental_Cost Year 6'!AZ188+'Incremental_Cost Year 7'!AZ188+'Incremental_Cost Year 8'!AZ188+'Incremental_Cost Year 9'!AZ188+'Incremental_Cost Year 10'!AZ188</f>
        <v>0</v>
      </c>
      <c r="BI188" s="294">
        <f>'Incremental_Cost Year 1'!BA188+'Incremental_Cost Year 2'!BA188+'Incremental_Cost Year 3'!BA188+'Incremental_Cost Year 4'!BA188+'Incremental_Cost Year 5'!BA188+'Incremental_Cost Year 6'!BA188+'Incremental_Cost Year 7'!BA188+'Incremental_Cost Year 8'!BA188+'Incremental_Cost Year 9'!BA188+'Incremental_Cost Year 10'!BA188</f>
        <v>0</v>
      </c>
      <c r="BJ188" s="294">
        <f t="shared" si="149"/>
        <v>0</v>
      </c>
    </row>
    <row r="189" spans="1:62" ht="15.6" outlineLevel="2">
      <c r="A189" s="98"/>
      <c r="B189" s="102"/>
      <c r="C189" s="23"/>
      <c r="D189" s="269"/>
      <c r="E189" s="271"/>
      <c r="F189" s="250"/>
      <c r="G189" s="177"/>
      <c r="H189" s="272"/>
      <c r="I189" s="258"/>
      <c r="J189" s="259"/>
      <c r="K189" s="259"/>
      <c r="L189" s="106" t="str">
        <f>IF(I189&lt;&gt;0,((VLOOKUP(I189,'1. Standard_Cost'!$B$4:$D$11,2)+VLOOKUP(I189,'1. Standard_Cost'!$B$4:$D$11,3))*J189*K189),"0")</f>
        <v>0</v>
      </c>
      <c r="M189" s="106">
        <f>L189*'1. Standard_Cost'!$F$4</f>
        <v>0</v>
      </c>
      <c r="N189" s="260"/>
      <c r="O189" s="260"/>
      <c r="P189" s="260"/>
      <c r="Q189" s="260"/>
      <c r="R189" s="108">
        <f>'1. Standard_Cost'!$B$15*N189*P189</f>
        <v>0</v>
      </c>
      <c r="S189" s="108">
        <f>N189*O189*P189*'1. Standard_Cost'!$C$15</f>
        <v>0</v>
      </c>
      <c r="T189" s="108">
        <f>N189*P189*Q189*'1. Standard_Cost'!$D$15</f>
        <v>0</v>
      </c>
      <c r="U189" s="108">
        <f>N189*O189*'1. Standard_Cost'!$E$15</f>
        <v>0</v>
      </c>
      <c r="V189" s="260"/>
      <c r="W189" s="260"/>
      <c r="X189" s="260"/>
      <c r="Y189" s="108">
        <f>+V189*((X189*'1. Standard_Cost'!$B$19)+(W189*X189*'1. Standard_Cost'!$C$19))</f>
        <v>0</v>
      </c>
      <c r="Z189" s="260"/>
      <c r="AA189" s="260"/>
      <c r="AB189" s="108">
        <f>+Z189*'1. Standard_Cost'!$B$23+AA189*'1. Standard_Cost'!$C$23</f>
        <v>0</v>
      </c>
      <c r="AC189" s="261"/>
      <c r="AD189" s="262"/>
      <c r="AE189" s="108">
        <f>SUM(AD189,AC189,AB189,Y189,U189,T189,S189,R189)*'1. Standard_Cost'!$B$31</f>
        <v>0</v>
      </c>
      <c r="AF189" s="108">
        <f t="shared" si="196"/>
        <v>0</v>
      </c>
      <c r="AG189" s="260"/>
      <c r="AH189" s="260"/>
      <c r="AI189" s="260"/>
      <c r="AJ189" s="263"/>
      <c r="AK189" s="263"/>
      <c r="AL189" s="263"/>
      <c r="AM189" s="108">
        <f>AG189*'1. Standard_Cost'!$B$27+'Incremental_Cost Year 10'!AH189*'1. Standard_Cost'!$C$27+'Incremental_Cost Year 10'!AI189*'1. Standard_Cost'!$D$27+'Incremental_Cost Year 10'!AJ189+'Incremental_Cost Year 10'!AL189+AK189</f>
        <v>0</v>
      </c>
      <c r="AN189" s="108">
        <f>AM189*'1. Standard_Cost'!$C$31</f>
        <v>0</v>
      </c>
      <c r="AO189" s="125" t="s">
        <v>403</v>
      </c>
      <c r="AQ189" s="14">
        <f t="shared" si="197"/>
        <v>0</v>
      </c>
      <c r="AR189" s="14">
        <f t="shared" si="198"/>
        <v>0</v>
      </c>
      <c r="AS189" s="14">
        <f t="shared" si="199"/>
        <v>0</v>
      </c>
      <c r="AT189" s="14">
        <f t="shared" si="201"/>
        <v>0</v>
      </c>
      <c r="AU189" s="234"/>
      <c r="AV189" s="234"/>
      <c r="AW189" s="234"/>
      <c r="AX189" s="234"/>
      <c r="AY189" s="234"/>
      <c r="AZ189" s="234"/>
      <c r="BA189" s="234"/>
      <c r="BB189" s="16">
        <f t="shared" si="200"/>
        <v>0</v>
      </c>
      <c r="BD189" s="294">
        <f>'Incremental_Cost Year 1'!AV189+'Incremental_Cost Year 2'!AV189+'Incremental_Cost Year 3'!AV189+'Incremental_Cost Year 4'!AV189+'Incremental_Cost Year 5'!AV189+'Incremental_Cost Year 6'!AV189+'Incremental_Cost Year 7'!AV189+'Incremental_Cost Year 8'!AV189+'Incremental_Cost Year 9'!AV189+'Incremental_Cost Year 10'!AV189</f>
        <v>0</v>
      </c>
      <c r="BE189" s="294">
        <f>'Incremental_Cost Year 1'!AW189+'Incremental_Cost Year 2'!AW189+'Incremental_Cost Year 3'!AW189+'Incremental_Cost Year 4'!AW189+'Incremental_Cost Year 5'!AW189+'Incremental_Cost Year 6'!AW189+'Incremental_Cost Year 7'!AW189+'Incremental_Cost Year 8'!AW189+'Incremental_Cost Year 9'!AW189+'Incremental_Cost Year 10'!AW189</f>
        <v>0</v>
      </c>
      <c r="BF189" s="294">
        <f>'Incremental_Cost Year 1'!AX189+'Incremental_Cost Year 2'!AX189+'Incremental_Cost Year 3'!AX189+'Incremental_Cost Year 4'!AX189+'Incremental_Cost Year 5'!AX189+'Incremental_Cost Year 6'!AX189+'Incremental_Cost Year 7'!AX189+'Incremental_Cost Year 8'!AX189+'Incremental_Cost Year 9'!AX189+'Incremental_Cost Year 10'!AX189</f>
        <v>0</v>
      </c>
      <c r="BG189" s="294">
        <f>'Incremental_Cost Year 1'!AY189+'Incremental_Cost Year 2'!AZ189+'Incremental_Cost Year 3'!AY189+'Incremental_Cost Year 4'!AY189+'Incremental_Cost Year 5'!AY189+'Incremental_Cost Year 6'!AY189+'Incremental_Cost Year 7'!AY189+'Incremental_Cost Year 8'!AY189+'Incremental_Cost Year 9'!AY189+'Incremental_Cost Year 10'!AY189</f>
        <v>0</v>
      </c>
      <c r="BH189" s="294">
        <f>'Incremental_Cost Year 1'!AZ189+'Incremental_Cost Year 2'!BA189+'Incremental_Cost Year 3'!AZ189+'Incremental_Cost Year 4'!AZ189+'Incremental_Cost Year 5'!AZ189+'Incremental_Cost Year 6'!AZ189+'Incremental_Cost Year 7'!AZ189+'Incremental_Cost Year 8'!AZ189+'Incremental_Cost Year 9'!AZ189+'Incremental_Cost Year 10'!AZ189</f>
        <v>0</v>
      </c>
      <c r="BI189" s="294">
        <f>'Incremental_Cost Year 1'!BA189+'Incremental_Cost Year 2'!BA189+'Incremental_Cost Year 3'!BA189+'Incremental_Cost Year 4'!BA189+'Incremental_Cost Year 5'!BA189+'Incremental_Cost Year 6'!BA189+'Incremental_Cost Year 7'!BA189+'Incremental_Cost Year 8'!BA189+'Incremental_Cost Year 9'!BA189+'Incremental_Cost Year 10'!BA189</f>
        <v>0</v>
      </c>
      <c r="BJ189" s="294">
        <f t="shared" si="149"/>
        <v>0</v>
      </c>
    </row>
    <row r="190" spans="1:62" ht="27.6" outlineLevel="2">
      <c r="A190" s="98"/>
      <c r="B190" s="102"/>
      <c r="C190" s="23"/>
      <c r="D190" s="269"/>
      <c r="E190" s="271"/>
      <c r="F190" s="250"/>
      <c r="G190" s="255"/>
      <c r="H190" s="272"/>
      <c r="I190" s="258"/>
      <c r="J190" s="259"/>
      <c r="K190" s="259"/>
      <c r="L190" s="106" t="str">
        <f>IF(I190&lt;&gt;0,((VLOOKUP(I190,'1. Standard_Cost'!$B$4:$D$11,2)+VLOOKUP(I190,'1. Standard_Cost'!$B$4:$D$11,3))*J190*K190),"0")</f>
        <v>0</v>
      </c>
      <c r="M190" s="106">
        <f>L190*'1. Standard_Cost'!$F$4</f>
        <v>0</v>
      </c>
      <c r="N190" s="260"/>
      <c r="O190" s="260"/>
      <c r="P190" s="260"/>
      <c r="Q190" s="260"/>
      <c r="R190" s="108">
        <f>'1. Standard_Cost'!$B$15*N190*P190</f>
        <v>0</v>
      </c>
      <c r="S190" s="108">
        <f>N190*O190*P190*'1. Standard_Cost'!$C$15</f>
        <v>0</v>
      </c>
      <c r="T190" s="108">
        <f>N190*P190*Q190*'1. Standard_Cost'!$D$15</f>
        <v>0</v>
      </c>
      <c r="U190" s="108">
        <f>N190*O190*'1. Standard_Cost'!$E$15</f>
        <v>0</v>
      </c>
      <c r="V190" s="260"/>
      <c r="W190" s="260"/>
      <c r="X190" s="260"/>
      <c r="Y190" s="108">
        <f>+V190*((X190*'1. Standard_Cost'!$B$19)+(W190*X190*'1. Standard_Cost'!$C$19))</f>
        <v>0</v>
      </c>
      <c r="Z190" s="260"/>
      <c r="AA190" s="260"/>
      <c r="AB190" s="108">
        <f>+Z190*'1. Standard_Cost'!$B$23+AA190*'1. Standard_Cost'!$C$23</f>
        <v>0</v>
      </c>
      <c r="AC190" s="261"/>
      <c r="AD190" s="262"/>
      <c r="AE190" s="108">
        <f>SUM(AD190,AC190,AB190,Y190,U190,T190,S190,R190)*'1. Standard_Cost'!$B$31</f>
        <v>0</v>
      </c>
      <c r="AF190" s="108">
        <f t="shared" si="196"/>
        <v>0</v>
      </c>
      <c r="AG190" s="260"/>
      <c r="AH190" s="260"/>
      <c r="AI190" s="260"/>
      <c r="AJ190" s="263"/>
      <c r="AK190" s="263"/>
      <c r="AL190" s="263"/>
      <c r="AM190" s="108">
        <f>AG190*'1. Standard_Cost'!$B$27+'Incremental_Cost Year 10'!AH190*'1. Standard_Cost'!$C$27+'Incremental_Cost Year 10'!AI190*'1. Standard_Cost'!$D$27+'Incremental_Cost Year 10'!AJ190+'Incremental_Cost Year 10'!AL190+AK190</f>
        <v>0</v>
      </c>
      <c r="AN190" s="108">
        <f>AM190*'1. Standard_Cost'!$C$31</f>
        <v>0</v>
      </c>
      <c r="AO190" s="125" t="s">
        <v>404</v>
      </c>
      <c r="AQ190" s="14">
        <f t="shared" si="197"/>
        <v>0</v>
      </c>
      <c r="AR190" s="14">
        <f t="shared" si="198"/>
        <v>0</v>
      </c>
      <c r="AS190" s="14">
        <f t="shared" si="199"/>
        <v>0</v>
      </c>
      <c r="AT190" s="14">
        <f t="shared" si="201"/>
        <v>0</v>
      </c>
      <c r="AU190" s="234"/>
      <c r="AV190" s="234"/>
      <c r="AW190" s="234"/>
      <c r="AX190" s="234"/>
      <c r="AY190" s="234"/>
      <c r="AZ190" s="234"/>
      <c r="BA190" s="234"/>
      <c r="BB190" s="16">
        <f t="shared" si="200"/>
        <v>0</v>
      </c>
      <c r="BD190" s="294">
        <f>'Incremental_Cost Year 1'!AV190+'Incremental_Cost Year 2'!AV190+'Incremental_Cost Year 3'!AV190+'Incremental_Cost Year 4'!AV190+'Incremental_Cost Year 5'!AV190+'Incremental_Cost Year 6'!AV190+'Incremental_Cost Year 7'!AV190+'Incremental_Cost Year 8'!AV190+'Incremental_Cost Year 9'!AV190+'Incremental_Cost Year 10'!AV190</f>
        <v>0</v>
      </c>
      <c r="BE190" s="294">
        <f>'Incremental_Cost Year 1'!AW190+'Incremental_Cost Year 2'!AW190+'Incremental_Cost Year 3'!AW190+'Incremental_Cost Year 4'!AW190+'Incremental_Cost Year 5'!AW190+'Incremental_Cost Year 6'!AW190+'Incremental_Cost Year 7'!AW190+'Incremental_Cost Year 8'!AW190+'Incremental_Cost Year 9'!AW190+'Incremental_Cost Year 10'!AW190</f>
        <v>0</v>
      </c>
      <c r="BF190" s="294">
        <f>'Incremental_Cost Year 1'!AX190+'Incremental_Cost Year 2'!AX190+'Incremental_Cost Year 3'!AX190+'Incremental_Cost Year 4'!AX190+'Incremental_Cost Year 5'!AX190+'Incremental_Cost Year 6'!AX190+'Incremental_Cost Year 7'!AX190+'Incremental_Cost Year 8'!AX190+'Incremental_Cost Year 9'!AX190+'Incremental_Cost Year 10'!AX190</f>
        <v>0</v>
      </c>
      <c r="BG190" s="294">
        <f>'Incremental_Cost Year 1'!AY190+'Incremental_Cost Year 2'!AZ190+'Incremental_Cost Year 3'!AY190+'Incremental_Cost Year 4'!AY190+'Incremental_Cost Year 5'!AY190+'Incremental_Cost Year 6'!AY190+'Incremental_Cost Year 7'!AY190+'Incremental_Cost Year 8'!AY190+'Incremental_Cost Year 9'!AY190+'Incremental_Cost Year 10'!AY190</f>
        <v>0</v>
      </c>
      <c r="BH190" s="294">
        <f>'Incremental_Cost Year 1'!AZ190+'Incremental_Cost Year 2'!BA190+'Incremental_Cost Year 3'!AZ190+'Incremental_Cost Year 4'!AZ190+'Incremental_Cost Year 5'!AZ190+'Incremental_Cost Year 6'!AZ190+'Incremental_Cost Year 7'!AZ190+'Incremental_Cost Year 8'!AZ190+'Incremental_Cost Year 9'!AZ190+'Incremental_Cost Year 10'!AZ190</f>
        <v>0</v>
      </c>
      <c r="BI190" s="294">
        <f>'Incremental_Cost Year 1'!BA190+'Incremental_Cost Year 2'!BA190+'Incremental_Cost Year 3'!BA190+'Incremental_Cost Year 4'!BA190+'Incremental_Cost Year 5'!BA190+'Incremental_Cost Year 6'!BA190+'Incremental_Cost Year 7'!BA190+'Incremental_Cost Year 8'!BA190+'Incremental_Cost Year 9'!BA190+'Incremental_Cost Year 10'!BA190</f>
        <v>0</v>
      </c>
      <c r="BJ190" s="294">
        <f t="shared" si="149"/>
        <v>0</v>
      </c>
    </row>
    <row r="191" spans="1:62" ht="27.6" outlineLevel="2">
      <c r="A191" s="98"/>
      <c r="B191" s="102"/>
      <c r="C191" s="23"/>
      <c r="D191" s="269"/>
      <c r="E191" s="271"/>
      <c r="F191" s="250"/>
      <c r="G191" s="255"/>
      <c r="H191" s="272"/>
      <c r="I191" s="258"/>
      <c r="J191" s="259"/>
      <c r="K191" s="259"/>
      <c r="L191" s="106" t="str">
        <f>IF(I191&lt;&gt;0,((VLOOKUP(I191,'1. Standard_Cost'!$B$4:$D$11,2)+VLOOKUP(I191,'1. Standard_Cost'!$B$4:$D$11,3))*J191*K191),"0")</f>
        <v>0</v>
      </c>
      <c r="M191" s="106">
        <f>L191*'1. Standard_Cost'!$F$4</f>
        <v>0</v>
      </c>
      <c r="N191" s="260"/>
      <c r="O191" s="260"/>
      <c r="P191" s="260"/>
      <c r="Q191" s="260"/>
      <c r="R191" s="108">
        <f>'1. Standard_Cost'!$B$15*N191*P191</f>
        <v>0</v>
      </c>
      <c r="S191" s="108">
        <f>N191*O191*P191*'1. Standard_Cost'!$C$15</f>
        <v>0</v>
      </c>
      <c r="T191" s="108">
        <f>N191*P191*Q191*'1. Standard_Cost'!$D$15</f>
        <v>0</v>
      </c>
      <c r="U191" s="108">
        <f>N191*O191*'1. Standard_Cost'!$E$15</f>
        <v>0</v>
      </c>
      <c r="V191" s="260"/>
      <c r="W191" s="260"/>
      <c r="X191" s="260"/>
      <c r="Y191" s="108">
        <f>+V191*((X191*'1. Standard_Cost'!$B$19)+(W191*X191*'1. Standard_Cost'!$C$19))</f>
        <v>0</v>
      </c>
      <c r="Z191" s="260"/>
      <c r="AA191" s="260"/>
      <c r="AB191" s="108">
        <f>+Z191*'1. Standard_Cost'!$B$23+AA191*'1. Standard_Cost'!$C$23</f>
        <v>0</v>
      </c>
      <c r="AC191" s="261"/>
      <c r="AD191" s="262"/>
      <c r="AE191" s="108">
        <f>SUM(AD191,AC191,AB191,Y191,U191,T191,S191,R191)*'1. Standard_Cost'!$B$31</f>
        <v>0</v>
      </c>
      <c r="AF191" s="108">
        <f t="shared" si="196"/>
        <v>0</v>
      </c>
      <c r="AG191" s="260"/>
      <c r="AH191" s="260"/>
      <c r="AI191" s="260"/>
      <c r="AJ191" s="263"/>
      <c r="AK191" s="263"/>
      <c r="AL191" s="263"/>
      <c r="AM191" s="108">
        <f>AG191*'1. Standard_Cost'!$B$27+'Incremental_Cost Year 10'!AH191*'1. Standard_Cost'!$C$27+'Incremental_Cost Year 10'!AI191*'1. Standard_Cost'!$D$27+'Incremental_Cost Year 10'!AJ191+'Incremental_Cost Year 10'!AL191+AK191</f>
        <v>0</v>
      </c>
      <c r="AN191" s="108">
        <f>AM191*'1. Standard_Cost'!$C$31</f>
        <v>0</v>
      </c>
      <c r="AO191" s="125" t="s">
        <v>405</v>
      </c>
      <c r="AQ191" s="14">
        <f t="shared" si="197"/>
        <v>0</v>
      </c>
      <c r="AR191" s="14">
        <f t="shared" si="198"/>
        <v>0</v>
      </c>
      <c r="AS191" s="14">
        <f t="shared" si="199"/>
        <v>0</v>
      </c>
      <c r="AT191" s="14">
        <f t="shared" si="201"/>
        <v>0</v>
      </c>
      <c r="AU191" s="234"/>
      <c r="AV191" s="234"/>
      <c r="AW191" s="234"/>
      <c r="AX191" s="234"/>
      <c r="AY191" s="234"/>
      <c r="AZ191" s="234"/>
      <c r="BA191" s="234"/>
      <c r="BB191" s="16">
        <f t="shared" si="200"/>
        <v>0</v>
      </c>
      <c r="BD191" s="294">
        <f>'Incremental_Cost Year 1'!AV191+'Incremental_Cost Year 2'!AV191+'Incremental_Cost Year 3'!AV191+'Incremental_Cost Year 4'!AV191+'Incremental_Cost Year 5'!AV191+'Incremental_Cost Year 6'!AV191+'Incremental_Cost Year 7'!AV191+'Incremental_Cost Year 8'!AV191+'Incremental_Cost Year 9'!AV191+'Incremental_Cost Year 10'!AV191</f>
        <v>0</v>
      </c>
      <c r="BE191" s="294">
        <f>'Incremental_Cost Year 1'!AW191+'Incremental_Cost Year 2'!AW191+'Incremental_Cost Year 3'!AW191+'Incremental_Cost Year 4'!AW191+'Incremental_Cost Year 5'!AW191+'Incremental_Cost Year 6'!AW191+'Incremental_Cost Year 7'!AW191+'Incremental_Cost Year 8'!AW191+'Incremental_Cost Year 9'!AW191+'Incremental_Cost Year 10'!AW191</f>
        <v>0</v>
      </c>
      <c r="BF191" s="294">
        <f>'Incremental_Cost Year 1'!AX191+'Incremental_Cost Year 2'!AX191+'Incremental_Cost Year 3'!AX191+'Incremental_Cost Year 4'!AX191+'Incremental_Cost Year 5'!AX191+'Incremental_Cost Year 6'!AX191+'Incremental_Cost Year 7'!AX191+'Incremental_Cost Year 8'!AX191+'Incremental_Cost Year 9'!AX191+'Incremental_Cost Year 10'!AX191</f>
        <v>0</v>
      </c>
      <c r="BG191" s="294">
        <f>'Incremental_Cost Year 1'!AY191+'Incremental_Cost Year 2'!AZ191+'Incremental_Cost Year 3'!AY191+'Incremental_Cost Year 4'!AY191+'Incremental_Cost Year 5'!AY191+'Incremental_Cost Year 6'!AY191+'Incremental_Cost Year 7'!AY191+'Incremental_Cost Year 8'!AY191+'Incremental_Cost Year 9'!AY191+'Incremental_Cost Year 10'!AY191</f>
        <v>0</v>
      </c>
      <c r="BH191" s="294">
        <f>'Incremental_Cost Year 1'!AZ191+'Incremental_Cost Year 2'!BA191+'Incremental_Cost Year 3'!AZ191+'Incremental_Cost Year 4'!AZ191+'Incremental_Cost Year 5'!AZ191+'Incremental_Cost Year 6'!AZ191+'Incremental_Cost Year 7'!AZ191+'Incremental_Cost Year 8'!AZ191+'Incremental_Cost Year 9'!AZ191+'Incremental_Cost Year 10'!AZ191</f>
        <v>0</v>
      </c>
      <c r="BI191" s="294">
        <f>'Incremental_Cost Year 1'!BA191+'Incremental_Cost Year 2'!BA191+'Incremental_Cost Year 3'!BA191+'Incremental_Cost Year 4'!BA191+'Incremental_Cost Year 5'!BA191+'Incremental_Cost Year 6'!BA191+'Incremental_Cost Year 7'!BA191+'Incremental_Cost Year 8'!BA191+'Incremental_Cost Year 9'!BA191+'Incremental_Cost Year 10'!BA191</f>
        <v>0</v>
      </c>
      <c r="BJ191" s="294">
        <f t="shared" si="149"/>
        <v>0</v>
      </c>
    </row>
    <row r="192" spans="1:62" ht="15.6" outlineLevel="2">
      <c r="A192" s="98"/>
      <c r="B192" s="102"/>
      <c r="C192" s="23"/>
      <c r="D192" s="269"/>
      <c r="E192" s="271"/>
      <c r="F192" s="250"/>
      <c r="G192" s="255"/>
      <c r="H192" s="272"/>
      <c r="I192" s="258"/>
      <c r="J192" s="259"/>
      <c r="K192" s="259"/>
      <c r="L192" s="106" t="str">
        <f>IF(I192&lt;&gt;0,((VLOOKUP(I192,'1. Standard_Cost'!$B$4:$D$11,2)+VLOOKUP(I192,'1. Standard_Cost'!$B$4:$D$11,3))*J192*K192),"0")</f>
        <v>0</v>
      </c>
      <c r="M192" s="106">
        <f>L192*'1. Standard_Cost'!$F$4</f>
        <v>0</v>
      </c>
      <c r="N192" s="260"/>
      <c r="O192" s="260"/>
      <c r="P192" s="260"/>
      <c r="Q192" s="260"/>
      <c r="R192" s="108">
        <f>'1. Standard_Cost'!$B$15*N192*P192</f>
        <v>0</v>
      </c>
      <c r="S192" s="108">
        <f>N192*O192*P192*'1. Standard_Cost'!$C$15</f>
        <v>0</v>
      </c>
      <c r="T192" s="108">
        <f>N192*P192*Q192*'1. Standard_Cost'!$D$15</f>
        <v>0</v>
      </c>
      <c r="U192" s="108">
        <f>N192*O192*'1. Standard_Cost'!$E$15</f>
        <v>0</v>
      </c>
      <c r="V192" s="260"/>
      <c r="W192" s="260"/>
      <c r="X192" s="260"/>
      <c r="Y192" s="108">
        <f>+V192*((X192*'1. Standard_Cost'!$B$19)+(W192*X192*'1. Standard_Cost'!$C$19))</f>
        <v>0</v>
      </c>
      <c r="Z192" s="260"/>
      <c r="AA192" s="260"/>
      <c r="AB192" s="108">
        <f>+Z192*'1. Standard_Cost'!$B$23+AA192*'1. Standard_Cost'!$C$23</f>
        <v>0</v>
      </c>
      <c r="AC192" s="261"/>
      <c r="AD192" s="262"/>
      <c r="AE192" s="108">
        <f>SUM(AD192,AC192,AB192,Y192,U192,T192,S192,R192)*'1. Standard_Cost'!$B$31</f>
        <v>0</v>
      </c>
      <c r="AF192" s="108">
        <f t="shared" si="196"/>
        <v>0</v>
      </c>
      <c r="AG192" s="260"/>
      <c r="AH192" s="260"/>
      <c r="AI192" s="260"/>
      <c r="AJ192" s="263"/>
      <c r="AK192" s="263"/>
      <c r="AL192" s="263"/>
      <c r="AM192" s="108">
        <f>AG192*'1. Standard_Cost'!$B$27+'Incremental_Cost Year 10'!AH192*'1. Standard_Cost'!$C$27+'Incremental_Cost Year 10'!AI192*'1. Standard_Cost'!$D$27+'Incremental_Cost Year 10'!AJ192+'Incremental_Cost Year 10'!AL192+AK192</f>
        <v>0</v>
      </c>
      <c r="AN192" s="108">
        <f>AM192*'1. Standard_Cost'!$C$31</f>
        <v>0</v>
      </c>
      <c r="AO192" s="125" t="s">
        <v>406</v>
      </c>
      <c r="AQ192" s="14">
        <f t="shared" si="197"/>
        <v>0</v>
      </c>
      <c r="AR192" s="14">
        <f t="shared" si="198"/>
        <v>0</v>
      </c>
      <c r="AS192" s="14">
        <f t="shared" si="199"/>
        <v>0</v>
      </c>
      <c r="AT192" s="14">
        <f t="shared" si="201"/>
        <v>0</v>
      </c>
      <c r="AU192" s="234"/>
      <c r="AV192" s="234"/>
      <c r="AW192" s="234"/>
      <c r="AX192" s="234"/>
      <c r="AY192" s="234"/>
      <c r="AZ192" s="234"/>
      <c r="BA192" s="234"/>
      <c r="BB192" s="16">
        <f t="shared" si="200"/>
        <v>0</v>
      </c>
      <c r="BD192" s="294">
        <f>'Incremental_Cost Year 1'!AV192+'Incremental_Cost Year 2'!AV192+'Incremental_Cost Year 3'!AV192+'Incremental_Cost Year 4'!AV192+'Incremental_Cost Year 5'!AV192+'Incremental_Cost Year 6'!AV192+'Incremental_Cost Year 7'!AV192+'Incremental_Cost Year 8'!AV192+'Incremental_Cost Year 9'!AV192+'Incremental_Cost Year 10'!AV192</f>
        <v>0</v>
      </c>
      <c r="BE192" s="294">
        <f>'Incremental_Cost Year 1'!AW192+'Incremental_Cost Year 2'!AW192+'Incremental_Cost Year 3'!AW192+'Incremental_Cost Year 4'!AW192+'Incremental_Cost Year 5'!AW192+'Incremental_Cost Year 6'!AW192+'Incremental_Cost Year 7'!AW192+'Incremental_Cost Year 8'!AW192+'Incremental_Cost Year 9'!AW192+'Incremental_Cost Year 10'!AW192</f>
        <v>0</v>
      </c>
      <c r="BF192" s="294">
        <f>'Incremental_Cost Year 1'!AX192+'Incremental_Cost Year 2'!AX192+'Incremental_Cost Year 3'!AX192+'Incremental_Cost Year 4'!AX192+'Incremental_Cost Year 5'!AX192+'Incremental_Cost Year 6'!AX192+'Incremental_Cost Year 7'!AX192+'Incremental_Cost Year 8'!AX192+'Incremental_Cost Year 9'!AX192+'Incremental_Cost Year 10'!AX192</f>
        <v>0</v>
      </c>
      <c r="BG192" s="294">
        <f>'Incremental_Cost Year 1'!AY192+'Incremental_Cost Year 2'!AZ192+'Incremental_Cost Year 3'!AY192+'Incremental_Cost Year 4'!AY192+'Incremental_Cost Year 5'!AY192+'Incremental_Cost Year 6'!AY192+'Incremental_Cost Year 7'!AY192+'Incremental_Cost Year 8'!AY192+'Incremental_Cost Year 9'!AY192+'Incremental_Cost Year 10'!AY192</f>
        <v>0</v>
      </c>
      <c r="BH192" s="294">
        <f>'Incremental_Cost Year 1'!AZ192+'Incremental_Cost Year 2'!BA192+'Incremental_Cost Year 3'!AZ192+'Incremental_Cost Year 4'!AZ192+'Incremental_Cost Year 5'!AZ192+'Incremental_Cost Year 6'!AZ192+'Incremental_Cost Year 7'!AZ192+'Incremental_Cost Year 8'!AZ192+'Incremental_Cost Year 9'!AZ192+'Incremental_Cost Year 10'!AZ192</f>
        <v>0</v>
      </c>
      <c r="BI192" s="294">
        <f>'Incremental_Cost Year 1'!BA192+'Incremental_Cost Year 2'!BA192+'Incremental_Cost Year 3'!BA192+'Incremental_Cost Year 4'!BA192+'Incremental_Cost Year 5'!BA192+'Incremental_Cost Year 6'!BA192+'Incremental_Cost Year 7'!BA192+'Incremental_Cost Year 8'!BA192+'Incremental_Cost Year 9'!BA192+'Incremental_Cost Year 10'!BA192</f>
        <v>0</v>
      </c>
      <c r="BJ192" s="294">
        <f t="shared" si="149"/>
        <v>0</v>
      </c>
    </row>
    <row r="193" spans="1:62" ht="15.6" outlineLevel="2">
      <c r="A193" s="98"/>
      <c r="B193" s="102"/>
      <c r="C193" s="23"/>
      <c r="D193" s="269"/>
      <c r="E193" s="271"/>
      <c r="F193" s="250"/>
      <c r="G193" s="255"/>
      <c r="H193" s="272"/>
      <c r="I193" s="258"/>
      <c r="J193" s="259"/>
      <c r="K193" s="259"/>
      <c r="L193" s="106" t="str">
        <f>IF(I193&lt;&gt;0,((VLOOKUP(I193,'1. Standard_Cost'!$B$4:$D$11,2)+VLOOKUP(I193,'1. Standard_Cost'!$B$4:$D$11,3))*J193*K193),"0")</f>
        <v>0</v>
      </c>
      <c r="M193" s="106">
        <f>L193*'1. Standard_Cost'!$F$4</f>
        <v>0</v>
      </c>
      <c r="N193" s="260"/>
      <c r="O193" s="260"/>
      <c r="P193" s="260"/>
      <c r="Q193" s="260"/>
      <c r="R193" s="108">
        <f>'1. Standard_Cost'!$B$15*N193*P193</f>
        <v>0</v>
      </c>
      <c r="S193" s="108">
        <f>N193*O193*P193*'1. Standard_Cost'!$C$15</f>
        <v>0</v>
      </c>
      <c r="T193" s="108">
        <f>N193*P193*Q193*'1. Standard_Cost'!$D$15</f>
        <v>0</v>
      </c>
      <c r="U193" s="108">
        <f>N193*O193*'1. Standard_Cost'!$E$15</f>
        <v>0</v>
      </c>
      <c r="V193" s="260"/>
      <c r="W193" s="260"/>
      <c r="X193" s="260"/>
      <c r="Y193" s="108">
        <f>+V193*((X193*'1. Standard_Cost'!$B$19)+(W193*X193*'1. Standard_Cost'!$C$19))</f>
        <v>0</v>
      </c>
      <c r="Z193" s="260"/>
      <c r="AA193" s="260"/>
      <c r="AB193" s="108">
        <f>+Z193*'1. Standard_Cost'!$B$23+AA193*'1. Standard_Cost'!$C$23</f>
        <v>0</v>
      </c>
      <c r="AC193" s="261"/>
      <c r="AD193" s="262"/>
      <c r="AE193" s="108">
        <f>SUM(AD193,AC193,AB193,Y193,U193,T193,S193,R193)*'1. Standard_Cost'!$B$31</f>
        <v>0</v>
      </c>
      <c r="AF193" s="108">
        <f t="shared" si="196"/>
        <v>0</v>
      </c>
      <c r="AG193" s="260"/>
      <c r="AH193" s="260"/>
      <c r="AI193" s="260"/>
      <c r="AJ193" s="263"/>
      <c r="AK193" s="263"/>
      <c r="AL193" s="263"/>
      <c r="AM193" s="108">
        <f>AG193*'1. Standard_Cost'!$B$27+'Incremental_Cost Year 10'!AH193*'1. Standard_Cost'!$C$27+'Incremental_Cost Year 10'!AI193*'1. Standard_Cost'!$D$27+'Incremental_Cost Year 10'!AJ193+'Incremental_Cost Year 10'!AL193+AK193</f>
        <v>0</v>
      </c>
      <c r="AN193" s="108">
        <f>AM193*'1. Standard_Cost'!$C$31</f>
        <v>0</v>
      </c>
      <c r="AO193" s="125" t="s">
        <v>407</v>
      </c>
      <c r="AQ193" s="14">
        <f t="shared" si="197"/>
        <v>0</v>
      </c>
      <c r="AR193" s="14">
        <f t="shared" si="198"/>
        <v>0</v>
      </c>
      <c r="AS193" s="14">
        <f t="shared" si="199"/>
        <v>0</v>
      </c>
      <c r="AT193" s="14">
        <f t="shared" si="201"/>
        <v>0</v>
      </c>
      <c r="AU193" s="234"/>
      <c r="AV193" s="234"/>
      <c r="AW193" s="234"/>
      <c r="AX193" s="234"/>
      <c r="AY193" s="234"/>
      <c r="AZ193" s="234"/>
      <c r="BA193" s="234"/>
      <c r="BB193" s="16">
        <f t="shared" si="200"/>
        <v>0</v>
      </c>
      <c r="BD193" s="294">
        <f>'Incremental_Cost Year 1'!AV193+'Incremental_Cost Year 2'!AV193+'Incremental_Cost Year 3'!AV193+'Incremental_Cost Year 4'!AV193+'Incremental_Cost Year 5'!AV193+'Incremental_Cost Year 6'!AV193+'Incremental_Cost Year 7'!AV193+'Incremental_Cost Year 8'!AV193+'Incremental_Cost Year 9'!AV193+'Incremental_Cost Year 10'!AV193</f>
        <v>0</v>
      </c>
      <c r="BE193" s="294">
        <f>'Incremental_Cost Year 1'!AW193+'Incremental_Cost Year 2'!AW193+'Incremental_Cost Year 3'!AW193+'Incremental_Cost Year 4'!AW193+'Incremental_Cost Year 5'!AW193+'Incremental_Cost Year 6'!AW193+'Incremental_Cost Year 7'!AW193+'Incremental_Cost Year 8'!AW193+'Incremental_Cost Year 9'!AW193+'Incremental_Cost Year 10'!AW193</f>
        <v>0</v>
      </c>
      <c r="BF193" s="294">
        <f>'Incremental_Cost Year 1'!AX193+'Incremental_Cost Year 2'!AX193+'Incremental_Cost Year 3'!AX193+'Incremental_Cost Year 4'!AX193+'Incremental_Cost Year 5'!AX193+'Incremental_Cost Year 6'!AX193+'Incremental_Cost Year 7'!AX193+'Incremental_Cost Year 8'!AX193+'Incremental_Cost Year 9'!AX193+'Incremental_Cost Year 10'!AX193</f>
        <v>0</v>
      </c>
      <c r="BG193" s="294">
        <f>'Incremental_Cost Year 1'!AY193+'Incremental_Cost Year 2'!AZ193+'Incremental_Cost Year 3'!AY193+'Incremental_Cost Year 4'!AY193+'Incremental_Cost Year 5'!AY193+'Incremental_Cost Year 6'!AY193+'Incremental_Cost Year 7'!AY193+'Incremental_Cost Year 8'!AY193+'Incremental_Cost Year 9'!AY193+'Incremental_Cost Year 10'!AY193</f>
        <v>0</v>
      </c>
      <c r="BH193" s="294">
        <f>'Incremental_Cost Year 1'!AZ193+'Incremental_Cost Year 2'!BA193+'Incremental_Cost Year 3'!AZ193+'Incremental_Cost Year 4'!AZ193+'Incremental_Cost Year 5'!AZ193+'Incremental_Cost Year 6'!AZ193+'Incremental_Cost Year 7'!AZ193+'Incremental_Cost Year 8'!AZ193+'Incremental_Cost Year 9'!AZ193+'Incremental_Cost Year 10'!AZ193</f>
        <v>0</v>
      </c>
      <c r="BI193" s="294">
        <f>'Incremental_Cost Year 1'!BA193+'Incremental_Cost Year 2'!BA193+'Incremental_Cost Year 3'!BA193+'Incremental_Cost Year 4'!BA193+'Incremental_Cost Year 5'!BA193+'Incremental_Cost Year 6'!BA193+'Incremental_Cost Year 7'!BA193+'Incremental_Cost Year 8'!BA193+'Incremental_Cost Year 9'!BA193+'Incremental_Cost Year 10'!BA193</f>
        <v>0</v>
      </c>
      <c r="BJ193" s="294">
        <f t="shared" si="149"/>
        <v>0</v>
      </c>
    </row>
    <row r="194" spans="1:62" ht="36" customHeight="1" outlineLevel="2">
      <c r="A194" s="98"/>
      <c r="B194" s="102"/>
      <c r="C194" s="23"/>
      <c r="D194" s="251"/>
      <c r="E194" s="251"/>
      <c r="F194" s="251"/>
      <c r="G194" s="250"/>
      <c r="H194" s="272"/>
      <c r="I194" s="258"/>
      <c r="J194" s="259"/>
      <c r="K194" s="259"/>
      <c r="L194" s="106" t="str">
        <f>IF(I194&lt;&gt;0,((VLOOKUP(I194,'1. Standard_Cost'!$B$4:$D$11,2)+VLOOKUP(I194,'1. Standard_Cost'!$B$4:$D$11,3))*J194*K194),"0")</f>
        <v>0</v>
      </c>
      <c r="M194" s="106">
        <f>L194*'1. Standard_Cost'!$F$4</f>
        <v>0</v>
      </c>
      <c r="N194" s="260"/>
      <c r="O194" s="260"/>
      <c r="P194" s="260"/>
      <c r="Q194" s="260"/>
      <c r="R194" s="108">
        <f>'1. Standard_Cost'!$B$15*N194*P194</f>
        <v>0</v>
      </c>
      <c r="S194" s="108">
        <f>N194*O194*P194*'1. Standard_Cost'!$C$15</f>
        <v>0</v>
      </c>
      <c r="T194" s="108">
        <f>N194*P194*Q194*'1. Standard_Cost'!$D$15</f>
        <v>0</v>
      </c>
      <c r="U194" s="108">
        <f>N194*O194*'1. Standard_Cost'!$E$15</f>
        <v>0</v>
      </c>
      <c r="V194" s="260"/>
      <c r="W194" s="260"/>
      <c r="X194" s="260"/>
      <c r="Y194" s="108">
        <f>+V194*((X194*'1. Standard_Cost'!$B$19)+(W194*X194*'1. Standard_Cost'!$C$19))</f>
        <v>0</v>
      </c>
      <c r="Z194" s="260"/>
      <c r="AA194" s="260"/>
      <c r="AB194" s="108">
        <f>+Z194*'1. Standard_Cost'!$B$23+AA194*'1. Standard_Cost'!$C$23</f>
        <v>0</v>
      </c>
      <c r="AC194" s="261"/>
      <c r="AD194" s="262"/>
      <c r="AE194" s="108">
        <f>SUM(AD194,AC194,AB194,Y194,U194,T194,S194,R194)*'1. Standard_Cost'!$B$31</f>
        <v>0</v>
      </c>
      <c r="AF194" s="108">
        <f t="shared" si="196"/>
        <v>0</v>
      </c>
      <c r="AG194" s="260"/>
      <c r="AH194" s="260"/>
      <c r="AI194" s="260"/>
      <c r="AJ194" s="263"/>
      <c r="AK194" s="263"/>
      <c r="AL194" s="263"/>
      <c r="AM194" s="108">
        <f>AG194*'1. Standard_Cost'!$B$27+'Incremental_Cost Year 10'!AH194*'1. Standard_Cost'!$C$27+'Incremental_Cost Year 10'!AI194*'1. Standard_Cost'!$D$27+'Incremental_Cost Year 10'!AJ194+'Incremental_Cost Year 10'!AL194+AK194</f>
        <v>0</v>
      </c>
      <c r="AN194" s="108">
        <f>AM194*'1. Standard_Cost'!$C$31</f>
        <v>0</v>
      </c>
      <c r="AO194" s="125" t="s">
        <v>408</v>
      </c>
      <c r="AQ194" s="14">
        <f t="shared" si="197"/>
        <v>0</v>
      </c>
      <c r="AR194" s="14">
        <f t="shared" si="198"/>
        <v>0</v>
      </c>
      <c r="AS194" s="14">
        <f t="shared" si="199"/>
        <v>0</v>
      </c>
      <c r="AT194" s="14">
        <f t="shared" si="201"/>
        <v>0</v>
      </c>
      <c r="AU194" s="234"/>
      <c r="AV194" s="234"/>
      <c r="AW194" s="234"/>
      <c r="AX194" s="234"/>
      <c r="AY194" s="234"/>
      <c r="AZ194" s="234"/>
      <c r="BA194" s="234"/>
      <c r="BB194" s="16">
        <f t="shared" si="200"/>
        <v>0</v>
      </c>
      <c r="BD194" s="294">
        <f>'Incremental_Cost Year 1'!AV194+'Incremental_Cost Year 2'!AV194+'Incremental_Cost Year 3'!AV194+'Incremental_Cost Year 4'!AV194+'Incremental_Cost Year 5'!AV194+'Incremental_Cost Year 6'!AV194+'Incremental_Cost Year 7'!AV194+'Incremental_Cost Year 8'!AV194+'Incremental_Cost Year 9'!AV194+'Incremental_Cost Year 10'!AV194</f>
        <v>0</v>
      </c>
      <c r="BE194" s="294">
        <f>'Incremental_Cost Year 1'!AW194+'Incremental_Cost Year 2'!AW194+'Incremental_Cost Year 3'!AW194+'Incremental_Cost Year 4'!AW194+'Incremental_Cost Year 5'!AW194+'Incremental_Cost Year 6'!AW194+'Incremental_Cost Year 7'!AW194+'Incremental_Cost Year 8'!AW194+'Incremental_Cost Year 9'!AW194+'Incremental_Cost Year 10'!AW194</f>
        <v>0</v>
      </c>
      <c r="BF194" s="294">
        <f>'Incremental_Cost Year 1'!AX194+'Incremental_Cost Year 2'!AX194+'Incremental_Cost Year 3'!AX194+'Incremental_Cost Year 4'!AX194+'Incremental_Cost Year 5'!AX194+'Incremental_Cost Year 6'!AX194+'Incremental_Cost Year 7'!AX194+'Incremental_Cost Year 8'!AX194+'Incremental_Cost Year 9'!AX194+'Incremental_Cost Year 10'!AX194</f>
        <v>0</v>
      </c>
      <c r="BG194" s="294">
        <f>'Incremental_Cost Year 1'!AY194+'Incremental_Cost Year 2'!AZ194+'Incremental_Cost Year 3'!AY194+'Incremental_Cost Year 4'!AY194+'Incremental_Cost Year 5'!AY194+'Incremental_Cost Year 6'!AY194+'Incremental_Cost Year 7'!AY194+'Incremental_Cost Year 8'!AY194+'Incremental_Cost Year 9'!AY194+'Incremental_Cost Year 10'!AY194</f>
        <v>0</v>
      </c>
      <c r="BH194" s="294">
        <f>'Incremental_Cost Year 1'!AZ194+'Incremental_Cost Year 2'!BA194+'Incremental_Cost Year 3'!AZ194+'Incremental_Cost Year 4'!AZ194+'Incremental_Cost Year 5'!AZ194+'Incremental_Cost Year 6'!AZ194+'Incremental_Cost Year 7'!AZ194+'Incremental_Cost Year 8'!AZ194+'Incremental_Cost Year 9'!AZ194+'Incremental_Cost Year 10'!AZ194</f>
        <v>0</v>
      </c>
      <c r="BI194" s="294">
        <f>'Incremental_Cost Year 1'!BA194+'Incremental_Cost Year 2'!BA194+'Incremental_Cost Year 3'!BA194+'Incremental_Cost Year 4'!BA194+'Incremental_Cost Year 5'!BA194+'Incremental_Cost Year 6'!BA194+'Incremental_Cost Year 7'!BA194+'Incremental_Cost Year 8'!BA194+'Incremental_Cost Year 9'!BA194+'Incremental_Cost Year 10'!BA194</f>
        <v>0</v>
      </c>
      <c r="BJ194" s="294">
        <f t="shared" si="149"/>
        <v>0</v>
      </c>
    </row>
    <row r="195" spans="1:62" ht="28.95" customHeight="1" outlineLevel="2">
      <c r="A195" s="98"/>
      <c r="B195" s="102"/>
      <c r="C195" s="23"/>
      <c r="D195" s="251"/>
      <c r="E195" s="251"/>
      <c r="F195" s="269"/>
      <c r="G195" s="271"/>
      <c r="H195" s="272"/>
      <c r="I195" s="258"/>
      <c r="J195" s="259"/>
      <c r="K195" s="259"/>
      <c r="L195" s="106" t="str">
        <f>IF(I195&lt;&gt;0,((VLOOKUP(I195,'[1]1. Standard_Cost'!$B$4:$D$11,2)+VLOOKUP(I195,'[1]1. Standard_Cost'!$B$4:$D$11,3))*J195*K195),"0")</f>
        <v>0</v>
      </c>
      <c r="M195" s="106">
        <f>L195*'[1]1. Standard_Cost'!$F$4</f>
        <v>0</v>
      </c>
      <c r="N195" s="260"/>
      <c r="O195" s="260"/>
      <c r="P195" s="260"/>
      <c r="Q195" s="260"/>
      <c r="R195" s="108">
        <f>'[1]1. Standard_Cost'!$B$15*N195*P195</f>
        <v>0</v>
      </c>
      <c r="S195" s="108">
        <f>N195*O195*P195*'[1]1. Standard_Cost'!$C$15</f>
        <v>0</v>
      </c>
      <c r="T195" s="108">
        <f>N195*P195*Q195*'[1]1. Standard_Cost'!$D$15</f>
        <v>0</v>
      </c>
      <c r="U195" s="108">
        <f>N195*O195*'[1]1. Standard_Cost'!$E$15</f>
        <v>0</v>
      </c>
      <c r="V195" s="260"/>
      <c r="W195" s="260"/>
      <c r="X195" s="260"/>
      <c r="Y195" s="108">
        <f>+V195*((X195*'[1]1. Standard_Cost'!$B$19)+(W195*X195*'[1]1. Standard_Cost'!$C$19))</f>
        <v>0</v>
      </c>
      <c r="Z195" s="260"/>
      <c r="AA195" s="260"/>
      <c r="AB195" s="108">
        <f>+Z195*'[1]1. Standard_Cost'!$B$23+AA195*'[1]1. Standard_Cost'!$C$23</f>
        <v>0</v>
      </c>
      <c r="AC195" s="261"/>
      <c r="AD195" s="262"/>
      <c r="AE195" s="108">
        <f>SUM(AD195,AC195,AB195,Y195,U195,T195,S195,R195)*'[1]1. Standard_Cost'!$B$31</f>
        <v>0</v>
      </c>
      <c r="AF195" s="108">
        <f t="shared" si="196"/>
        <v>0</v>
      </c>
      <c r="AG195" s="260"/>
      <c r="AH195" s="260"/>
      <c r="AI195" s="260"/>
      <c r="AJ195" s="263"/>
      <c r="AK195" s="263"/>
      <c r="AL195" s="263"/>
      <c r="AM195" s="108">
        <f>AG195*'[1]1. Standard_Cost'!$B$27+'[1]Incremental_Cost Year 10'!AH195*'[1]1. Standard_Cost'!$C$27+'[1]Incremental_Cost Year 10'!AI195*'[1]1. Standard_Cost'!$D$27+'[1]Incremental_Cost Year 10'!AJ195+'[1]Incremental_Cost Year 10'!AL195+AK195</f>
        <v>0</v>
      </c>
      <c r="AN195" s="108">
        <f>AM195*'[1]1. Standard_Cost'!$C$31</f>
        <v>0</v>
      </c>
      <c r="AO195" s="125" t="s">
        <v>408</v>
      </c>
      <c r="AQ195" s="14">
        <f t="shared" si="197"/>
        <v>0</v>
      </c>
      <c r="AR195" s="14">
        <f t="shared" si="198"/>
        <v>0</v>
      </c>
      <c r="AS195" s="14">
        <f t="shared" si="199"/>
        <v>0</v>
      </c>
      <c r="AT195" s="14">
        <f t="shared" si="201"/>
        <v>0</v>
      </c>
      <c r="AU195" s="234"/>
      <c r="AV195" s="234"/>
      <c r="AW195" s="234"/>
      <c r="AX195" s="234"/>
      <c r="AY195" s="234"/>
      <c r="AZ195" s="234"/>
      <c r="BA195" s="234"/>
      <c r="BB195" s="16">
        <f t="shared" si="200"/>
        <v>0</v>
      </c>
      <c r="BD195" s="294">
        <f>'Incremental_Cost Year 1'!AV195+'Incremental_Cost Year 2'!AV195+'Incremental_Cost Year 3'!AV195+'Incremental_Cost Year 4'!AV195+'Incremental_Cost Year 5'!AV195+'Incremental_Cost Year 6'!AV195+'Incremental_Cost Year 7'!AV195+'Incremental_Cost Year 8'!AV195+'Incremental_Cost Year 9'!AV195+'Incremental_Cost Year 10'!AV195</f>
        <v>0</v>
      </c>
      <c r="BE195" s="294">
        <f>'Incremental_Cost Year 1'!AW195+'Incremental_Cost Year 2'!AW195+'Incremental_Cost Year 3'!AW195+'Incremental_Cost Year 4'!AW195+'Incremental_Cost Year 5'!AW195+'Incremental_Cost Year 6'!AW195+'Incremental_Cost Year 7'!AW195+'Incremental_Cost Year 8'!AW195+'Incremental_Cost Year 9'!AW195+'Incremental_Cost Year 10'!AW195</f>
        <v>0</v>
      </c>
      <c r="BF195" s="294">
        <f>'Incremental_Cost Year 1'!AX195+'Incremental_Cost Year 2'!AX195+'Incremental_Cost Year 3'!AX195+'Incremental_Cost Year 4'!AX195+'Incremental_Cost Year 5'!AX195+'Incremental_Cost Year 6'!AX195+'Incremental_Cost Year 7'!AX195+'Incremental_Cost Year 8'!AX195+'Incremental_Cost Year 9'!AX195+'Incremental_Cost Year 10'!AX195</f>
        <v>0</v>
      </c>
      <c r="BG195" s="294">
        <f>'Incremental_Cost Year 1'!AY195+'Incremental_Cost Year 2'!AZ195+'Incremental_Cost Year 3'!AY195+'Incremental_Cost Year 4'!AY195+'Incremental_Cost Year 5'!AY195+'Incremental_Cost Year 6'!AY195+'Incremental_Cost Year 7'!AY195+'Incremental_Cost Year 8'!AY195+'Incremental_Cost Year 9'!AY195+'Incremental_Cost Year 10'!AY195</f>
        <v>0</v>
      </c>
      <c r="BH195" s="294">
        <f>'Incremental_Cost Year 1'!AZ195+'Incremental_Cost Year 2'!BA195+'Incremental_Cost Year 3'!AZ195+'Incremental_Cost Year 4'!AZ195+'Incremental_Cost Year 5'!AZ195+'Incremental_Cost Year 6'!AZ195+'Incremental_Cost Year 7'!AZ195+'Incremental_Cost Year 8'!AZ195+'Incremental_Cost Year 9'!AZ195+'Incremental_Cost Year 10'!AZ195</f>
        <v>0</v>
      </c>
      <c r="BI195" s="294">
        <f>'Incremental_Cost Year 1'!BA195+'Incremental_Cost Year 2'!BA195+'Incremental_Cost Year 3'!BA195+'Incremental_Cost Year 4'!BA195+'Incremental_Cost Year 5'!BA195+'Incremental_Cost Year 6'!BA195+'Incremental_Cost Year 7'!BA195+'Incremental_Cost Year 8'!BA195+'Incremental_Cost Year 9'!BA195+'Incremental_Cost Year 10'!BA195</f>
        <v>0</v>
      </c>
      <c r="BJ195" s="294">
        <f t="shared" si="149"/>
        <v>0</v>
      </c>
    </row>
    <row r="196" spans="1:62" ht="32.25" customHeight="1" outlineLevel="2">
      <c r="A196" s="98"/>
      <c r="B196" s="102"/>
      <c r="C196" s="23"/>
      <c r="D196" s="251"/>
      <c r="E196" s="251"/>
      <c r="F196" s="251"/>
      <c r="G196" s="250"/>
      <c r="H196" s="272"/>
      <c r="I196" s="258"/>
      <c r="J196" s="259"/>
      <c r="K196" s="259"/>
      <c r="L196" s="106" t="str">
        <f>IF(I196&lt;&gt;0,((VLOOKUP(I196,'1. Standard_Cost'!$B$4:$D$11,2)+VLOOKUP(I196,'1. Standard_Cost'!$B$4:$D$11,3))*J196*K196),"0")</f>
        <v>0</v>
      </c>
      <c r="M196" s="106">
        <f>L196*'1. Standard_Cost'!$F$4</f>
        <v>0</v>
      </c>
      <c r="N196" s="260"/>
      <c r="O196" s="260"/>
      <c r="P196" s="260"/>
      <c r="Q196" s="260"/>
      <c r="R196" s="108">
        <f>'1. Standard_Cost'!$B$15*N196*P196</f>
        <v>0</v>
      </c>
      <c r="S196" s="108">
        <f>N196*O196*P196*'1. Standard_Cost'!$C$15</f>
        <v>0</v>
      </c>
      <c r="T196" s="108">
        <f>N196*P196*Q196*'1. Standard_Cost'!$D$15</f>
        <v>0</v>
      </c>
      <c r="U196" s="108">
        <f>N196*O196*'1. Standard_Cost'!$E$15</f>
        <v>0</v>
      </c>
      <c r="V196" s="260"/>
      <c r="W196" s="260"/>
      <c r="X196" s="260"/>
      <c r="Y196" s="108">
        <f>+V196*((X196*'1. Standard_Cost'!$B$19)+(W196*X196*'1. Standard_Cost'!$C$19))</f>
        <v>0</v>
      </c>
      <c r="Z196" s="260"/>
      <c r="AA196" s="260"/>
      <c r="AB196" s="108">
        <f>+Z196*'1. Standard_Cost'!$B$23+AA196*'1. Standard_Cost'!$C$23</f>
        <v>0</v>
      </c>
      <c r="AC196" s="261"/>
      <c r="AD196" s="262"/>
      <c r="AE196" s="108">
        <f>SUM(AD196,AC196,AB196,Y196,U196,T196,S196,R196)*'1. Standard_Cost'!$B$31</f>
        <v>0</v>
      </c>
      <c r="AF196" s="108">
        <f t="shared" si="196"/>
        <v>0</v>
      </c>
      <c r="AG196" s="260"/>
      <c r="AH196" s="260"/>
      <c r="AI196" s="260"/>
      <c r="AJ196" s="263"/>
      <c r="AK196" s="263"/>
      <c r="AL196" s="263"/>
      <c r="AM196" s="108">
        <f>AG196*'1. Standard_Cost'!$B$27+'Incremental_Cost Year 10'!AH196*'1. Standard_Cost'!$C$27+'Incremental_Cost Year 10'!AI196*'1. Standard_Cost'!$D$27+'Incremental_Cost Year 10'!AJ196+'Incremental_Cost Year 10'!AL196+AK196</f>
        <v>0</v>
      </c>
      <c r="AN196" s="108">
        <f>AM196*'1. Standard_Cost'!$C$31</f>
        <v>0</v>
      </c>
      <c r="AO196" s="125" t="s">
        <v>409</v>
      </c>
      <c r="AQ196" s="14">
        <f t="shared" si="197"/>
        <v>0</v>
      </c>
      <c r="AR196" s="14">
        <f t="shared" si="198"/>
        <v>0</v>
      </c>
      <c r="AS196" s="14">
        <f t="shared" si="199"/>
        <v>0</v>
      </c>
      <c r="AT196" s="14">
        <f t="shared" si="201"/>
        <v>0</v>
      </c>
      <c r="AU196" s="234"/>
      <c r="AV196" s="234"/>
      <c r="AW196" s="234"/>
      <c r="AX196" s="234"/>
      <c r="AY196" s="234"/>
      <c r="AZ196" s="234"/>
      <c r="BA196" s="234"/>
      <c r="BB196" s="16">
        <f t="shared" si="200"/>
        <v>0</v>
      </c>
      <c r="BD196" s="294">
        <f>'Incremental_Cost Year 1'!AV196+'Incremental_Cost Year 2'!AV196+'Incremental_Cost Year 3'!AV196+'Incremental_Cost Year 4'!AV196+'Incremental_Cost Year 5'!AV196+'Incremental_Cost Year 6'!AV196+'Incremental_Cost Year 7'!AV196+'Incremental_Cost Year 8'!AV196+'Incremental_Cost Year 9'!AV196+'Incremental_Cost Year 10'!AV196</f>
        <v>0</v>
      </c>
      <c r="BE196" s="294">
        <f>'Incremental_Cost Year 1'!AW196+'Incremental_Cost Year 2'!AW196+'Incremental_Cost Year 3'!AW196+'Incremental_Cost Year 4'!AW196+'Incremental_Cost Year 5'!AW196+'Incremental_Cost Year 6'!AW196+'Incremental_Cost Year 7'!AW196+'Incremental_Cost Year 8'!AW196+'Incremental_Cost Year 9'!AW196+'Incremental_Cost Year 10'!AW196</f>
        <v>0</v>
      </c>
      <c r="BF196" s="294">
        <f>'Incremental_Cost Year 1'!AX196+'Incremental_Cost Year 2'!AX196+'Incremental_Cost Year 3'!AX196+'Incremental_Cost Year 4'!AX196+'Incremental_Cost Year 5'!AX196+'Incremental_Cost Year 6'!AX196+'Incremental_Cost Year 7'!AX196+'Incremental_Cost Year 8'!AX196+'Incremental_Cost Year 9'!AX196+'Incremental_Cost Year 10'!AX196</f>
        <v>0</v>
      </c>
      <c r="BG196" s="294">
        <f>'Incremental_Cost Year 1'!AY196+'Incremental_Cost Year 2'!AZ196+'Incremental_Cost Year 3'!AY196+'Incremental_Cost Year 4'!AY196+'Incremental_Cost Year 5'!AY196+'Incremental_Cost Year 6'!AY196+'Incremental_Cost Year 7'!AY196+'Incremental_Cost Year 8'!AY196+'Incremental_Cost Year 9'!AY196+'Incremental_Cost Year 10'!AY196</f>
        <v>0</v>
      </c>
      <c r="BH196" s="294">
        <f>'Incremental_Cost Year 1'!AZ196+'Incremental_Cost Year 2'!BA196+'Incremental_Cost Year 3'!AZ196+'Incremental_Cost Year 4'!AZ196+'Incremental_Cost Year 5'!AZ196+'Incremental_Cost Year 6'!AZ196+'Incremental_Cost Year 7'!AZ196+'Incremental_Cost Year 8'!AZ196+'Incremental_Cost Year 9'!AZ196+'Incremental_Cost Year 10'!AZ196</f>
        <v>0</v>
      </c>
      <c r="BI196" s="294">
        <f>'Incremental_Cost Year 1'!BA196+'Incremental_Cost Year 2'!BA196+'Incremental_Cost Year 3'!BA196+'Incremental_Cost Year 4'!BA196+'Incremental_Cost Year 5'!BA196+'Incremental_Cost Year 6'!BA196+'Incremental_Cost Year 7'!BA196+'Incremental_Cost Year 8'!BA196+'Incremental_Cost Year 9'!BA196+'Incremental_Cost Year 10'!BA196</f>
        <v>0</v>
      </c>
      <c r="BJ196" s="294">
        <f t="shared" si="149"/>
        <v>0</v>
      </c>
    </row>
    <row r="197" spans="1:62" ht="45" customHeight="1" outlineLevel="2">
      <c r="A197" s="98"/>
      <c r="B197" s="102"/>
      <c r="C197" s="23"/>
      <c r="D197" s="251"/>
      <c r="E197" s="251"/>
      <c r="F197" s="251"/>
      <c r="G197" s="250"/>
      <c r="H197" s="272"/>
      <c r="I197" s="258"/>
      <c r="J197" s="259"/>
      <c r="K197" s="259"/>
      <c r="L197" s="106" t="str">
        <f>IF(I197&lt;&gt;0,((VLOOKUP(I197,'1. Standard_Cost'!$B$4:$D$11,2)+VLOOKUP(I197,'1. Standard_Cost'!$B$4:$D$11,3))*J197*K197),"0")</f>
        <v>0</v>
      </c>
      <c r="M197" s="106">
        <f>L197*'1. Standard_Cost'!$F$4</f>
        <v>0</v>
      </c>
      <c r="N197" s="260"/>
      <c r="O197" s="260"/>
      <c r="P197" s="260"/>
      <c r="Q197" s="260"/>
      <c r="R197" s="108">
        <f>'1. Standard_Cost'!$B$15*N197*P197</f>
        <v>0</v>
      </c>
      <c r="S197" s="108">
        <f>N197*O197*P197*'1. Standard_Cost'!$C$15</f>
        <v>0</v>
      </c>
      <c r="T197" s="108">
        <f>N197*P197*Q197*'1. Standard_Cost'!$D$15</f>
        <v>0</v>
      </c>
      <c r="U197" s="108">
        <f>N197*O197*'1. Standard_Cost'!$E$15</f>
        <v>0</v>
      </c>
      <c r="V197" s="260"/>
      <c r="W197" s="260"/>
      <c r="X197" s="260"/>
      <c r="Y197" s="108">
        <f>+V197*((X197*'1. Standard_Cost'!$B$19)+(W197*X197*'1. Standard_Cost'!$C$19))</f>
        <v>0</v>
      </c>
      <c r="Z197" s="260"/>
      <c r="AA197" s="260"/>
      <c r="AB197" s="108">
        <f>+Z197*'1. Standard_Cost'!$B$23+AA197*'1. Standard_Cost'!$C$23</f>
        <v>0</v>
      </c>
      <c r="AC197" s="261"/>
      <c r="AD197" s="262"/>
      <c r="AE197" s="108">
        <f>SUM(AD197,AC197,AB197,Y197,U197,T197,S197,R197)*'1. Standard_Cost'!$B$31</f>
        <v>0</v>
      </c>
      <c r="AF197" s="108">
        <f t="shared" si="196"/>
        <v>0</v>
      </c>
      <c r="AG197" s="260"/>
      <c r="AH197" s="260"/>
      <c r="AI197" s="260"/>
      <c r="AJ197" s="263"/>
      <c r="AK197" s="263"/>
      <c r="AL197" s="263"/>
      <c r="AM197" s="108">
        <f>AG197*'1. Standard_Cost'!$B$27+'Incremental_Cost Year 10'!AH197*'1. Standard_Cost'!$C$27+'Incremental_Cost Year 10'!AI197*'1. Standard_Cost'!$D$27+'Incremental_Cost Year 10'!AJ197+'Incremental_Cost Year 10'!AL197+AK197</f>
        <v>0</v>
      </c>
      <c r="AN197" s="108">
        <f>AM197*'1. Standard_Cost'!$C$31</f>
        <v>0</v>
      </c>
      <c r="AO197" s="125" t="s">
        <v>410</v>
      </c>
      <c r="AQ197" s="14">
        <f t="shared" si="197"/>
        <v>0</v>
      </c>
      <c r="AR197" s="14">
        <f t="shared" si="198"/>
        <v>0</v>
      </c>
      <c r="AS197" s="14">
        <f t="shared" si="199"/>
        <v>0</v>
      </c>
      <c r="AT197" s="14">
        <f t="shared" si="201"/>
        <v>0</v>
      </c>
      <c r="AU197" s="234"/>
      <c r="AV197" s="234"/>
      <c r="AW197" s="234"/>
      <c r="AX197" s="234"/>
      <c r="AY197" s="234"/>
      <c r="AZ197" s="234"/>
      <c r="BA197" s="234"/>
      <c r="BB197" s="16">
        <f t="shared" si="200"/>
        <v>0</v>
      </c>
      <c r="BD197" s="294">
        <f>'Incremental_Cost Year 1'!AV197+'Incremental_Cost Year 2'!AV197+'Incremental_Cost Year 3'!AV197+'Incremental_Cost Year 4'!AV197+'Incremental_Cost Year 5'!AV197+'Incremental_Cost Year 6'!AV197+'Incremental_Cost Year 7'!AV197+'Incremental_Cost Year 8'!AV197+'Incremental_Cost Year 9'!AV197+'Incremental_Cost Year 10'!AV197</f>
        <v>0</v>
      </c>
      <c r="BE197" s="294">
        <f>'Incremental_Cost Year 1'!AW197+'Incremental_Cost Year 2'!AW197+'Incremental_Cost Year 3'!AW197+'Incremental_Cost Year 4'!AW197+'Incremental_Cost Year 5'!AW197+'Incremental_Cost Year 6'!AW197+'Incremental_Cost Year 7'!AW197+'Incremental_Cost Year 8'!AW197+'Incremental_Cost Year 9'!AW197+'Incremental_Cost Year 10'!AW197</f>
        <v>0</v>
      </c>
      <c r="BF197" s="294">
        <f>'Incremental_Cost Year 1'!AX197+'Incremental_Cost Year 2'!AX197+'Incremental_Cost Year 3'!AX197+'Incremental_Cost Year 4'!AX197+'Incremental_Cost Year 5'!AX197+'Incremental_Cost Year 6'!AX197+'Incremental_Cost Year 7'!AX197+'Incremental_Cost Year 8'!AX197+'Incremental_Cost Year 9'!AX197+'Incremental_Cost Year 10'!AX197</f>
        <v>0</v>
      </c>
      <c r="BG197" s="294">
        <f>'Incremental_Cost Year 1'!AY197+'Incremental_Cost Year 2'!AZ197+'Incremental_Cost Year 3'!AY197+'Incremental_Cost Year 4'!AY197+'Incremental_Cost Year 5'!AY197+'Incremental_Cost Year 6'!AY197+'Incremental_Cost Year 7'!AY197+'Incremental_Cost Year 8'!AY197+'Incremental_Cost Year 9'!AY197+'Incremental_Cost Year 10'!AY197</f>
        <v>200000</v>
      </c>
      <c r="BH197" s="294">
        <f>'Incremental_Cost Year 1'!AZ197+'Incremental_Cost Year 2'!BA197+'Incremental_Cost Year 3'!AZ197+'Incremental_Cost Year 4'!AZ197+'Incremental_Cost Year 5'!AZ197+'Incremental_Cost Year 6'!AZ197+'Incremental_Cost Year 7'!AZ197+'Incremental_Cost Year 8'!AZ197+'Incremental_Cost Year 9'!AZ197+'Incremental_Cost Year 10'!AZ197</f>
        <v>200000</v>
      </c>
      <c r="BI197" s="294">
        <f>'Incremental_Cost Year 1'!BA197+'Incremental_Cost Year 2'!BA197+'Incremental_Cost Year 3'!BA197+'Incremental_Cost Year 4'!BA197+'Incremental_Cost Year 5'!BA197+'Incremental_Cost Year 6'!BA197+'Incremental_Cost Year 7'!BA197+'Incremental_Cost Year 8'!BA197+'Incremental_Cost Year 9'!BA197+'Incremental_Cost Year 10'!BA197</f>
        <v>0</v>
      </c>
      <c r="BJ197" s="294">
        <f t="shared" si="149"/>
        <v>400000</v>
      </c>
    </row>
    <row r="198" spans="1:62" ht="34.950000000000003" customHeight="1" outlineLevel="2">
      <c r="A198" s="98"/>
      <c r="B198" s="102"/>
      <c r="C198" s="23"/>
      <c r="D198" s="251"/>
      <c r="E198" s="251"/>
      <c r="F198" s="269"/>
      <c r="G198" s="271"/>
      <c r="H198" s="272"/>
      <c r="I198" s="258"/>
      <c r="J198" s="259"/>
      <c r="K198" s="259"/>
      <c r="L198" s="106" t="str">
        <f>IF(I198&lt;&gt;0,((VLOOKUP(I198,'[1]1. Standard_Cost'!$B$4:$D$11,2)+VLOOKUP(I198,'[1]1. Standard_Cost'!$B$4:$D$11,3))*J198*K198),"0")</f>
        <v>0</v>
      </c>
      <c r="M198" s="106">
        <f>L198*'[1]1. Standard_Cost'!$F$4</f>
        <v>0</v>
      </c>
      <c r="N198" s="260"/>
      <c r="O198" s="260"/>
      <c r="P198" s="260"/>
      <c r="Q198" s="260"/>
      <c r="R198" s="108">
        <f>'[1]1. Standard_Cost'!$B$15*N198*P198</f>
        <v>0</v>
      </c>
      <c r="S198" s="108">
        <f>N198*O198*P198*'[1]1. Standard_Cost'!$C$15</f>
        <v>0</v>
      </c>
      <c r="T198" s="108">
        <f>N198*P198*Q198*'[1]1. Standard_Cost'!$D$15</f>
        <v>0</v>
      </c>
      <c r="U198" s="108">
        <f>N198*O198*'[1]1. Standard_Cost'!$E$15</f>
        <v>0</v>
      </c>
      <c r="V198" s="260"/>
      <c r="W198" s="260"/>
      <c r="X198" s="260"/>
      <c r="Y198" s="108">
        <f>+V198*((X198*'[1]1. Standard_Cost'!$B$19)+(W198*X198*'[1]1. Standard_Cost'!$C$19))</f>
        <v>0</v>
      </c>
      <c r="Z198" s="260"/>
      <c r="AA198" s="260"/>
      <c r="AB198" s="108">
        <f>+Z198*'[1]1. Standard_Cost'!$B$23+AA198*'[1]1. Standard_Cost'!$C$23</f>
        <v>0</v>
      </c>
      <c r="AC198" s="261"/>
      <c r="AD198" s="262"/>
      <c r="AE198" s="108">
        <f>SUM(AD198,AC198,AB198,Y198,U198,T198,S198,R198)*'[1]1. Standard_Cost'!$B$31</f>
        <v>0</v>
      </c>
      <c r="AF198" s="108">
        <f t="shared" si="196"/>
        <v>0</v>
      </c>
      <c r="AG198" s="260"/>
      <c r="AH198" s="260"/>
      <c r="AI198" s="260"/>
      <c r="AJ198" s="263"/>
      <c r="AK198" s="263"/>
      <c r="AL198" s="263"/>
      <c r="AM198" s="108">
        <f>AG198*'[1]1. Standard_Cost'!$B$27+'[1]Incremental_Cost Year 10'!AH197*'[1]1. Standard_Cost'!$C$27+'[1]Incremental_Cost Year 10'!AI197*'[1]1. Standard_Cost'!$D$27+'[1]Incremental_Cost Year 10'!AJ197+'[1]Incremental_Cost Year 10'!AL197+AK198</f>
        <v>0</v>
      </c>
      <c r="AN198" s="108">
        <f>AM198*'[1]1. Standard_Cost'!$C$31</f>
        <v>0</v>
      </c>
      <c r="AO198" s="125" t="s">
        <v>410</v>
      </c>
      <c r="AQ198" s="14">
        <f t="shared" si="197"/>
        <v>0</v>
      </c>
      <c r="AR198" s="14">
        <f t="shared" si="198"/>
        <v>0</v>
      </c>
      <c r="AS198" s="14">
        <f t="shared" si="199"/>
        <v>0</v>
      </c>
      <c r="AT198" s="14">
        <f t="shared" si="201"/>
        <v>0</v>
      </c>
      <c r="AU198" s="234"/>
      <c r="AV198" s="234"/>
      <c r="AW198" s="234"/>
      <c r="AX198" s="234"/>
      <c r="AY198" s="234"/>
      <c r="AZ198" s="234"/>
      <c r="BA198" s="234"/>
      <c r="BB198" s="16">
        <f t="shared" si="200"/>
        <v>0</v>
      </c>
      <c r="BD198" s="294">
        <f>'Incremental_Cost Year 1'!AV198+'Incremental_Cost Year 2'!AV198+'Incremental_Cost Year 3'!AV198+'Incremental_Cost Year 4'!AV198+'Incremental_Cost Year 5'!AV198+'Incremental_Cost Year 6'!AV198+'Incremental_Cost Year 7'!AV198+'Incremental_Cost Year 8'!AV198+'Incremental_Cost Year 9'!AV198+'Incremental_Cost Year 10'!AV198</f>
        <v>0</v>
      </c>
      <c r="BE198" s="294">
        <f>'Incremental_Cost Year 1'!AW198+'Incremental_Cost Year 2'!AW198+'Incremental_Cost Year 3'!AW198+'Incremental_Cost Year 4'!AW198+'Incremental_Cost Year 5'!AW198+'Incremental_Cost Year 6'!AW198+'Incremental_Cost Year 7'!AW198+'Incremental_Cost Year 8'!AW198+'Incremental_Cost Year 9'!AW198+'Incremental_Cost Year 10'!AW198</f>
        <v>0</v>
      </c>
      <c r="BF198" s="294">
        <f>'Incremental_Cost Year 1'!AX198+'Incremental_Cost Year 2'!AX198+'Incremental_Cost Year 3'!AX198+'Incremental_Cost Year 4'!AX198+'Incremental_Cost Year 5'!AX198+'Incremental_Cost Year 6'!AX198+'Incremental_Cost Year 7'!AX198+'Incremental_Cost Year 8'!AX198+'Incremental_Cost Year 9'!AX198+'Incremental_Cost Year 10'!AX198</f>
        <v>0</v>
      </c>
      <c r="BG198" s="294">
        <f>'Incremental_Cost Year 1'!AY198+'Incremental_Cost Year 2'!AZ198+'Incremental_Cost Year 3'!AY198+'Incremental_Cost Year 4'!AY198+'Incremental_Cost Year 5'!AY198+'Incremental_Cost Year 6'!AY198+'Incremental_Cost Year 7'!AY198+'Incremental_Cost Year 8'!AY198+'Incremental_Cost Year 9'!AY198+'Incremental_Cost Year 10'!AY198</f>
        <v>0</v>
      </c>
      <c r="BH198" s="294">
        <f>'Incremental_Cost Year 1'!AZ198+'Incremental_Cost Year 2'!BA198+'Incremental_Cost Year 3'!AZ198+'Incremental_Cost Year 4'!AZ198+'Incremental_Cost Year 5'!AZ198+'Incremental_Cost Year 6'!AZ198+'Incremental_Cost Year 7'!AZ198+'Incremental_Cost Year 8'!AZ198+'Incremental_Cost Year 9'!AZ198+'Incremental_Cost Year 10'!AZ198</f>
        <v>0</v>
      </c>
      <c r="BI198" s="294">
        <f>'Incremental_Cost Year 1'!BA198+'Incremental_Cost Year 2'!BA198+'Incremental_Cost Year 3'!BA198+'Incremental_Cost Year 4'!BA198+'Incremental_Cost Year 5'!BA198+'Incremental_Cost Year 6'!BA198+'Incremental_Cost Year 7'!BA198+'Incremental_Cost Year 8'!BA198+'Incremental_Cost Year 9'!BA198+'Incremental_Cost Year 10'!BA198</f>
        <v>0</v>
      </c>
      <c r="BJ198" s="294">
        <f t="shared" si="149"/>
        <v>0</v>
      </c>
    </row>
    <row r="199" spans="1:62" ht="15.6" outlineLevel="2">
      <c r="A199" s="98"/>
      <c r="B199" s="102"/>
      <c r="C199" s="23"/>
      <c r="D199" s="251"/>
      <c r="E199" s="251"/>
      <c r="F199" s="251"/>
      <c r="G199" s="250"/>
      <c r="H199" s="272"/>
      <c r="I199" s="258"/>
      <c r="J199" s="259"/>
      <c r="K199" s="259"/>
      <c r="L199" s="106" t="str">
        <f>IF(I199&lt;&gt;0,((VLOOKUP(I199,'1. Standard_Cost'!$B$4:$D$11,2)+VLOOKUP(I199,'1. Standard_Cost'!$B$4:$D$11,3))*J199*K199),"0")</f>
        <v>0</v>
      </c>
      <c r="M199" s="106">
        <f>L199*'1. Standard_Cost'!$F$4</f>
        <v>0</v>
      </c>
      <c r="N199" s="260"/>
      <c r="O199" s="260"/>
      <c r="P199" s="260"/>
      <c r="Q199" s="260"/>
      <c r="R199" s="108">
        <f>'1. Standard_Cost'!$B$15*N199*P199</f>
        <v>0</v>
      </c>
      <c r="S199" s="108">
        <f>N199*O199*P199*'1. Standard_Cost'!$C$15</f>
        <v>0</v>
      </c>
      <c r="T199" s="108">
        <f>N199*P199*Q199*'1. Standard_Cost'!$D$15</f>
        <v>0</v>
      </c>
      <c r="U199" s="108">
        <f>N199*O199*'1. Standard_Cost'!$E$15</f>
        <v>0</v>
      </c>
      <c r="V199" s="260"/>
      <c r="W199" s="260"/>
      <c r="X199" s="260"/>
      <c r="Y199" s="108">
        <f>+V199*((X199*'1. Standard_Cost'!$B$19)+(W199*X199*'1. Standard_Cost'!$C$19))</f>
        <v>0</v>
      </c>
      <c r="Z199" s="260"/>
      <c r="AA199" s="260"/>
      <c r="AB199" s="108">
        <f>+Z199*'1. Standard_Cost'!$B$23+AA199*'1. Standard_Cost'!$C$23</f>
        <v>0</v>
      </c>
      <c r="AC199" s="261"/>
      <c r="AD199" s="262"/>
      <c r="AE199" s="108">
        <f>SUM(AD199,AC199,AB199,Y199,U199,T199,S199,R199)*'1. Standard_Cost'!$B$31</f>
        <v>0</v>
      </c>
      <c r="AF199" s="108">
        <f t="shared" si="196"/>
        <v>0</v>
      </c>
      <c r="AG199" s="260"/>
      <c r="AH199" s="260"/>
      <c r="AI199" s="260"/>
      <c r="AJ199" s="263"/>
      <c r="AK199" s="263"/>
      <c r="AL199" s="263"/>
      <c r="AM199" s="108">
        <f>AG199*'1. Standard_Cost'!$B$27+'Incremental_Cost Year 10'!AH199*'1. Standard_Cost'!$C$27+'Incremental_Cost Year 10'!AI199*'1. Standard_Cost'!$D$27+'Incremental_Cost Year 10'!AJ199+'Incremental_Cost Year 10'!AL199+AK199</f>
        <v>0</v>
      </c>
      <c r="AN199" s="108">
        <f>AM199*'1. Standard_Cost'!$C$31</f>
        <v>0</v>
      </c>
      <c r="AO199" s="125" t="s">
        <v>411</v>
      </c>
      <c r="AQ199" s="14">
        <f t="shared" si="197"/>
        <v>0</v>
      </c>
      <c r="AR199" s="14">
        <f t="shared" si="198"/>
        <v>0</v>
      </c>
      <c r="AS199" s="14">
        <f t="shared" si="199"/>
        <v>0</v>
      </c>
      <c r="AT199" s="14">
        <f t="shared" si="201"/>
        <v>0</v>
      </c>
      <c r="AU199" s="234"/>
      <c r="AV199" s="234"/>
      <c r="AW199" s="234"/>
      <c r="AX199" s="234"/>
      <c r="AY199" s="234"/>
      <c r="AZ199" s="234"/>
      <c r="BA199" s="234"/>
      <c r="BB199" s="16">
        <f t="shared" si="200"/>
        <v>0</v>
      </c>
      <c r="BD199" s="294">
        <f>'Incremental_Cost Year 1'!AV199+'Incremental_Cost Year 2'!AV199+'Incremental_Cost Year 3'!AV199+'Incremental_Cost Year 4'!AV199+'Incremental_Cost Year 5'!AV199+'Incremental_Cost Year 6'!AV199+'Incremental_Cost Year 7'!AV199+'Incremental_Cost Year 8'!AV199+'Incremental_Cost Year 9'!AV199+'Incremental_Cost Year 10'!AV199</f>
        <v>0</v>
      </c>
      <c r="BE199" s="294">
        <f>'Incremental_Cost Year 1'!AW199+'Incremental_Cost Year 2'!AW199+'Incremental_Cost Year 3'!AW199+'Incremental_Cost Year 4'!AW199+'Incremental_Cost Year 5'!AW199+'Incremental_Cost Year 6'!AW199+'Incremental_Cost Year 7'!AW199+'Incremental_Cost Year 8'!AW199+'Incremental_Cost Year 9'!AW199+'Incremental_Cost Year 10'!AW199</f>
        <v>0</v>
      </c>
      <c r="BF199" s="294">
        <f>'Incremental_Cost Year 1'!AX199+'Incremental_Cost Year 2'!AX199+'Incremental_Cost Year 3'!AX199+'Incremental_Cost Year 4'!AX199+'Incremental_Cost Year 5'!AX199+'Incremental_Cost Year 6'!AX199+'Incremental_Cost Year 7'!AX199+'Incremental_Cost Year 8'!AX199+'Incremental_Cost Year 9'!AX199+'Incremental_Cost Year 10'!AX199</f>
        <v>0</v>
      </c>
      <c r="BG199" s="294">
        <f>'Incremental_Cost Year 1'!AY199+'Incremental_Cost Year 2'!AZ199+'Incremental_Cost Year 3'!AY199+'Incremental_Cost Year 4'!AY199+'Incremental_Cost Year 5'!AY199+'Incremental_Cost Year 6'!AY199+'Incremental_Cost Year 7'!AY199+'Incremental_Cost Year 8'!AY199+'Incremental_Cost Year 9'!AY199+'Incremental_Cost Year 10'!AY199</f>
        <v>200000</v>
      </c>
      <c r="BH199" s="294">
        <f>'Incremental_Cost Year 1'!AZ199+'Incremental_Cost Year 2'!BA199+'Incremental_Cost Year 3'!AZ199+'Incremental_Cost Year 4'!AZ199+'Incremental_Cost Year 5'!AZ199+'Incremental_Cost Year 6'!AZ199+'Incremental_Cost Year 7'!AZ199+'Incremental_Cost Year 8'!AZ199+'Incremental_Cost Year 9'!AZ199+'Incremental_Cost Year 10'!AZ199</f>
        <v>494000</v>
      </c>
      <c r="BI199" s="294">
        <f>'Incremental_Cost Year 1'!BA199+'Incremental_Cost Year 2'!BA199+'Incremental_Cost Year 3'!BA199+'Incremental_Cost Year 4'!BA199+'Incremental_Cost Year 5'!BA199+'Incremental_Cost Year 6'!BA199+'Incremental_Cost Year 7'!BA199+'Incremental_Cost Year 8'!BA199+'Incremental_Cost Year 9'!BA199+'Incremental_Cost Year 10'!BA199</f>
        <v>0</v>
      </c>
      <c r="BJ199" s="294">
        <f t="shared" si="149"/>
        <v>694000</v>
      </c>
    </row>
    <row r="200" spans="1:62" ht="32.25" customHeight="1" outlineLevel="2">
      <c r="A200" s="98"/>
      <c r="B200" s="102"/>
      <c r="C200" s="23"/>
      <c r="D200" s="251"/>
      <c r="E200" s="251"/>
      <c r="F200" s="172"/>
      <c r="G200" s="250"/>
      <c r="H200" s="272"/>
      <c r="I200" s="258"/>
      <c r="J200" s="259"/>
      <c r="K200" s="259"/>
      <c r="L200" s="106" t="str">
        <f>IF(I200&lt;&gt;0,((VLOOKUP(I200,'1. Standard_Cost'!$B$4:$D$11,2)+VLOOKUP(I200,'1. Standard_Cost'!$B$4:$D$11,3))*J200*K200),"0")</f>
        <v>0</v>
      </c>
      <c r="M200" s="106">
        <f>L200*'1. Standard_Cost'!$F$4</f>
        <v>0</v>
      </c>
      <c r="N200" s="260"/>
      <c r="O200" s="260"/>
      <c r="P200" s="260"/>
      <c r="Q200" s="260"/>
      <c r="R200" s="108">
        <f>'1. Standard_Cost'!$B$15*N200*P200</f>
        <v>0</v>
      </c>
      <c r="S200" s="108">
        <f>N200*O200*P200*'1. Standard_Cost'!$C$15</f>
        <v>0</v>
      </c>
      <c r="T200" s="108">
        <f>N200*P200*Q200*'1. Standard_Cost'!$D$15</f>
        <v>0</v>
      </c>
      <c r="U200" s="108">
        <f>N200*O200*'1. Standard_Cost'!$E$15</f>
        <v>0</v>
      </c>
      <c r="V200" s="260"/>
      <c r="W200" s="260"/>
      <c r="X200" s="260"/>
      <c r="Y200" s="108">
        <f>+V200*((X200*'1. Standard_Cost'!$B$19)+(W200*X200*'1. Standard_Cost'!$C$19))</f>
        <v>0</v>
      </c>
      <c r="Z200" s="260"/>
      <c r="AA200" s="260"/>
      <c r="AB200" s="108">
        <f>+Z200*'1. Standard_Cost'!$B$23+AA200*'1. Standard_Cost'!$C$23</f>
        <v>0</v>
      </c>
      <c r="AC200" s="261"/>
      <c r="AD200" s="262"/>
      <c r="AE200" s="108">
        <f>SUM(AD200,AC200,AB200,Y200,U200,T200,S200,R200)*'1. Standard_Cost'!$B$31</f>
        <v>0</v>
      </c>
      <c r="AF200" s="108">
        <f t="shared" si="196"/>
        <v>0</v>
      </c>
      <c r="AG200" s="260"/>
      <c r="AH200" s="260"/>
      <c r="AI200" s="260"/>
      <c r="AJ200" s="263"/>
      <c r="AK200" s="263"/>
      <c r="AL200" s="263"/>
      <c r="AM200" s="108">
        <f>AG200*'1. Standard_Cost'!$B$27+'Incremental_Cost Year 10'!AH200*'1. Standard_Cost'!$C$27+'Incremental_Cost Year 10'!AI200*'1. Standard_Cost'!$D$27+'Incremental_Cost Year 10'!AJ200+'Incremental_Cost Year 10'!AL200+AK200</f>
        <v>0</v>
      </c>
      <c r="AN200" s="108">
        <f>AM200*'1. Standard_Cost'!$C$31</f>
        <v>0</v>
      </c>
      <c r="AO200" s="137" t="s">
        <v>412</v>
      </c>
      <c r="AQ200" s="14">
        <f t="shared" si="197"/>
        <v>0</v>
      </c>
      <c r="AR200" s="14">
        <f t="shared" si="198"/>
        <v>0</v>
      </c>
      <c r="AS200" s="14">
        <f t="shared" si="199"/>
        <v>0</v>
      </c>
      <c r="AT200" s="14">
        <f t="shared" si="201"/>
        <v>0</v>
      </c>
      <c r="AU200" s="234"/>
      <c r="AV200" s="234"/>
      <c r="AW200" s="234"/>
      <c r="AX200" s="234"/>
      <c r="AY200" s="234"/>
      <c r="AZ200" s="234"/>
      <c r="BA200" s="234"/>
      <c r="BB200" s="16">
        <f t="shared" si="200"/>
        <v>0</v>
      </c>
      <c r="BD200" s="294">
        <f>'Incremental_Cost Year 1'!AV200+'Incremental_Cost Year 2'!AV200+'Incremental_Cost Year 3'!AV200+'Incremental_Cost Year 4'!AV200+'Incremental_Cost Year 5'!AV200+'Incremental_Cost Year 6'!AV200+'Incremental_Cost Year 7'!AV200+'Incremental_Cost Year 8'!AV200+'Incremental_Cost Year 9'!AV200+'Incremental_Cost Year 10'!AV200</f>
        <v>0</v>
      </c>
      <c r="BE200" s="294">
        <f>'Incremental_Cost Year 1'!AW200+'Incremental_Cost Year 2'!AW200+'Incremental_Cost Year 3'!AW200+'Incremental_Cost Year 4'!AW200+'Incremental_Cost Year 5'!AW200+'Incremental_Cost Year 6'!AW200+'Incremental_Cost Year 7'!AW200+'Incremental_Cost Year 8'!AW200+'Incremental_Cost Year 9'!AW200+'Incremental_Cost Year 10'!AW200</f>
        <v>0</v>
      </c>
      <c r="BF200" s="294">
        <f>'Incremental_Cost Year 1'!AX200+'Incremental_Cost Year 2'!AX200+'Incremental_Cost Year 3'!AX200+'Incremental_Cost Year 4'!AX200+'Incremental_Cost Year 5'!AX200+'Incremental_Cost Year 6'!AX200+'Incremental_Cost Year 7'!AX200+'Incremental_Cost Year 8'!AX200+'Incremental_Cost Year 9'!AX200+'Incremental_Cost Year 10'!AX200</f>
        <v>1000000</v>
      </c>
      <c r="BG200" s="294">
        <f>'Incremental_Cost Year 1'!AY200+'Incremental_Cost Year 2'!AZ200+'Incremental_Cost Year 3'!AY200+'Incremental_Cost Year 4'!AY200+'Incremental_Cost Year 5'!AY200+'Incremental_Cost Year 6'!AY200+'Incremental_Cost Year 7'!AY200+'Incremental_Cost Year 8'!AY200+'Incremental_Cost Year 9'!AY200+'Incremental_Cost Year 10'!AY200</f>
        <v>471176.25</v>
      </c>
      <c r="BH200" s="294">
        <f>'Incremental_Cost Year 1'!AZ200+'Incremental_Cost Year 2'!BA200+'Incremental_Cost Year 3'!AZ200+'Incremental_Cost Year 4'!AZ200+'Incremental_Cost Year 5'!AZ200+'Incremental_Cost Year 6'!AZ200+'Incremental_Cost Year 7'!AZ200+'Incremental_Cost Year 8'!AZ200+'Incremental_Cost Year 9'!AZ200+'Incremental_Cost Year 10'!AZ200</f>
        <v>1884705</v>
      </c>
      <c r="BI200" s="294">
        <f>'Incremental_Cost Year 1'!BA200+'Incremental_Cost Year 2'!BA200+'Incremental_Cost Year 3'!BA200+'Incremental_Cost Year 4'!BA200+'Incremental_Cost Year 5'!BA200+'Incremental_Cost Year 6'!BA200+'Incremental_Cost Year 7'!BA200+'Incremental_Cost Year 8'!BA200+'Incremental_Cost Year 9'!BA200+'Incremental_Cost Year 10'!BA200</f>
        <v>0</v>
      </c>
      <c r="BJ200" s="294">
        <f t="shared" ref="BJ200:BJ241" si="202">SUM(BD200:BI200)</f>
        <v>3355881.25</v>
      </c>
    </row>
    <row r="201" spans="1:62" ht="27.6" outlineLevel="1">
      <c r="A201" s="98"/>
      <c r="B201" s="102"/>
      <c r="C201" s="23"/>
      <c r="D201" s="56" t="s">
        <v>47</v>
      </c>
      <c r="E201" s="56" t="s">
        <v>243</v>
      </c>
      <c r="F201" s="253"/>
      <c r="G201" s="254"/>
      <c r="H201" s="279" t="s">
        <v>244</v>
      </c>
      <c r="I201" s="264"/>
      <c r="J201" s="264"/>
      <c r="K201" s="264"/>
      <c r="L201" s="113">
        <f>SUM(L180:L200)</f>
        <v>0</v>
      </c>
      <c r="M201" s="113">
        <f>SUM(M180:M200)</f>
        <v>0</v>
      </c>
      <c r="N201" s="264"/>
      <c r="O201" s="264"/>
      <c r="P201" s="264"/>
      <c r="Q201" s="264"/>
      <c r="R201" s="113">
        <f>SUM(R180:R200)</f>
        <v>0</v>
      </c>
      <c r="S201" s="113">
        <f>SUM(S180:S200)</f>
        <v>0</v>
      </c>
      <c r="T201" s="113">
        <f>SUM(T180:T200)</f>
        <v>0</v>
      </c>
      <c r="U201" s="113">
        <f>SUM(U180:U200)</f>
        <v>0</v>
      </c>
      <c r="V201" s="264"/>
      <c r="W201" s="264"/>
      <c r="X201" s="264"/>
      <c r="Y201" s="113">
        <f>SUM(Y180:Y200)</f>
        <v>0</v>
      </c>
      <c r="Z201" s="265"/>
      <c r="AA201" s="264"/>
      <c r="AB201" s="113">
        <f>SUM(AB180:AB200)</f>
        <v>0</v>
      </c>
      <c r="AC201" s="265">
        <f>SUM(AC180:AC200)</f>
        <v>0</v>
      </c>
      <c r="AD201" s="265">
        <f>SUM(AD180:AD200)</f>
        <v>0</v>
      </c>
      <c r="AE201" s="113">
        <f>SUM(AE180:AE200)</f>
        <v>0</v>
      </c>
      <c r="AF201" s="113">
        <f>SUM(AF180:AF200)</f>
        <v>0</v>
      </c>
      <c r="AG201" s="264"/>
      <c r="AH201" s="264"/>
      <c r="AI201" s="264"/>
      <c r="AJ201" s="265">
        <f>SUM(AJ180:AJ200)</f>
        <v>0</v>
      </c>
      <c r="AK201" s="265">
        <f>SUM(AK180:AK200)</f>
        <v>0</v>
      </c>
      <c r="AL201" s="265">
        <f>SUM(AL180:AL200)</f>
        <v>0</v>
      </c>
      <c r="AM201" s="113">
        <f>SUM(AM180:AM200)</f>
        <v>0</v>
      </c>
      <c r="AN201" s="113">
        <f>SUM(AN180:AN200)</f>
        <v>0</v>
      </c>
      <c r="AO201" s="131"/>
      <c r="AP201" s="17"/>
      <c r="AQ201" s="113">
        <f t="shared" ref="AQ201:BB201" si="203">SUM(AQ180:AQ200)</f>
        <v>0</v>
      </c>
      <c r="AR201" s="113">
        <f t="shared" si="203"/>
        <v>0</v>
      </c>
      <c r="AS201" s="113">
        <f t="shared" si="203"/>
        <v>0</v>
      </c>
      <c r="AT201" s="113">
        <f t="shared" si="203"/>
        <v>0</v>
      </c>
      <c r="AU201" s="265">
        <f t="shared" si="203"/>
        <v>0</v>
      </c>
      <c r="AV201" s="265">
        <f t="shared" si="203"/>
        <v>0</v>
      </c>
      <c r="AW201" s="265">
        <f t="shared" si="203"/>
        <v>0</v>
      </c>
      <c r="AX201" s="265">
        <f t="shared" si="203"/>
        <v>0</v>
      </c>
      <c r="AY201" s="265">
        <f t="shared" si="203"/>
        <v>0</v>
      </c>
      <c r="AZ201" s="265">
        <f t="shared" si="203"/>
        <v>0</v>
      </c>
      <c r="BA201" s="265">
        <f t="shared" si="203"/>
        <v>0</v>
      </c>
      <c r="BB201" s="113">
        <f t="shared" si="203"/>
        <v>0</v>
      </c>
      <c r="BD201" s="294"/>
      <c r="BE201" s="294"/>
      <c r="BF201" s="294"/>
      <c r="BG201" s="294"/>
      <c r="BH201" s="294"/>
      <c r="BI201" s="294"/>
      <c r="BJ201" s="294"/>
    </row>
    <row r="202" spans="1:62" s="24" customFormat="1" ht="13.8" customHeight="1">
      <c r="A202" s="114"/>
      <c r="B202" s="115"/>
      <c r="C202" s="314" t="s">
        <v>246</v>
      </c>
      <c r="D202" s="314"/>
      <c r="E202" s="315"/>
      <c r="F202" s="246"/>
      <c r="G202" s="246"/>
      <c r="H202" s="278" t="s">
        <v>245</v>
      </c>
      <c r="I202" s="266"/>
      <c r="J202" s="266"/>
      <c r="K202" s="266"/>
      <c r="L202" s="117">
        <f>SUM(L222)</f>
        <v>0</v>
      </c>
      <c r="M202" s="117">
        <f>SUM(M222)</f>
        <v>0</v>
      </c>
      <c r="N202" s="266"/>
      <c r="O202" s="266"/>
      <c r="P202" s="266"/>
      <c r="Q202" s="266"/>
      <c r="R202" s="117">
        <f t="shared" ref="R202:U202" si="204">SUM(R222)</f>
        <v>0</v>
      </c>
      <c r="S202" s="117">
        <f t="shared" si="204"/>
        <v>0</v>
      </c>
      <c r="T202" s="117">
        <f t="shared" si="204"/>
        <v>0</v>
      </c>
      <c r="U202" s="117">
        <f t="shared" si="204"/>
        <v>0</v>
      </c>
      <c r="V202" s="266"/>
      <c r="W202" s="266"/>
      <c r="X202" s="266"/>
      <c r="Y202" s="117">
        <f>SUM(Y222)</f>
        <v>0</v>
      </c>
      <c r="Z202" s="267"/>
      <c r="AA202" s="267"/>
      <c r="AB202" s="117">
        <f t="shared" ref="AB202:AF202" si="205">SUM(AB222)</f>
        <v>0</v>
      </c>
      <c r="AC202" s="267">
        <f t="shared" ref="AC202:AD202" si="206">SUM(AC222)</f>
        <v>0</v>
      </c>
      <c r="AD202" s="267">
        <f t="shared" si="206"/>
        <v>0</v>
      </c>
      <c r="AE202" s="117">
        <f t="shared" si="205"/>
        <v>0</v>
      </c>
      <c r="AF202" s="117">
        <f t="shared" si="205"/>
        <v>0</v>
      </c>
      <c r="AG202" s="266"/>
      <c r="AH202" s="266"/>
      <c r="AI202" s="266"/>
      <c r="AJ202" s="267">
        <f t="shared" ref="AJ202:AL202" si="207">SUM(AJ222)</f>
        <v>0</v>
      </c>
      <c r="AK202" s="267">
        <f t="shared" si="207"/>
        <v>0</v>
      </c>
      <c r="AL202" s="267">
        <f t="shared" si="207"/>
        <v>0</v>
      </c>
      <c r="AM202" s="117">
        <f t="shared" ref="AM202:AN202" si="208">SUM(AM222)</f>
        <v>0</v>
      </c>
      <c r="AN202" s="117">
        <f t="shared" si="208"/>
        <v>0</v>
      </c>
      <c r="AO202" s="132"/>
      <c r="AP202" s="25"/>
      <c r="AQ202" s="117">
        <f t="shared" ref="AQ202:BB202" si="209">SUM(AQ222)</f>
        <v>0</v>
      </c>
      <c r="AR202" s="117">
        <f t="shared" si="209"/>
        <v>0</v>
      </c>
      <c r="AS202" s="117">
        <f t="shared" si="209"/>
        <v>0</v>
      </c>
      <c r="AT202" s="117">
        <f t="shared" si="209"/>
        <v>0</v>
      </c>
      <c r="AU202" s="267">
        <f t="shared" ref="AU202:BA202" si="210">SUM(AU222)</f>
        <v>0</v>
      </c>
      <c r="AV202" s="267">
        <f t="shared" si="210"/>
        <v>0</v>
      </c>
      <c r="AW202" s="267">
        <f t="shared" si="210"/>
        <v>0</v>
      </c>
      <c r="AX202" s="267">
        <f t="shared" si="210"/>
        <v>0</v>
      </c>
      <c r="AY202" s="267">
        <f t="shared" si="210"/>
        <v>0</v>
      </c>
      <c r="AZ202" s="267">
        <f t="shared" si="210"/>
        <v>0</v>
      </c>
      <c r="BA202" s="267">
        <f t="shared" si="210"/>
        <v>0</v>
      </c>
      <c r="BB202" s="117">
        <f t="shared" si="209"/>
        <v>0</v>
      </c>
      <c r="BD202" s="294"/>
      <c r="BE202" s="294"/>
      <c r="BF202" s="294"/>
      <c r="BG202" s="294"/>
      <c r="BH202" s="294"/>
      <c r="BI202" s="294"/>
      <c r="BJ202" s="294"/>
    </row>
    <row r="203" spans="1:62" ht="41.4" outlineLevel="2">
      <c r="A203" s="98"/>
      <c r="B203" s="102"/>
      <c r="C203" s="23"/>
      <c r="D203" s="257"/>
      <c r="E203" s="123"/>
      <c r="F203" s="249"/>
      <c r="G203" s="283"/>
      <c r="H203" s="272"/>
      <c r="I203" s="258"/>
      <c r="J203" s="259"/>
      <c r="K203" s="259"/>
      <c r="L203" s="106" t="str">
        <f>IF(I203&lt;&gt;0,((VLOOKUP(I203,'1. Standard_Cost'!$B$4:$D$11,2)+VLOOKUP(I203,'1. Standard_Cost'!$B$4:$D$11,3))*J203*K203),"0")</f>
        <v>0</v>
      </c>
      <c r="M203" s="106">
        <f>L203*'1. Standard_Cost'!$F$4</f>
        <v>0</v>
      </c>
      <c r="N203" s="260"/>
      <c r="O203" s="260"/>
      <c r="P203" s="260"/>
      <c r="Q203" s="260"/>
      <c r="R203" s="108">
        <f>'1. Standard_Cost'!$B$15*N203*P203</f>
        <v>0</v>
      </c>
      <c r="S203" s="108">
        <f>N203*O203*P203*'1. Standard_Cost'!$C$15</f>
        <v>0</v>
      </c>
      <c r="T203" s="108">
        <f>N203*P203*Q203*'1. Standard_Cost'!$D$15</f>
        <v>0</v>
      </c>
      <c r="U203" s="108">
        <f>N203*O203*'1. Standard_Cost'!$E$15</f>
        <v>0</v>
      </c>
      <c r="V203" s="260"/>
      <c r="W203" s="260"/>
      <c r="X203" s="260"/>
      <c r="Y203" s="108">
        <f>+V203*((X203*'1. Standard_Cost'!$B$19)+(W203*X203*'1. Standard_Cost'!$C$19))</f>
        <v>0</v>
      </c>
      <c r="Z203" s="260"/>
      <c r="AA203" s="260"/>
      <c r="AB203" s="108">
        <f>+Z203*'1. Standard_Cost'!$B$23+AA203*'1. Standard_Cost'!$C$23</f>
        <v>0</v>
      </c>
      <c r="AC203" s="261"/>
      <c r="AD203" s="262"/>
      <c r="AE203" s="108">
        <f>SUM(AD203,AC203,AB203,Y203,U203,T203,S203,R203)*'1. Standard_Cost'!$B$31</f>
        <v>0</v>
      </c>
      <c r="AF203" s="108">
        <f t="shared" ref="AF203:AF221" si="211">SUM(AE203,AD203,AC203,AB203,Y203,U203,T203,S203,R203)</f>
        <v>0</v>
      </c>
      <c r="AG203" s="260"/>
      <c r="AH203" s="260"/>
      <c r="AI203" s="260"/>
      <c r="AJ203" s="263"/>
      <c r="AK203" s="263"/>
      <c r="AL203" s="263"/>
      <c r="AM203" s="108">
        <f>AG203*'1. Standard_Cost'!$B$27+'Incremental_Cost Year 10'!AH203*'1. Standard_Cost'!$C$27+'Incremental_Cost Year 10'!AI203*'1. Standard_Cost'!$D$27+'Incremental_Cost Year 10'!AJ203+'Incremental_Cost Year 10'!AL203+AK203</f>
        <v>0</v>
      </c>
      <c r="AN203" s="108">
        <f>AM203*'1. Standard_Cost'!$C$31</f>
        <v>0</v>
      </c>
      <c r="AO203" s="125" t="s">
        <v>413</v>
      </c>
      <c r="AQ203" s="14">
        <f t="shared" ref="AQ203:AQ221" si="212">L203+M203</f>
        <v>0</v>
      </c>
      <c r="AR203" s="14">
        <f t="shared" ref="AR203:AR221" si="213">AF203</f>
        <v>0</v>
      </c>
      <c r="AS203" s="14">
        <f t="shared" ref="AS203:AS221" si="214">AM203+AN203</f>
        <v>0</v>
      </c>
      <c r="AT203" s="14">
        <f>SUM(AQ203,AR203,AS203)</f>
        <v>0</v>
      </c>
      <c r="AU203" s="234"/>
      <c r="AV203" s="234"/>
      <c r="AW203" s="234"/>
      <c r="AX203" s="234"/>
      <c r="AY203" s="234"/>
      <c r="AZ203" s="234"/>
      <c r="BA203" s="234"/>
      <c r="BB203" s="16">
        <f t="shared" ref="BB203:BB221" si="215">SUM(AU203:BA203)-AT203</f>
        <v>0</v>
      </c>
      <c r="BD203" s="294">
        <f>'Incremental_Cost Year 1'!AV203+'Incremental_Cost Year 2'!AV203+'Incremental_Cost Year 3'!AV203+'Incremental_Cost Year 4'!AV203+'Incremental_Cost Year 5'!AV203+'Incremental_Cost Year 6'!AV203+'Incremental_Cost Year 7'!AV203+'Incremental_Cost Year 8'!AV203+'Incremental_Cost Year 9'!AV203+'Incremental_Cost Year 10'!AV203</f>
        <v>0</v>
      </c>
      <c r="BE203" s="294">
        <f>'Incremental_Cost Year 1'!AW203+'Incremental_Cost Year 2'!AW203+'Incremental_Cost Year 3'!AW203+'Incremental_Cost Year 4'!AW203+'Incremental_Cost Year 5'!AW203+'Incremental_Cost Year 6'!AW203+'Incremental_Cost Year 7'!AW203+'Incremental_Cost Year 8'!AW203+'Incremental_Cost Year 9'!AW203+'Incremental_Cost Year 10'!AW203</f>
        <v>0</v>
      </c>
      <c r="BF203" s="294">
        <f>'Incremental_Cost Year 1'!AX203+'Incremental_Cost Year 2'!AX203+'Incremental_Cost Year 3'!AX203+'Incremental_Cost Year 4'!AX203+'Incremental_Cost Year 5'!AX203+'Incremental_Cost Year 6'!AX203+'Incremental_Cost Year 7'!AX203+'Incremental_Cost Year 8'!AX203+'Incremental_Cost Year 9'!AX203+'Incremental_Cost Year 10'!AX203</f>
        <v>516000</v>
      </c>
      <c r="BG203" s="294">
        <f>'Incremental_Cost Year 1'!AY203+'Incremental_Cost Year 2'!AZ203+'Incremental_Cost Year 3'!AY203+'Incremental_Cost Year 4'!AY203+'Incremental_Cost Year 5'!AY203+'Incremental_Cost Year 6'!AY203+'Incremental_Cost Year 7'!AY203+'Incremental_Cost Year 8'!AY203+'Incremental_Cost Year 9'!AY203+'Incremental_Cost Year 10'!AY203</f>
        <v>0</v>
      </c>
      <c r="BH203" s="294">
        <f>'Incremental_Cost Year 1'!AZ203+'Incremental_Cost Year 2'!BA203+'Incremental_Cost Year 3'!AZ203+'Incremental_Cost Year 4'!AZ203+'Incremental_Cost Year 5'!AZ203+'Incremental_Cost Year 6'!AZ203+'Incremental_Cost Year 7'!AZ203+'Incremental_Cost Year 8'!AZ203+'Incremental_Cost Year 9'!AZ203+'Incremental_Cost Year 10'!AZ203</f>
        <v>0</v>
      </c>
      <c r="BI203" s="294">
        <f>'Incremental_Cost Year 1'!BA203+'Incremental_Cost Year 2'!BA203+'Incremental_Cost Year 3'!BA203+'Incremental_Cost Year 4'!BA203+'Incremental_Cost Year 5'!BA203+'Incremental_Cost Year 6'!BA203+'Incremental_Cost Year 7'!BA203+'Incremental_Cost Year 8'!BA203+'Incremental_Cost Year 9'!BA203+'Incremental_Cost Year 10'!BA203</f>
        <v>0</v>
      </c>
      <c r="BJ203" s="294">
        <f t="shared" si="202"/>
        <v>516000</v>
      </c>
    </row>
    <row r="204" spans="1:62" ht="69" outlineLevel="2">
      <c r="A204" s="98"/>
      <c r="B204" s="102"/>
      <c r="C204" s="23"/>
      <c r="D204" s="269"/>
      <c r="E204" s="271"/>
      <c r="F204" s="250"/>
      <c r="G204" s="255"/>
      <c r="H204" s="272"/>
      <c r="I204" s="258"/>
      <c r="J204" s="259"/>
      <c r="K204" s="259"/>
      <c r="L204" s="106" t="str">
        <f>IF(I204&lt;&gt;0,((VLOOKUP(I204,'1. Standard_Cost'!$B$4:$D$11,2)+VLOOKUP(I204,'1. Standard_Cost'!$B$4:$D$11,3))*J204*K204),"0")</f>
        <v>0</v>
      </c>
      <c r="M204" s="106">
        <f>L204*'1. Standard_Cost'!$F$4</f>
        <v>0</v>
      </c>
      <c r="N204" s="260"/>
      <c r="O204" s="260"/>
      <c r="P204" s="260"/>
      <c r="Q204" s="260"/>
      <c r="R204" s="108">
        <f>'1. Standard_Cost'!$B$15*N204*P204</f>
        <v>0</v>
      </c>
      <c r="S204" s="108">
        <f>N204*O204*P204*'1. Standard_Cost'!$C$15</f>
        <v>0</v>
      </c>
      <c r="T204" s="108">
        <f>N204*P204*Q204*'1. Standard_Cost'!$D$15</f>
        <v>0</v>
      </c>
      <c r="U204" s="108">
        <f>N204*O204*'1. Standard_Cost'!$E$15</f>
        <v>0</v>
      </c>
      <c r="V204" s="260"/>
      <c r="W204" s="260"/>
      <c r="X204" s="260"/>
      <c r="Y204" s="108">
        <f>+V204*((X204*'1. Standard_Cost'!$B$19)+(W204*X204*'1. Standard_Cost'!$C$19))</f>
        <v>0</v>
      </c>
      <c r="Z204" s="260"/>
      <c r="AA204" s="260"/>
      <c r="AB204" s="108">
        <f>+Z204*'1. Standard_Cost'!$B$23+AA204*'1. Standard_Cost'!$C$23</f>
        <v>0</v>
      </c>
      <c r="AC204" s="261"/>
      <c r="AD204" s="262"/>
      <c r="AE204" s="108">
        <f>SUM(AD204,AC204,AB204,Y204,U204,T204,S204,R204)*'1. Standard_Cost'!$B$31</f>
        <v>0</v>
      </c>
      <c r="AF204" s="108">
        <f t="shared" si="211"/>
        <v>0</v>
      </c>
      <c r="AG204" s="260"/>
      <c r="AH204" s="260"/>
      <c r="AI204" s="260"/>
      <c r="AJ204" s="263"/>
      <c r="AK204" s="263"/>
      <c r="AL204" s="263"/>
      <c r="AM204" s="108">
        <f>AG204*'1. Standard_Cost'!$B$27+'Incremental_Cost Year 10'!AH204*'1. Standard_Cost'!$C$27+'Incremental_Cost Year 10'!AI204*'1. Standard_Cost'!$D$27+'Incremental_Cost Year 10'!AJ204+'Incremental_Cost Year 10'!AL204+AK204</f>
        <v>0</v>
      </c>
      <c r="AN204" s="108">
        <f>AM204*'1. Standard_Cost'!$C$31</f>
        <v>0</v>
      </c>
      <c r="AO204" s="125" t="s">
        <v>414</v>
      </c>
      <c r="AQ204" s="14">
        <f t="shared" si="212"/>
        <v>0</v>
      </c>
      <c r="AR204" s="14">
        <f t="shared" si="213"/>
        <v>0</v>
      </c>
      <c r="AS204" s="14">
        <f t="shared" si="214"/>
        <v>0</v>
      </c>
      <c r="AT204" s="14">
        <f t="shared" ref="AT204:AT221" si="216">SUM(AQ204,AR204,AS204)</f>
        <v>0</v>
      </c>
      <c r="AU204" s="234"/>
      <c r="AV204" s="234"/>
      <c r="AW204" s="234"/>
      <c r="AX204" s="234"/>
      <c r="AY204" s="234"/>
      <c r="AZ204" s="234"/>
      <c r="BA204" s="234"/>
      <c r="BB204" s="16">
        <f t="shared" si="215"/>
        <v>0</v>
      </c>
      <c r="BD204" s="294">
        <f>'Incremental_Cost Year 1'!AV204+'Incremental_Cost Year 2'!AV204+'Incremental_Cost Year 3'!AV204+'Incremental_Cost Year 4'!AV204+'Incremental_Cost Year 5'!AV204+'Incremental_Cost Year 6'!AV204+'Incremental_Cost Year 7'!AV204+'Incremental_Cost Year 8'!AV204+'Incremental_Cost Year 9'!AV204+'Incremental_Cost Year 10'!AV204</f>
        <v>0</v>
      </c>
      <c r="BE204" s="294">
        <f>'Incremental_Cost Year 1'!AW204+'Incremental_Cost Year 2'!AW204+'Incremental_Cost Year 3'!AW204+'Incremental_Cost Year 4'!AW204+'Incremental_Cost Year 5'!AW204+'Incremental_Cost Year 6'!AW204+'Incremental_Cost Year 7'!AW204+'Incremental_Cost Year 8'!AW204+'Incremental_Cost Year 9'!AW204+'Incremental_Cost Year 10'!AW204</f>
        <v>0</v>
      </c>
      <c r="BF204" s="294">
        <f>'Incremental_Cost Year 1'!AX204+'Incremental_Cost Year 2'!AX204+'Incremental_Cost Year 3'!AX204+'Incremental_Cost Year 4'!AX204+'Incremental_Cost Year 5'!AX204+'Incremental_Cost Year 6'!AX204+'Incremental_Cost Year 7'!AX204+'Incremental_Cost Year 8'!AX204+'Incremental_Cost Year 9'!AX204+'Incremental_Cost Year 10'!AX204</f>
        <v>1756800</v>
      </c>
      <c r="BG204" s="294">
        <f>'Incremental_Cost Year 1'!AY204+'Incremental_Cost Year 2'!AZ204+'Incremental_Cost Year 3'!AY204+'Incremental_Cost Year 4'!AY204+'Incremental_Cost Year 5'!AY204+'Incremental_Cost Year 6'!AY204+'Incremental_Cost Year 7'!AY204+'Incremental_Cost Year 8'!AY204+'Incremental_Cost Year 9'!AY204+'Incremental_Cost Year 10'!AY204</f>
        <v>0</v>
      </c>
      <c r="BH204" s="294">
        <f>'Incremental_Cost Year 1'!AZ204+'Incremental_Cost Year 2'!BA204+'Incremental_Cost Year 3'!AZ204+'Incremental_Cost Year 4'!AZ204+'Incremental_Cost Year 5'!AZ204+'Incremental_Cost Year 6'!AZ204+'Incremental_Cost Year 7'!AZ204+'Incremental_Cost Year 8'!AZ204+'Incremental_Cost Year 9'!AZ204+'Incremental_Cost Year 10'!AZ204</f>
        <v>0</v>
      </c>
      <c r="BI204" s="294">
        <f>'Incremental_Cost Year 1'!BA204+'Incremental_Cost Year 2'!BA204+'Incremental_Cost Year 3'!BA204+'Incremental_Cost Year 4'!BA204+'Incremental_Cost Year 5'!BA204+'Incremental_Cost Year 6'!BA204+'Incremental_Cost Year 7'!BA204+'Incremental_Cost Year 8'!BA204+'Incremental_Cost Year 9'!BA204+'Incremental_Cost Year 10'!BA204</f>
        <v>0</v>
      </c>
      <c r="BJ204" s="294">
        <f t="shared" si="202"/>
        <v>1756800</v>
      </c>
    </row>
    <row r="205" spans="1:62" ht="31.2" customHeight="1" outlineLevel="2">
      <c r="A205" s="98"/>
      <c r="B205" s="102"/>
      <c r="C205" s="23"/>
      <c r="D205" s="269"/>
      <c r="E205" s="271"/>
      <c r="F205" s="271"/>
      <c r="G205" s="167"/>
      <c r="H205" s="272"/>
      <c r="I205" s="258"/>
      <c r="J205" s="259"/>
      <c r="K205" s="259"/>
      <c r="L205" s="106" t="str">
        <f>IF(I205&lt;&gt;0,((VLOOKUP(I205,'[1]1. Standard_Cost'!$B$4:$D$11,2)+VLOOKUP(I205,'[1]1. Standard_Cost'!$B$4:$D$11,3))*J205*K205),"0")</f>
        <v>0</v>
      </c>
      <c r="M205" s="106">
        <f>L205*'[1]1. Standard_Cost'!$F$4</f>
        <v>0</v>
      </c>
      <c r="N205" s="260"/>
      <c r="O205" s="260"/>
      <c r="P205" s="260"/>
      <c r="Q205" s="260"/>
      <c r="R205" s="108">
        <f>'[1]1. Standard_Cost'!$B$15*N205*P205</f>
        <v>0</v>
      </c>
      <c r="S205" s="108">
        <f>N205*O205*P205*'[1]1. Standard_Cost'!$C$15</f>
        <v>0</v>
      </c>
      <c r="T205" s="108">
        <f>N205*P205*Q205*'[1]1. Standard_Cost'!$D$15</f>
        <v>0</v>
      </c>
      <c r="U205" s="108">
        <f>N205*O205*'[1]1. Standard_Cost'!$E$15</f>
        <v>0</v>
      </c>
      <c r="V205" s="260"/>
      <c r="W205" s="260"/>
      <c r="X205" s="260"/>
      <c r="Y205" s="108">
        <f>+V205*((X205*'[1]1. Standard_Cost'!$B$19)+(W205*X205*'[1]1. Standard_Cost'!$C$19))</f>
        <v>0</v>
      </c>
      <c r="Z205" s="260"/>
      <c r="AA205" s="260"/>
      <c r="AB205" s="108">
        <f>+Z205*'[1]1. Standard_Cost'!$B$23+AA205*'[1]1. Standard_Cost'!$C$23</f>
        <v>0</v>
      </c>
      <c r="AC205" s="261"/>
      <c r="AD205" s="262"/>
      <c r="AE205" s="108">
        <f>SUM(AD205,AC205,AB205,Y205,U205,T205,S205,R205)*'[1]1. Standard_Cost'!$B$31</f>
        <v>0</v>
      </c>
      <c r="AF205" s="108">
        <f t="shared" si="211"/>
        <v>0</v>
      </c>
      <c r="AG205" s="260"/>
      <c r="AH205" s="260"/>
      <c r="AI205" s="260"/>
      <c r="AJ205" s="263"/>
      <c r="AK205" s="263"/>
      <c r="AL205" s="263"/>
      <c r="AM205" s="108">
        <f>AG205*'[1]1. Standard_Cost'!$B$27+'[1]Incremental_Cost Year 10'!AH205*'[1]1. Standard_Cost'!$C$27+'[1]Incremental_Cost Year 10'!AI205*'[1]1. Standard_Cost'!$D$27+'[1]Incremental_Cost Year 10'!AJ205+'[1]Incremental_Cost Year 10'!AL205+AK205</f>
        <v>0</v>
      </c>
      <c r="AN205" s="108">
        <f>AM205*'[1]1. Standard_Cost'!$C$31</f>
        <v>0</v>
      </c>
      <c r="AO205" s="125"/>
      <c r="AQ205" s="14">
        <f t="shared" si="212"/>
        <v>0</v>
      </c>
      <c r="AR205" s="14">
        <f t="shared" si="213"/>
        <v>0</v>
      </c>
      <c r="AS205" s="14">
        <f t="shared" si="214"/>
        <v>0</v>
      </c>
      <c r="AT205" s="14">
        <f t="shared" si="216"/>
        <v>0</v>
      </c>
      <c r="AU205" s="234"/>
      <c r="AV205" s="234"/>
      <c r="AW205" s="234"/>
      <c r="AX205" s="234"/>
      <c r="AY205" s="234"/>
      <c r="AZ205" s="234"/>
      <c r="BA205" s="234"/>
      <c r="BB205" s="16">
        <f t="shared" si="215"/>
        <v>0</v>
      </c>
      <c r="BD205" s="294">
        <f>'Incremental_Cost Year 1'!AV205+'Incremental_Cost Year 2'!AV205+'Incremental_Cost Year 3'!AV205+'Incremental_Cost Year 4'!AV205+'Incremental_Cost Year 5'!AV205+'Incremental_Cost Year 6'!AV205+'Incremental_Cost Year 7'!AV205+'Incremental_Cost Year 8'!AV205+'Incremental_Cost Year 9'!AV205+'Incremental_Cost Year 10'!AV205</f>
        <v>0</v>
      </c>
      <c r="BE205" s="294">
        <f>'Incremental_Cost Year 1'!AW205+'Incremental_Cost Year 2'!AW205+'Incremental_Cost Year 3'!AW205+'Incremental_Cost Year 4'!AW205+'Incremental_Cost Year 5'!AW205+'Incremental_Cost Year 6'!AW205+'Incremental_Cost Year 7'!AW205+'Incremental_Cost Year 8'!AW205+'Incremental_Cost Year 9'!AW205+'Incremental_Cost Year 10'!AW205</f>
        <v>0</v>
      </c>
      <c r="BF205" s="294">
        <f>'Incremental_Cost Year 1'!AX205+'Incremental_Cost Year 2'!AX205+'Incremental_Cost Year 3'!AX205+'Incremental_Cost Year 4'!AX205+'Incremental_Cost Year 5'!AX205+'Incremental_Cost Year 6'!AX205+'Incremental_Cost Year 7'!AX205+'Incremental_Cost Year 8'!AX205+'Incremental_Cost Year 9'!AX205+'Incremental_Cost Year 10'!AX205</f>
        <v>250800</v>
      </c>
      <c r="BG205" s="294">
        <f>'Incremental_Cost Year 1'!AY205+'Incremental_Cost Year 2'!AZ205+'Incremental_Cost Year 3'!AY205+'Incremental_Cost Year 4'!AY205+'Incremental_Cost Year 5'!AY205+'Incremental_Cost Year 6'!AY205+'Incremental_Cost Year 7'!AY205+'Incremental_Cost Year 8'!AY205+'Incremental_Cost Year 9'!AY205+'Incremental_Cost Year 10'!AY205</f>
        <v>0</v>
      </c>
      <c r="BH205" s="294">
        <f>'Incremental_Cost Year 1'!AZ205+'Incremental_Cost Year 2'!BA205+'Incremental_Cost Year 3'!AZ205+'Incremental_Cost Year 4'!AZ205+'Incremental_Cost Year 5'!AZ205+'Incremental_Cost Year 6'!AZ205+'Incremental_Cost Year 7'!AZ205+'Incremental_Cost Year 8'!AZ205+'Incremental_Cost Year 9'!AZ205+'Incremental_Cost Year 10'!AZ205</f>
        <v>0</v>
      </c>
      <c r="BI205" s="294">
        <f>'Incremental_Cost Year 1'!BA205+'Incremental_Cost Year 2'!BA205+'Incremental_Cost Year 3'!BA205+'Incremental_Cost Year 4'!BA205+'Incremental_Cost Year 5'!BA205+'Incremental_Cost Year 6'!BA205+'Incremental_Cost Year 7'!BA205+'Incremental_Cost Year 8'!BA205+'Incremental_Cost Year 9'!BA205+'Incremental_Cost Year 10'!BA205</f>
        <v>0</v>
      </c>
      <c r="BJ205" s="294">
        <f t="shared" si="202"/>
        <v>250800</v>
      </c>
    </row>
    <row r="206" spans="1:62" ht="27.6" outlineLevel="2">
      <c r="A206" s="98"/>
      <c r="B206" s="102"/>
      <c r="C206" s="23"/>
      <c r="D206" s="269"/>
      <c r="E206" s="271"/>
      <c r="F206" s="250"/>
      <c r="G206" s="255"/>
      <c r="H206" s="272"/>
      <c r="I206" s="258"/>
      <c r="J206" s="259"/>
      <c r="K206" s="259"/>
      <c r="L206" s="106" t="str">
        <f>IF(I206&lt;&gt;0,((VLOOKUP(I206,'1. Standard_Cost'!$B$4:$D$11,2)+VLOOKUP(I206,'1. Standard_Cost'!$B$4:$D$11,3))*J206*K206),"0")</f>
        <v>0</v>
      </c>
      <c r="M206" s="106">
        <f>L206*'1. Standard_Cost'!$F$4</f>
        <v>0</v>
      </c>
      <c r="N206" s="260"/>
      <c r="O206" s="260"/>
      <c r="P206" s="260"/>
      <c r="Q206" s="260"/>
      <c r="R206" s="108">
        <f>'1. Standard_Cost'!$B$15*N206*P206</f>
        <v>0</v>
      </c>
      <c r="S206" s="108">
        <f>N206*O206*P206*'1. Standard_Cost'!$C$15</f>
        <v>0</v>
      </c>
      <c r="T206" s="108">
        <f>N206*P206*Q206*'1. Standard_Cost'!$D$15</f>
        <v>0</v>
      </c>
      <c r="U206" s="108">
        <f>N206*O206*'1. Standard_Cost'!$E$15</f>
        <v>0</v>
      </c>
      <c r="V206" s="260"/>
      <c r="W206" s="260"/>
      <c r="X206" s="260"/>
      <c r="Y206" s="108">
        <f>+V206*((X206*'1. Standard_Cost'!$B$19)+(W206*X206*'1. Standard_Cost'!$C$19))</f>
        <v>0</v>
      </c>
      <c r="Z206" s="260"/>
      <c r="AA206" s="260"/>
      <c r="AB206" s="108">
        <f>+Z206*'1. Standard_Cost'!$B$23+AA206*'1. Standard_Cost'!$C$23</f>
        <v>0</v>
      </c>
      <c r="AC206" s="261"/>
      <c r="AD206" s="262"/>
      <c r="AE206" s="108">
        <f>SUM(AD206,AC206,AB206,Y206,U206,T206,S206,R206)*'1. Standard_Cost'!$B$31</f>
        <v>0</v>
      </c>
      <c r="AF206" s="108">
        <f t="shared" si="211"/>
        <v>0</v>
      </c>
      <c r="AG206" s="260"/>
      <c r="AH206" s="260"/>
      <c r="AI206" s="260"/>
      <c r="AJ206" s="263"/>
      <c r="AK206" s="263"/>
      <c r="AL206" s="263"/>
      <c r="AM206" s="108">
        <f>AG206*'1. Standard_Cost'!$B$27+'Incremental_Cost Year 10'!AH206*'1. Standard_Cost'!$C$27+'Incremental_Cost Year 10'!AI206*'1. Standard_Cost'!$D$27+'Incremental_Cost Year 10'!AJ206+'Incremental_Cost Year 10'!AL206+AK206</f>
        <v>0</v>
      </c>
      <c r="AN206" s="108">
        <f>AM206*'1. Standard_Cost'!$C$31</f>
        <v>0</v>
      </c>
      <c r="AO206" s="125" t="s">
        <v>415</v>
      </c>
      <c r="AQ206" s="14">
        <f t="shared" si="212"/>
        <v>0</v>
      </c>
      <c r="AR206" s="14">
        <f t="shared" si="213"/>
        <v>0</v>
      </c>
      <c r="AS206" s="14">
        <f t="shared" si="214"/>
        <v>0</v>
      </c>
      <c r="AT206" s="14">
        <f t="shared" si="216"/>
        <v>0</v>
      </c>
      <c r="AU206" s="234"/>
      <c r="AV206" s="234"/>
      <c r="AW206" s="234"/>
      <c r="AX206" s="234"/>
      <c r="AY206" s="234"/>
      <c r="AZ206" s="234"/>
      <c r="BA206" s="234"/>
      <c r="BB206" s="16">
        <f t="shared" si="215"/>
        <v>0</v>
      </c>
      <c r="BD206" s="294">
        <f>'Incremental_Cost Year 1'!AV206+'Incremental_Cost Year 2'!AV206+'Incremental_Cost Year 3'!AV206+'Incremental_Cost Year 4'!AV206+'Incremental_Cost Year 5'!AV206+'Incremental_Cost Year 6'!AV206+'Incremental_Cost Year 7'!AV206+'Incremental_Cost Year 8'!AV206+'Incremental_Cost Year 9'!AV206+'Incremental_Cost Year 10'!AV206</f>
        <v>0</v>
      </c>
      <c r="BE206" s="294">
        <f>'Incremental_Cost Year 1'!AW206+'Incremental_Cost Year 2'!AW206+'Incremental_Cost Year 3'!AW206+'Incremental_Cost Year 4'!AW206+'Incremental_Cost Year 5'!AW206+'Incremental_Cost Year 6'!AW206+'Incremental_Cost Year 7'!AW206+'Incremental_Cost Year 8'!AW206+'Incremental_Cost Year 9'!AW206+'Incremental_Cost Year 10'!AW206</f>
        <v>0</v>
      </c>
      <c r="BF206" s="294">
        <f>'Incremental_Cost Year 1'!AX206+'Incremental_Cost Year 2'!AX206+'Incremental_Cost Year 3'!AX206+'Incremental_Cost Year 4'!AX206+'Incremental_Cost Year 5'!AX206+'Incremental_Cost Year 6'!AX206+'Incremental_Cost Year 7'!AX206+'Incremental_Cost Year 8'!AX206+'Incremental_Cost Year 9'!AX206+'Incremental_Cost Year 10'!AX206</f>
        <v>1000000</v>
      </c>
      <c r="BG206" s="294">
        <f>'Incremental_Cost Year 1'!AY206+'Incremental_Cost Year 2'!AZ206+'Incremental_Cost Year 3'!AY206+'Incremental_Cost Year 4'!AY206+'Incremental_Cost Year 5'!AY206+'Incremental_Cost Year 6'!AY206+'Incremental_Cost Year 7'!AY206+'Incremental_Cost Year 8'!AY206+'Incremental_Cost Year 9'!AY206+'Incremental_Cost Year 10'!AY206</f>
        <v>0</v>
      </c>
      <c r="BH206" s="294">
        <f>'Incremental_Cost Year 1'!AZ206+'Incremental_Cost Year 2'!BA206+'Incremental_Cost Year 3'!AZ206+'Incremental_Cost Year 4'!AZ206+'Incremental_Cost Year 5'!AZ206+'Incremental_Cost Year 6'!AZ206+'Incremental_Cost Year 7'!AZ206+'Incremental_Cost Year 8'!AZ206+'Incremental_Cost Year 9'!AZ206+'Incremental_Cost Year 10'!AZ206</f>
        <v>0</v>
      </c>
      <c r="BI206" s="294">
        <f>'Incremental_Cost Year 1'!BA206+'Incremental_Cost Year 2'!BA206+'Incremental_Cost Year 3'!BA206+'Incremental_Cost Year 4'!BA206+'Incremental_Cost Year 5'!BA206+'Incremental_Cost Year 6'!BA206+'Incremental_Cost Year 7'!BA206+'Incremental_Cost Year 8'!BA206+'Incremental_Cost Year 9'!BA206+'Incremental_Cost Year 10'!BA206</f>
        <v>0</v>
      </c>
      <c r="BJ206" s="294">
        <f t="shared" si="202"/>
        <v>1000000</v>
      </c>
    </row>
    <row r="207" spans="1:62" ht="36" customHeight="1" outlineLevel="2">
      <c r="A207" s="98"/>
      <c r="B207" s="102"/>
      <c r="C207" s="23"/>
      <c r="D207" s="269"/>
      <c r="E207" s="271"/>
      <c r="F207" s="250"/>
      <c r="G207" s="255"/>
      <c r="H207" s="272"/>
      <c r="I207" s="258"/>
      <c r="J207" s="259"/>
      <c r="K207" s="259"/>
      <c r="L207" s="106" t="str">
        <f>IF(I207&lt;&gt;0,((VLOOKUP(I207,'1. Standard_Cost'!$B$4:$D$11,2)+VLOOKUP(I207,'1. Standard_Cost'!$B$4:$D$11,3))*J207*K207),"0")</f>
        <v>0</v>
      </c>
      <c r="M207" s="106">
        <f>L207*'1. Standard_Cost'!$F$4</f>
        <v>0</v>
      </c>
      <c r="N207" s="260"/>
      <c r="O207" s="260"/>
      <c r="P207" s="260"/>
      <c r="Q207" s="260"/>
      <c r="R207" s="108">
        <f>'1. Standard_Cost'!$B$15*N207*P207</f>
        <v>0</v>
      </c>
      <c r="S207" s="108">
        <f>N207*O207*P207*'1. Standard_Cost'!$C$15</f>
        <v>0</v>
      </c>
      <c r="T207" s="108">
        <f>N207*P207*Q207*'1. Standard_Cost'!$D$15</f>
        <v>0</v>
      </c>
      <c r="U207" s="108">
        <f>N207*O207*'1. Standard_Cost'!$E$15</f>
        <v>0</v>
      </c>
      <c r="V207" s="260"/>
      <c r="W207" s="260"/>
      <c r="X207" s="260"/>
      <c r="Y207" s="108">
        <f>+V207*((X207*'1. Standard_Cost'!$B$19)+(W207*X207*'1. Standard_Cost'!$C$19))</f>
        <v>0</v>
      </c>
      <c r="Z207" s="260"/>
      <c r="AA207" s="260"/>
      <c r="AB207" s="108">
        <f>+Z207*'1. Standard_Cost'!$B$23+AA207*'1. Standard_Cost'!$C$23</f>
        <v>0</v>
      </c>
      <c r="AC207" s="261"/>
      <c r="AD207" s="262"/>
      <c r="AE207" s="108">
        <f>SUM(AD207,AC207,AB207,Y207,U207,T207,S207,R207)*'1. Standard_Cost'!$B$31</f>
        <v>0</v>
      </c>
      <c r="AF207" s="108">
        <f t="shared" si="211"/>
        <v>0</v>
      </c>
      <c r="AG207" s="260"/>
      <c r="AH207" s="260"/>
      <c r="AI207" s="260"/>
      <c r="AJ207" s="263"/>
      <c r="AK207" s="263"/>
      <c r="AL207" s="263"/>
      <c r="AM207" s="108">
        <f>AG207*'1. Standard_Cost'!$B$27+'Incremental_Cost Year 10'!AH207*'1. Standard_Cost'!$C$27+'Incremental_Cost Year 10'!AI207*'1. Standard_Cost'!$D$27+'Incremental_Cost Year 10'!AJ207+'Incremental_Cost Year 10'!AL207+AK207</f>
        <v>0</v>
      </c>
      <c r="AN207" s="108">
        <f>AM207*'1. Standard_Cost'!$C$31</f>
        <v>0</v>
      </c>
      <c r="AO207" s="125" t="s">
        <v>416</v>
      </c>
      <c r="AQ207" s="14">
        <f t="shared" si="212"/>
        <v>0</v>
      </c>
      <c r="AR207" s="14">
        <f t="shared" si="213"/>
        <v>0</v>
      </c>
      <c r="AS207" s="14">
        <f t="shared" si="214"/>
        <v>0</v>
      </c>
      <c r="AT207" s="14">
        <f t="shared" si="216"/>
        <v>0</v>
      </c>
      <c r="AU207" s="234"/>
      <c r="AV207" s="234"/>
      <c r="AW207" s="234"/>
      <c r="AX207" s="234"/>
      <c r="AY207" s="234"/>
      <c r="AZ207" s="234"/>
      <c r="BA207" s="234"/>
      <c r="BB207" s="16">
        <f t="shared" si="215"/>
        <v>0</v>
      </c>
      <c r="BD207" s="294">
        <f>'Incremental_Cost Year 1'!AV207+'Incremental_Cost Year 2'!AV207+'Incremental_Cost Year 3'!AV207+'Incremental_Cost Year 4'!AV207+'Incremental_Cost Year 5'!AV207+'Incremental_Cost Year 6'!AV207+'Incremental_Cost Year 7'!AV207+'Incremental_Cost Year 8'!AV207+'Incremental_Cost Year 9'!AV207+'Incremental_Cost Year 10'!AV207</f>
        <v>0</v>
      </c>
      <c r="BE207" s="294">
        <f>'Incremental_Cost Year 1'!AW207+'Incremental_Cost Year 2'!AW207+'Incremental_Cost Year 3'!AW207+'Incremental_Cost Year 4'!AW207+'Incremental_Cost Year 5'!AW207+'Incremental_Cost Year 6'!AW207+'Incremental_Cost Year 7'!AW207+'Incremental_Cost Year 8'!AW207+'Incremental_Cost Year 9'!AW207+'Incremental_Cost Year 10'!AW207</f>
        <v>0</v>
      </c>
      <c r="BF207" s="294">
        <f>'Incremental_Cost Year 1'!AX207+'Incremental_Cost Year 2'!AX207+'Incremental_Cost Year 3'!AX207+'Incremental_Cost Year 4'!AX207+'Incremental_Cost Year 5'!AX207+'Incremental_Cost Year 6'!AX207+'Incremental_Cost Year 7'!AX207+'Incremental_Cost Year 8'!AX207+'Incremental_Cost Year 9'!AX207+'Incremental_Cost Year 10'!AX207</f>
        <v>0</v>
      </c>
      <c r="BG207" s="294">
        <f>'Incremental_Cost Year 1'!AY207+'Incremental_Cost Year 2'!AZ207+'Incremental_Cost Year 3'!AY207+'Incremental_Cost Year 4'!AY207+'Incremental_Cost Year 5'!AY207+'Incremental_Cost Year 6'!AY207+'Incremental_Cost Year 7'!AY207+'Incremental_Cost Year 8'!AY207+'Incremental_Cost Year 9'!AY207+'Incremental_Cost Year 10'!AY207</f>
        <v>0</v>
      </c>
      <c r="BH207" s="294">
        <f>'Incremental_Cost Year 1'!AZ207+'Incremental_Cost Year 2'!BA207+'Incremental_Cost Year 3'!AZ207+'Incremental_Cost Year 4'!AZ207+'Incremental_Cost Year 5'!AZ207+'Incremental_Cost Year 6'!AZ207+'Incremental_Cost Year 7'!AZ207+'Incremental_Cost Year 8'!AZ207+'Incremental_Cost Year 9'!AZ207+'Incremental_Cost Year 10'!AZ207</f>
        <v>0</v>
      </c>
      <c r="BI207" s="294">
        <f>'Incremental_Cost Year 1'!BA207+'Incremental_Cost Year 2'!BA207+'Incremental_Cost Year 3'!BA207+'Incremental_Cost Year 4'!BA207+'Incremental_Cost Year 5'!BA207+'Incremental_Cost Year 6'!BA207+'Incremental_Cost Year 7'!BA207+'Incremental_Cost Year 8'!BA207+'Incremental_Cost Year 9'!BA207+'Incremental_Cost Year 10'!BA207</f>
        <v>0</v>
      </c>
      <c r="BJ207" s="294">
        <f t="shared" si="202"/>
        <v>0</v>
      </c>
    </row>
    <row r="208" spans="1:62" ht="27.6" outlineLevel="2">
      <c r="A208" s="98"/>
      <c r="B208" s="102"/>
      <c r="C208" s="23"/>
      <c r="D208" s="269"/>
      <c r="E208" s="271"/>
      <c r="F208" s="250"/>
      <c r="G208" s="255"/>
      <c r="H208" s="272"/>
      <c r="I208" s="258"/>
      <c r="J208" s="259"/>
      <c r="K208" s="259"/>
      <c r="L208" s="106" t="str">
        <f>IF(I208&lt;&gt;0,((VLOOKUP(I208,'1. Standard_Cost'!$B$4:$D$11,2)+VLOOKUP(I208,'1. Standard_Cost'!$B$4:$D$11,3))*J208*K208),"0")</f>
        <v>0</v>
      </c>
      <c r="M208" s="106">
        <f>L208*'1. Standard_Cost'!$F$4</f>
        <v>0</v>
      </c>
      <c r="N208" s="260"/>
      <c r="O208" s="260"/>
      <c r="P208" s="260"/>
      <c r="Q208" s="260"/>
      <c r="R208" s="108">
        <f>'1. Standard_Cost'!$B$15*N208*P208</f>
        <v>0</v>
      </c>
      <c r="S208" s="108">
        <f>N208*O208*P208*'1. Standard_Cost'!$C$15</f>
        <v>0</v>
      </c>
      <c r="T208" s="108">
        <f>N208*P208*Q208*'1. Standard_Cost'!$D$15</f>
        <v>0</v>
      </c>
      <c r="U208" s="108">
        <f>N208*O208*'1. Standard_Cost'!$E$15</f>
        <v>0</v>
      </c>
      <c r="V208" s="260"/>
      <c r="W208" s="260"/>
      <c r="X208" s="260"/>
      <c r="Y208" s="108">
        <f>+V208*((X208*'1. Standard_Cost'!$B$19)+(W208*X208*'1. Standard_Cost'!$C$19))</f>
        <v>0</v>
      </c>
      <c r="Z208" s="260"/>
      <c r="AA208" s="260"/>
      <c r="AB208" s="108">
        <f>+Z208*'1. Standard_Cost'!$B$23+AA208*'1. Standard_Cost'!$C$23</f>
        <v>0</v>
      </c>
      <c r="AC208" s="261"/>
      <c r="AD208" s="262"/>
      <c r="AE208" s="108">
        <f>SUM(AD208,AC208,AB208,Y208,U208,T208,S208,R208)*'1. Standard_Cost'!$B$31</f>
        <v>0</v>
      </c>
      <c r="AF208" s="108">
        <f t="shared" si="211"/>
        <v>0</v>
      </c>
      <c r="AG208" s="260"/>
      <c r="AH208" s="260"/>
      <c r="AI208" s="260"/>
      <c r="AJ208" s="263"/>
      <c r="AK208" s="263"/>
      <c r="AL208" s="263"/>
      <c r="AM208" s="108">
        <f>AG208*'1. Standard_Cost'!$B$27+'Incremental_Cost Year 10'!AH208*'1. Standard_Cost'!$C$27+'Incremental_Cost Year 10'!AI208*'1. Standard_Cost'!$D$27+'Incremental_Cost Year 10'!AJ208+'Incremental_Cost Year 10'!AL208+AK208</f>
        <v>0</v>
      </c>
      <c r="AN208" s="108">
        <f>AM208*'1. Standard_Cost'!$C$31</f>
        <v>0</v>
      </c>
      <c r="AO208" s="125" t="s">
        <v>417</v>
      </c>
      <c r="AQ208" s="14">
        <f t="shared" si="212"/>
        <v>0</v>
      </c>
      <c r="AR208" s="14">
        <f t="shared" si="213"/>
        <v>0</v>
      </c>
      <c r="AS208" s="14">
        <f t="shared" si="214"/>
        <v>0</v>
      </c>
      <c r="AT208" s="14">
        <f t="shared" si="216"/>
        <v>0</v>
      </c>
      <c r="AU208" s="234"/>
      <c r="AV208" s="234"/>
      <c r="AW208" s="234"/>
      <c r="AX208" s="234"/>
      <c r="AY208" s="234"/>
      <c r="AZ208" s="234"/>
      <c r="BA208" s="234"/>
      <c r="BB208" s="16">
        <f t="shared" si="215"/>
        <v>0</v>
      </c>
      <c r="BD208" s="294">
        <f>'Incremental_Cost Year 1'!AV208+'Incremental_Cost Year 2'!AV208+'Incremental_Cost Year 3'!AV208+'Incremental_Cost Year 4'!AV208+'Incremental_Cost Year 5'!AV208+'Incremental_Cost Year 6'!AV208+'Incremental_Cost Year 7'!AV208+'Incremental_Cost Year 8'!AV208+'Incremental_Cost Year 9'!AV208+'Incremental_Cost Year 10'!AV208</f>
        <v>0</v>
      </c>
      <c r="BE208" s="294">
        <f>'Incremental_Cost Year 1'!AW208+'Incremental_Cost Year 2'!AW208+'Incremental_Cost Year 3'!AW208+'Incremental_Cost Year 4'!AW208+'Incremental_Cost Year 5'!AW208+'Incremental_Cost Year 6'!AW208+'Incremental_Cost Year 7'!AW208+'Incremental_Cost Year 8'!AW208+'Incremental_Cost Year 9'!AW208+'Incremental_Cost Year 10'!AW208</f>
        <v>0</v>
      </c>
      <c r="BF208" s="294">
        <f>'Incremental_Cost Year 1'!AX208+'Incremental_Cost Year 2'!AX208+'Incremental_Cost Year 3'!AX208+'Incremental_Cost Year 4'!AX208+'Incremental_Cost Year 5'!AX208+'Incremental_Cost Year 6'!AX208+'Incremental_Cost Year 7'!AX208+'Incremental_Cost Year 8'!AX208+'Incremental_Cost Year 9'!AX208+'Incremental_Cost Year 10'!AX208</f>
        <v>0</v>
      </c>
      <c r="BG208" s="294">
        <f>'Incremental_Cost Year 1'!AY208+'Incremental_Cost Year 2'!AZ208+'Incremental_Cost Year 3'!AY208+'Incremental_Cost Year 4'!AY208+'Incremental_Cost Year 5'!AY208+'Incremental_Cost Year 6'!AY208+'Incremental_Cost Year 7'!AY208+'Incremental_Cost Year 8'!AY208+'Incremental_Cost Year 9'!AY208+'Incremental_Cost Year 10'!AY208</f>
        <v>0</v>
      </c>
      <c r="BH208" s="294">
        <f>'Incremental_Cost Year 1'!AZ208+'Incremental_Cost Year 2'!BA208+'Incremental_Cost Year 3'!AZ208+'Incremental_Cost Year 4'!AZ208+'Incremental_Cost Year 5'!AZ208+'Incremental_Cost Year 6'!AZ208+'Incremental_Cost Year 7'!AZ208+'Incremental_Cost Year 8'!AZ208+'Incremental_Cost Year 9'!AZ208+'Incremental_Cost Year 10'!AZ208</f>
        <v>0</v>
      </c>
      <c r="BI208" s="294">
        <f>'Incremental_Cost Year 1'!BA208+'Incremental_Cost Year 2'!BA208+'Incremental_Cost Year 3'!BA208+'Incremental_Cost Year 4'!BA208+'Incremental_Cost Year 5'!BA208+'Incremental_Cost Year 6'!BA208+'Incremental_Cost Year 7'!BA208+'Incremental_Cost Year 8'!BA208+'Incremental_Cost Year 9'!BA208+'Incremental_Cost Year 10'!BA208</f>
        <v>0</v>
      </c>
      <c r="BJ208" s="294">
        <f t="shared" si="202"/>
        <v>0</v>
      </c>
    </row>
    <row r="209" spans="1:62" ht="15.6" outlineLevel="2">
      <c r="A209" s="98"/>
      <c r="B209" s="102"/>
      <c r="C209" s="23"/>
      <c r="D209" s="269"/>
      <c r="E209" s="271"/>
      <c r="F209" s="271"/>
      <c r="G209" s="167"/>
      <c r="H209" s="272"/>
      <c r="I209" s="258"/>
      <c r="J209" s="259"/>
      <c r="K209" s="259"/>
      <c r="L209" s="106" t="str">
        <f>IF(I209&lt;&gt;0,((VLOOKUP(I209,'[1]1. Standard_Cost'!$B$4:$D$11,2)+VLOOKUP(I209,'[1]1. Standard_Cost'!$B$4:$D$11,3))*J209*K209),"0")</f>
        <v>0</v>
      </c>
      <c r="M209" s="106">
        <f>L209*'[1]1. Standard_Cost'!$F$4</f>
        <v>0</v>
      </c>
      <c r="N209" s="260"/>
      <c r="O209" s="260"/>
      <c r="P209" s="260"/>
      <c r="Q209" s="260"/>
      <c r="R209" s="108">
        <f>'[1]1. Standard_Cost'!$B$15*N209*P209</f>
        <v>0</v>
      </c>
      <c r="S209" s="108">
        <f>N209*O209*P209*'[1]1. Standard_Cost'!$C$15</f>
        <v>0</v>
      </c>
      <c r="T209" s="108">
        <f>N209*P209*Q209*'[1]1. Standard_Cost'!$D$15</f>
        <v>0</v>
      </c>
      <c r="U209" s="108">
        <f>N209*O209*'[1]1. Standard_Cost'!$E$15</f>
        <v>0</v>
      </c>
      <c r="V209" s="260"/>
      <c r="W209" s="260"/>
      <c r="X209" s="260"/>
      <c r="Y209" s="108">
        <f>+V209*((X209*'[1]1. Standard_Cost'!$B$19)+(W209*X209*'[1]1. Standard_Cost'!$C$19))</f>
        <v>0</v>
      </c>
      <c r="Z209" s="260"/>
      <c r="AA209" s="260"/>
      <c r="AB209" s="108">
        <f>+Z209*'[1]1. Standard_Cost'!$B$23+AA209*'[1]1. Standard_Cost'!$C$23</f>
        <v>0</v>
      </c>
      <c r="AC209" s="261"/>
      <c r="AD209" s="262"/>
      <c r="AE209" s="108">
        <f>SUM(AD209,AC209,AB209,Y209,U209,T209,S209,R209)*'[1]1. Standard_Cost'!$B$31</f>
        <v>0</v>
      </c>
      <c r="AF209" s="108">
        <f t="shared" si="211"/>
        <v>0</v>
      </c>
      <c r="AG209" s="260"/>
      <c r="AH209" s="260"/>
      <c r="AI209" s="260"/>
      <c r="AJ209" s="263"/>
      <c r="AK209" s="263"/>
      <c r="AL209" s="263"/>
      <c r="AM209" s="108">
        <f>AG209*'[1]1. Standard_Cost'!$B$27+'[1]Incremental_Cost Year 10'!AH209*'[1]1. Standard_Cost'!$C$27+'[1]Incremental_Cost Year 10'!AI209*'[1]1. Standard_Cost'!$D$27+'[1]Incremental_Cost Year 10'!AJ209+'[1]Incremental_Cost Year 10'!AL209+AK209</f>
        <v>0</v>
      </c>
      <c r="AN209" s="108">
        <f>AM209*'[1]1. Standard_Cost'!$C$31</f>
        <v>0</v>
      </c>
      <c r="AO209" s="125" t="s">
        <v>418</v>
      </c>
      <c r="AQ209" s="14">
        <f t="shared" si="212"/>
        <v>0</v>
      </c>
      <c r="AR209" s="14">
        <f t="shared" si="213"/>
        <v>0</v>
      </c>
      <c r="AS209" s="14">
        <f t="shared" si="214"/>
        <v>0</v>
      </c>
      <c r="AT209" s="14">
        <f t="shared" si="216"/>
        <v>0</v>
      </c>
      <c r="AU209" s="234"/>
      <c r="AV209" s="234"/>
      <c r="AW209" s="234"/>
      <c r="AX209" s="234"/>
      <c r="AY209" s="234"/>
      <c r="AZ209" s="234"/>
      <c r="BA209" s="234"/>
      <c r="BB209" s="16">
        <f t="shared" si="215"/>
        <v>0</v>
      </c>
      <c r="BD209" s="294">
        <f>'Incremental_Cost Year 1'!AV209+'Incremental_Cost Year 2'!AV209+'Incremental_Cost Year 3'!AV209+'Incremental_Cost Year 4'!AV209+'Incremental_Cost Year 5'!AV209+'Incremental_Cost Year 6'!AV209+'Incremental_Cost Year 7'!AV209+'Incremental_Cost Year 8'!AV209+'Incremental_Cost Year 9'!AV209+'Incremental_Cost Year 10'!AV209</f>
        <v>0</v>
      </c>
      <c r="BE209" s="294">
        <f>'Incremental_Cost Year 1'!AW209+'Incremental_Cost Year 2'!AW209+'Incremental_Cost Year 3'!AW209+'Incremental_Cost Year 4'!AW209+'Incremental_Cost Year 5'!AW209+'Incremental_Cost Year 6'!AW209+'Incremental_Cost Year 7'!AW209+'Incremental_Cost Year 8'!AW209+'Incremental_Cost Year 9'!AW209+'Incremental_Cost Year 10'!AW209</f>
        <v>0</v>
      </c>
      <c r="BF209" s="294">
        <f>'Incremental_Cost Year 1'!AX209+'Incremental_Cost Year 2'!AX209+'Incremental_Cost Year 3'!AX209+'Incremental_Cost Year 4'!AX209+'Incremental_Cost Year 5'!AX209+'Incremental_Cost Year 6'!AX209+'Incremental_Cost Year 7'!AX209+'Incremental_Cost Year 8'!AX209+'Incremental_Cost Year 9'!AX209+'Incremental_Cost Year 10'!AX209</f>
        <v>0</v>
      </c>
      <c r="BG209" s="294">
        <f>'Incremental_Cost Year 1'!AY209+'Incremental_Cost Year 2'!AZ209+'Incremental_Cost Year 3'!AY209+'Incremental_Cost Year 4'!AY209+'Incremental_Cost Year 5'!AY209+'Incremental_Cost Year 6'!AY209+'Incremental_Cost Year 7'!AY209+'Incremental_Cost Year 8'!AY209+'Incremental_Cost Year 9'!AY209+'Incremental_Cost Year 10'!AY209</f>
        <v>0</v>
      </c>
      <c r="BH209" s="294">
        <f>'Incremental_Cost Year 1'!AZ209+'Incremental_Cost Year 2'!BA209+'Incremental_Cost Year 3'!AZ209+'Incremental_Cost Year 4'!AZ209+'Incremental_Cost Year 5'!AZ209+'Incremental_Cost Year 6'!AZ209+'Incremental_Cost Year 7'!AZ209+'Incremental_Cost Year 8'!AZ209+'Incremental_Cost Year 9'!AZ209+'Incremental_Cost Year 10'!AZ209</f>
        <v>0</v>
      </c>
      <c r="BI209" s="294">
        <f>'Incremental_Cost Year 1'!BA209+'Incremental_Cost Year 2'!BA209+'Incremental_Cost Year 3'!BA209+'Incremental_Cost Year 4'!BA209+'Incremental_Cost Year 5'!BA209+'Incremental_Cost Year 6'!BA209+'Incremental_Cost Year 7'!BA209+'Incremental_Cost Year 8'!BA209+'Incremental_Cost Year 9'!BA209+'Incremental_Cost Year 10'!BA209</f>
        <v>0</v>
      </c>
      <c r="BJ209" s="294">
        <f t="shared" si="202"/>
        <v>0</v>
      </c>
    </row>
    <row r="210" spans="1:62" ht="15.6" outlineLevel="2">
      <c r="A210" s="98"/>
      <c r="B210" s="102"/>
      <c r="C210" s="23"/>
      <c r="D210" s="269"/>
      <c r="E210" s="271"/>
      <c r="F210" s="250"/>
      <c r="G210" s="255"/>
      <c r="H210" s="272"/>
      <c r="I210" s="258"/>
      <c r="J210" s="259"/>
      <c r="K210" s="259"/>
      <c r="L210" s="106" t="str">
        <f>IF(I210&lt;&gt;0,((VLOOKUP(I210,'1. Standard_Cost'!$B$4:$D$11,2)+VLOOKUP(I210,'1. Standard_Cost'!$B$4:$D$11,3))*J210*K210),"0")</f>
        <v>0</v>
      </c>
      <c r="M210" s="106">
        <f>L210*'1. Standard_Cost'!$F$4</f>
        <v>0</v>
      </c>
      <c r="N210" s="260"/>
      <c r="O210" s="260"/>
      <c r="P210" s="260"/>
      <c r="Q210" s="260"/>
      <c r="R210" s="108">
        <f>'1. Standard_Cost'!$B$15*N210*P210</f>
        <v>0</v>
      </c>
      <c r="S210" s="108">
        <f>N210*O210*P210*'1. Standard_Cost'!$C$15</f>
        <v>0</v>
      </c>
      <c r="T210" s="108">
        <f>N210*P210*Q210*'1. Standard_Cost'!$D$15</f>
        <v>0</v>
      </c>
      <c r="U210" s="108">
        <f>N210*O210*'1. Standard_Cost'!$E$15</f>
        <v>0</v>
      </c>
      <c r="V210" s="260"/>
      <c r="W210" s="260"/>
      <c r="X210" s="260"/>
      <c r="Y210" s="108">
        <f>+V210*((X210*'1. Standard_Cost'!$B$19)+(W210*X210*'1. Standard_Cost'!$C$19))</f>
        <v>0</v>
      </c>
      <c r="Z210" s="260"/>
      <c r="AA210" s="260"/>
      <c r="AB210" s="108">
        <f>+Z210*'1. Standard_Cost'!$B$23+AA210*'1. Standard_Cost'!$C$23</f>
        <v>0</v>
      </c>
      <c r="AC210" s="261"/>
      <c r="AD210" s="262"/>
      <c r="AE210" s="108">
        <f>SUM(AD210,AC210,AB210,Y210,U210,T210,S210,R210)*'1. Standard_Cost'!$B$31</f>
        <v>0</v>
      </c>
      <c r="AF210" s="108">
        <f t="shared" si="211"/>
        <v>0</v>
      </c>
      <c r="AG210" s="260"/>
      <c r="AH210" s="260"/>
      <c r="AI210" s="260"/>
      <c r="AJ210" s="263"/>
      <c r="AK210" s="263"/>
      <c r="AL210" s="263"/>
      <c r="AM210" s="108">
        <f>AG210*'1. Standard_Cost'!$B$27+'Incremental_Cost Year 10'!AH210*'1. Standard_Cost'!$C$27+'Incremental_Cost Year 10'!AI210*'1. Standard_Cost'!$D$27+'Incremental_Cost Year 10'!AJ210+'Incremental_Cost Year 10'!AL210+AK210</f>
        <v>0</v>
      </c>
      <c r="AN210" s="108">
        <f>AM210*'1. Standard_Cost'!$C$31</f>
        <v>0</v>
      </c>
      <c r="AO210" s="125" t="s">
        <v>418</v>
      </c>
      <c r="AQ210" s="14">
        <f t="shared" si="212"/>
        <v>0</v>
      </c>
      <c r="AR210" s="14">
        <f t="shared" si="213"/>
        <v>0</v>
      </c>
      <c r="AS210" s="14">
        <f t="shared" si="214"/>
        <v>0</v>
      </c>
      <c r="AT210" s="14">
        <f t="shared" si="216"/>
        <v>0</v>
      </c>
      <c r="AU210" s="234"/>
      <c r="AV210" s="234"/>
      <c r="AW210" s="234"/>
      <c r="AX210" s="234"/>
      <c r="AY210" s="234"/>
      <c r="AZ210" s="234"/>
      <c r="BA210" s="234"/>
      <c r="BB210" s="16">
        <f t="shared" si="215"/>
        <v>0</v>
      </c>
      <c r="BD210" s="294">
        <f>'Incremental_Cost Year 1'!AV210+'Incremental_Cost Year 2'!AV210+'Incremental_Cost Year 3'!AV210+'Incremental_Cost Year 4'!AV210+'Incremental_Cost Year 5'!AV210+'Incremental_Cost Year 6'!AV210+'Incremental_Cost Year 7'!AV210+'Incremental_Cost Year 8'!AV210+'Incremental_Cost Year 9'!AV210+'Incremental_Cost Year 10'!AV210</f>
        <v>0</v>
      </c>
      <c r="BE210" s="294">
        <f>'Incremental_Cost Year 1'!AW210+'Incremental_Cost Year 2'!AW210+'Incremental_Cost Year 3'!AW210+'Incremental_Cost Year 4'!AW210+'Incremental_Cost Year 5'!AW210+'Incremental_Cost Year 6'!AW210+'Incremental_Cost Year 7'!AW210+'Incremental_Cost Year 8'!AW210+'Incremental_Cost Year 9'!AW210+'Incremental_Cost Year 10'!AW210</f>
        <v>0</v>
      </c>
      <c r="BF210" s="294">
        <f>'Incremental_Cost Year 1'!AX210+'Incremental_Cost Year 2'!AX210+'Incremental_Cost Year 3'!AX210+'Incremental_Cost Year 4'!AX210+'Incremental_Cost Year 5'!AX210+'Incremental_Cost Year 6'!AX210+'Incremental_Cost Year 7'!AX210+'Incremental_Cost Year 8'!AX210+'Incremental_Cost Year 9'!AX210+'Incremental_Cost Year 10'!AX210</f>
        <v>0</v>
      </c>
      <c r="BG210" s="294">
        <f>'Incremental_Cost Year 1'!AY210+'Incremental_Cost Year 2'!AZ210+'Incremental_Cost Year 3'!AY210+'Incremental_Cost Year 4'!AY210+'Incremental_Cost Year 5'!AY210+'Incremental_Cost Year 6'!AY210+'Incremental_Cost Year 7'!AY210+'Incremental_Cost Year 8'!AY210+'Incremental_Cost Year 9'!AY210+'Incremental_Cost Year 10'!AY210</f>
        <v>0</v>
      </c>
      <c r="BH210" s="294">
        <f>'Incremental_Cost Year 1'!AZ210+'Incremental_Cost Year 2'!BA210+'Incremental_Cost Year 3'!AZ210+'Incremental_Cost Year 4'!AZ210+'Incremental_Cost Year 5'!AZ210+'Incremental_Cost Year 6'!AZ210+'Incremental_Cost Year 7'!AZ210+'Incremental_Cost Year 8'!AZ210+'Incremental_Cost Year 9'!AZ210+'Incremental_Cost Year 10'!AZ210</f>
        <v>0</v>
      </c>
      <c r="BI210" s="294">
        <f>'Incremental_Cost Year 1'!BA210+'Incremental_Cost Year 2'!BA210+'Incremental_Cost Year 3'!BA210+'Incremental_Cost Year 4'!BA210+'Incremental_Cost Year 5'!BA210+'Incremental_Cost Year 6'!BA210+'Incremental_Cost Year 7'!BA210+'Incremental_Cost Year 8'!BA210+'Incremental_Cost Year 9'!BA210+'Incremental_Cost Year 10'!BA210</f>
        <v>0</v>
      </c>
      <c r="BJ210" s="294">
        <f t="shared" si="202"/>
        <v>0</v>
      </c>
    </row>
    <row r="211" spans="1:62" ht="41.4" outlineLevel="2">
      <c r="A211" s="98"/>
      <c r="B211" s="102"/>
      <c r="C211" s="23"/>
      <c r="D211" s="269"/>
      <c r="E211" s="271"/>
      <c r="F211" s="250"/>
      <c r="G211" s="255"/>
      <c r="H211" s="272"/>
      <c r="I211" s="258"/>
      <c r="J211" s="259"/>
      <c r="K211" s="259"/>
      <c r="L211" s="106" t="str">
        <f>IF(I211&lt;&gt;0,((VLOOKUP(I211,'1. Standard_Cost'!$B$4:$D$11,2)+VLOOKUP(I211,'1. Standard_Cost'!$B$4:$D$11,3))*J211*K211),"0")</f>
        <v>0</v>
      </c>
      <c r="M211" s="106">
        <f>L211*'1. Standard_Cost'!$F$4</f>
        <v>0</v>
      </c>
      <c r="N211" s="260"/>
      <c r="O211" s="260"/>
      <c r="P211" s="260"/>
      <c r="Q211" s="260"/>
      <c r="R211" s="108">
        <f>'1. Standard_Cost'!$B$15*N211*P211</f>
        <v>0</v>
      </c>
      <c r="S211" s="108">
        <f>N211*O211*P211*'1. Standard_Cost'!$C$15</f>
        <v>0</v>
      </c>
      <c r="T211" s="108">
        <f>N211*P211*Q211*'1. Standard_Cost'!$D$15</f>
        <v>0</v>
      </c>
      <c r="U211" s="108">
        <f>N211*O211*'1. Standard_Cost'!$E$15</f>
        <v>0</v>
      </c>
      <c r="V211" s="260"/>
      <c r="W211" s="260"/>
      <c r="X211" s="260"/>
      <c r="Y211" s="108">
        <f>+V211*((X211*'1. Standard_Cost'!$B$19)+(W211*X211*'1. Standard_Cost'!$C$19))</f>
        <v>0</v>
      </c>
      <c r="Z211" s="260"/>
      <c r="AA211" s="260"/>
      <c r="AB211" s="108">
        <f>+Z211*'1. Standard_Cost'!$B$23+AA211*'1. Standard_Cost'!$C$23</f>
        <v>0</v>
      </c>
      <c r="AC211" s="261"/>
      <c r="AD211" s="262"/>
      <c r="AE211" s="108">
        <f>SUM(AD211,AC211,AB211,Y211,U211,T211,S211,R211)*'1. Standard_Cost'!$B$31</f>
        <v>0</v>
      </c>
      <c r="AF211" s="108">
        <f t="shared" si="211"/>
        <v>0</v>
      </c>
      <c r="AG211" s="260"/>
      <c r="AH211" s="260"/>
      <c r="AI211" s="260"/>
      <c r="AJ211" s="263"/>
      <c r="AK211" s="263"/>
      <c r="AL211" s="263"/>
      <c r="AM211" s="108">
        <f>AG211*'1. Standard_Cost'!$B$27+'Incremental_Cost Year 10'!AH211*'1. Standard_Cost'!$C$27+'Incremental_Cost Year 10'!AI211*'1. Standard_Cost'!$D$27+'Incremental_Cost Year 10'!AJ211+'Incremental_Cost Year 10'!AL211+AK211</f>
        <v>0</v>
      </c>
      <c r="AN211" s="108">
        <f>AM211*'1. Standard_Cost'!$C$31</f>
        <v>0</v>
      </c>
      <c r="AO211" s="125" t="s">
        <v>419</v>
      </c>
      <c r="AQ211" s="14">
        <f t="shared" si="212"/>
        <v>0</v>
      </c>
      <c r="AR211" s="14">
        <f t="shared" si="213"/>
        <v>0</v>
      </c>
      <c r="AS211" s="14">
        <f t="shared" si="214"/>
        <v>0</v>
      </c>
      <c r="AT211" s="14">
        <f t="shared" si="216"/>
        <v>0</v>
      </c>
      <c r="AU211" s="234"/>
      <c r="AV211" s="234"/>
      <c r="AW211" s="234"/>
      <c r="AX211" s="234"/>
      <c r="AY211" s="234"/>
      <c r="AZ211" s="234"/>
      <c r="BA211" s="234"/>
      <c r="BB211" s="16">
        <f t="shared" si="215"/>
        <v>0</v>
      </c>
      <c r="BD211" s="294">
        <f>'Incremental_Cost Year 1'!AV211+'Incremental_Cost Year 2'!AV211+'Incremental_Cost Year 3'!AV211+'Incremental_Cost Year 4'!AV211+'Incremental_Cost Year 5'!AV211+'Incremental_Cost Year 6'!AV211+'Incremental_Cost Year 7'!AV211+'Incremental_Cost Year 8'!AV211+'Incremental_Cost Year 9'!AV211+'Incremental_Cost Year 10'!AV211</f>
        <v>0</v>
      </c>
      <c r="BE211" s="294">
        <f>'Incremental_Cost Year 1'!AW211+'Incremental_Cost Year 2'!AW211+'Incremental_Cost Year 3'!AW211+'Incremental_Cost Year 4'!AW211+'Incremental_Cost Year 5'!AW211+'Incremental_Cost Year 6'!AW211+'Incremental_Cost Year 7'!AW211+'Incremental_Cost Year 8'!AW211+'Incremental_Cost Year 9'!AW211+'Incremental_Cost Year 10'!AW211</f>
        <v>0</v>
      </c>
      <c r="BF211" s="294">
        <f>'Incremental_Cost Year 1'!AX211+'Incremental_Cost Year 2'!AX211+'Incremental_Cost Year 3'!AX211+'Incremental_Cost Year 4'!AX211+'Incremental_Cost Year 5'!AX211+'Incremental_Cost Year 6'!AX211+'Incremental_Cost Year 7'!AX211+'Incremental_Cost Year 8'!AX211+'Incremental_Cost Year 9'!AX211+'Incremental_Cost Year 10'!AX211</f>
        <v>2000000</v>
      </c>
      <c r="BG211" s="294">
        <f>'Incremental_Cost Year 1'!AY211+'Incremental_Cost Year 2'!AZ211+'Incremental_Cost Year 3'!AY211+'Incremental_Cost Year 4'!AY211+'Incremental_Cost Year 5'!AY211+'Incremental_Cost Year 6'!AY211+'Incremental_Cost Year 7'!AY211+'Incremental_Cost Year 8'!AY211+'Incremental_Cost Year 9'!AY211+'Incremental_Cost Year 10'!AY211</f>
        <v>0</v>
      </c>
      <c r="BH211" s="294">
        <f>'Incremental_Cost Year 1'!AZ211+'Incremental_Cost Year 2'!BA211+'Incremental_Cost Year 3'!AZ211+'Incremental_Cost Year 4'!AZ211+'Incremental_Cost Year 5'!AZ211+'Incremental_Cost Year 6'!AZ211+'Incremental_Cost Year 7'!AZ211+'Incremental_Cost Year 8'!AZ211+'Incremental_Cost Year 9'!AZ211+'Incremental_Cost Year 10'!AZ211</f>
        <v>0</v>
      </c>
      <c r="BI211" s="294">
        <f>'Incremental_Cost Year 1'!BA211+'Incremental_Cost Year 2'!BA211+'Incremental_Cost Year 3'!BA211+'Incremental_Cost Year 4'!BA211+'Incremental_Cost Year 5'!BA211+'Incremental_Cost Year 6'!BA211+'Incremental_Cost Year 7'!BA211+'Incremental_Cost Year 8'!BA211+'Incremental_Cost Year 9'!BA211+'Incremental_Cost Year 10'!BA211</f>
        <v>0</v>
      </c>
      <c r="BJ211" s="294">
        <f t="shared" si="202"/>
        <v>2000000</v>
      </c>
    </row>
    <row r="212" spans="1:62" ht="15.6" outlineLevel="2">
      <c r="A212" s="98"/>
      <c r="B212" s="102"/>
      <c r="C212" s="23"/>
      <c r="D212" s="269"/>
      <c r="E212" s="271"/>
      <c r="F212" s="250"/>
      <c r="G212" s="255"/>
      <c r="H212" s="272"/>
      <c r="I212" s="258"/>
      <c r="J212" s="259"/>
      <c r="K212" s="259"/>
      <c r="L212" s="106" t="str">
        <f>IF(I212&lt;&gt;0,((VLOOKUP(I212,'1. Standard_Cost'!$B$4:$D$11,2)+VLOOKUP(I212,'1. Standard_Cost'!$B$4:$D$11,3))*J212*K212),"0")</f>
        <v>0</v>
      </c>
      <c r="M212" s="106">
        <f>L212*'1. Standard_Cost'!$F$4</f>
        <v>0</v>
      </c>
      <c r="N212" s="260"/>
      <c r="O212" s="260"/>
      <c r="P212" s="260"/>
      <c r="Q212" s="260"/>
      <c r="R212" s="108">
        <f>'1. Standard_Cost'!$B$15*N212*P212</f>
        <v>0</v>
      </c>
      <c r="S212" s="108">
        <f>N212*O212*P212*'1. Standard_Cost'!$C$15</f>
        <v>0</v>
      </c>
      <c r="T212" s="108">
        <f>N212*P212*Q212*'1. Standard_Cost'!$D$15</f>
        <v>0</v>
      </c>
      <c r="U212" s="108">
        <f>N212*O212*'1. Standard_Cost'!$E$15</f>
        <v>0</v>
      </c>
      <c r="V212" s="260"/>
      <c r="W212" s="260"/>
      <c r="X212" s="260"/>
      <c r="Y212" s="108">
        <f>+V212*((X212*'1. Standard_Cost'!$B$19)+(W212*X212*'1. Standard_Cost'!$C$19))</f>
        <v>0</v>
      </c>
      <c r="Z212" s="260"/>
      <c r="AA212" s="260"/>
      <c r="AB212" s="108">
        <f>+Z212*'1. Standard_Cost'!$B$23+AA212*'1. Standard_Cost'!$C$23</f>
        <v>0</v>
      </c>
      <c r="AC212" s="261"/>
      <c r="AD212" s="262"/>
      <c r="AE212" s="108">
        <f>SUM(AD212,AC212,AB212,Y212,U212,T212,S212,R212)*'1. Standard_Cost'!$B$31</f>
        <v>0</v>
      </c>
      <c r="AF212" s="108">
        <f t="shared" si="211"/>
        <v>0</v>
      </c>
      <c r="AG212" s="260"/>
      <c r="AH212" s="260"/>
      <c r="AI212" s="260"/>
      <c r="AJ212" s="263"/>
      <c r="AK212" s="263"/>
      <c r="AL212" s="263"/>
      <c r="AM212" s="108">
        <f>AG212*'1. Standard_Cost'!$B$27+'Incremental_Cost Year 10'!AH212*'1. Standard_Cost'!$C$27+'Incremental_Cost Year 10'!AI212*'1. Standard_Cost'!$D$27+'Incremental_Cost Year 10'!AJ212+'Incremental_Cost Year 10'!AL212+AK212</f>
        <v>0</v>
      </c>
      <c r="AN212" s="108">
        <f>AM212*'1. Standard_Cost'!$C$31</f>
        <v>0</v>
      </c>
      <c r="AO212" s="125" t="s">
        <v>300</v>
      </c>
      <c r="AQ212" s="14">
        <f t="shared" si="212"/>
        <v>0</v>
      </c>
      <c r="AR212" s="14">
        <f t="shared" si="213"/>
        <v>0</v>
      </c>
      <c r="AS212" s="14">
        <f t="shared" si="214"/>
        <v>0</v>
      </c>
      <c r="AT212" s="14">
        <f t="shared" si="216"/>
        <v>0</v>
      </c>
      <c r="AU212" s="234"/>
      <c r="AV212" s="234"/>
      <c r="AW212" s="234"/>
      <c r="AX212" s="234"/>
      <c r="AY212" s="234"/>
      <c r="AZ212" s="234"/>
      <c r="BA212" s="234"/>
      <c r="BB212" s="16">
        <f t="shared" si="215"/>
        <v>0</v>
      </c>
      <c r="BD212" s="294">
        <f>'Incremental_Cost Year 1'!AV212+'Incremental_Cost Year 2'!AV212+'Incremental_Cost Year 3'!AV212+'Incremental_Cost Year 4'!AV212+'Incremental_Cost Year 5'!AV212+'Incremental_Cost Year 6'!AV212+'Incremental_Cost Year 7'!AV212+'Incremental_Cost Year 8'!AV212+'Incremental_Cost Year 9'!AV212+'Incremental_Cost Year 10'!AV212</f>
        <v>0</v>
      </c>
      <c r="BE212" s="294">
        <f>'Incremental_Cost Year 1'!AW212+'Incremental_Cost Year 2'!AW212+'Incremental_Cost Year 3'!AW212+'Incremental_Cost Year 4'!AW212+'Incremental_Cost Year 5'!AW212+'Incremental_Cost Year 6'!AW212+'Incremental_Cost Year 7'!AW212+'Incremental_Cost Year 8'!AW212+'Incremental_Cost Year 9'!AW212+'Incremental_Cost Year 10'!AW212</f>
        <v>0</v>
      </c>
      <c r="BF212" s="294">
        <f>'Incremental_Cost Year 1'!AX212+'Incremental_Cost Year 2'!AX212+'Incremental_Cost Year 3'!AX212+'Incremental_Cost Year 4'!AX212+'Incremental_Cost Year 5'!AX212+'Incremental_Cost Year 6'!AX212+'Incremental_Cost Year 7'!AX212+'Incremental_Cost Year 8'!AX212+'Incremental_Cost Year 9'!AX212+'Incremental_Cost Year 10'!AX212</f>
        <v>349200</v>
      </c>
      <c r="BG212" s="294">
        <f>'Incremental_Cost Year 1'!AY212+'Incremental_Cost Year 2'!AZ212+'Incremental_Cost Year 3'!AY212+'Incremental_Cost Year 4'!AY212+'Incremental_Cost Year 5'!AY212+'Incremental_Cost Year 6'!AY212+'Incremental_Cost Year 7'!AY212+'Incremental_Cost Year 8'!AY212+'Incremental_Cost Year 9'!AY212+'Incremental_Cost Year 10'!AY212</f>
        <v>0</v>
      </c>
      <c r="BH212" s="294">
        <f>'Incremental_Cost Year 1'!AZ212+'Incremental_Cost Year 2'!BA212+'Incremental_Cost Year 3'!AZ212+'Incremental_Cost Year 4'!AZ212+'Incremental_Cost Year 5'!AZ212+'Incremental_Cost Year 6'!AZ212+'Incremental_Cost Year 7'!AZ212+'Incremental_Cost Year 8'!AZ212+'Incremental_Cost Year 9'!AZ212+'Incremental_Cost Year 10'!AZ212</f>
        <v>0</v>
      </c>
      <c r="BI212" s="294">
        <f>'Incremental_Cost Year 1'!BA212+'Incremental_Cost Year 2'!BA212+'Incremental_Cost Year 3'!BA212+'Incremental_Cost Year 4'!BA212+'Incremental_Cost Year 5'!BA212+'Incremental_Cost Year 6'!BA212+'Incremental_Cost Year 7'!BA212+'Incremental_Cost Year 8'!BA212+'Incremental_Cost Year 9'!BA212+'Incremental_Cost Year 10'!BA212</f>
        <v>0</v>
      </c>
      <c r="BJ212" s="294">
        <f t="shared" si="202"/>
        <v>349200</v>
      </c>
    </row>
    <row r="213" spans="1:62" ht="15.6" outlineLevel="2">
      <c r="A213" s="98"/>
      <c r="B213" s="102"/>
      <c r="C213" s="23"/>
      <c r="D213" s="269"/>
      <c r="E213" s="271"/>
      <c r="F213" s="250"/>
      <c r="G213" s="255"/>
      <c r="H213" s="272"/>
      <c r="I213" s="258"/>
      <c r="J213" s="259"/>
      <c r="K213" s="259"/>
      <c r="L213" s="106" t="str">
        <f>IF(I213&lt;&gt;0,((VLOOKUP(I213,'1. Standard_Cost'!$B$4:$D$11,2)+VLOOKUP(I213,'1. Standard_Cost'!$B$4:$D$11,3))*J213*K213),"0")</f>
        <v>0</v>
      </c>
      <c r="M213" s="106">
        <f>L213*'1. Standard_Cost'!$F$4</f>
        <v>0</v>
      </c>
      <c r="N213" s="260"/>
      <c r="O213" s="260"/>
      <c r="P213" s="260"/>
      <c r="Q213" s="260"/>
      <c r="R213" s="108">
        <f>'1. Standard_Cost'!$B$15*N213*P213</f>
        <v>0</v>
      </c>
      <c r="S213" s="108">
        <f>N213*O213*P213*'1. Standard_Cost'!$C$15</f>
        <v>0</v>
      </c>
      <c r="T213" s="108">
        <f>N213*P213*Q213*'1. Standard_Cost'!$D$15</f>
        <v>0</v>
      </c>
      <c r="U213" s="108">
        <f>N213*O213*'1. Standard_Cost'!$E$15</f>
        <v>0</v>
      </c>
      <c r="V213" s="260"/>
      <c r="W213" s="260"/>
      <c r="X213" s="260"/>
      <c r="Y213" s="108">
        <f>+V213*((X213*'1. Standard_Cost'!$B$19)+(W213*X213*'1. Standard_Cost'!$C$19))</f>
        <v>0</v>
      </c>
      <c r="Z213" s="260"/>
      <c r="AA213" s="260"/>
      <c r="AB213" s="108">
        <f>+Z213*'1. Standard_Cost'!$B$23+AA213*'1. Standard_Cost'!$C$23</f>
        <v>0</v>
      </c>
      <c r="AC213" s="261"/>
      <c r="AD213" s="262"/>
      <c r="AE213" s="108">
        <f>SUM(AD213,AC213,AB213,Y213,U213,T213,S213,R213)*'1. Standard_Cost'!$B$31</f>
        <v>0</v>
      </c>
      <c r="AF213" s="108">
        <f t="shared" si="211"/>
        <v>0</v>
      </c>
      <c r="AG213" s="260"/>
      <c r="AH213" s="260"/>
      <c r="AI213" s="260"/>
      <c r="AJ213" s="263"/>
      <c r="AK213" s="263"/>
      <c r="AL213" s="263"/>
      <c r="AM213" s="108">
        <f>AG213*'1. Standard_Cost'!$B$27+'Incremental_Cost Year 10'!AH213*'1. Standard_Cost'!$C$27+'Incremental_Cost Year 10'!AI213*'1. Standard_Cost'!$D$27+'Incremental_Cost Year 10'!AJ213+'Incremental_Cost Year 10'!AL213+AK213</f>
        <v>0</v>
      </c>
      <c r="AN213" s="108">
        <f>AM213*'1. Standard_Cost'!$C$31</f>
        <v>0</v>
      </c>
      <c r="AO213" s="125" t="s">
        <v>420</v>
      </c>
      <c r="AQ213" s="14">
        <f t="shared" si="212"/>
        <v>0</v>
      </c>
      <c r="AR213" s="14">
        <f t="shared" si="213"/>
        <v>0</v>
      </c>
      <c r="AS213" s="14">
        <f t="shared" si="214"/>
        <v>0</v>
      </c>
      <c r="AT213" s="14">
        <f t="shared" si="216"/>
        <v>0</v>
      </c>
      <c r="AU213" s="234"/>
      <c r="AV213" s="234"/>
      <c r="AW213" s="234"/>
      <c r="AX213" s="234"/>
      <c r="AY213" s="234"/>
      <c r="AZ213" s="234"/>
      <c r="BA213" s="234"/>
      <c r="BB213" s="16">
        <f t="shared" si="215"/>
        <v>0</v>
      </c>
      <c r="BD213" s="294">
        <f>'Incremental_Cost Year 1'!AV213+'Incremental_Cost Year 2'!AV213+'Incremental_Cost Year 3'!AV213+'Incremental_Cost Year 4'!AV213+'Incremental_Cost Year 5'!AV213+'Incremental_Cost Year 6'!AV213+'Incremental_Cost Year 7'!AV213+'Incremental_Cost Year 8'!AV213+'Incremental_Cost Year 9'!AV213+'Incremental_Cost Year 10'!AV213</f>
        <v>0</v>
      </c>
      <c r="BE213" s="294">
        <f>'Incremental_Cost Year 1'!AW213+'Incremental_Cost Year 2'!AW213+'Incremental_Cost Year 3'!AW213+'Incremental_Cost Year 4'!AW213+'Incremental_Cost Year 5'!AW213+'Incremental_Cost Year 6'!AW213+'Incremental_Cost Year 7'!AW213+'Incremental_Cost Year 8'!AW213+'Incremental_Cost Year 9'!AW213+'Incremental_Cost Year 10'!AW213</f>
        <v>122250.69</v>
      </c>
      <c r="BF213" s="294">
        <f>'Incremental_Cost Year 1'!AX213+'Incremental_Cost Year 2'!AX213+'Incremental_Cost Year 3'!AX213+'Incremental_Cost Year 4'!AX213+'Incremental_Cost Year 5'!AX213+'Incremental_Cost Year 6'!AX213+'Incremental_Cost Year 7'!AX213+'Incremental_Cost Year 8'!AX213+'Incremental_Cost Year 9'!AX213+'Incremental_Cost Year 10'!AX213</f>
        <v>733350.69</v>
      </c>
      <c r="BG213" s="294">
        <f>'Incremental_Cost Year 1'!AY213+'Incremental_Cost Year 2'!AZ213+'Incremental_Cost Year 3'!AY213+'Incremental_Cost Year 4'!AY213+'Incremental_Cost Year 5'!AY213+'Incremental_Cost Year 6'!AY213+'Incremental_Cost Year 7'!AY213+'Incremental_Cost Year 8'!AY213+'Incremental_Cost Year 9'!AY213+'Incremental_Cost Year 10'!AY213</f>
        <v>0</v>
      </c>
      <c r="BH213" s="294">
        <f>'Incremental_Cost Year 1'!AZ213+'Incremental_Cost Year 2'!BA213+'Incremental_Cost Year 3'!AZ213+'Incremental_Cost Year 4'!AZ213+'Incremental_Cost Year 5'!AZ213+'Incremental_Cost Year 6'!AZ213+'Incremental_Cost Year 7'!AZ213+'Incremental_Cost Year 8'!AZ213+'Incremental_Cost Year 9'!AZ213+'Incremental_Cost Year 10'!AZ213</f>
        <v>0</v>
      </c>
      <c r="BI213" s="294">
        <f>'Incremental_Cost Year 1'!BA213+'Incremental_Cost Year 2'!BA213+'Incremental_Cost Year 3'!BA213+'Incremental_Cost Year 4'!BA213+'Incremental_Cost Year 5'!BA213+'Incremental_Cost Year 6'!BA213+'Incremental_Cost Year 7'!BA213+'Incremental_Cost Year 8'!BA213+'Incremental_Cost Year 9'!BA213+'Incremental_Cost Year 10'!BA213</f>
        <v>0</v>
      </c>
      <c r="BJ213" s="294">
        <f t="shared" si="202"/>
        <v>855601.37999999989</v>
      </c>
    </row>
    <row r="214" spans="1:62" ht="21" customHeight="1" outlineLevel="2">
      <c r="A214" s="98"/>
      <c r="B214" s="102"/>
      <c r="C214" s="23"/>
      <c r="D214" s="269"/>
      <c r="E214" s="271"/>
      <c r="F214" s="271"/>
      <c r="G214" s="167"/>
      <c r="H214" s="168"/>
      <c r="I214" s="258"/>
      <c r="J214" s="259"/>
      <c r="K214" s="259"/>
      <c r="L214" s="106" t="str">
        <f>IF(I214&lt;&gt;0,((VLOOKUP(I214,'[1]1. Standard_Cost'!$B$4:$D$11,2)+VLOOKUP(I214,'[1]1. Standard_Cost'!$B$4:$D$11,3))*J214*K214),"0")</f>
        <v>0</v>
      </c>
      <c r="M214" s="106">
        <f>L214*'[1]1. Standard_Cost'!$F$4</f>
        <v>0</v>
      </c>
      <c r="N214" s="260"/>
      <c r="O214" s="260"/>
      <c r="P214" s="260"/>
      <c r="Q214" s="260"/>
      <c r="R214" s="108">
        <f>'[1]1. Standard_Cost'!$B$15*N214*P214</f>
        <v>0</v>
      </c>
      <c r="S214" s="108">
        <f>N214*O214*P214*'[1]1. Standard_Cost'!$C$15</f>
        <v>0</v>
      </c>
      <c r="T214" s="108">
        <f>N214*P214*Q214*'[1]1. Standard_Cost'!$D$15</f>
        <v>0</v>
      </c>
      <c r="U214" s="108">
        <f>N214*O214*'[1]1. Standard_Cost'!$E$15</f>
        <v>0</v>
      </c>
      <c r="V214" s="260"/>
      <c r="W214" s="260"/>
      <c r="X214" s="260"/>
      <c r="Y214" s="108">
        <f>+V214*((X214*'[1]1. Standard_Cost'!$B$19)+(W214*X214*'[1]1. Standard_Cost'!$C$19))</f>
        <v>0</v>
      </c>
      <c r="Z214" s="260"/>
      <c r="AA214" s="260"/>
      <c r="AB214" s="108">
        <f>+Z214*'[1]1. Standard_Cost'!$B$23+AA214*'[1]1. Standard_Cost'!$C$23</f>
        <v>0</v>
      </c>
      <c r="AC214" s="261"/>
      <c r="AD214" s="262"/>
      <c r="AE214" s="108">
        <f>SUM(AD214,AC214,AB214,Y214,U214,T214,S214,R214)*'[1]1. Standard_Cost'!$B$31</f>
        <v>0</v>
      </c>
      <c r="AF214" s="108">
        <f t="shared" si="211"/>
        <v>0</v>
      </c>
      <c r="AG214" s="260"/>
      <c r="AH214" s="260"/>
      <c r="AI214" s="260"/>
      <c r="AJ214" s="263"/>
      <c r="AK214" s="263"/>
      <c r="AL214" s="263"/>
      <c r="AM214" s="108">
        <f>AG214*'[1]1. Standard_Cost'!$B$27+'[1]Incremental_Cost Year 10'!AH214*'[1]1. Standard_Cost'!$C$27+'[1]Incremental_Cost Year 10'!AI214*'[1]1. Standard_Cost'!$D$27+'[1]Incremental_Cost Year 10'!AJ214+'[1]Incremental_Cost Year 10'!AL214+AK214</f>
        <v>0</v>
      </c>
      <c r="AN214" s="108">
        <f>AM214*'[1]1. Standard_Cost'!$C$31</f>
        <v>0</v>
      </c>
      <c r="AO214" s="125" t="s">
        <v>421</v>
      </c>
      <c r="AQ214" s="14">
        <f t="shared" si="212"/>
        <v>0</v>
      </c>
      <c r="AR214" s="14">
        <f t="shared" si="213"/>
        <v>0</v>
      </c>
      <c r="AS214" s="14">
        <f t="shared" si="214"/>
        <v>0</v>
      </c>
      <c r="AT214" s="14">
        <f t="shared" si="216"/>
        <v>0</v>
      </c>
      <c r="AU214" s="234"/>
      <c r="AV214" s="234"/>
      <c r="AW214" s="234"/>
      <c r="AX214" s="234"/>
      <c r="AY214" s="234"/>
      <c r="AZ214" s="234"/>
      <c r="BA214" s="234"/>
      <c r="BB214" s="16">
        <f t="shared" si="215"/>
        <v>0</v>
      </c>
      <c r="BD214" s="294">
        <f>'Incremental_Cost Year 1'!AV214+'Incremental_Cost Year 2'!AV214+'Incremental_Cost Year 3'!AV214+'Incremental_Cost Year 4'!AV214+'Incremental_Cost Year 5'!AV214+'Incremental_Cost Year 6'!AV214+'Incremental_Cost Year 7'!AV214+'Incremental_Cost Year 8'!AV214+'Incremental_Cost Year 9'!AV214+'Incremental_Cost Year 10'!AV214</f>
        <v>0</v>
      </c>
      <c r="BE214" s="294">
        <f>'Incremental_Cost Year 1'!AW214+'Incremental_Cost Year 2'!AW214+'Incremental_Cost Year 3'!AW214+'Incremental_Cost Year 4'!AW214+'Incremental_Cost Year 5'!AW214+'Incremental_Cost Year 6'!AW214+'Incremental_Cost Year 7'!AW214+'Incremental_Cost Year 8'!AW214+'Incremental_Cost Year 9'!AW214+'Incremental_Cost Year 10'!AW214</f>
        <v>0</v>
      </c>
      <c r="BF214" s="294">
        <f>'Incremental_Cost Year 1'!AX214+'Incremental_Cost Year 2'!AX214+'Incremental_Cost Year 3'!AX214+'Incremental_Cost Year 4'!AX214+'Incremental_Cost Year 5'!AX214+'Incremental_Cost Year 6'!AX214+'Incremental_Cost Year 7'!AX214+'Incremental_Cost Year 8'!AX214+'Incremental_Cost Year 9'!AX214+'Incremental_Cost Year 10'!AX214</f>
        <v>91200</v>
      </c>
      <c r="BG214" s="294">
        <f>'Incremental_Cost Year 1'!AY214+'Incremental_Cost Year 2'!AZ214+'Incremental_Cost Year 3'!AY214+'Incremental_Cost Year 4'!AY214+'Incremental_Cost Year 5'!AY214+'Incremental_Cost Year 6'!AY214+'Incremental_Cost Year 7'!AY214+'Incremental_Cost Year 8'!AY214+'Incremental_Cost Year 9'!AY214+'Incremental_Cost Year 10'!AY214</f>
        <v>0</v>
      </c>
      <c r="BH214" s="294">
        <f>'Incremental_Cost Year 1'!AZ214+'Incremental_Cost Year 2'!BA214+'Incremental_Cost Year 3'!AZ214+'Incremental_Cost Year 4'!AZ214+'Incremental_Cost Year 5'!AZ214+'Incremental_Cost Year 6'!AZ214+'Incremental_Cost Year 7'!AZ214+'Incremental_Cost Year 8'!AZ214+'Incremental_Cost Year 9'!AZ214+'Incremental_Cost Year 10'!AZ214</f>
        <v>0</v>
      </c>
      <c r="BI214" s="294">
        <f>'Incremental_Cost Year 1'!BA214+'Incremental_Cost Year 2'!BA214+'Incremental_Cost Year 3'!BA214+'Incremental_Cost Year 4'!BA214+'Incremental_Cost Year 5'!BA214+'Incremental_Cost Year 6'!BA214+'Incremental_Cost Year 7'!BA214+'Incremental_Cost Year 8'!BA214+'Incremental_Cost Year 9'!BA214+'Incremental_Cost Year 10'!BA214</f>
        <v>0</v>
      </c>
      <c r="BJ214" s="294">
        <f t="shared" si="202"/>
        <v>91200</v>
      </c>
    </row>
    <row r="215" spans="1:62" ht="15.6" outlineLevel="2">
      <c r="A215" s="98"/>
      <c r="B215" s="102"/>
      <c r="C215" s="23"/>
      <c r="D215" s="269"/>
      <c r="E215" s="271"/>
      <c r="F215" s="250"/>
      <c r="G215" s="255"/>
      <c r="H215" s="272"/>
      <c r="I215" s="258"/>
      <c r="J215" s="259"/>
      <c r="K215" s="259"/>
      <c r="L215" s="106" t="str">
        <f>IF(I215&lt;&gt;0,((VLOOKUP(I215,'1. Standard_Cost'!$B$4:$D$11,2)+VLOOKUP(I215,'1. Standard_Cost'!$B$4:$D$11,3))*J215*K215),"0")</f>
        <v>0</v>
      </c>
      <c r="M215" s="106">
        <f>L215*'1. Standard_Cost'!$F$4</f>
        <v>0</v>
      </c>
      <c r="N215" s="260"/>
      <c r="O215" s="260"/>
      <c r="P215" s="260"/>
      <c r="Q215" s="260"/>
      <c r="R215" s="108">
        <f>'1. Standard_Cost'!$B$15*N215*P215</f>
        <v>0</v>
      </c>
      <c r="S215" s="108">
        <f>N215*O215*P215*'1. Standard_Cost'!$C$15</f>
        <v>0</v>
      </c>
      <c r="T215" s="108">
        <f>N215*P215*Q215*'1. Standard_Cost'!$D$15</f>
        <v>0</v>
      </c>
      <c r="U215" s="108">
        <f>N215*O215*'1. Standard_Cost'!$E$15</f>
        <v>0</v>
      </c>
      <c r="V215" s="260"/>
      <c r="W215" s="260"/>
      <c r="X215" s="260"/>
      <c r="Y215" s="108">
        <f>+V215*((X215*'1. Standard_Cost'!$B$19)+(W215*X215*'1. Standard_Cost'!$C$19))</f>
        <v>0</v>
      </c>
      <c r="Z215" s="260"/>
      <c r="AA215" s="260"/>
      <c r="AB215" s="108">
        <f>+Z215*'1. Standard_Cost'!$B$23+AA215*'1. Standard_Cost'!$C$23</f>
        <v>0</v>
      </c>
      <c r="AC215" s="261"/>
      <c r="AD215" s="262"/>
      <c r="AE215" s="108">
        <f>SUM(AD215,AC215,AB215,Y215,U215,T215,S215,R215)*'1. Standard_Cost'!$B$31</f>
        <v>0</v>
      </c>
      <c r="AF215" s="108">
        <f t="shared" si="211"/>
        <v>0</v>
      </c>
      <c r="AG215" s="260"/>
      <c r="AH215" s="260"/>
      <c r="AI215" s="260"/>
      <c r="AJ215" s="263"/>
      <c r="AK215" s="263"/>
      <c r="AL215" s="263"/>
      <c r="AM215" s="108">
        <f>AG215*'1. Standard_Cost'!$B$27+'Incremental_Cost Year 10'!AH215*'1. Standard_Cost'!$C$27+'Incremental_Cost Year 10'!AI215*'1. Standard_Cost'!$D$27+'Incremental_Cost Year 10'!AJ215+'Incremental_Cost Year 10'!AL215+AK215</f>
        <v>0</v>
      </c>
      <c r="AN215" s="108">
        <f>AM215*'1. Standard_Cost'!$C$31</f>
        <v>0</v>
      </c>
      <c r="AO215" s="125" t="s">
        <v>421</v>
      </c>
      <c r="AQ215" s="14">
        <f t="shared" si="212"/>
        <v>0</v>
      </c>
      <c r="AR215" s="14">
        <f t="shared" si="213"/>
        <v>0</v>
      </c>
      <c r="AS215" s="14">
        <f t="shared" si="214"/>
        <v>0</v>
      </c>
      <c r="AT215" s="14">
        <f t="shared" si="216"/>
        <v>0</v>
      </c>
      <c r="AU215" s="234"/>
      <c r="AV215" s="234"/>
      <c r="AW215" s="234"/>
      <c r="AX215" s="234"/>
      <c r="AY215" s="234"/>
      <c r="AZ215" s="234"/>
      <c r="BA215" s="234"/>
      <c r="BB215" s="16">
        <f t="shared" si="215"/>
        <v>0</v>
      </c>
      <c r="BD215" s="294">
        <f>'Incremental_Cost Year 1'!AV215+'Incremental_Cost Year 2'!AV215+'Incremental_Cost Year 3'!AV215+'Incremental_Cost Year 4'!AV215+'Incremental_Cost Year 5'!AV215+'Incremental_Cost Year 6'!AV215+'Incremental_Cost Year 7'!AV215+'Incremental_Cost Year 8'!AV215+'Incremental_Cost Year 9'!AV215+'Incremental_Cost Year 10'!AV215</f>
        <v>0</v>
      </c>
      <c r="BE215" s="294">
        <f>'Incremental_Cost Year 1'!AW215+'Incremental_Cost Year 2'!AW215+'Incremental_Cost Year 3'!AW215+'Incremental_Cost Year 4'!AW215+'Incremental_Cost Year 5'!AW215+'Incremental_Cost Year 6'!AW215+'Incremental_Cost Year 7'!AW215+'Incremental_Cost Year 8'!AW215+'Incremental_Cost Year 9'!AW215+'Incremental_Cost Year 10'!AW215</f>
        <v>0</v>
      </c>
      <c r="BF215" s="294">
        <f>'Incremental_Cost Year 1'!AX215+'Incremental_Cost Year 2'!AX215+'Incremental_Cost Year 3'!AX215+'Incremental_Cost Year 4'!AX215+'Incremental_Cost Year 5'!AX215+'Incremental_Cost Year 6'!AX215+'Incremental_Cost Year 7'!AX215+'Incremental_Cost Year 8'!AX215+'Incremental_Cost Year 9'!AX215+'Incremental_Cost Year 10'!AX215</f>
        <v>1333700</v>
      </c>
      <c r="BG215" s="294">
        <f>'Incremental_Cost Year 1'!AY215+'Incremental_Cost Year 2'!AZ215+'Incremental_Cost Year 3'!AY215+'Incremental_Cost Year 4'!AY215+'Incremental_Cost Year 5'!AY215+'Incremental_Cost Year 6'!AY215+'Incremental_Cost Year 7'!AY215+'Incremental_Cost Year 8'!AY215+'Incremental_Cost Year 9'!AY215+'Incremental_Cost Year 10'!AY215</f>
        <v>0</v>
      </c>
      <c r="BH215" s="294">
        <f>'Incremental_Cost Year 1'!AZ215+'Incremental_Cost Year 2'!BA215+'Incremental_Cost Year 3'!AZ215+'Incremental_Cost Year 4'!AZ215+'Incremental_Cost Year 5'!AZ215+'Incremental_Cost Year 6'!AZ215+'Incremental_Cost Year 7'!AZ215+'Incremental_Cost Year 8'!AZ215+'Incremental_Cost Year 9'!AZ215+'Incremental_Cost Year 10'!AZ215</f>
        <v>0</v>
      </c>
      <c r="BI215" s="294">
        <f>'Incremental_Cost Year 1'!BA215+'Incremental_Cost Year 2'!BA215+'Incremental_Cost Year 3'!BA215+'Incremental_Cost Year 4'!BA215+'Incremental_Cost Year 5'!BA215+'Incremental_Cost Year 6'!BA215+'Incremental_Cost Year 7'!BA215+'Incremental_Cost Year 8'!BA215+'Incremental_Cost Year 9'!BA215+'Incremental_Cost Year 10'!BA215</f>
        <v>0</v>
      </c>
      <c r="BJ215" s="294">
        <f t="shared" si="202"/>
        <v>1333700</v>
      </c>
    </row>
    <row r="216" spans="1:62" ht="41.4" outlineLevel="2">
      <c r="A216" s="98"/>
      <c r="B216" s="102"/>
      <c r="C216" s="23"/>
      <c r="D216" s="269"/>
      <c r="E216" s="271"/>
      <c r="F216" s="250"/>
      <c r="G216" s="255"/>
      <c r="H216" s="272"/>
      <c r="I216" s="258"/>
      <c r="J216" s="259"/>
      <c r="K216" s="259"/>
      <c r="L216" s="106" t="str">
        <f>IF(I216&lt;&gt;0,((VLOOKUP(I216,'1. Standard_Cost'!$B$4:$D$11,2)+VLOOKUP(I216,'1. Standard_Cost'!$B$4:$D$11,3))*J216*K216),"0")</f>
        <v>0</v>
      </c>
      <c r="M216" s="106">
        <f>L216*'1. Standard_Cost'!$F$4</f>
        <v>0</v>
      </c>
      <c r="N216" s="260"/>
      <c r="O216" s="260"/>
      <c r="P216" s="260"/>
      <c r="Q216" s="260"/>
      <c r="R216" s="108">
        <f>'1. Standard_Cost'!$B$15*N216*P216</f>
        <v>0</v>
      </c>
      <c r="S216" s="108">
        <f>N216*O216*P216*'1. Standard_Cost'!$C$15</f>
        <v>0</v>
      </c>
      <c r="T216" s="108">
        <f>N216*P216*Q216*'1. Standard_Cost'!$D$15</f>
        <v>0</v>
      </c>
      <c r="U216" s="108">
        <f>N216*O216*'1. Standard_Cost'!$E$15</f>
        <v>0</v>
      </c>
      <c r="V216" s="260"/>
      <c r="W216" s="260"/>
      <c r="X216" s="260"/>
      <c r="Y216" s="108">
        <f>+V216*((X216*'1. Standard_Cost'!$B$19)+(W216*X216*'1. Standard_Cost'!$C$19))</f>
        <v>0</v>
      </c>
      <c r="Z216" s="260"/>
      <c r="AA216" s="260"/>
      <c r="AB216" s="108">
        <f>+Z216*'1. Standard_Cost'!$B$23+AA216*'1. Standard_Cost'!$C$23</f>
        <v>0</v>
      </c>
      <c r="AC216" s="261"/>
      <c r="AD216" s="262"/>
      <c r="AE216" s="108">
        <f>SUM(AD216,AC216,AB216,Y216,U216,T216,S216,R216)*'1. Standard_Cost'!$B$31</f>
        <v>0</v>
      </c>
      <c r="AF216" s="108">
        <f t="shared" si="211"/>
        <v>0</v>
      </c>
      <c r="AG216" s="260"/>
      <c r="AH216" s="260"/>
      <c r="AI216" s="260"/>
      <c r="AJ216" s="263"/>
      <c r="AK216" s="263"/>
      <c r="AL216" s="263"/>
      <c r="AM216" s="108">
        <f>AG216*'1. Standard_Cost'!$B$27+'Incremental_Cost Year 10'!AH216*'1. Standard_Cost'!$C$27+'Incremental_Cost Year 10'!AI216*'1. Standard_Cost'!$D$27+'Incremental_Cost Year 10'!AJ216+'Incremental_Cost Year 10'!AL216+AK216</f>
        <v>0</v>
      </c>
      <c r="AN216" s="108">
        <f>AM216*'1. Standard_Cost'!$C$31</f>
        <v>0</v>
      </c>
      <c r="AO216" s="125" t="s">
        <v>422</v>
      </c>
      <c r="AQ216" s="14">
        <f t="shared" si="212"/>
        <v>0</v>
      </c>
      <c r="AR216" s="14">
        <f t="shared" si="213"/>
        <v>0</v>
      </c>
      <c r="AS216" s="14">
        <f t="shared" si="214"/>
        <v>0</v>
      </c>
      <c r="AT216" s="14">
        <f t="shared" si="216"/>
        <v>0</v>
      </c>
      <c r="AU216" s="234"/>
      <c r="AV216" s="234"/>
      <c r="AW216" s="234"/>
      <c r="AX216" s="234"/>
      <c r="AY216" s="234"/>
      <c r="AZ216" s="234"/>
      <c r="BA216" s="234"/>
      <c r="BB216" s="16">
        <f t="shared" si="215"/>
        <v>0</v>
      </c>
      <c r="BD216" s="294">
        <f>'Incremental_Cost Year 1'!AV216+'Incremental_Cost Year 2'!AV216+'Incremental_Cost Year 3'!AV216+'Incremental_Cost Year 4'!AV216+'Incremental_Cost Year 5'!AV216+'Incremental_Cost Year 6'!AV216+'Incremental_Cost Year 7'!AV216+'Incremental_Cost Year 8'!AV216+'Incremental_Cost Year 9'!AV216+'Incremental_Cost Year 10'!AV216</f>
        <v>0</v>
      </c>
      <c r="BE216" s="294">
        <f>'Incremental_Cost Year 1'!AW216+'Incremental_Cost Year 2'!AW216+'Incremental_Cost Year 3'!AW216+'Incremental_Cost Year 4'!AW216+'Incremental_Cost Year 5'!AW216+'Incremental_Cost Year 6'!AW216+'Incremental_Cost Year 7'!AW216+'Incremental_Cost Year 8'!AW216+'Incremental_Cost Year 9'!AW216+'Incremental_Cost Year 10'!AW216</f>
        <v>0</v>
      </c>
      <c r="BF216" s="294">
        <f>'Incremental_Cost Year 1'!AX216+'Incremental_Cost Year 2'!AX216+'Incremental_Cost Year 3'!AX216+'Incremental_Cost Year 4'!AX216+'Incremental_Cost Year 5'!AX216+'Incremental_Cost Year 6'!AX216+'Incremental_Cost Year 7'!AX216+'Incremental_Cost Year 8'!AX216+'Incremental_Cost Year 9'!AX216+'Incremental_Cost Year 10'!AX216</f>
        <v>0</v>
      </c>
      <c r="BG216" s="294">
        <f>'Incremental_Cost Year 1'!AY216+'Incremental_Cost Year 2'!AZ216+'Incremental_Cost Year 3'!AY216+'Incremental_Cost Year 4'!AY216+'Incremental_Cost Year 5'!AY216+'Incremental_Cost Year 6'!AY216+'Incremental_Cost Year 7'!AY216+'Incremental_Cost Year 8'!AY216+'Incremental_Cost Year 9'!AY216+'Incremental_Cost Year 10'!AY216</f>
        <v>0</v>
      </c>
      <c r="BH216" s="294">
        <f>'Incremental_Cost Year 1'!AZ216+'Incremental_Cost Year 2'!BA216+'Incremental_Cost Year 3'!AZ216+'Incremental_Cost Year 4'!AZ216+'Incremental_Cost Year 5'!AZ216+'Incremental_Cost Year 6'!AZ216+'Incremental_Cost Year 7'!AZ216+'Incremental_Cost Year 8'!AZ216+'Incremental_Cost Year 9'!AZ216+'Incremental_Cost Year 10'!AZ216</f>
        <v>0</v>
      </c>
      <c r="BI216" s="294">
        <f>'Incremental_Cost Year 1'!BA216+'Incremental_Cost Year 2'!BA216+'Incremental_Cost Year 3'!BA216+'Incremental_Cost Year 4'!BA216+'Incremental_Cost Year 5'!BA216+'Incremental_Cost Year 6'!BA216+'Incremental_Cost Year 7'!BA216+'Incremental_Cost Year 8'!BA216+'Incremental_Cost Year 9'!BA216+'Incremental_Cost Year 10'!BA216</f>
        <v>0</v>
      </c>
      <c r="BJ216" s="294">
        <f t="shared" si="202"/>
        <v>0</v>
      </c>
    </row>
    <row r="217" spans="1:62" ht="15.6" outlineLevel="2">
      <c r="A217" s="98"/>
      <c r="B217" s="102"/>
      <c r="C217" s="23"/>
      <c r="D217" s="269"/>
      <c r="E217" s="271"/>
      <c r="F217" s="250"/>
      <c r="G217" s="255"/>
      <c r="H217" s="272"/>
      <c r="I217" s="258"/>
      <c r="J217" s="259"/>
      <c r="K217" s="259"/>
      <c r="L217" s="106" t="str">
        <f>IF(I217&lt;&gt;0,((VLOOKUP(I217,'1. Standard_Cost'!$B$4:$D$11,2)+VLOOKUP(I217,'1. Standard_Cost'!$B$4:$D$11,3))*J217*K217),"0")</f>
        <v>0</v>
      </c>
      <c r="M217" s="106">
        <f>L217*'1. Standard_Cost'!$F$4</f>
        <v>0</v>
      </c>
      <c r="N217" s="260"/>
      <c r="O217" s="260"/>
      <c r="P217" s="260"/>
      <c r="Q217" s="260"/>
      <c r="R217" s="108">
        <f>'1. Standard_Cost'!$B$15*N217*P217</f>
        <v>0</v>
      </c>
      <c r="S217" s="108">
        <f>N217*O217*P217*'1. Standard_Cost'!$C$15</f>
        <v>0</v>
      </c>
      <c r="T217" s="108">
        <f>N217*P217*Q217*'1. Standard_Cost'!$D$15</f>
        <v>0</v>
      </c>
      <c r="U217" s="108">
        <f>N217*O217*'1. Standard_Cost'!$E$15</f>
        <v>0</v>
      </c>
      <c r="V217" s="260"/>
      <c r="W217" s="260"/>
      <c r="X217" s="260"/>
      <c r="Y217" s="108">
        <f>+V217*((X217*'1. Standard_Cost'!$B$19)+(W217*X217*'1. Standard_Cost'!$C$19))</f>
        <v>0</v>
      </c>
      <c r="Z217" s="260"/>
      <c r="AA217" s="260"/>
      <c r="AB217" s="108">
        <f>+Z217*'1. Standard_Cost'!$B$23+AA217*'1. Standard_Cost'!$C$23</f>
        <v>0</v>
      </c>
      <c r="AC217" s="261"/>
      <c r="AD217" s="262"/>
      <c r="AE217" s="108">
        <f>SUM(AD217,AC217,AB217,Y217,U217,T217,S217,R217)*'1. Standard_Cost'!$B$31</f>
        <v>0</v>
      </c>
      <c r="AF217" s="108">
        <f t="shared" si="211"/>
        <v>0</v>
      </c>
      <c r="AG217" s="260"/>
      <c r="AH217" s="260"/>
      <c r="AI217" s="260"/>
      <c r="AJ217" s="263"/>
      <c r="AK217" s="263"/>
      <c r="AL217" s="263"/>
      <c r="AM217" s="108">
        <f>AG217*'1. Standard_Cost'!$B$27+'Incremental_Cost Year 10'!AH217*'1. Standard_Cost'!$C$27+'Incremental_Cost Year 10'!AI217*'1. Standard_Cost'!$D$27+'Incremental_Cost Year 10'!AJ217+'Incremental_Cost Year 10'!AL217+AK217</f>
        <v>0</v>
      </c>
      <c r="AN217" s="108">
        <f>AM217*'1. Standard_Cost'!$C$31</f>
        <v>0</v>
      </c>
      <c r="AO217" s="125" t="s">
        <v>423</v>
      </c>
      <c r="AQ217" s="14">
        <f t="shared" si="212"/>
        <v>0</v>
      </c>
      <c r="AR217" s="14">
        <f t="shared" si="213"/>
        <v>0</v>
      </c>
      <c r="AS217" s="14">
        <f t="shared" si="214"/>
        <v>0</v>
      </c>
      <c r="AT217" s="14">
        <f t="shared" si="216"/>
        <v>0</v>
      </c>
      <c r="AU217" s="234"/>
      <c r="AV217" s="234"/>
      <c r="AW217" s="234"/>
      <c r="AX217" s="234"/>
      <c r="AY217" s="234"/>
      <c r="AZ217" s="234"/>
      <c r="BA217" s="234"/>
      <c r="BB217" s="16">
        <f t="shared" si="215"/>
        <v>0</v>
      </c>
      <c r="BD217" s="294">
        <f>'Incremental_Cost Year 1'!AV217+'Incremental_Cost Year 2'!AV217+'Incremental_Cost Year 3'!AV217+'Incremental_Cost Year 4'!AV217+'Incremental_Cost Year 5'!AV217+'Incremental_Cost Year 6'!AV217+'Incremental_Cost Year 7'!AV217+'Incremental_Cost Year 8'!AV217+'Incremental_Cost Year 9'!AV217+'Incremental_Cost Year 10'!AV217</f>
        <v>0</v>
      </c>
      <c r="BE217" s="294">
        <f>'Incremental_Cost Year 1'!AW217+'Incremental_Cost Year 2'!AW217+'Incremental_Cost Year 3'!AW217+'Incremental_Cost Year 4'!AW217+'Incremental_Cost Year 5'!AW217+'Incremental_Cost Year 6'!AW217+'Incremental_Cost Year 7'!AW217+'Incremental_Cost Year 8'!AW217+'Incremental_Cost Year 9'!AW217+'Incremental_Cost Year 10'!AW217</f>
        <v>0</v>
      </c>
      <c r="BF217" s="294">
        <f>'Incremental_Cost Year 1'!AX217+'Incremental_Cost Year 2'!AX217+'Incremental_Cost Year 3'!AX217+'Incremental_Cost Year 4'!AX217+'Incremental_Cost Year 5'!AX217+'Incremental_Cost Year 6'!AX217+'Incremental_Cost Year 7'!AX217+'Incremental_Cost Year 8'!AX217+'Incremental_Cost Year 9'!AX217+'Incremental_Cost Year 10'!AX217</f>
        <v>392000</v>
      </c>
      <c r="BG217" s="294">
        <f>'Incremental_Cost Year 1'!AY217+'Incremental_Cost Year 2'!AZ217+'Incremental_Cost Year 3'!AY217+'Incremental_Cost Year 4'!AY217+'Incremental_Cost Year 5'!AY217+'Incremental_Cost Year 6'!AY217+'Incremental_Cost Year 7'!AY217+'Incremental_Cost Year 8'!AY217+'Incremental_Cost Year 9'!AY217+'Incremental_Cost Year 10'!AY217</f>
        <v>0</v>
      </c>
      <c r="BH217" s="294">
        <f>'Incremental_Cost Year 1'!AZ217+'Incremental_Cost Year 2'!BA217+'Incremental_Cost Year 3'!AZ217+'Incremental_Cost Year 4'!AZ217+'Incremental_Cost Year 5'!AZ217+'Incremental_Cost Year 6'!AZ217+'Incremental_Cost Year 7'!AZ217+'Incremental_Cost Year 8'!AZ217+'Incremental_Cost Year 9'!AZ217+'Incremental_Cost Year 10'!AZ217</f>
        <v>0</v>
      </c>
      <c r="BI217" s="294">
        <f>'Incremental_Cost Year 1'!BA217+'Incremental_Cost Year 2'!BA217+'Incremental_Cost Year 3'!BA217+'Incremental_Cost Year 4'!BA217+'Incremental_Cost Year 5'!BA217+'Incremental_Cost Year 6'!BA217+'Incremental_Cost Year 7'!BA217+'Incremental_Cost Year 8'!BA217+'Incremental_Cost Year 9'!BA217+'Incremental_Cost Year 10'!BA217</f>
        <v>0</v>
      </c>
      <c r="BJ217" s="294">
        <f t="shared" si="202"/>
        <v>392000</v>
      </c>
    </row>
    <row r="218" spans="1:62" ht="55.2" outlineLevel="2">
      <c r="A218" s="98"/>
      <c r="B218" s="102"/>
      <c r="C218" s="23"/>
      <c r="D218" s="269"/>
      <c r="E218" s="271"/>
      <c r="F218" s="250"/>
      <c r="G218" s="255"/>
      <c r="H218" s="272"/>
      <c r="I218" s="258"/>
      <c r="J218" s="259"/>
      <c r="K218" s="259"/>
      <c r="L218" s="106" t="str">
        <f>IF(I218&lt;&gt;0,((VLOOKUP(I218,'1. Standard_Cost'!$B$4:$D$11,2)+VLOOKUP(I218,'1. Standard_Cost'!$B$4:$D$11,3))*J218*K218),"0")</f>
        <v>0</v>
      </c>
      <c r="M218" s="106">
        <f>L218*'1. Standard_Cost'!$F$4</f>
        <v>0</v>
      </c>
      <c r="N218" s="260"/>
      <c r="O218" s="260"/>
      <c r="P218" s="260"/>
      <c r="Q218" s="260"/>
      <c r="R218" s="108">
        <f>'1. Standard_Cost'!$B$15*N218*P218</f>
        <v>0</v>
      </c>
      <c r="S218" s="108">
        <f>N218*O218*P218*'1. Standard_Cost'!$C$15</f>
        <v>0</v>
      </c>
      <c r="T218" s="108">
        <f>N218*P218*Q218*'1. Standard_Cost'!$D$15</f>
        <v>0</v>
      </c>
      <c r="U218" s="108">
        <f>N218*O218*'1. Standard_Cost'!$E$15</f>
        <v>0</v>
      </c>
      <c r="V218" s="260"/>
      <c r="W218" s="260"/>
      <c r="X218" s="260"/>
      <c r="Y218" s="108">
        <f>+V218*((X218*'1. Standard_Cost'!$B$19)+(W218*X218*'1. Standard_Cost'!$C$19))</f>
        <v>0</v>
      </c>
      <c r="Z218" s="260"/>
      <c r="AA218" s="260"/>
      <c r="AB218" s="108">
        <f>+Z218*'1. Standard_Cost'!$B$23+AA218*'1. Standard_Cost'!$C$23</f>
        <v>0</v>
      </c>
      <c r="AC218" s="261"/>
      <c r="AD218" s="262"/>
      <c r="AE218" s="108">
        <f>SUM(AD218,AC218,AB218,Y218,U218,T218,S218,R218)*'1. Standard_Cost'!$B$31</f>
        <v>0</v>
      </c>
      <c r="AF218" s="108">
        <f t="shared" si="211"/>
        <v>0</v>
      </c>
      <c r="AG218" s="260"/>
      <c r="AH218" s="260"/>
      <c r="AI218" s="260"/>
      <c r="AJ218" s="263"/>
      <c r="AK218" s="263"/>
      <c r="AL218" s="263"/>
      <c r="AM218" s="108">
        <f>AG218*'1. Standard_Cost'!$B$27+'Incremental_Cost Year 10'!AH218*'1. Standard_Cost'!$C$27+'Incremental_Cost Year 10'!AI218*'1. Standard_Cost'!$D$27+'Incremental_Cost Year 10'!AJ218+'Incremental_Cost Year 10'!AL218+AK218</f>
        <v>0</v>
      </c>
      <c r="AN218" s="108">
        <f>AM218*'1. Standard_Cost'!$C$31</f>
        <v>0</v>
      </c>
      <c r="AO218" s="125" t="s">
        <v>424</v>
      </c>
      <c r="AQ218" s="14">
        <f t="shared" si="212"/>
        <v>0</v>
      </c>
      <c r="AR218" s="14">
        <f t="shared" si="213"/>
        <v>0</v>
      </c>
      <c r="AS218" s="14">
        <f t="shared" si="214"/>
        <v>0</v>
      </c>
      <c r="AT218" s="14">
        <f t="shared" si="216"/>
        <v>0</v>
      </c>
      <c r="AU218" s="234"/>
      <c r="AV218" s="234"/>
      <c r="AW218" s="234"/>
      <c r="AX218" s="234"/>
      <c r="AY218" s="234"/>
      <c r="AZ218" s="234"/>
      <c r="BA218" s="234"/>
      <c r="BB218" s="16">
        <f t="shared" si="215"/>
        <v>0</v>
      </c>
      <c r="BD218" s="294">
        <f>'Incremental_Cost Year 1'!AV218+'Incremental_Cost Year 2'!AV218+'Incremental_Cost Year 3'!AV218+'Incremental_Cost Year 4'!AV218+'Incremental_Cost Year 5'!AV218+'Incremental_Cost Year 6'!AV218+'Incremental_Cost Year 7'!AV218+'Incremental_Cost Year 8'!AV218+'Incremental_Cost Year 9'!AV218+'Incremental_Cost Year 10'!AV218</f>
        <v>0</v>
      </c>
      <c r="BE218" s="294">
        <f>'Incremental_Cost Year 1'!AW218+'Incremental_Cost Year 2'!AW218+'Incremental_Cost Year 3'!AW218+'Incremental_Cost Year 4'!AW218+'Incremental_Cost Year 5'!AW218+'Incremental_Cost Year 6'!AW218+'Incremental_Cost Year 7'!AW218+'Incremental_Cost Year 8'!AW218+'Incremental_Cost Year 9'!AW218+'Incremental_Cost Year 10'!AW218</f>
        <v>0</v>
      </c>
      <c r="BF218" s="294">
        <f>'Incremental_Cost Year 1'!AX218+'Incremental_Cost Year 2'!AX218+'Incremental_Cost Year 3'!AX218+'Incremental_Cost Year 4'!AX218+'Incremental_Cost Year 5'!AX218+'Incremental_Cost Year 6'!AX218+'Incremental_Cost Year 7'!AX218+'Incremental_Cost Year 8'!AX218+'Incremental_Cost Year 9'!AX218+'Incremental_Cost Year 10'!AX218</f>
        <v>2711200</v>
      </c>
      <c r="BG218" s="294">
        <f>'Incremental_Cost Year 1'!AY218+'Incremental_Cost Year 2'!AZ218+'Incremental_Cost Year 3'!AY218+'Incremental_Cost Year 4'!AY218+'Incremental_Cost Year 5'!AY218+'Incremental_Cost Year 6'!AY218+'Incremental_Cost Year 7'!AY218+'Incremental_Cost Year 8'!AY218+'Incremental_Cost Year 9'!AY218+'Incremental_Cost Year 10'!AY218</f>
        <v>0</v>
      </c>
      <c r="BH218" s="294">
        <f>'Incremental_Cost Year 1'!AZ218+'Incremental_Cost Year 2'!BA218+'Incremental_Cost Year 3'!AZ218+'Incremental_Cost Year 4'!AZ218+'Incremental_Cost Year 5'!AZ218+'Incremental_Cost Year 6'!AZ218+'Incremental_Cost Year 7'!AZ218+'Incremental_Cost Year 8'!AZ218+'Incremental_Cost Year 9'!AZ218+'Incremental_Cost Year 10'!AZ218</f>
        <v>0</v>
      </c>
      <c r="BI218" s="294">
        <f>'Incremental_Cost Year 1'!BA218+'Incremental_Cost Year 2'!BA218+'Incremental_Cost Year 3'!BA218+'Incremental_Cost Year 4'!BA218+'Incremental_Cost Year 5'!BA218+'Incremental_Cost Year 6'!BA218+'Incremental_Cost Year 7'!BA218+'Incremental_Cost Year 8'!BA218+'Incremental_Cost Year 9'!BA218+'Incremental_Cost Year 10'!BA218</f>
        <v>0</v>
      </c>
      <c r="BJ218" s="294">
        <f t="shared" si="202"/>
        <v>2711200</v>
      </c>
    </row>
    <row r="219" spans="1:62" ht="36" customHeight="1" outlineLevel="2">
      <c r="A219" s="98"/>
      <c r="B219" s="102"/>
      <c r="C219" s="23"/>
      <c r="D219" s="251"/>
      <c r="E219" s="251"/>
      <c r="F219" s="251"/>
      <c r="G219" s="250"/>
      <c r="H219" s="272"/>
      <c r="I219" s="258"/>
      <c r="J219" s="259"/>
      <c r="K219" s="259"/>
      <c r="L219" s="106" t="str">
        <f>IF(I219&lt;&gt;0,((VLOOKUP(I219,'1. Standard_Cost'!$B$4:$D$11,2)+VLOOKUP(I219,'1. Standard_Cost'!$B$4:$D$11,3))*J219*K219),"0")</f>
        <v>0</v>
      </c>
      <c r="M219" s="106">
        <f>L219*'1. Standard_Cost'!$F$4</f>
        <v>0</v>
      </c>
      <c r="N219" s="260"/>
      <c r="O219" s="260"/>
      <c r="P219" s="260"/>
      <c r="Q219" s="260"/>
      <c r="R219" s="108">
        <f>'1. Standard_Cost'!$B$15*N219*P219</f>
        <v>0</v>
      </c>
      <c r="S219" s="108">
        <f>N219*O219*P219*'1. Standard_Cost'!$C$15</f>
        <v>0</v>
      </c>
      <c r="T219" s="108">
        <f>N219*P219*Q219*'1. Standard_Cost'!$D$15</f>
        <v>0</v>
      </c>
      <c r="U219" s="108">
        <f>N219*O219*'1. Standard_Cost'!$E$15</f>
        <v>0</v>
      </c>
      <c r="V219" s="260"/>
      <c r="W219" s="260"/>
      <c r="X219" s="260"/>
      <c r="Y219" s="108">
        <f>+V219*((X219*'1. Standard_Cost'!$B$19)+(W219*X219*'1. Standard_Cost'!$C$19))</f>
        <v>0</v>
      </c>
      <c r="Z219" s="260"/>
      <c r="AA219" s="260"/>
      <c r="AB219" s="108">
        <f>+Z219*'1. Standard_Cost'!$B$23+AA219*'1. Standard_Cost'!$C$23</f>
        <v>0</v>
      </c>
      <c r="AC219" s="261"/>
      <c r="AD219" s="262"/>
      <c r="AE219" s="108">
        <f>SUM(AD219,AC219,AB219,Y219,U219,T219,S219,R219)*'1. Standard_Cost'!$B$31</f>
        <v>0</v>
      </c>
      <c r="AF219" s="108">
        <f t="shared" si="211"/>
        <v>0</v>
      </c>
      <c r="AG219" s="260"/>
      <c r="AH219" s="260"/>
      <c r="AI219" s="260"/>
      <c r="AJ219" s="263"/>
      <c r="AK219" s="263"/>
      <c r="AL219" s="263"/>
      <c r="AM219" s="108">
        <f>AG219*'1. Standard_Cost'!$B$27+'Incremental_Cost Year 10'!AH219*'1. Standard_Cost'!$C$27+'Incremental_Cost Year 10'!AI219*'1. Standard_Cost'!$D$27+'Incremental_Cost Year 10'!AJ219+'Incremental_Cost Year 10'!AL219+AK219</f>
        <v>0</v>
      </c>
      <c r="AN219" s="108">
        <f>AM219*'1. Standard_Cost'!$C$31</f>
        <v>0</v>
      </c>
      <c r="AO219" s="125" t="s">
        <v>425</v>
      </c>
      <c r="AQ219" s="14">
        <f t="shared" si="212"/>
        <v>0</v>
      </c>
      <c r="AR219" s="14">
        <f t="shared" si="213"/>
        <v>0</v>
      </c>
      <c r="AS219" s="14">
        <f t="shared" si="214"/>
        <v>0</v>
      </c>
      <c r="AT219" s="14">
        <f t="shared" si="216"/>
        <v>0</v>
      </c>
      <c r="AU219" s="234"/>
      <c r="AV219" s="234"/>
      <c r="AW219" s="234"/>
      <c r="AX219" s="234"/>
      <c r="AY219" s="234"/>
      <c r="AZ219" s="234"/>
      <c r="BA219" s="234"/>
      <c r="BB219" s="16">
        <f t="shared" si="215"/>
        <v>0</v>
      </c>
      <c r="BD219" s="294">
        <f>'Incremental_Cost Year 1'!AV219+'Incremental_Cost Year 2'!AV219+'Incremental_Cost Year 3'!AV219+'Incremental_Cost Year 4'!AV219+'Incremental_Cost Year 5'!AV219+'Incremental_Cost Year 6'!AV219+'Incremental_Cost Year 7'!AV219+'Incremental_Cost Year 8'!AV219+'Incremental_Cost Year 9'!AV219+'Incremental_Cost Year 10'!AV219</f>
        <v>0</v>
      </c>
      <c r="BE219" s="294">
        <f>'Incremental_Cost Year 1'!AW219+'Incremental_Cost Year 2'!AW219+'Incremental_Cost Year 3'!AW219+'Incremental_Cost Year 4'!AW219+'Incremental_Cost Year 5'!AW219+'Incremental_Cost Year 6'!AW219+'Incremental_Cost Year 7'!AW219+'Incremental_Cost Year 8'!AW219+'Incremental_Cost Year 9'!AW219+'Incremental_Cost Year 10'!AW219</f>
        <v>0</v>
      </c>
      <c r="BF219" s="294">
        <f>'Incremental_Cost Year 1'!AX219+'Incremental_Cost Year 2'!AX219+'Incremental_Cost Year 3'!AX219+'Incremental_Cost Year 4'!AX219+'Incremental_Cost Year 5'!AX219+'Incremental_Cost Year 6'!AX219+'Incremental_Cost Year 7'!AX219+'Incremental_Cost Year 8'!AX219+'Incremental_Cost Year 9'!AX219+'Incremental_Cost Year 10'!AX219</f>
        <v>0</v>
      </c>
      <c r="BG219" s="294">
        <f>'Incremental_Cost Year 1'!AY219+'Incremental_Cost Year 2'!AZ219+'Incremental_Cost Year 3'!AY219+'Incremental_Cost Year 4'!AY219+'Incremental_Cost Year 5'!AY219+'Incremental_Cost Year 6'!AY219+'Incremental_Cost Year 7'!AY219+'Incremental_Cost Year 8'!AY219+'Incremental_Cost Year 9'!AY219+'Incremental_Cost Year 10'!AY219</f>
        <v>0</v>
      </c>
      <c r="BH219" s="294">
        <f>'Incremental_Cost Year 1'!AZ219+'Incremental_Cost Year 2'!BA219+'Incremental_Cost Year 3'!AZ219+'Incremental_Cost Year 4'!AZ219+'Incremental_Cost Year 5'!AZ219+'Incremental_Cost Year 6'!AZ219+'Incremental_Cost Year 7'!AZ219+'Incremental_Cost Year 8'!AZ219+'Incremental_Cost Year 9'!AZ219+'Incremental_Cost Year 10'!AZ219</f>
        <v>0</v>
      </c>
      <c r="BI219" s="294">
        <f>'Incremental_Cost Year 1'!BA219+'Incremental_Cost Year 2'!BA219+'Incremental_Cost Year 3'!BA219+'Incremental_Cost Year 4'!BA219+'Incremental_Cost Year 5'!BA219+'Incremental_Cost Year 6'!BA219+'Incremental_Cost Year 7'!BA219+'Incremental_Cost Year 8'!BA219+'Incremental_Cost Year 9'!BA219+'Incremental_Cost Year 10'!BA219</f>
        <v>0</v>
      </c>
      <c r="BJ219" s="294">
        <f t="shared" si="202"/>
        <v>0</v>
      </c>
    </row>
    <row r="220" spans="1:62" ht="32.25" customHeight="1" outlineLevel="2">
      <c r="A220" s="98"/>
      <c r="B220" s="102"/>
      <c r="C220" s="23"/>
      <c r="D220" s="251"/>
      <c r="E220" s="251"/>
      <c r="F220" s="251"/>
      <c r="G220" s="250"/>
      <c r="H220" s="272"/>
      <c r="I220" s="258"/>
      <c r="J220" s="259"/>
      <c r="K220" s="259"/>
      <c r="L220" s="106" t="str">
        <f>IF(I220&lt;&gt;0,((VLOOKUP(I220,'1. Standard_Cost'!$B$4:$D$11,2)+VLOOKUP(I220,'1. Standard_Cost'!$B$4:$D$11,3))*J220*K220),"0")</f>
        <v>0</v>
      </c>
      <c r="M220" s="106">
        <f>L220*'1. Standard_Cost'!$F$4</f>
        <v>0</v>
      </c>
      <c r="N220" s="260"/>
      <c r="O220" s="260"/>
      <c r="P220" s="260"/>
      <c r="Q220" s="260"/>
      <c r="R220" s="108">
        <f>'1. Standard_Cost'!$B$15*N220*P220</f>
        <v>0</v>
      </c>
      <c r="S220" s="108">
        <f>N220*O220*P220*'1. Standard_Cost'!$C$15</f>
        <v>0</v>
      </c>
      <c r="T220" s="108">
        <f>N220*P220*Q220*'1. Standard_Cost'!$D$15</f>
        <v>0</v>
      </c>
      <c r="U220" s="108">
        <f>N220*O220*'1. Standard_Cost'!$E$15</f>
        <v>0</v>
      </c>
      <c r="V220" s="260"/>
      <c r="W220" s="260"/>
      <c r="X220" s="260"/>
      <c r="Y220" s="108">
        <f>+V220*((X220*'1. Standard_Cost'!$B$19)+(W220*X220*'1. Standard_Cost'!$C$19))</f>
        <v>0</v>
      </c>
      <c r="Z220" s="260"/>
      <c r="AA220" s="260"/>
      <c r="AB220" s="108">
        <f>+Z220*'1. Standard_Cost'!$B$23+AA220*'1. Standard_Cost'!$C$23</f>
        <v>0</v>
      </c>
      <c r="AC220" s="261"/>
      <c r="AD220" s="262"/>
      <c r="AE220" s="108">
        <f>SUM(AD220,AC220,AB220,Y220,U220,T220,S220,R220)*'1. Standard_Cost'!$B$31</f>
        <v>0</v>
      </c>
      <c r="AF220" s="108">
        <f t="shared" si="211"/>
        <v>0</v>
      </c>
      <c r="AG220" s="260"/>
      <c r="AH220" s="260"/>
      <c r="AI220" s="260"/>
      <c r="AJ220" s="263"/>
      <c r="AK220" s="263"/>
      <c r="AL220" s="263"/>
      <c r="AM220" s="108">
        <f>AG220*'1. Standard_Cost'!$B$27+'Incremental_Cost Year 10'!AH220*'1. Standard_Cost'!$C$27+'Incremental_Cost Year 10'!AI220*'1. Standard_Cost'!$D$27+'Incremental_Cost Year 10'!AJ220+'Incremental_Cost Year 10'!AL220+AK220</f>
        <v>0</v>
      </c>
      <c r="AN220" s="108">
        <f>AM220*'1. Standard_Cost'!$C$31</f>
        <v>0</v>
      </c>
      <c r="AO220" s="125" t="s">
        <v>426</v>
      </c>
      <c r="AQ220" s="14">
        <f t="shared" si="212"/>
        <v>0</v>
      </c>
      <c r="AR220" s="14">
        <f t="shared" si="213"/>
        <v>0</v>
      </c>
      <c r="AS220" s="14">
        <f t="shared" si="214"/>
        <v>0</v>
      </c>
      <c r="AT220" s="14">
        <f t="shared" si="216"/>
        <v>0</v>
      </c>
      <c r="AU220" s="234"/>
      <c r="AV220" s="234"/>
      <c r="AW220" s="234"/>
      <c r="AX220" s="234"/>
      <c r="AY220" s="234"/>
      <c r="AZ220" s="234"/>
      <c r="BA220" s="234"/>
      <c r="BB220" s="16">
        <f t="shared" si="215"/>
        <v>0</v>
      </c>
      <c r="BD220" s="294">
        <f>'Incremental_Cost Year 1'!AV220+'Incremental_Cost Year 2'!AV220+'Incremental_Cost Year 3'!AV220+'Incremental_Cost Year 4'!AV220+'Incremental_Cost Year 5'!AV220+'Incremental_Cost Year 6'!AV220+'Incremental_Cost Year 7'!AV220+'Incremental_Cost Year 8'!AV220+'Incremental_Cost Year 9'!AV220+'Incremental_Cost Year 10'!AV220</f>
        <v>0</v>
      </c>
      <c r="BE220" s="294">
        <f>'Incremental_Cost Year 1'!AW220+'Incremental_Cost Year 2'!AW220+'Incremental_Cost Year 3'!AW220+'Incremental_Cost Year 4'!AW220+'Incremental_Cost Year 5'!AW220+'Incremental_Cost Year 6'!AW220+'Incremental_Cost Year 7'!AW220+'Incremental_Cost Year 8'!AW220+'Incremental_Cost Year 9'!AW220+'Incremental_Cost Year 10'!AW220</f>
        <v>0</v>
      </c>
      <c r="BF220" s="294">
        <f>'Incremental_Cost Year 1'!AX220+'Incremental_Cost Year 2'!AX220+'Incremental_Cost Year 3'!AX220+'Incremental_Cost Year 4'!AX220+'Incremental_Cost Year 5'!AX220+'Incremental_Cost Year 6'!AX220+'Incremental_Cost Year 7'!AX220+'Incremental_Cost Year 8'!AX220+'Incremental_Cost Year 9'!AX220+'Incremental_Cost Year 10'!AX220</f>
        <v>0</v>
      </c>
      <c r="BG220" s="294">
        <f>'Incremental_Cost Year 1'!AY220+'Incremental_Cost Year 2'!AZ220+'Incremental_Cost Year 3'!AY220+'Incremental_Cost Year 4'!AY220+'Incremental_Cost Year 5'!AY220+'Incremental_Cost Year 6'!AY220+'Incremental_Cost Year 7'!AY220+'Incremental_Cost Year 8'!AY220+'Incremental_Cost Year 9'!AY220+'Incremental_Cost Year 10'!AY220</f>
        <v>0</v>
      </c>
      <c r="BH220" s="294">
        <f>'Incremental_Cost Year 1'!AZ220+'Incremental_Cost Year 2'!BA220+'Incremental_Cost Year 3'!AZ220+'Incremental_Cost Year 4'!AZ220+'Incremental_Cost Year 5'!AZ220+'Incremental_Cost Year 6'!AZ220+'Incremental_Cost Year 7'!AZ220+'Incremental_Cost Year 8'!AZ220+'Incremental_Cost Year 9'!AZ220+'Incremental_Cost Year 10'!AZ220</f>
        <v>0</v>
      </c>
      <c r="BI220" s="294">
        <f>'Incremental_Cost Year 1'!BA220+'Incremental_Cost Year 2'!BA220+'Incremental_Cost Year 3'!BA220+'Incremental_Cost Year 4'!BA220+'Incremental_Cost Year 5'!BA220+'Incremental_Cost Year 6'!BA220+'Incremental_Cost Year 7'!BA220+'Incremental_Cost Year 8'!BA220+'Incremental_Cost Year 9'!BA220+'Incremental_Cost Year 10'!BA220</f>
        <v>0</v>
      </c>
      <c r="BJ220" s="294">
        <f t="shared" si="202"/>
        <v>0</v>
      </c>
    </row>
    <row r="221" spans="1:62" ht="45" customHeight="1" outlineLevel="2">
      <c r="A221" s="98"/>
      <c r="B221" s="102"/>
      <c r="C221" s="23"/>
      <c r="D221" s="251"/>
      <c r="E221" s="251"/>
      <c r="F221" s="251"/>
      <c r="G221" s="250"/>
      <c r="H221" s="272"/>
      <c r="I221" s="258"/>
      <c r="J221" s="259"/>
      <c r="K221" s="259"/>
      <c r="L221" s="106" t="str">
        <f>IF(I221&lt;&gt;0,((VLOOKUP(I221,'1. Standard_Cost'!$B$4:$D$11,2)+VLOOKUP(I221,'1. Standard_Cost'!$B$4:$D$11,3))*J221*K221),"0")</f>
        <v>0</v>
      </c>
      <c r="M221" s="106">
        <f>L221*'1. Standard_Cost'!$F$4</f>
        <v>0</v>
      </c>
      <c r="N221" s="260"/>
      <c r="O221" s="260"/>
      <c r="P221" s="260"/>
      <c r="Q221" s="260"/>
      <c r="R221" s="108">
        <f>'1. Standard_Cost'!$B$15*N221*P221</f>
        <v>0</v>
      </c>
      <c r="S221" s="108">
        <f>N221*O221*P221*'1. Standard_Cost'!$C$15</f>
        <v>0</v>
      </c>
      <c r="T221" s="108">
        <f>N221*P221*Q221*'1. Standard_Cost'!$D$15</f>
        <v>0</v>
      </c>
      <c r="U221" s="108">
        <f>N221*O221*'1. Standard_Cost'!$E$15</f>
        <v>0</v>
      </c>
      <c r="V221" s="260"/>
      <c r="W221" s="260"/>
      <c r="X221" s="260"/>
      <c r="Y221" s="108">
        <f>+V221*((X221*'1. Standard_Cost'!$B$19)+(W221*X221*'1. Standard_Cost'!$C$19))</f>
        <v>0</v>
      </c>
      <c r="Z221" s="260"/>
      <c r="AA221" s="260"/>
      <c r="AB221" s="108">
        <f>+Z221*'1. Standard_Cost'!$B$23+AA221*'1. Standard_Cost'!$C$23</f>
        <v>0</v>
      </c>
      <c r="AC221" s="261"/>
      <c r="AD221" s="262"/>
      <c r="AE221" s="108">
        <f>SUM(AD221,AC221,AB221,Y221,U221,T221,S221,R221)*'1. Standard_Cost'!$B$31</f>
        <v>0</v>
      </c>
      <c r="AF221" s="108">
        <f t="shared" si="211"/>
        <v>0</v>
      </c>
      <c r="AG221" s="260"/>
      <c r="AH221" s="260"/>
      <c r="AI221" s="260"/>
      <c r="AJ221" s="263"/>
      <c r="AK221" s="263"/>
      <c r="AL221" s="263"/>
      <c r="AM221" s="108">
        <f>AG221*'1. Standard_Cost'!$B$27+'Incremental_Cost Year 10'!AH221*'1. Standard_Cost'!$C$27+'Incremental_Cost Year 10'!AI221*'1. Standard_Cost'!$D$27+'Incremental_Cost Year 10'!AJ221+'Incremental_Cost Year 10'!AL221+AK221</f>
        <v>0</v>
      </c>
      <c r="AN221" s="108">
        <f>AM221*'1. Standard_Cost'!$C$31</f>
        <v>0</v>
      </c>
      <c r="AO221" s="125" t="s">
        <v>427</v>
      </c>
      <c r="AQ221" s="14">
        <f t="shared" si="212"/>
        <v>0</v>
      </c>
      <c r="AR221" s="14">
        <f t="shared" si="213"/>
        <v>0</v>
      </c>
      <c r="AS221" s="14">
        <f t="shared" si="214"/>
        <v>0</v>
      </c>
      <c r="AT221" s="14">
        <f t="shared" si="216"/>
        <v>0</v>
      </c>
      <c r="AU221" s="234"/>
      <c r="AV221" s="234"/>
      <c r="AW221" s="234"/>
      <c r="AX221" s="234"/>
      <c r="AY221" s="234"/>
      <c r="AZ221" s="234"/>
      <c r="BA221" s="234"/>
      <c r="BB221" s="16">
        <f t="shared" si="215"/>
        <v>0</v>
      </c>
      <c r="BD221" s="294">
        <f>'Incremental_Cost Year 1'!AV221+'Incremental_Cost Year 2'!AV221+'Incremental_Cost Year 3'!AV221+'Incremental_Cost Year 4'!AV221+'Incremental_Cost Year 5'!AV221+'Incremental_Cost Year 6'!AV221+'Incremental_Cost Year 7'!AV221+'Incremental_Cost Year 8'!AV221+'Incremental_Cost Year 9'!AV221+'Incremental_Cost Year 10'!AV221</f>
        <v>0</v>
      </c>
      <c r="BE221" s="294">
        <f>'Incremental_Cost Year 1'!AW221+'Incremental_Cost Year 2'!AW221+'Incremental_Cost Year 3'!AW221+'Incremental_Cost Year 4'!AW221+'Incremental_Cost Year 5'!AW221+'Incremental_Cost Year 6'!AW221+'Incremental_Cost Year 7'!AW221+'Incremental_Cost Year 8'!AW221+'Incremental_Cost Year 9'!AW221+'Incremental_Cost Year 10'!AW221</f>
        <v>0</v>
      </c>
      <c r="BF221" s="294">
        <f>'Incremental_Cost Year 1'!AX221+'Incremental_Cost Year 2'!AX221+'Incremental_Cost Year 3'!AX221+'Incremental_Cost Year 4'!AX221+'Incremental_Cost Year 5'!AX221+'Incremental_Cost Year 6'!AX221+'Incremental_Cost Year 7'!AX221+'Incremental_Cost Year 8'!AX221+'Incremental_Cost Year 9'!AX221+'Incremental_Cost Year 10'!AX221</f>
        <v>0</v>
      </c>
      <c r="BG221" s="294">
        <f>'Incremental_Cost Year 1'!AY221+'Incremental_Cost Year 2'!AZ221+'Incremental_Cost Year 3'!AY221+'Incremental_Cost Year 4'!AY221+'Incremental_Cost Year 5'!AY221+'Incremental_Cost Year 6'!AY221+'Incremental_Cost Year 7'!AY221+'Incremental_Cost Year 8'!AY221+'Incremental_Cost Year 9'!AY221+'Incremental_Cost Year 10'!AY221</f>
        <v>0</v>
      </c>
      <c r="BH221" s="294">
        <f>'Incremental_Cost Year 1'!AZ221+'Incremental_Cost Year 2'!BA221+'Incremental_Cost Year 3'!AZ221+'Incremental_Cost Year 4'!AZ221+'Incremental_Cost Year 5'!AZ221+'Incremental_Cost Year 6'!AZ221+'Incremental_Cost Year 7'!AZ221+'Incremental_Cost Year 8'!AZ221+'Incremental_Cost Year 9'!AZ221+'Incremental_Cost Year 10'!AZ221</f>
        <v>0</v>
      </c>
      <c r="BI221" s="294">
        <f>'Incremental_Cost Year 1'!BA221+'Incremental_Cost Year 2'!BA221+'Incremental_Cost Year 3'!BA221+'Incremental_Cost Year 4'!BA221+'Incremental_Cost Year 5'!BA221+'Incremental_Cost Year 6'!BA221+'Incremental_Cost Year 7'!BA221+'Incremental_Cost Year 8'!BA221+'Incremental_Cost Year 9'!BA221+'Incremental_Cost Year 10'!BA221</f>
        <v>0</v>
      </c>
      <c r="BJ221" s="294">
        <f t="shared" si="202"/>
        <v>0</v>
      </c>
    </row>
    <row r="222" spans="1:62" ht="27.6" outlineLevel="1">
      <c r="A222" s="98"/>
      <c r="B222" s="102"/>
      <c r="C222" s="23"/>
      <c r="D222" s="56" t="s">
        <v>47</v>
      </c>
      <c r="E222" s="56" t="s">
        <v>247</v>
      </c>
      <c r="F222" s="253">
        <v>2021</v>
      </c>
      <c r="G222" s="254">
        <v>2026</v>
      </c>
      <c r="H222" s="279" t="s">
        <v>248</v>
      </c>
      <c r="I222" s="264"/>
      <c r="J222" s="264"/>
      <c r="K222" s="264"/>
      <c r="L222" s="113">
        <f>SUM(L203:L221)</f>
        <v>0</v>
      </c>
      <c r="M222" s="113">
        <f>SUM(M203:M221)</f>
        <v>0</v>
      </c>
      <c r="N222" s="264"/>
      <c r="O222" s="264"/>
      <c r="P222" s="264"/>
      <c r="Q222" s="264"/>
      <c r="R222" s="113">
        <f>SUM(R203:R221)</f>
        <v>0</v>
      </c>
      <c r="S222" s="113">
        <f>SUM(S203:S221)</f>
        <v>0</v>
      </c>
      <c r="T222" s="113">
        <f>SUM(T203:T221)</f>
        <v>0</v>
      </c>
      <c r="U222" s="113">
        <f>SUM(U203:U221)</f>
        <v>0</v>
      </c>
      <c r="V222" s="264"/>
      <c r="W222" s="264"/>
      <c r="X222" s="264"/>
      <c r="Y222" s="113">
        <f>SUM(Y203:Y221)</f>
        <v>0</v>
      </c>
      <c r="Z222" s="265"/>
      <c r="AA222" s="264"/>
      <c r="AB222" s="113">
        <f>SUM(AB203:AB221)</f>
        <v>0</v>
      </c>
      <c r="AC222" s="265">
        <f>SUM(AC203:AC221)</f>
        <v>0</v>
      </c>
      <c r="AD222" s="265">
        <f>SUM(AD203:AD221)</f>
        <v>0</v>
      </c>
      <c r="AE222" s="113">
        <f>SUM(AE203:AE221)</f>
        <v>0</v>
      </c>
      <c r="AF222" s="113">
        <f>SUM(AF203:AF221)</f>
        <v>0</v>
      </c>
      <c r="AG222" s="264"/>
      <c r="AH222" s="264"/>
      <c r="AI222" s="264"/>
      <c r="AJ222" s="265">
        <f>SUM(AJ203:AJ221)</f>
        <v>0</v>
      </c>
      <c r="AK222" s="265">
        <f>SUM(AK203:AK221)</f>
        <v>0</v>
      </c>
      <c r="AL222" s="265">
        <f>SUM(AL203:AL221)</f>
        <v>0</v>
      </c>
      <c r="AM222" s="113">
        <f>SUM(AM203:AM221)</f>
        <v>0</v>
      </c>
      <c r="AN222" s="113">
        <f>SUM(AN203:AN221)</f>
        <v>0</v>
      </c>
      <c r="AO222" s="131"/>
      <c r="AP222" s="17"/>
      <c r="AQ222" s="113">
        <f t="shared" ref="AQ222:BB222" si="217">SUM(AQ203:AQ221)</f>
        <v>0</v>
      </c>
      <c r="AR222" s="113">
        <f t="shared" si="217"/>
        <v>0</v>
      </c>
      <c r="AS222" s="113">
        <f t="shared" si="217"/>
        <v>0</v>
      </c>
      <c r="AT222" s="113">
        <f t="shared" si="217"/>
        <v>0</v>
      </c>
      <c r="AU222" s="265">
        <f t="shared" si="217"/>
        <v>0</v>
      </c>
      <c r="AV222" s="265">
        <f t="shared" si="217"/>
        <v>0</v>
      </c>
      <c r="AW222" s="265">
        <f t="shared" si="217"/>
        <v>0</v>
      </c>
      <c r="AX222" s="265">
        <f t="shared" si="217"/>
        <v>0</v>
      </c>
      <c r="AY222" s="265">
        <f t="shared" si="217"/>
        <v>0</v>
      </c>
      <c r="AZ222" s="265">
        <f t="shared" si="217"/>
        <v>0</v>
      </c>
      <c r="BA222" s="265">
        <f t="shared" si="217"/>
        <v>0</v>
      </c>
      <c r="BB222" s="113">
        <f t="shared" si="217"/>
        <v>0</v>
      </c>
      <c r="BD222" s="294"/>
      <c r="BE222" s="294"/>
      <c r="BF222" s="294"/>
      <c r="BG222" s="294"/>
      <c r="BH222" s="294"/>
      <c r="BI222" s="294"/>
      <c r="BJ222" s="294"/>
    </row>
    <row r="223" spans="1:62" s="13" customFormat="1" ht="13.8" customHeight="1">
      <c r="A223" s="101"/>
      <c r="B223" s="316" t="s">
        <v>253</v>
      </c>
      <c r="C223" s="317"/>
      <c r="D223" s="317"/>
      <c r="E223" s="318"/>
      <c r="F223" s="241"/>
      <c r="G223" s="241"/>
      <c r="H223" s="241" t="s">
        <v>252</v>
      </c>
      <c r="I223" s="242"/>
      <c r="J223" s="242"/>
      <c r="K223" s="242"/>
      <c r="L223" s="41">
        <f>SUM(L224)</f>
        <v>0</v>
      </c>
      <c r="M223" s="41">
        <f>SUM(M224)</f>
        <v>0</v>
      </c>
      <c r="N223" s="242"/>
      <c r="O223" s="242"/>
      <c r="P223" s="242"/>
      <c r="Q223" s="242"/>
      <c r="R223" s="41">
        <f t="shared" ref="R223:U223" si="218">SUM(R224)</f>
        <v>0</v>
      </c>
      <c r="S223" s="41">
        <f t="shared" si="218"/>
        <v>0</v>
      </c>
      <c r="T223" s="41">
        <f t="shared" si="218"/>
        <v>0</v>
      </c>
      <c r="U223" s="41">
        <f t="shared" si="218"/>
        <v>0</v>
      </c>
      <c r="V223" s="242"/>
      <c r="W223" s="242"/>
      <c r="X223" s="242"/>
      <c r="Y223" s="41">
        <f t="shared" ref="Y223" si="219">SUM(Y224)</f>
        <v>0</v>
      </c>
      <c r="Z223" s="243">
        <f t="shared" ref="Z223" si="220">SUM(Z224)</f>
        <v>0</v>
      </c>
      <c r="AA223" s="242"/>
      <c r="AB223" s="41">
        <f t="shared" ref="AB223:AF223" si="221">SUM(AB224)</f>
        <v>0</v>
      </c>
      <c r="AC223" s="243">
        <f t="shared" ref="AC223:AD223" si="222">SUM(AC224)</f>
        <v>0</v>
      </c>
      <c r="AD223" s="243">
        <f t="shared" si="222"/>
        <v>0</v>
      </c>
      <c r="AE223" s="41">
        <f t="shared" si="221"/>
        <v>0</v>
      </c>
      <c r="AF223" s="41">
        <f t="shared" si="221"/>
        <v>0</v>
      </c>
      <c r="AG223" s="242"/>
      <c r="AH223" s="242"/>
      <c r="AI223" s="242"/>
      <c r="AJ223" s="243">
        <f t="shared" ref="AJ223:AL223" si="223">SUM(AJ224)</f>
        <v>0</v>
      </c>
      <c r="AK223" s="243">
        <f t="shared" si="223"/>
        <v>0</v>
      </c>
      <c r="AL223" s="243">
        <f t="shared" si="223"/>
        <v>0</v>
      </c>
      <c r="AM223" s="41">
        <f t="shared" ref="AM223:AN223" si="224">SUM(AM224)</f>
        <v>0</v>
      </c>
      <c r="AN223" s="41">
        <f t="shared" si="224"/>
        <v>0</v>
      </c>
      <c r="AO223" s="129"/>
      <c r="AQ223" s="41">
        <f t="shared" ref="AQ223:BB223" si="225">SUM(AQ224)</f>
        <v>0</v>
      </c>
      <c r="AR223" s="41">
        <f t="shared" si="225"/>
        <v>0</v>
      </c>
      <c r="AS223" s="41">
        <f t="shared" si="225"/>
        <v>0</v>
      </c>
      <c r="AT223" s="41">
        <f t="shared" si="225"/>
        <v>0</v>
      </c>
      <c r="AU223" s="243">
        <f t="shared" ref="AU223:BA223" si="226">SUM(AU224)</f>
        <v>0</v>
      </c>
      <c r="AV223" s="243">
        <f t="shared" si="226"/>
        <v>0</v>
      </c>
      <c r="AW223" s="243">
        <f t="shared" si="226"/>
        <v>0</v>
      </c>
      <c r="AX223" s="243">
        <f t="shared" si="226"/>
        <v>0</v>
      </c>
      <c r="AY223" s="243">
        <f t="shared" si="226"/>
        <v>0</v>
      </c>
      <c r="AZ223" s="243">
        <f t="shared" si="226"/>
        <v>0</v>
      </c>
      <c r="BA223" s="243">
        <f t="shared" si="226"/>
        <v>0</v>
      </c>
      <c r="BB223" s="41">
        <f t="shared" si="225"/>
        <v>0</v>
      </c>
      <c r="BD223" s="294"/>
      <c r="BE223" s="294"/>
      <c r="BF223" s="294"/>
      <c r="BG223" s="294"/>
      <c r="BH223" s="294"/>
      <c r="BI223" s="294"/>
      <c r="BJ223" s="294"/>
    </row>
    <row r="224" spans="1:62" s="24" customFormat="1" ht="13.8" customHeight="1">
      <c r="A224" s="114"/>
      <c r="B224" s="115"/>
      <c r="C224" s="314" t="s">
        <v>254</v>
      </c>
      <c r="D224" s="314"/>
      <c r="E224" s="315"/>
      <c r="F224" s="246"/>
      <c r="G224" s="246"/>
      <c r="H224" s="278" t="s">
        <v>255</v>
      </c>
      <c r="I224" s="266"/>
      <c r="J224" s="266"/>
      <c r="K224" s="266"/>
      <c r="L224" s="117">
        <f>SUM(L232,L236,L242)</f>
        <v>0</v>
      </c>
      <c r="M224" s="117">
        <f>SUM(M232,M236,M242)</f>
        <v>0</v>
      </c>
      <c r="N224" s="266"/>
      <c r="O224" s="266"/>
      <c r="P224" s="266"/>
      <c r="Q224" s="266"/>
      <c r="R224" s="117">
        <f t="shared" ref="R224:U224" si="227">SUM(R232,R236,R242)</f>
        <v>0</v>
      </c>
      <c r="S224" s="117">
        <f t="shared" si="227"/>
        <v>0</v>
      </c>
      <c r="T224" s="117">
        <f t="shared" si="227"/>
        <v>0</v>
      </c>
      <c r="U224" s="117">
        <f t="shared" si="227"/>
        <v>0</v>
      </c>
      <c r="V224" s="266"/>
      <c r="W224" s="266"/>
      <c r="X224" s="266"/>
      <c r="Y224" s="117">
        <f>SUM(Y232,Y236,Y242)</f>
        <v>0</v>
      </c>
      <c r="Z224" s="266"/>
      <c r="AA224" s="266"/>
      <c r="AB224" s="117">
        <f t="shared" ref="AB224:AF224" si="228">SUM(AB232,AB236,AB242)</f>
        <v>0</v>
      </c>
      <c r="AC224" s="267">
        <f t="shared" si="228"/>
        <v>0</v>
      </c>
      <c r="AD224" s="267">
        <f t="shared" si="228"/>
        <v>0</v>
      </c>
      <c r="AE224" s="117">
        <f t="shared" si="228"/>
        <v>0</v>
      </c>
      <c r="AF224" s="117">
        <f t="shared" si="228"/>
        <v>0</v>
      </c>
      <c r="AG224" s="266"/>
      <c r="AH224" s="266"/>
      <c r="AI224" s="266"/>
      <c r="AJ224" s="267">
        <f t="shared" ref="AJ224:AL224" si="229">SUM(AJ232,AJ236,AJ242)</f>
        <v>0</v>
      </c>
      <c r="AK224" s="267">
        <f t="shared" si="229"/>
        <v>0</v>
      </c>
      <c r="AL224" s="267">
        <f t="shared" si="229"/>
        <v>0</v>
      </c>
      <c r="AM224" s="117">
        <f t="shared" ref="AM224:AN224" si="230">SUM(AM232,AM236,AM242)</f>
        <v>0</v>
      </c>
      <c r="AN224" s="117">
        <f t="shared" si="230"/>
        <v>0</v>
      </c>
      <c r="AO224" s="132"/>
      <c r="AP224" s="25"/>
      <c r="AQ224" s="117">
        <f t="shared" ref="AQ224:BB224" si="231">SUM(AQ232,AQ236,AQ242)</f>
        <v>0</v>
      </c>
      <c r="AR224" s="117">
        <f t="shared" si="231"/>
        <v>0</v>
      </c>
      <c r="AS224" s="117">
        <f t="shared" si="231"/>
        <v>0</v>
      </c>
      <c r="AT224" s="117">
        <f t="shared" si="231"/>
        <v>0</v>
      </c>
      <c r="AU224" s="267">
        <f t="shared" si="231"/>
        <v>0</v>
      </c>
      <c r="AV224" s="267">
        <f t="shared" si="231"/>
        <v>0</v>
      </c>
      <c r="AW224" s="267">
        <f t="shared" si="231"/>
        <v>0</v>
      </c>
      <c r="AX224" s="267">
        <f t="shared" si="231"/>
        <v>0</v>
      </c>
      <c r="AY224" s="267">
        <f t="shared" si="231"/>
        <v>0</v>
      </c>
      <c r="AZ224" s="267">
        <f t="shared" si="231"/>
        <v>0</v>
      </c>
      <c r="BA224" s="267">
        <f t="shared" si="231"/>
        <v>0</v>
      </c>
      <c r="BB224" s="117">
        <f t="shared" si="231"/>
        <v>0</v>
      </c>
      <c r="BD224" s="294"/>
      <c r="BE224" s="294"/>
      <c r="BF224" s="294"/>
      <c r="BG224" s="294"/>
      <c r="BH224" s="294"/>
      <c r="BI224" s="294"/>
      <c r="BJ224" s="294"/>
    </row>
    <row r="225" spans="1:62" ht="15.6" outlineLevel="2">
      <c r="A225" s="98"/>
      <c r="B225" s="102"/>
      <c r="C225" s="23"/>
      <c r="D225" s="257"/>
      <c r="E225" s="257"/>
      <c r="F225" s="257"/>
      <c r="G225" s="257"/>
      <c r="H225" s="272"/>
      <c r="I225" s="258"/>
      <c r="J225" s="259"/>
      <c r="K225" s="259"/>
      <c r="L225" s="106" t="str">
        <f>IF(I225&lt;&gt;0,((VLOOKUP(I225,'1. Standard_Cost'!$B$4:$D$11,2)+VLOOKUP(I225,'1. Standard_Cost'!$B$4:$D$11,3))*J225*K225),"0")</f>
        <v>0</v>
      </c>
      <c r="M225" s="106">
        <f>L225*'1. Standard_Cost'!$F$4</f>
        <v>0</v>
      </c>
      <c r="N225" s="260"/>
      <c r="O225" s="260"/>
      <c r="P225" s="260"/>
      <c r="Q225" s="260"/>
      <c r="R225" s="108">
        <f>'1. Standard_Cost'!$B$15*N225*P225</f>
        <v>0</v>
      </c>
      <c r="S225" s="108">
        <f>N225*O225*P225*'1. Standard_Cost'!$C$15</f>
        <v>0</v>
      </c>
      <c r="T225" s="108">
        <f>N225*P225*Q225*'1. Standard_Cost'!$D$15</f>
        <v>0</v>
      </c>
      <c r="U225" s="108">
        <f>N225*O225*'1. Standard_Cost'!$E$15</f>
        <v>0</v>
      </c>
      <c r="V225" s="260"/>
      <c r="W225" s="260"/>
      <c r="X225" s="260"/>
      <c r="Y225" s="108">
        <f>+V225*((X225*'1. Standard_Cost'!$B$19)+(W225*X225*'1. Standard_Cost'!$C$19))</f>
        <v>0</v>
      </c>
      <c r="Z225" s="260"/>
      <c r="AA225" s="260"/>
      <c r="AB225" s="108">
        <f>+Z225*'1. Standard_Cost'!$B$23+AA225*'1. Standard_Cost'!$C$23</f>
        <v>0</v>
      </c>
      <c r="AC225" s="261"/>
      <c r="AD225" s="262"/>
      <c r="AE225" s="108">
        <f>SUM(AD225,AC225,AB225,Y225,U225,T225,S225,R225)*'1. Standard_Cost'!$B$31</f>
        <v>0</v>
      </c>
      <c r="AF225" s="108">
        <f t="shared" ref="AF225:AF231" si="232">SUM(AE225,AD225,AC225,AB225,Y225,U225,T225,S225,R225)</f>
        <v>0</v>
      </c>
      <c r="AG225" s="260"/>
      <c r="AH225" s="260"/>
      <c r="AI225" s="260"/>
      <c r="AJ225" s="263"/>
      <c r="AK225" s="263"/>
      <c r="AL225" s="263"/>
      <c r="AM225" s="108">
        <f>AG225*'1. Standard_Cost'!$B$27+'Incremental_Cost Year 10'!AH225*'1. Standard_Cost'!$C$27+'Incremental_Cost Year 10'!AI225*'1. Standard_Cost'!$D$27+'Incremental_Cost Year 10'!AJ225+'Incremental_Cost Year 10'!AL225+AK225</f>
        <v>0</v>
      </c>
      <c r="AN225" s="108">
        <f>AM225*'1. Standard_Cost'!$C$31</f>
        <v>0</v>
      </c>
      <c r="AO225" s="125" t="s">
        <v>428</v>
      </c>
      <c r="AQ225" s="14">
        <f t="shared" ref="AQ225:AQ231" si="233">L225+M225</f>
        <v>0</v>
      </c>
      <c r="AR225" s="14">
        <f t="shared" ref="AR225:AR231" si="234">AF225</f>
        <v>0</v>
      </c>
      <c r="AS225" s="14">
        <f t="shared" ref="AS225:AS231" si="235">AM225+AN225</f>
        <v>0</v>
      </c>
      <c r="AT225" s="14">
        <f>SUM(AQ225,AR225,AS225)</f>
        <v>0</v>
      </c>
      <c r="AU225" s="234"/>
      <c r="AV225" s="234"/>
      <c r="AW225" s="234"/>
      <c r="AX225" s="234"/>
      <c r="AY225" s="234"/>
      <c r="AZ225" s="234"/>
      <c r="BA225" s="234"/>
      <c r="BB225" s="16">
        <f t="shared" ref="BB225:BB231" si="236">SUM(AU225:BA225)-AT225</f>
        <v>0</v>
      </c>
      <c r="BD225" s="294">
        <f>'Incremental_Cost Year 1'!AV225+'Incremental_Cost Year 2'!AV225+'Incremental_Cost Year 3'!AV225+'Incremental_Cost Year 4'!AV225+'Incremental_Cost Year 5'!AV225+'Incremental_Cost Year 6'!AV225+'Incremental_Cost Year 7'!AV225+'Incremental_Cost Year 8'!AV225+'Incremental_Cost Year 9'!AV225+'Incremental_Cost Year 10'!AV225</f>
        <v>0</v>
      </c>
      <c r="BE225" s="294">
        <f>'Incremental_Cost Year 1'!AW225+'Incremental_Cost Year 2'!AW225+'Incremental_Cost Year 3'!AW225+'Incremental_Cost Year 4'!AW225+'Incremental_Cost Year 5'!AW225+'Incremental_Cost Year 6'!AW225+'Incremental_Cost Year 7'!AW225+'Incremental_Cost Year 8'!AW225+'Incremental_Cost Year 9'!AW225+'Incremental_Cost Year 10'!AW225</f>
        <v>0</v>
      </c>
      <c r="BF225" s="294">
        <f>'Incremental_Cost Year 1'!AX225+'Incremental_Cost Year 2'!AX225+'Incremental_Cost Year 3'!AX225+'Incremental_Cost Year 4'!AX225+'Incremental_Cost Year 5'!AX225+'Incremental_Cost Year 6'!AX225+'Incremental_Cost Year 7'!AX225+'Incremental_Cost Year 8'!AX225+'Incremental_Cost Year 9'!AX225+'Incremental_Cost Year 10'!AX225</f>
        <v>0</v>
      </c>
      <c r="BG225" s="294">
        <f>'Incremental_Cost Year 1'!AY225+'Incremental_Cost Year 2'!AZ225+'Incremental_Cost Year 3'!AY225+'Incremental_Cost Year 4'!AY225+'Incremental_Cost Year 5'!AY225+'Incremental_Cost Year 6'!AY225+'Incremental_Cost Year 7'!AY225+'Incremental_Cost Year 8'!AY225+'Incremental_Cost Year 9'!AY225+'Incremental_Cost Year 10'!AY225</f>
        <v>0</v>
      </c>
      <c r="BH225" s="294">
        <f>'Incremental_Cost Year 1'!AZ225+'Incremental_Cost Year 2'!BA225+'Incremental_Cost Year 3'!AZ225+'Incremental_Cost Year 4'!AZ225+'Incremental_Cost Year 5'!AZ225+'Incremental_Cost Year 6'!AZ225+'Incremental_Cost Year 7'!AZ225+'Incremental_Cost Year 8'!AZ225+'Incremental_Cost Year 9'!AZ225+'Incremental_Cost Year 10'!AZ225</f>
        <v>0</v>
      </c>
      <c r="BI225" s="294">
        <f>'Incremental_Cost Year 1'!BA225+'Incremental_Cost Year 2'!BA225+'Incremental_Cost Year 3'!BA225+'Incremental_Cost Year 4'!BA225+'Incremental_Cost Year 5'!BA225+'Incremental_Cost Year 6'!BA225+'Incremental_Cost Year 7'!BA225+'Incremental_Cost Year 8'!BA225+'Incremental_Cost Year 9'!BA225+'Incremental_Cost Year 10'!BA225</f>
        <v>0</v>
      </c>
      <c r="BJ225" s="294">
        <f t="shared" si="202"/>
        <v>0</v>
      </c>
    </row>
    <row r="226" spans="1:62" ht="41.4" outlineLevel="2">
      <c r="A226" s="98"/>
      <c r="B226" s="102"/>
      <c r="C226" s="23"/>
      <c r="D226" s="269"/>
      <c r="E226" s="269"/>
      <c r="F226" s="269"/>
      <c r="G226" s="269"/>
      <c r="H226" s="272"/>
      <c r="I226" s="258"/>
      <c r="J226" s="259"/>
      <c r="K226" s="259"/>
      <c r="L226" s="106" t="str">
        <f>IF(I226&lt;&gt;0,((VLOOKUP(I226,'1. Standard_Cost'!$B$4:$D$11,2)+VLOOKUP(I226,'1. Standard_Cost'!$B$4:$D$11,3))*J226*K226),"0")</f>
        <v>0</v>
      </c>
      <c r="M226" s="106">
        <f>L226*'1. Standard_Cost'!$F$4</f>
        <v>0</v>
      </c>
      <c r="N226" s="260"/>
      <c r="O226" s="260"/>
      <c r="P226" s="260"/>
      <c r="Q226" s="260"/>
      <c r="R226" s="108">
        <f>'1. Standard_Cost'!$B$15*N226*P226</f>
        <v>0</v>
      </c>
      <c r="S226" s="108">
        <f>N226*O226*P226*'1. Standard_Cost'!$C$15</f>
        <v>0</v>
      </c>
      <c r="T226" s="108">
        <f>N226*P226*Q226*'1. Standard_Cost'!$D$15</f>
        <v>0</v>
      </c>
      <c r="U226" s="108">
        <f>N226*O226*'1. Standard_Cost'!$E$15</f>
        <v>0</v>
      </c>
      <c r="V226" s="260"/>
      <c r="W226" s="260"/>
      <c r="X226" s="260"/>
      <c r="Y226" s="108">
        <f>+V226*((X226*'1. Standard_Cost'!$B$19)+(W226*X226*'1. Standard_Cost'!$C$19))</f>
        <v>0</v>
      </c>
      <c r="Z226" s="260"/>
      <c r="AA226" s="260"/>
      <c r="AB226" s="108">
        <f>+Z226*'1. Standard_Cost'!$B$23+AA226*'1. Standard_Cost'!$C$23</f>
        <v>0</v>
      </c>
      <c r="AC226" s="261"/>
      <c r="AD226" s="262"/>
      <c r="AE226" s="108">
        <f>SUM(AD226,AC226,AB226,Y226,U226,T226,S226,R226)*'1. Standard_Cost'!$B$31</f>
        <v>0</v>
      </c>
      <c r="AF226" s="108">
        <f t="shared" si="232"/>
        <v>0</v>
      </c>
      <c r="AG226" s="260"/>
      <c r="AH226" s="260"/>
      <c r="AI226" s="260"/>
      <c r="AJ226" s="263"/>
      <c r="AK226" s="263"/>
      <c r="AL226" s="263"/>
      <c r="AM226" s="108">
        <f>AG226*'1. Standard_Cost'!$B$27+'Incremental_Cost Year 10'!AH226*'1. Standard_Cost'!$C$27+'Incremental_Cost Year 10'!AI226*'1. Standard_Cost'!$D$27+'Incremental_Cost Year 10'!AJ226+'Incremental_Cost Year 10'!AL226+AK226</f>
        <v>0</v>
      </c>
      <c r="AN226" s="108">
        <f>AM226*'1. Standard_Cost'!$C$31</f>
        <v>0</v>
      </c>
      <c r="AO226" s="125" t="s">
        <v>429</v>
      </c>
      <c r="AQ226" s="14">
        <f t="shared" si="233"/>
        <v>0</v>
      </c>
      <c r="AR226" s="14">
        <f t="shared" si="234"/>
        <v>0</v>
      </c>
      <c r="AS226" s="14">
        <f t="shared" si="235"/>
        <v>0</v>
      </c>
      <c r="AT226" s="14">
        <f t="shared" ref="AT226:AT231" si="237">SUM(AQ226,AR226,AS226)</f>
        <v>0</v>
      </c>
      <c r="AU226" s="234"/>
      <c r="AV226" s="234"/>
      <c r="AW226" s="234"/>
      <c r="AX226" s="234"/>
      <c r="AY226" s="234"/>
      <c r="AZ226" s="234"/>
      <c r="BA226" s="234"/>
      <c r="BB226" s="16">
        <f t="shared" si="236"/>
        <v>0</v>
      </c>
      <c r="BD226" s="294">
        <f>'Incremental_Cost Year 1'!AV226+'Incremental_Cost Year 2'!AV226+'Incremental_Cost Year 3'!AV226+'Incremental_Cost Year 4'!AV226+'Incremental_Cost Year 5'!AV226+'Incremental_Cost Year 6'!AV226+'Incremental_Cost Year 7'!AV226+'Incremental_Cost Year 8'!AV226+'Incremental_Cost Year 9'!AV226+'Incremental_Cost Year 10'!AV226</f>
        <v>0</v>
      </c>
      <c r="BE226" s="294">
        <f>'Incremental_Cost Year 1'!AW226+'Incremental_Cost Year 2'!AW226+'Incremental_Cost Year 3'!AW226+'Incremental_Cost Year 4'!AW226+'Incremental_Cost Year 5'!AW226+'Incremental_Cost Year 6'!AW226+'Incremental_Cost Year 7'!AW226+'Incremental_Cost Year 8'!AW226+'Incremental_Cost Year 9'!AW226+'Incremental_Cost Year 10'!AW226</f>
        <v>0</v>
      </c>
      <c r="BF226" s="294">
        <f>'Incremental_Cost Year 1'!AX226+'Incremental_Cost Year 2'!AX226+'Incremental_Cost Year 3'!AX226+'Incremental_Cost Year 4'!AX226+'Incremental_Cost Year 5'!AX226+'Incremental_Cost Year 6'!AX226+'Incremental_Cost Year 7'!AX226+'Incremental_Cost Year 8'!AX226+'Incremental_Cost Year 9'!AX226+'Incremental_Cost Year 10'!AX226</f>
        <v>5295000</v>
      </c>
      <c r="BG226" s="294">
        <f>'Incremental_Cost Year 1'!AY226+'Incremental_Cost Year 2'!AZ226+'Incremental_Cost Year 3'!AY226+'Incremental_Cost Year 4'!AY226+'Incremental_Cost Year 5'!AY226+'Incremental_Cost Year 6'!AY226+'Incremental_Cost Year 7'!AY226+'Incremental_Cost Year 8'!AY226+'Incremental_Cost Year 9'!AY226+'Incremental_Cost Year 10'!AY226</f>
        <v>0</v>
      </c>
      <c r="BH226" s="294">
        <f>'Incremental_Cost Year 1'!AZ226+'Incremental_Cost Year 2'!BA226+'Incremental_Cost Year 3'!AZ226+'Incremental_Cost Year 4'!AZ226+'Incremental_Cost Year 5'!AZ226+'Incremental_Cost Year 6'!AZ226+'Incremental_Cost Year 7'!AZ226+'Incremental_Cost Year 8'!AZ226+'Incremental_Cost Year 9'!AZ226+'Incremental_Cost Year 10'!AZ226</f>
        <v>0</v>
      </c>
      <c r="BI226" s="294">
        <f>'Incremental_Cost Year 1'!BA226+'Incremental_Cost Year 2'!BA226+'Incremental_Cost Year 3'!BA226+'Incremental_Cost Year 4'!BA226+'Incremental_Cost Year 5'!BA226+'Incremental_Cost Year 6'!BA226+'Incremental_Cost Year 7'!BA226+'Incremental_Cost Year 8'!BA226+'Incremental_Cost Year 9'!BA226+'Incremental_Cost Year 10'!BA226</f>
        <v>0</v>
      </c>
      <c r="BJ226" s="294">
        <f t="shared" si="202"/>
        <v>5295000</v>
      </c>
    </row>
    <row r="227" spans="1:62" ht="27.6" outlineLevel="2">
      <c r="A227" s="98"/>
      <c r="B227" s="102"/>
      <c r="C227" s="23"/>
      <c r="D227" s="269"/>
      <c r="E227" s="269"/>
      <c r="F227" s="269"/>
      <c r="G227" s="269"/>
      <c r="H227" s="168"/>
      <c r="I227" s="258"/>
      <c r="J227" s="259"/>
      <c r="K227" s="259"/>
      <c r="L227" s="106" t="str">
        <f>IF(I227&lt;&gt;0,((VLOOKUP(I227,'[1]1. Standard_Cost'!$B$4:$D$11,2)+VLOOKUP(I227,'[1]1. Standard_Cost'!$B$4:$D$11,3))*J227*K227),"0")</f>
        <v>0</v>
      </c>
      <c r="M227" s="106">
        <f>L227*'[1]1. Standard_Cost'!$F$4</f>
        <v>0</v>
      </c>
      <c r="N227" s="260"/>
      <c r="O227" s="260"/>
      <c r="P227" s="260"/>
      <c r="Q227" s="260"/>
      <c r="R227" s="108">
        <f>'[1]1. Standard_Cost'!$B$15*N227*P227</f>
        <v>0</v>
      </c>
      <c r="S227" s="108">
        <f>N227*O227*P227*'[1]1. Standard_Cost'!$C$15</f>
        <v>0</v>
      </c>
      <c r="T227" s="108">
        <f>N227*P227*Q227*'[1]1. Standard_Cost'!$D$15</f>
        <v>0</v>
      </c>
      <c r="U227" s="108">
        <f>N227*O227*'[1]1. Standard_Cost'!$E$15</f>
        <v>0</v>
      </c>
      <c r="V227" s="260"/>
      <c r="W227" s="260"/>
      <c r="X227" s="260"/>
      <c r="Y227" s="108">
        <f>+V227*((X227*'[1]1. Standard_Cost'!$B$19)+(W227*X227*'[1]1. Standard_Cost'!$C$19))</f>
        <v>0</v>
      </c>
      <c r="Z227" s="260"/>
      <c r="AA227" s="260"/>
      <c r="AB227" s="108">
        <f>+Z227*'[1]1. Standard_Cost'!$B$23+AA227*'[1]1. Standard_Cost'!$C$23</f>
        <v>0</v>
      </c>
      <c r="AC227" s="261"/>
      <c r="AD227" s="262"/>
      <c r="AE227" s="108">
        <f>SUM(AD227,AC227,AB227,Y227,U227,T227,S227,R227)*'[1]1. Standard_Cost'!$B$31</f>
        <v>0</v>
      </c>
      <c r="AF227" s="108">
        <f t="shared" si="232"/>
        <v>0</v>
      </c>
      <c r="AG227" s="260"/>
      <c r="AH227" s="260"/>
      <c r="AI227" s="260"/>
      <c r="AJ227" s="263"/>
      <c r="AK227" s="263"/>
      <c r="AL227" s="263"/>
      <c r="AM227" s="108">
        <f>AG227*'[1]1. Standard_Cost'!$B$27+'[1]Incremental_Cost Year 10'!AH227*'[1]1. Standard_Cost'!$C$27+'[1]Incremental_Cost Year 10'!AI227*'[1]1. Standard_Cost'!$D$27+'[1]Incremental_Cost Year 10'!AJ227+'[1]Incremental_Cost Year 10'!AL227+AK227</f>
        <v>0</v>
      </c>
      <c r="AN227" s="108">
        <f>AM227*'[1]1. Standard_Cost'!$C$31</f>
        <v>0</v>
      </c>
      <c r="AO227" s="125" t="s">
        <v>430</v>
      </c>
      <c r="AQ227" s="14">
        <f t="shared" si="233"/>
        <v>0</v>
      </c>
      <c r="AR227" s="14">
        <f t="shared" si="234"/>
        <v>0</v>
      </c>
      <c r="AS227" s="14">
        <f t="shared" si="235"/>
        <v>0</v>
      </c>
      <c r="AT227" s="14">
        <f t="shared" si="237"/>
        <v>0</v>
      </c>
      <c r="AU227" s="234"/>
      <c r="AV227" s="234"/>
      <c r="AW227" s="234"/>
      <c r="AX227" s="234"/>
      <c r="AY227" s="234"/>
      <c r="AZ227" s="234"/>
      <c r="BA227" s="234"/>
      <c r="BB227" s="16">
        <f t="shared" si="236"/>
        <v>0</v>
      </c>
      <c r="BD227" s="294">
        <f>'Incremental_Cost Year 1'!AV227+'Incremental_Cost Year 2'!AV227+'Incremental_Cost Year 3'!AV227+'Incremental_Cost Year 4'!AV227+'Incremental_Cost Year 5'!AV227+'Incremental_Cost Year 6'!AV227+'Incremental_Cost Year 7'!AV227+'Incremental_Cost Year 8'!AV227+'Incremental_Cost Year 9'!AV227+'Incremental_Cost Year 10'!AV227</f>
        <v>0</v>
      </c>
      <c r="BE227" s="294">
        <f>'Incremental_Cost Year 1'!AW227+'Incremental_Cost Year 2'!AW227+'Incremental_Cost Year 3'!AW227+'Incremental_Cost Year 4'!AW227+'Incremental_Cost Year 5'!AW227+'Incremental_Cost Year 6'!AW227+'Incremental_Cost Year 7'!AW227+'Incremental_Cost Year 8'!AW227+'Incremental_Cost Year 9'!AW227+'Incremental_Cost Year 10'!AW227</f>
        <v>0</v>
      </c>
      <c r="BF227" s="294">
        <f>'Incremental_Cost Year 1'!AX227+'Incremental_Cost Year 2'!AX227+'Incremental_Cost Year 3'!AX227+'Incremental_Cost Year 4'!AX227+'Incremental_Cost Year 5'!AX227+'Incremental_Cost Year 6'!AX227+'Incremental_Cost Year 7'!AX227+'Incremental_Cost Year 8'!AX227+'Incremental_Cost Year 9'!AX227+'Incremental_Cost Year 10'!AX227</f>
        <v>0</v>
      </c>
      <c r="BG227" s="294">
        <f>'Incremental_Cost Year 1'!AY227+'Incremental_Cost Year 2'!AZ227+'Incremental_Cost Year 3'!AY227+'Incremental_Cost Year 4'!AY227+'Incremental_Cost Year 5'!AY227+'Incremental_Cost Year 6'!AY227+'Incremental_Cost Year 7'!AY227+'Incremental_Cost Year 8'!AY227+'Incremental_Cost Year 9'!AY227+'Incremental_Cost Year 10'!AY227</f>
        <v>0</v>
      </c>
      <c r="BH227" s="294">
        <f>'Incremental_Cost Year 1'!AZ227+'Incremental_Cost Year 2'!BA227+'Incremental_Cost Year 3'!AZ227+'Incremental_Cost Year 4'!AZ227+'Incremental_Cost Year 5'!AZ227+'Incremental_Cost Year 6'!AZ227+'Incremental_Cost Year 7'!AZ227+'Incremental_Cost Year 8'!AZ227+'Incremental_Cost Year 9'!AZ227+'Incremental_Cost Year 10'!AZ227</f>
        <v>0</v>
      </c>
      <c r="BI227" s="294">
        <f>'Incremental_Cost Year 1'!BA227+'Incremental_Cost Year 2'!BA227+'Incremental_Cost Year 3'!BA227+'Incremental_Cost Year 4'!BA227+'Incremental_Cost Year 5'!BA227+'Incremental_Cost Year 6'!BA227+'Incremental_Cost Year 7'!BA227+'Incremental_Cost Year 8'!BA227+'Incremental_Cost Year 9'!BA227+'Incremental_Cost Year 10'!BA227</f>
        <v>0</v>
      </c>
      <c r="BJ227" s="294">
        <f t="shared" si="202"/>
        <v>0</v>
      </c>
    </row>
    <row r="228" spans="1:62" ht="27.6" outlineLevel="2">
      <c r="A228" s="98"/>
      <c r="B228" s="102"/>
      <c r="C228" s="23"/>
      <c r="D228" s="269"/>
      <c r="E228" s="269"/>
      <c r="F228" s="269"/>
      <c r="G228" s="269"/>
      <c r="H228" s="272"/>
      <c r="I228" s="258"/>
      <c r="J228" s="259"/>
      <c r="K228" s="259"/>
      <c r="L228" s="106" t="str">
        <f>IF(I228&lt;&gt;0,((VLOOKUP(I228,'1. Standard_Cost'!$B$4:$D$11,2)+VLOOKUP(I228,'1. Standard_Cost'!$B$4:$D$11,3))*J228*K228),"0")</f>
        <v>0</v>
      </c>
      <c r="M228" s="106">
        <f>L228*'1. Standard_Cost'!$F$4</f>
        <v>0</v>
      </c>
      <c r="N228" s="260"/>
      <c r="O228" s="260"/>
      <c r="P228" s="260"/>
      <c r="Q228" s="260"/>
      <c r="R228" s="108">
        <f>'1. Standard_Cost'!$B$15*N228*P228</f>
        <v>0</v>
      </c>
      <c r="S228" s="108">
        <f>N228*O228*P228*'1. Standard_Cost'!$C$15</f>
        <v>0</v>
      </c>
      <c r="T228" s="108">
        <f>N228*P228*Q228*'1. Standard_Cost'!$D$15</f>
        <v>0</v>
      </c>
      <c r="U228" s="108">
        <f>N228*O228*'1. Standard_Cost'!$E$15</f>
        <v>0</v>
      </c>
      <c r="V228" s="260"/>
      <c r="W228" s="260"/>
      <c r="X228" s="260"/>
      <c r="Y228" s="108">
        <f>+V228*((X228*'1. Standard_Cost'!$B$19)+(W228*X228*'1. Standard_Cost'!$C$19))</f>
        <v>0</v>
      </c>
      <c r="Z228" s="260"/>
      <c r="AA228" s="260"/>
      <c r="AB228" s="108">
        <f>+Z228*'1. Standard_Cost'!$B$23+AA228*'1. Standard_Cost'!$C$23</f>
        <v>0</v>
      </c>
      <c r="AC228" s="261"/>
      <c r="AD228" s="262"/>
      <c r="AE228" s="108">
        <f>SUM(AD228,AC228,AB228,Y228,U228,T228,S228,R228)*'1. Standard_Cost'!$B$31</f>
        <v>0</v>
      </c>
      <c r="AF228" s="108">
        <f t="shared" si="232"/>
        <v>0</v>
      </c>
      <c r="AG228" s="260"/>
      <c r="AH228" s="260"/>
      <c r="AI228" s="260"/>
      <c r="AJ228" s="263"/>
      <c r="AK228" s="263"/>
      <c r="AL228" s="263"/>
      <c r="AM228" s="108">
        <f>AG228*'1. Standard_Cost'!$B$27+'Incremental_Cost Year 10'!AH228*'1. Standard_Cost'!$C$27+'Incremental_Cost Year 10'!AI228*'1. Standard_Cost'!$D$27+'Incremental_Cost Year 10'!AJ228+'Incremental_Cost Year 10'!AL228+AK228</f>
        <v>0</v>
      </c>
      <c r="AN228" s="108">
        <f>AM228*'1. Standard_Cost'!$C$31</f>
        <v>0</v>
      </c>
      <c r="AO228" s="125" t="s">
        <v>430</v>
      </c>
      <c r="AQ228" s="14">
        <f t="shared" si="233"/>
        <v>0</v>
      </c>
      <c r="AR228" s="14">
        <f t="shared" si="234"/>
        <v>0</v>
      </c>
      <c r="AS228" s="14">
        <f t="shared" si="235"/>
        <v>0</v>
      </c>
      <c r="AT228" s="14">
        <f t="shared" si="237"/>
        <v>0</v>
      </c>
      <c r="AU228" s="234"/>
      <c r="AV228" s="234"/>
      <c r="AW228" s="234"/>
      <c r="AX228" s="234"/>
      <c r="AY228" s="234"/>
      <c r="AZ228" s="234"/>
      <c r="BA228" s="234"/>
      <c r="BB228" s="16">
        <f t="shared" si="236"/>
        <v>0</v>
      </c>
      <c r="BD228" s="294">
        <f>'Incremental_Cost Year 1'!AV228+'Incremental_Cost Year 2'!AV228+'Incremental_Cost Year 3'!AV228+'Incremental_Cost Year 4'!AV228+'Incremental_Cost Year 5'!AV228+'Incremental_Cost Year 6'!AV228+'Incremental_Cost Year 7'!AV228+'Incremental_Cost Year 8'!AV228+'Incremental_Cost Year 9'!AV228+'Incremental_Cost Year 10'!AV228</f>
        <v>0</v>
      </c>
      <c r="BE228" s="294">
        <f>'Incremental_Cost Year 1'!AW228+'Incremental_Cost Year 2'!AW228+'Incremental_Cost Year 3'!AW228+'Incremental_Cost Year 4'!AW228+'Incremental_Cost Year 5'!AW228+'Incremental_Cost Year 6'!AW228+'Incremental_Cost Year 7'!AW228+'Incremental_Cost Year 8'!AW228+'Incremental_Cost Year 9'!AW228+'Incremental_Cost Year 10'!AW228</f>
        <v>0</v>
      </c>
      <c r="BF228" s="294">
        <f>'Incremental_Cost Year 1'!AX228+'Incremental_Cost Year 2'!AX228+'Incremental_Cost Year 3'!AX228+'Incremental_Cost Year 4'!AX228+'Incremental_Cost Year 5'!AX228+'Incremental_Cost Year 6'!AX228+'Incremental_Cost Year 7'!AX228+'Incremental_Cost Year 8'!AX228+'Incremental_Cost Year 9'!AX228+'Incremental_Cost Year 10'!AX228</f>
        <v>0</v>
      </c>
      <c r="BG228" s="294">
        <f>'Incremental_Cost Year 1'!AY228+'Incremental_Cost Year 2'!AZ228+'Incremental_Cost Year 3'!AY228+'Incremental_Cost Year 4'!AY228+'Incremental_Cost Year 5'!AY228+'Incremental_Cost Year 6'!AY228+'Incremental_Cost Year 7'!AY228+'Incremental_Cost Year 8'!AY228+'Incremental_Cost Year 9'!AY228+'Incremental_Cost Year 10'!AY228</f>
        <v>0</v>
      </c>
      <c r="BH228" s="294">
        <f>'Incremental_Cost Year 1'!AZ228+'Incremental_Cost Year 2'!BA228+'Incremental_Cost Year 3'!AZ228+'Incremental_Cost Year 4'!AZ228+'Incremental_Cost Year 5'!AZ228+'Incremental_Cost Year 6'!AZ228+'Incremental_Cost Year 7'!AZ228+'Incremental_Cost Year 8'!AZ228+'Incremental_Cost Year 9'!AZ228+'Incremental_Cost Year 10'!AZ228</f>
        <v>0</v>
      </c>
      <c r="BI228" s="294">
        <f>'Incremental_Cost Year 1'!BA228+'Incremental_Cost Year 2'!BA228+'Incremental_Cost Year 3'!BA228+'Incremental_Cost Year 4'!BA228+'Incremental_Cost Year 5'!BA228+'Incremental_Cost Year 6'!BA228+'Incremental_Cost Year 7'!BA228+'Incremental_Cost Year 8'!BA228+'Incremental_Cost Year 9'!BA228+'Incremental_Cost Year 10'!BA228</f>
        <v>0</v>
      </c>
      <c r="BJ228" s="294">
        <f t="shared" si="202"/>
        <v>0</v>
      </c>
    </row>
    <row r="229" spans="1:62" ht="15.6" outlineLevel="2">
      <c r="A229" s="98"/>
      <c r="B229" s="102"/>
      <c r="C229" s="23"/>
      <c r="D229" s="269"/>
      <c r="E229" s="269"/>
      <c r="F229" s="269"/>
      <c r="G229" s="269"/>
      <c r="H229" s="272"/>
      <c r="I229" s="258"/>
      <c r="J229" s="259"/>
      <c r="K229" s="259"/>
      <c r="L229" s="106" t="str">
        <f>IF(I229&lt;&gt;0,((VLOOKUP(I229,'1. Standard_Cost'!$B$4:$D$11,2)+VLOOKUP(I229,'1. Standard_Cost'!$B$4:$D$11,3))*J229*K229),"0")</f>
        <v>0</v>
      </c>
      <c r="M229" s="106">
        <f>L229*'1. Standard_Cost'!$F$4</f>
        <v>0</v>
      </c>
      <c r="N229" s="260"/>
      <c r="O229" s="260"/>
      <c r="P229" s="260"/>
      <c r="Q229" s="260"/>
      <c r="R229" s="108">
        <f>'1. Standard_Cost'!$B$15*N229*P229</f>
        <v>0</v>
      </c>
      <c r="S229" s="108">
        <f>N229*O229*P229*'1. Standard_Cost'!$C$15</f>
        <v>0</v>
      </c>
      <c r="T229" s="108">
        <f>N229*P229*Q229*'1. Standard_Cost'!$D$15</f>
        <v>0</v>
      </c>
      <c r="U229" s="108">
        <f>N229*O229*'1. Standard_Cost'!$E$15</f>
        <v>0</v>
      </c>
      <c r="V229" s="260"/>
      <c r="W229" s="260"/>
      <c r="X229" s="260"/>
      <c r="Y229" s="108">
        <f>+V229*((X229*'1. Standard_Cost'!$B$19)+(W229*X229*'1. Standard_Cost'!$C$19))</f>
        <v>0</v>
      </c>
      <c r="Z229" s="260"/>
      <c r="AA229" s="260"/>
      <c r="AB229" s="108">
        <f>+Z229*'1. Standard_Cost'!$B$23+AA229*'1. Standard_Cost'!$C$23</f>
        <v>0</v>
      </c>
      <c r="AC229" s="261"/>
      <c r="AD229" s="262"/>
      <c r="AE229" s="108">
        <f>SUM(AD229,AC229,AB229,Y229,U229,T229,S229,R229)*'1. Standard_Cost'!$B$31</f>
        <v>0</v>
      </c>
      <c r="AF229" s="108">
        <f t="shared" si="232"/>
        <v>0</v>
      </c>
      <c r="AG229" s="260"/>
      <c r="AH229" s="260"/>
      <c r="AI229" s="260"/>
      <c r="AJ229" s="263"/>
      <c r="AK229" s="263"/>
      <c r="AL229" s="263"/>
      <c r="AM229" s="108">
        <f>AG229*'1. Standard_Cost'!$B$27+'Incremental_Cost Year 10'!AH229*'1. Standard_Cost'!$C$27+'Incremental_Cost Year 10'!AI229*'1. Standard_Cost'!$D$27+'Incremental_Cost Year 10'!AJ229+'Incremental_Cost Year 10'!AL229+AK229</f>
        <v>0</v>
      </c>
      <c r="AN229" s="108">
        <f>AM229*'1. Standard_Cost'!$C$31</f>
        <v>0</v>
      </c>
      <c r="AO229" s="125" t="s">
        <v>431</v>
      </c>
      <c r="AQ229" s="14">
        <f t="shared" si="233"/>
        <v>0</v>
      </c>
      <c r="AR229" s="14">
        <f t="shared" si="234"/>
        <v>0</v>
      </c>
      <c r="AS229" s="14">
        <f t="shared" si="235"/>
        <v>0</v>
      </c>
      <c r="AT229" s="14">
        <f t="shared" si="237"/>
        <v>0</v>
      </c>
      <c r="AU229" s="234"/>
      <c r="AV229" s="234"/>
      <c r="AW229" s="234"/>
      <c r="AX229" s="234"/>
      <c r="AY229" s="234"/>
      <c r="AZ229" s="234"/>
      <c r="BA229" s="234"/>
      <c r="BB229" s="16">
        <f t="shared" si="236"/>
        <v>0</v>
      </c>
      <c r="BD229" s="294">
        <f>'Incremental_Cost Year 1'!AV229+'Incremental_Cost Year 2'!AV229+'Incremental_Cost Year 3'!AV229+'Incremental_Cost Year 4'!AV229+'Incremental_Cost Year 5'!AV229+'Incremental_Cost Year 6'!AV229+'Incremental_Cost Year 7'!AV229+'Incremental_Cost Year 8'!AV229+'Incremental_Cost Year 9'!AV229+'Incremental_Cost Year 10'!AV229</f>
        <v>0</v>
      </c>
      <c r="BE229" s="294">
        <f>'Incremental_Cost Year 1'!AW229+'Incremental_Cost Year 2'!AW229+'Incremental_Cost Year 3'!AW229+'Incremental_Cost Year 4'!AW229+'Incremental_Cost Year 5'!AW229+'Incremental_Cost Year 6'!AW229+'Incremental_Cost Year 7'!AW229+'Incremental_Cost Year 8'!AW229+'Incremental_Cost Year 9'!AW229+'Incremental_Cost Year 10'!AW229</f>
        <v>0</v>
      </c>
      <c r="BF229" s="294">
        <f>'Incremental_Cost Year 1'!AX229+'Incremental_Cost Year 2'!AX229+'Incremental_Cost Year 3'!AX229+'Incremental_Cost Year 4'!AX229+'Incremental_Cost Year 5'!AX229+'Incremental_Cost Year 6'!AX229+'Incremental_Cost Year 7'!AX229+'Incremental_Cost Year 8'!AX229+'Incremental_Cost Year 9'!AX229+'Incremental_Cost Year 10'!AX229</f>
        <v>0</v>
      </c>
      <c r="BG229" s="294">
        <f>'Incremental_Cost Year 1'!AY229+'Incremental_Cost Year 2'!AZ229+'Incremental_Cost Year 3'!AY229+'Incremental_Cost Year 4'!AY229+'Incremental_Cost Year 5'!AY229+'Incremental_Cost Year 6'!AY229+'Incremental_Cost Year 7'!AY229+'Incremental_Cost Year 8'!AY229+'Incremental_Cost Year 9'!AY229+'Incremental_Cost Year 10'!AY229</f>
        <v>0</v>
      </c>
      <c r="BH229" s="294">
        <f>'Incremental_Cost Year 1'!AZ229+'Incremental_Cost Year 2'!BA229+'Incremental_Cost Year 3'!AZ229+'Incremental_Cost Year 4'!AZ229+'Incremental_Cost Year 5'!AZ229+'Incremental_Cost Year 6'!AZ229+'Incremental_Cost Year 7'!AZ229+'Incremental_Cost Year 8'!AZ229+'Incremental_Cost Year 9'!AZ229+'Incremental_Cost Year 10'!AZ229</f>
        <v>0</v>
      </c>
      <c r="BI229" s="294">
        <f>'Incremental_Cost Year 1'!BA229+'Incremental_Cost Year 2'!BA229+'Incremental_Cost Year 3'!BA229+'Incremental_Cost Year 4'!BA229+'Incremental_Cost Year 5'!BA229+'Incremental_Cost Year 6'!BA229+'Incremental_Cost Year 7'!BA229+'Incremental_Cost Year 8'!BA229+'Incremental_Cost Year 9'!BA229+'Incremental_Cost Year 10'!BA229</f>
        <v>0</v>
      </c>
      <c r="BJ229" s="294">
        <f t="shared" si="202"/>
        <v>0</v>
      </c>
    </row>
    <row r="230" spans="1:62" ht="15.6" outlineLevel="2">
      <c r="A230" s="98"/>
      <c r="B230" s="102"/>
      <c r="C230" s="23"/>
      <c r="D230" s="269"/>
      <c r="E230" s="269"/>
      <c r="F230" s="269"/>
      <c r="G230" s="269"/>
      <c r="H230" s="272"/>
      <c r="I230" s="258"/>
      <c r="J230" s="259"/>
      <c r="K230" s="259"/>
      <c r="L230" s="106" t="str">
        <f>IF(I230&lt;&gt;0,((VLOOKUP(I230,'1. Standard_Cost'!$B$4:$D$11,2)+VLOOKUP(I230,'1. Standard_Cost'!$B$4:$D$11,3))*J230*K230),"0")</f>
        <v>0</v>
      </c>
      <c r="M230" s="106">
        <f>L230*'1. Standard_Cost'!$F$4</f>
        <v>0</v>
      </c>
      <c r="N230" s="260"/>
      <c r="O230" s="260"/>
      <c r="P230" s="260"/>
      <c r="Q230" s="260"/>
      <c r="R230" s="108">
        <f>'1. Standard_Cost'!$B$15*N230*P230</f>
        <v>0</v>
      </c>
      <c r="S230" s="108">
        <f>N230*O230*P230*'1. Standard_Cost'!$C$15</f>
        <v>0</v>
      </c>
      <c r="T230" s="108">
        <f>N230*P230*Q230*'1. Standard_Cost'!$D$15</f>
        <v>0</v>
      </c>
      <c r="U230" s="108">
        <f>N230*O230*'1. Standard_Cost'!$E$15</f>
        <v>0</v>
      </c>
      <c r="V230" s="260"/>
      <c r="W230" s="260"/>
      <c r="X230" s="260"/>
      <c r="Y230" s="108">
        <f>+V230*((X230*'1. Standard_Cost'!$B$19)+(W230*X230*'1. Standard_Cost'!$C$19))</f>
        <v>0</v>
      </c>
      <c r="Z230" s="260"/>
      <c r="AA230" s="260"/>
      <c r="AB230" s="108">
        <f>+Z230*'1. Standard_Cost'!$B$23+AA230*'1. Standard_Cost'!$C$23</f>
        <v>0</v>
      </c>
      <c r="AC230" s="261"/>
      <c r="AD230" s="262"/>
      <c r="AE230" s="108">
        <f>SUM(AD230,AC230,AB230,Y230,U230,T230,S230,R230)*'1. Standard_Cost'!$B$31</f>
        <v>0</v>
      </c>
      <c r="AF230" s="108">
        <f t="shared" si="232"/>
        <v>0</v>
      </c>
      <c r="AG230" s="260"/>
      <c r="AH230" s="260"/>
      <c r="AI230" s="260"/>
      <c r="AJ230" s="263"/>
      <c r="AK230" s="263"/>
      <c r="AL230" s="263"/>
      <c r="AM230" s="108">
        <f>AG230*'1. Standard_Cost'!$B$27+'Incremental_Cost Year 10'!AH230*'1. Standard_Cost'!$C$27+'Incremental_Cost Year 10'!AI230*'1. Standard_Cost'!$D$27+'Incremental_Cost Year 10'!AJ230+'Incremental_Cost Year 10'!AL230+AK230</f>
        <v>0</v>
      </c>
      <c r="AN230" s="108">
        <f>AM230*'1. Standard_Cost'!$C$31</f>
        <v>0</v>
      </c>
      <c r="AO230" s="125" t="s">
        <v>432</v>
      </c>
      <c r="AQ230" s="14">
        <f t="shared" si="233"/>
        <v>0</v>
      </c>
      <c r="AR230" s="14">
        <f t="shared" si="234"/>
        <v>0</v>
      </c>
      <c r="AS230" s="14">
        <f t="shared" si="235"/>
        <v>0</v>
      </c>
      <c r="AT230" s="14">
        <f t="shared" si="237"/>
        <v>0</v>
      </c>
      <c r="AU230" s="234"/>
      <c r="AV230" s="234"/>
      <c r="AW230" s="234"/>
      <c r="AX230" s="234"/>
      <c r="AY230" s="234"/>
      <c r="AZ230" s="234"/>
      <c r="BA230" s="234"/>
      <c r="BB230" s="16">
        <f t="shared" si="236"/>
        <v>0</v>
      </c>
      <c r="BD230" s="294">
        <f>'Incremental_Cost Year 1'!AV230+'Incremental_Cost Year 2'!AV230+'Incremental_Cost Year 3'!AV230+'Incremental_Cost Year 4'!AV230+'Incremental_Cost Year 5'!AV230+'Incremental_Cost Year 6'!AV230+'Incremental_Cost Year 7'!AV230+'Incremental_Cost Year 8'!AV230+'Incremental_Cost Year 9'!AV230+'Incremental_Cost Year 10'!AV230</f>
        <v>0</v>
      </c>
      <c r="BE230" s="294">
        <f>'Incremental_Cost Year 1'!AW230+'Incremental_Cost Year 2'!AW230+'Incremental_Cost Year 3'!AW230+'Incremental_Cost Year 4'!AW230+'Incremental_Cost Year 5'!AW230+'Incremental_Cost Year 6'!AW230+'Incremental_Cost Year 7'!AW230+'Incremental_Cost Year 8'!AW230+'Incremental_Cost Year 9'!AW230+'Incremental_Cost Year 10'!AW230</f>
        <v>0</v>
      </c>
      <c r="BF230" s="294">
        <f>'Incremental_Cost Year 1'!AX230+'Incremental_Cost Year 2'!AX230+'Incremental_Cost Year 3'!AX230+'Incremental_Cost Year 4'!AX230+'Incremental_Cost Year 5'!AX230+'Incremental_Cost Year 6'!AX230+'Incremental_Cost Year 7'!AX230+'Incremental_Cost Year 8'!AX230+'Incremental_Cost Year 9'!AX230+'Incremental_Cost Year 10'!AX230</f>
        <v>322506.90000000002</v>
      </c>
      <c r="BG230" s="294">
        <f>'Incremental_Cost Year 1'!AY230+'Incremental_Cost Year 2'!AZ230+'Incremental_Cost Year 3'!AY230+'Incremental_Cost Year 4'!AY230+'Incremental_Cost Year 5'!AY230+'Incremental_Cost Year 6'!AY230+'Incremental_Cost Year 7'!AY230+'Incremental_Cost Year 8'!AY230+'Incremental_Cost Year 9'!AY230+'Incremental_Cost Year 10'!AY230</f>
        <v>0</v>
      </c>
      <c r="BH230" s="294">
        <f>'Incremental_Cost Year 1'!AZ230+'Incremental_Cost Year 2'!BA230+'Incremental_Cost Year 3'!AZ230+'Incremental_Cost Year 4'!AZ230+'Incremental_Cost Year 5'!AZ230+'Incremental_Cost Year 6'!AZ230+'Incremental_Cost Year 7'!AZ230+'Incremental_Cost Year 8'!AZ230+'Incremental_Cost Year 9'!AZ230+'Incremental_Cost Year 10'!AZ230</f>
        <v>0</v>
      </c>
      <c r="BI230" s="294">
        <f>'Incremental_Cost Year 1'!BA230+'Incremental_Cost Year 2'!BA230+'Incremental_Cost Year 3'!BA230+'Incremental_Cost Year 4'!BA230+'Incremental_Cost Year 5'!BA230+'Incremental_Cost Year 6'!BA230+'Incremental_Cost Year 7'!BA230+'Incremental_Cost Year 8'!BA230+'Incremental_Cost Year 9'!BA230+'Incremental_Cost Year 10'!BA230</f>
        <v>0</v>
      </c>
      <c r="BJ230" s="294">
        <f t="shared" si="202"/>
        <v>322506.90000000002</v>
      </c>
    </row>
    <row r="231" spans="1:62" ht="15.6" outlineLevel="2">
      <c r="A231" s="98"/>
      <c r="B231" s="102"/>
      <c r="C231" s="23"/>
      <c r="D231" s="269"/>
      <c r="E231" s="269"/>
      <c r="F231" s="269"/>
      <c r="G231" s="269"/>
      <c r="H231" s="272"/>
      <c r="I231" s="258"/>
      <c r="J231" s="259"/>
      <c r="K231" s="259"/>
      <c r="L231" s="106" t="str">
        <f>IF(I231&lt;&gt;0,((VLOOKUP(I231,'1. Standard_Cost'!$B$4:$D$11,2)+VLOOKUP(I231,'1. Standard_Cost'!$B$4:$D$11,3))*J231*K231),"0")</f>
        <v>0</v>
      </c>
      <c r="M231" s="106">
        <f>L231*'1. Standard_Cost'!$F$4</f>
        <v>0</v>
      </c>
      <c r="N231" s="260"/>
      <c r="O231" s="260"/>
      <c r="P231" s="260"/>
      <c r="Q231" s="260"/>
      <c r="R231" s="108">
        <f>'1. Standard_Cost'!$B$15*N231*P231</f>
        <v>0</v>
      </c>
      <c r="S231" s="108">
        <f>N231*O231*P231*'1. Standard_Cost'!$C$15</f>
        <v>0</v>
      </c>
      <c r="T231" s="108">
        <f>N231*P231*Q231*'1. Standard_Cost'!$D$15</f>
        <v>0</v>
      </c>
      <c r="U231" s="108">
        <f>N231*O231*'1. Standard_Cost'!$E$15</f>
        <v>0</v>
      </c>
      <c r="V231" s="260"/>
      <c r="W231" s="260"/>
      <c r="X231" s="260"/>
      <c r="Y231" s="108">
        <f>+V231*((X231*'1. Standard_Cost'!$B$19)+(W231*X231*'1. Standard_Cost'!$C$19))</f>
        <v>0</v>
      </c>
      <c r="Z231" s="260"/>
      <c r="AA231" s="260"/>
      <c r="AB231" s="108">
        <f>+Z231*'1. Standard_Cost'!$B$23+AA231*'1. Standard_Cost'!$C$23</f>
        <v>0</v>
      </c>
      <c r="AC231" s="261"/>
      <c r="AD231" s="262"/>
      <c r="AE231" s="108">
        <f>SUM(AD231,AC231,AB231,Y231,U231,T231,S231,R231)*'1. Standard_Cost'!$B$31</f>
        <v>0</v>
      </c>
      <c r="AF231" s="108">
        <f t="shared" si="232"/>
        <v>0</v>
      </c>
      <c r="AG231" s="260"/>
      <c r="AH231" s="260"/>
      <c r="AI231" s="260"/>
      <c r="AJ231" s="263"/>
      <c r="AK231" s="263"/>
      <c r="AL231" s="263"/>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33"/>
        <v>0</v>
      </c>
      <c r="AR231" s="14">
        <f t="shared" si="234"/>
        <v>0</v>
      </c>
      <c r="AS231" s="14">
        <f t="shared" si="235"/>
        <v>0</v>
      </c>
      <c r="AT231" s="14">
        <f t="shared" si="237"/>
        <v>0</v>
      </c>
      <c r="AU231" s="234"/>
      <c r="AV231" s="234"/>
      <c r="AW231" s="234"/>
      <c r="AX231" s="234"/>
      <c r="AY231" s="234"/>
      <c r="AZ231" s="234"/>
      <c r="BA231" s="234"/>
      <c r="BB231" s="16">
        <f t="shared" si="236"/>
        <v>0</v>
      </c>
      <c r="BD231" s="294">
        <f>'Incremental_Cost Year 1'!AV231+'Incremental_Cost Year 2'!AV231+'Incremental_Cost Year 3'!AV231+'Incremental_Cost Year 4'!AV231+'Incremental_Cost Year 5'!AV231+'Incremental_Cost Year 6'!AV231+'Incremental_Cost Year 7'!AV231+'Incremental_Cost Year 8'!AV231+'Incremental_Cost Year 9'!AV231+'Incremental_Cost Year 10'!AV231</f>
        <v>0</v>
      </c>
      <c r="BE231" s="294">
        <f>'Incremental_Cost Year 1'!AW231+'Incremental_Cost Year 2'!AW231+'Incremental_Cost Year 3'!AW231+'Incremental_Cost Year 4'!AW231+'Incremental_Cost Year 5'!AW231+'Incremental_Cost Year 6'!AW231+'Incremental_Cost Year 7'!AW231+'Incremental_Cost Year 8'!AW231+'Incremental_Cost Year 9'!AW231+'Incremental_Cost Year 10'!AW231</f>
        <v>0</v>
      </c>
      <c r="BF231" s="294">
        <f>'Incremental_Cost Year 1'!AX231+'Incremental_Cost Year 2'!AX231+'Incremental_Cost Year 3'!AX231+'Incremental_Cost Year 4'!AX231+'Incremental_Cost Year 5'!AX231+'Incremental_Cost Year 6'!AX231+'Incremental_Cost Year 7'!AX231+'Incremental_Cost Year 8'!AX231+'Incremental_Cost Year 9'!AX231+'Incremental_Cost Year 10'!AX231</f>
        <v>4130000</v>
      </c>
      <c r="BG231" s="294">
        <f>'Incremental_Cost Year 1'!AY231+'Incremental_Cost Year 2'!AZ231+'Incremental_Cost Year 3'!AY231+'Incremental_Cost Year 4'!AY231+'Incremental_Cost Year 5'!AY231+'Incremental_Cost Year 6'!AY231+'Incremental_Cost Year 7'!AY231+'Incremental_Cost Year 8'!AY231+'Incremental_Cost Year 9'!AY231+'Incremental_Cost Year 10'!AY231</f>
        <v>0</v>
      </c>
      <c r="BH231" s="294">
        <f>'Incremental_Cost Year 1'!AZ231+'Incremental_Cost Year 2'!BA231+'Incremental_Cost Year 3'!AZ231+'Incremental_Cost Year 4'!AZ231+'Incremental_Cost Year 5'!AZ231+'Incremental_Cost Year 6'!AZ231+'Incremental_Cost Year 7'!AZ231+'Incremental_Cost Year 8'!AZ231+'Incremental_Cost Year 9'!AZ231+'Incremental_Cost Year 10'!AZ231</f>
        <v>0</v>
      </c>
      <c r="BI231" s="294">
        <f>'Incremental_Cost Year 1'!BA231+'Incremental_Cost Year 2'!BA231+'Incremental_Cost Year 3'!BA231+'Incremental_Cost Year 4'!BA231+'Incremental_Cost Year 5'!BA231+'Incremental_Cost Year 6'!BA231+'Incremental_Cost Year 7'!BA231+'Incremental_Cost Year 8'!BA231+'Incremental_Cost Year 9'!BA231+'Incremental_Cost Year 10'!BA231</f>
        <v>0</v>
      </c>
      <c r="BJ231" s="294">
        <f t="shared" si="202"/>
        <v>4130000</v>
      </c>
    </row>
    <row r="232" spans="1:62" ht="27.6" outlineLevel="1">
      <c r="A232" s="98"/>
      <c r="B232" s="102"/>
      <c r="C232" s="23"/>
      <c r="D232" s="56" t="s">
        <v>47</v>
      </c>
      <c r="E232" s="56" t="s">
        <v>259</v>
      </c>
      <c r="F232" s="253">
        <v>2021</v>
      </c>
      <c r="G232" s="254">
        <v>2026</v>
      </c>
      <c r="H232" s="277" t="s">
        <v>260</v>
      </c>
      <c r="I232" s="264"/>
      <c r="J232" s="264"/>
      <c r="K232" s="264"/>
      <c r="L232" s="113">
        <f>SUM(L225:L231)</f>
        <v>0</v>
      </c>
      <c r="M232" s="113">
        <f>SUM(M225:M231)</f>
        <v>0</v>
      </c>
      <c r="N232" s="264"/>
      <c r="O232" s="264"/>
      <c r="P232" s="264"/>
      <c r="Q232" s="264"/>
      <c r="R232" s="113">
        <f>SUM(R225:R231)</f>
        <v>0</v>
      </c>
      <c r="S232" s="113">
        <f>SUM(S225:S231)</f>
        <v>0</v>
      </c>
      <c r="T232" s="113">
        <f>SUM(T225:T231)</f>
        <v>0</v>
      </c>
      <c r="U232" s="113">
        <f>SUM(U225:U231)</f>
        <v>0</v>
      </c>
      <c r="V232" s="264"/>
      <c r="W232" s="264"/>
      <c r="X232" s="264"/>
      <c r="Y232" s="113">
        <f>SUM(Y225:Y231)</f>
        <v>0</v>
      </c>
      <c r="Z232" s="264"/>
      <c r="AA232" s="264"/>
      <c r="AB232" s="113">
        <f>SUM(AB225:AB231)</f>
        <v>0</v>
      </c>
      <c r="AC232" s="265">
        <f>SUM(AC225:AC231)</f>
        <v>0</v>
      </c>
      <c r="AD232" s="265">
        <f>SUM(AD225:AD231)</f>
        <v>0</v>
      </c>
      <c r="AE232" s="113">
        <f>SUM(AE225:AE231)</f>
        <v>0</v>
      </c>
      <c r="AF232" s="113">
        <f>SUM(AF225:AF231)</f>
        <v>0</v>
      </c>
      <c r="AG232" s="264"/>
      <c r="AH232" s="264"/>
      <c r="AI232" s="264"/>
      <c r="AJ232" s="265">
        <f>SUM(AJ225:AJ231)</f>
        <v>0</v>
      </c>
      <c r="AK232" s="265">
        <f>SUM(AK225:AK231)</f>
        <v>0</v>
      </c>
      <c r="AL232" s="265">
        <f>SUM(AL225:AL231)</f>
        <v>0</v>
      </c>
      <c r="AM232" s="113">
        <f>SUM(AM225:AM231)</f>
        <v>0</v>
      </c>
      <c r="AN232" s="113">
        <f>SUM(AN225:AN231)</f>
        <v>0</v>
      </c>
      <c r="AO232" s="131"/>
      <c r="AP232" s="17"/>
      <c r="AQ232" s="113">
        <f t="shared" ref="AQ232:BB232" si="238">SUM(AQ225:AQ231)</f>
        <v>0</v>
      </c>
      <c r="AR232" s="113">
        <f t="shared" si="238"/>
        <v>0</v>
      </c>
      <c r="AS232" s="113">
        <f t="shared" si="238"/>
        <v>0</v>
      </c>
      <c r="AT232" s="113">
        <f t="shared" si="238"/>
        <v>0</v>
      </c>
      <c r="AU232" s="265">
        <f t="shared" si="238"/>
        <v>0</v>
      </c>
      <c r="AV232" s="265">
        <f t="shared" si="238"/>
        <v>0</v>
      </c>
      <c r="AW232" s="265">
        <f t="shared" si="238"/>
        <v>0</v>
      </c>
      <c r="AX232" s="265">
        <f t="shared" si="238"/>
        <v>0</v>
      </c>
      <c r="AY232" s="265">
        <f t="shared" si="238"/>
        <v>0</v>
      </c>
      <c r="AZ232" s="265">
        <f t="shared" si="238"/>
        <v>0</v>
      </c>
      <c r="BA232" s="265">
        <f t="shared" si="238"/>
        <v>0</v>
      </c>
      <c r="BB232" s="113">
        <f t="shared" si="238"/>
        <v>0</v>
      </c>
      <c r="BD232" s="294"/>
      <c r="BE232" s="294"/>
      <c r="BF232" s="294"/>
      <c r="BG232" s="294"/>
      <c r="BH232" s="294"/>
      <c r="BI232" s="294"/>
      <c r="BJ232" s="294">
        <f t="shared" si="202"/>
        <v>0</v>
      </c>
    </row>
    <row r="233" spans="1:62" ht="55.2" outlineLevel="2">
      <c r="A233" s="98"/>
      <c r="B233" s="102"/>
      <c r="C233" s="23"/>
      <c r="D233" s="257"/>
      <c r="E233" s="257"/>
      <c r="F233" s="257"/>
      <c r="G233" s="257"/>
      <c r="H233" s="272"/>
      <c r="I233" s="258"/>
      <c r="J233" s="259"/>
      <c r="K233" s="259"/>
      <c r="L233" s="106" t="str">
        <f>IF(I233&lt;&gt;0,((VLOOKUP(I233,'1. Standard_Cost'!$B$4:$D$11,2)+VLOOKUP(I233,'1. Standard_Cost'!$B$4:$D$11,3))*J233*K233),"0")</f>
        <v>0</v>
      </c>
      <c r="M233" s="106">
        <f>L233*'1. Standard_Cost'!$F$4</f>
        <v>0</v>
      </c>
      <c r="N233" s="260"/>
      <c r="O233" s="260"/>
      <c r="P233" s="260"/>
      <c r="Q233" s="260"/>
      <c r="R233" s="108">
        <f>'1. Standard_Cost'!$B$15*N233*P233</f>
        <v>0</v>
      </c>
      <c r="S233" s="108">
        <f>N233*O233*P233*'1. Standard_Cost'!$C$15</f>
        <v>0</v>
      </c>
      <c r="T233" s="108">
        <f>N233*P233*Q233*'1. Standard_Cost'!$D$15</f>
        <v>0</v>
      </c>
      <c r="U233" s="108">
        <f>N233*O233*'1. Standard_Cost'!$E$15</f>
        <v>0</v>
      </c>
      <c r="V233" s="260"/>
      <c r="W233" s="260"/>
      <c r="X233" s="260"/>
      <c r="Y233" s="108">
        <f>+V233*((X233*'1. Standard_Cost'!$B$19)+(W233*X233*'1. Standard_Cost'!$C$19))</f>
        <v>0</v>
      </c>
      <c r="Z233" s="260"/>
      <c r="AA233" s="260"/>
      <c r="AB233" s="108">
        <f>+Z233*'1. Standard_Cost'!$B$23+AA233*'1. Standard_Cost'!$C$23</f>
        <v>0</v>
      </c>
      <c r="AC233" s="261"/>
      <c r="AD233" s="262"/>
      <c r="AE233" s="108">
        <f>SUM(AD233,AC233,AB233,Y233,U233,T233,S233,R233)*'1. Standard_Cost'!$B$31</f>
        <v>0</v>
      </c>
      <c r="AF233" s="108">
        <f t="shared" ref="AF233:AF235" si="239">SUM(AE233,AD233,AC233,AB233,Y233,U233,T233,S233,R233)</f>
        <v>0</v>
      </c>
      <c r="AG233" s="260"/>
      <c r="AH233" s="260"/>
      <c r="AI233" s="260"/>
      <c r="AJ233" s="263"/>
      <c r="AK233" s="263"/>
      <c r="AL233" s="263"/>
      <c r="AM233" s="108">
        <f>AG233*'1. Standard_Cost'!$B$27+'Incremental_Cost Year 10'!AH233*'1. Standard_Cost'!$C$27+'Incremental_Cost Year 10'!AI233*'1. Standard_Cost'!$D$27+'Incremental_Cost Year 10'!AJ233+'Incremental_Cost Year 10'!AL233+AK233</f>
        <v>0</v>
      </c>
      <c r="AN233" s="108">
        <f>AM233*'1. Standard_Cost'!$C$31</f>
        <v>0</v>
      </c>
      <c r="AO233" s="125" t="s">
        <v>434</v>
      </c>
      <c r="AQ233" s="14">
        <f t="shared" ref="AQ233:AQ235" si="240">L233+M233</f>
        <v>0</v>
      </c>
      <c r="AR233" s="14">
        <f t="shared" ref="AR233:AR235" si="241">AF233</f>
        <v>0</v>
      </c>
      <c r="AS233" s="14">
        <f t="shared" ref="AS233:AS235" si="242">AM233+AN233</f>
        <v>0</v>
      </c>
      <c r="AT233" s="14">
        <f>SUM(AQ233,AR233,AS233)</f>
        <v>0</v>
      </c>
      <c r="AU233" s="234"/>
      <c r="AV233" s="234"/>
      <c r="AW233" s="234"/>
      <c r="AX233" s="234"/>
      <c r="AY233" s="234"/>
      <c r="AZ233" s="234"/>
      <c r="BA233" s="234"/>
      <c r="BB233" s="16">
        <f t="shared" ref="BB233:BB235" si="243">SUM(AU233:BA233)-AT233</f>
        <v>0</v>
      </c>
      <c r="BD233" s="294">
        <f>'Incremental_Cost Year 1'!AV233+'Incremental_Cost Year 2'!AV233+'Incremental_Cost Year 3'!AV233+'Incremental_Cost Year 4'!AV233+'Incremental_Cost Year 5'!AV233+'Incremental_Cost Year 6'!AV233+'Incremental_Cost Year 7'!AV233+'Incremental_Cost Year 8'!AV233+'Incremental_Cost Year 9'!AV233+'Incremental_Cost Year 10'!AV233</f>
        <v>0</v>
      </c>
      <c r="BE233" s="294">
        <f>'Incremental_Cost Year 1'!AW233+'Incremental_Cost Year 2'!AW233+'Incremental_Cost Year 3'!AW233+'Incremental_Cost Year 4'!AW233+'Incremental_Cost Year 5'!AW233+'Incremental_Cost Year 6'!AW233+'Incremental_Cost Year 7'!AW233+'Incremental_Cost Year 8'!AW233+'Incremental_Cost Year 9'!AW233+'Incremental_Cost Year 10'!AW233</f>
        <v>0</v>
      </c>
      <c r="BF233" s="294">
        <f>'Incremental_Cost Year 1'!AX233+'Incremental_Cost Year 2'!AX233+'Incremental_Cost Year 3'!AX233+'Incremental_Cost Year 4'!AX233+'Incremental_Cost Year 5'!AX233+'Incremental_Cost Year 6'!AX233+'Incremental_Cost Year 7'!AX233+'Incremental_Cost Year 8'!AX233+'Incremental_Cost Year 9'!AX233+'Incremental_Cost Year 10'!AX233</f>
        <v>0</v>
      </c>
      <c r="BG233" s="294">
        <f>'Incremental_Cost Year 1'!AY233+'Incremental_Cost Year 2'!AZ233+'Incremental_Cost Year 3'!AY233+'Incremental_Cost Year 4'!AY233+'Incremental_Cost Year 5'!AY233+'Incremental_Cost Year 6'!AY233+'Incremental_Cost Year 7'!AY233+'Incremental_Cost Year 8'!AY233+'Incremental_Cost Year 9'!AY233+'Incremental_Cost Year 10'!AY233</f>
        <v>0</v>
      </c>
      <c r="BH233" s="294">
        <f>'Incremental_Cost Year 1'!AZ233+'Incremental_Cost Year 2'!BA233+'Incremental_Cost Year 3'!AZ233+'Incremental_Cost Year 4'!AZ233+'Incremental_Cost Year 5'!AZ233+'Incremental_Cost Year 6'!AZ233+'Incremental_Cost Year 7'!AZ233+'Incremental_Cost Year 8'!AZ233+'Incremental_Cost Year 9'!AZ233+'Incremental_Cost Year 10'!AZ233</f>
        <v>0</v>
      </c>
      <c r="BI233" s="294">
        <f>'Incremental_Cost Year 1'!BA233+'Incremental_Cost Year 2'!BA233+'Incremental_Cost Year 3'!BA233+'Incremental_Cost Year 4'!BA233+'Incremental_Cost Year 5'!BA233+'Incremental_Cost Year 6'!BA233+'Incremental_Cost Year 7'!BA233+'Incremental_Cost Year 8'!BA233+'Incremental_Cost Year 9'!BA233+'Incremental_Cost Year 10'!BA233</f>
        <v>0</v>
      </c>
      <c r="BJ233" s="294">
        <f t="shared" si="202"/>
        <v>0</v>
      </c>
    </row>
    <row r="234" spans="1:62" ht="15.6" outlineLevel="2">
      <c r="A234" s="98"/>
      <c r="B234" s="102"/>
      <c r="C234" s="23"/>
      <c r="D234" s="269"/>
      <c r="E234" s="269"/>
      <c r="F234" s="269"/>
      <c r="G234" s="269"/>
      <c r="H234" s="272"/>
      <c r="I234" s="258"/>
      <c r="J234" s="259"/>
      <c r="K234" s="259"/>
      <c r="L234" s="106" t="str">
        <f>IF(I234&lt;&gt;0,((VLOOKUP(I234,'1. Standard_Cost'!$B$4:$D$11,2)+VLOOKUP(I234,'1. Standard_Cost'!$B$4:$D$11,3))*J234*K234),"0")</f>
        <v>0</v>
      </c>
      <c r="M234" s="106">
        <f>L234*'1. Standard_Cost'!$F$4</f>
        <v>0</v>
      </c>
      <c r="N234" s="260"/>
      <c r="O234" s="260"/>
      <c r="P234" s="260"/>
      <c r="Q234" s="260"/>
      <c r="R234" s="108">
        <f>'1. Standard_Cost'!$B$15*N234*P234</f>
        <v>0</v>
      </c>
      <c r="S234" s="108">
        <f>N234*O234*P234*'1. Standard_Cost'!$C$15</f>
        <v>0</v>
      </c>
      <c r="T234" s="108">
        <f>N234*P234*Q234*'1. Standard_Cost'!$D$15</f>
        <v>0</v>
      </c>
      <c r="U234" s="108">
        <f>N234*O234*'1. Standard_Cost'!$E$15</f>
        <v>0</v>
      </c>
      <c r="V234" s="260"/>
      <c r="W234" s="260"/>
      <c r="X234" s="260"/>
      <c r="Y234" s="108">
        <f>+V234*((X234*'1. Standard_Cost'!$B$19)+(W234*X234*'1. Standard_Cost'!$C$19))</f>
        <v>0</v>
      </c>
      <c r="Z234" s="260"/>
      <c r="AA234" s="260"/>
      <c r="AB234" s="108">
        <f>+Z234*'1. Standard_Cost'!$B$23+AA234*'1. Standard_Cost'!$C$23</f>
        <v>0</v>
      </c>
      <c r="AC234" s="261"/>
      <c r="AD234" s="262"/>
      <c r="AE234" s="108">
        <f>SUM(AD234,AC234,AB234,Y234,U234,T234,S234,R234)*'1. Standard_Cost'!$B$31</f>
        <v>0</v>
      </c>
      <c r="AF234" s="108">
        <f t="shared" si="239"/>
        <v>0</v>
      </c>
      <c r="AG234" s="260"/>
      <c r="AH234" s="260"/>
      <c r="AI234" s="260"/>
      <c r="AJ234" s="263"/>
      <c r="AK234" s="263"/>
      <c r="AL234" s="263"/>
      <c r="AM234" s="108">
        <f>AG234*'1. Standard_Cost'!$B$27+'Incremental_Cost Year 10'!AH234*'1. Standard_Cost'!$C$27+'Incremental_Cost Year 10'!AI234*'1. Standard_Cost'!$D$27+'Incremental_Cost Year 10'!AJ234+'Incremental_Cost Year 10'!AL234+AK234</f>
        <v>0</v>
      </c>
      <c r="AN234" s="108">
        <f>AM234*'1. Standard_Cost'!$C$31</f>
        <v>0</v>
      </c>
      <c r="AO234" s="125" t="s">
        <v>435</v>
      </c>
      <c r="AQ234" s="14">
        <f t="shared" si="240"/>
        <v>0</v>
      </c>
      <c r="AR234" s="14">
        <f t="shared" si="241"/>
        <v>0</v>
      </c>
      <c r="AS234" s="14">
        <f t="shared" si="242"/>
        <v>0</v>
      </c>
      <c r="AT234" s="14">
        <f t="shared" ref="AT234:AT235" si="244">SUM(AQ234,AR234,AS234)</f>
        <v>0</v>
      </c>
      <c r="AU234" s="234"/>
      <c r="AV234" s="234"/>
      <c r="AW234" s="234"/>
      <c r="AX234" s="234"/>
      <c r="AY234" s="234"/>
      <c r="AZ234" s="234"/>
      <c r="BA234" s="234"/>
      <c r="BB234" s="16">
        <f t="shared" si="243"/>
        <v>0</v>
      </c>
      <c r="BD234" s="294">
        <f>'Incremental_Cost Year 1'!AV234+'Incremental_Cost Year 2'!AV234+'Incremental_Cost Year 3'!AV234+'Incremental_Cost Year 4'!AV234+'Incremental_Cost Year 5'!AV234+'Incremental_Cost Year 6'!AV234+'Incremental_Cost Year 7'!AV234+'Incremental_Cost Year 8'!AV234+'Incremental_Cost Year 9'!AV234+'Incremental_Cost Year 10'!AV234</f>
        <v>0</v>
      </c>
      <c r="BE234" s="294">
        <f>'Incremental_Cost Year 1'!AW234+'Incremental_Cost Year 2'!AW234+'Incremental_Cost Year 3'!AW234+'Incremental_Cost Year 4'!AW234+'Incremental_Cost Year 5'!AW234+'Incremental_Cost Year 6'!AW234+'Incremental_Cost Year 7'!AW234+'Incremental_Cost Year 8'!AW234+'Incremental_Cost Year 9'!AW234+'Incremental_Cost Year 10'!AW234</f>
        <v>0</v>
      </c>
      <c r="BF234" s="294">
        <f>'Incremental_Cost Year 1'!AX234+'Incremental_Cost Year 2'!AX234+'Incremental_Cost Year 3'!AX234+'Incremental_Cost Year 4'!AX234+'Incremental_Cost Year 5'!AX234+'Incremental_Cost Year 6'!AX234+'Incremental_Cost Year 7'!AX234+'Incremental_Cost Year 8'!AX234+'Incremental_Cost Year 9'!AX234+'Incremental_Cost Year 10'!AX234</f>
        <v>0</v>
      </c>
      <c r="BG234" s="294">
        <f>'Incremental_Cost Year 1'!AY234+'Incremental_Cost Year 2'!AZ234+'Incremental_Cost Year 3'!AY234+'Incremental_Cost Year 4'!AY234+'Incremental_Cost Year 5'!AY234+'Incremental_Cost Year 6'!AY234+'Incremental_Cost Year 7'!AY234+'Incremental_Cost Year 8'!AY234+'Incremental_Cost Year 9'!AY234+'Incremental_Cost Year 10'!AY234</f>
        <v>0</v>
      </c>
      <c r="BH234" s="294">
        <f>'Incremental_Cost Year 1'!AZ234+'Incremental_Cost Year 2'!BA234+'Incremental_Cost Year 3'!AZ234+'Incremental_Cost Year 4'!AZ234+'Incremental_Cost Year 5'!AZ234+'Incremental_Cost Year 6'!AZ234+'Incremental_Cost Year 7'!AZ234+'Incremental_Cost Year 8'!AZ234+'Incremental_Cost Year 9'!AZ234+'Incremental_Cost Year 10'!AZ234</f>
        <v>0</v>
      </c>
      <c r="BI234" s="294">
        <f>'Incremental_Cost Year 1'!BA234+'Incremental_Cost Year 2'!BA234+'Incremental_Cost Year 3'!BA234+'Incremental_Cost Year 4'!BA234+'Incremental_Cost Year 5'!BA234+'Incremental_Cost Year 6'!BA234+'Incremental_Cost Year 7'!BA234+'Incremental_Cost Year 8'!BA234+'Incremental_Cost Year 9'!BA234+'Incremental_Cost Year 10'!BA234</f>
        <v>0</v>
      </c>
      <c r="BJ234" s="294">
        <f t="shared" si="202"/>
        <v>0</v>
      </c>
    </row>
    <row r="235" spans="1:62" ht="15.6" outlineLevel="2">
      <c r="A235" s="98"/>
      <c r="B235" s="102"/>
      <c r="C235" s="23"/>
      <c r="D235" s="269"/>
      <c r="E235" s="269"/>
      <c r="F235" s="269"/>
      <c r="G235" s="174"/>
      <c r="H235" s="272"/>
      <c r="I235" s="258"/>
      <c r="J235" s="259"/>
      <c r="K235" s="259"/>
      <c r="L235" s="106" t="str">
        <f>IF(I235&lt;&gt;0,((VLOOKUP(I235,'1. Standard_Cost'!$B$4:$D$11,2)+VLOOKUP(I235,'1. Standard_Cost'!$B$4:$D$11,3))*J235*K235),"0")</f>
        <v>0</v>
      </c>
      <c r="M235" s="106">
        <f>L235*'1. Standard_Cost'!$F$4</f>
        <v>0</v>
      </c>
      <c r="N235" s="260"/>
      <c r="O235" s="260"/>
      <c r="P235" s="260"/>
      <c r="Q235" s="260"/>
      <c r="R235" s="108">
        <f>'1. Standard_Cost'!$B$15*N235*P235</f>
        <v>0</v>
      </c>
      <c r="S235" s="108">
        <f>N235*O235*P235*'1. Standard_Cost'!$C$15</f>
        <v>0</v>
      </c>
      <c r="T235" s="108">
        <f>N235*P235*Q235*'1. Standard_Cost'!$D$15</f>
        <v>0</v>
      </c>
      <c r="U235" s="108">
        <f>N235*O235*'1. Standard_Cost'!$E$15</f>
        <v>0</v>
      </c>
      <c r="V235" s="260"/>
      <c r="W235" s="260"/>
      <c r="X235" s="260"/>
      <c r="Y235" s="108">
        <f>+V235*((X235*'1. Standard_Cost'!$B$19)+(W235*X235*'1. Standard_Cost'!$C$19))</f>
        <v>0</v>
      </c>
      <c r="Z235" s="260"/>
      <c r="AA235" s="260"/>
      <c r="AB235" s="108">
        <f>+Z235*'1. Standard_Cost'!$B$23+AA235*'1. Standard_Cost'!$C$23</f>
        <v>0</v>
      </c>
      <c r="AC235" s="261"/>
      <c r="AD235" s="262"/>
      <c r="AE235" s="108">
        <f>SUM(AD235,AC235,AB235,Y235,U235,T235,S235,R235)*'1. Standard_Cost'!$B$31</f>
        <v>0</v>
      </c>
      <c r="AF235" s="108">
        <f t="shared" si="239"/>
        <v>0</v>
      </c>
      <c r="AG235" s="260"/>
      <c r="AH235" s="260"/>
      <c r="AI235" s="260"/>
      <c r="AJ235" s="263"/>
      <c r="AK235" s="263"/>
      <c r="AL235" s="263"/>
      <c r="AM235" s="108">
        <f>AG235*'1. Standard_Cost'!$B$27+'Incremental_Cost Year 10'!AH235*'1. Standard_Cost'!$C$27+'Incremental_Cost Year 10'!AI235*'1. Standard_Cost'!$D$27+'Incremental_Cost Year 10'!AJ235+'Incremental_Cost Year 10'!AL235+AK235</f>
        <v>0</v>
      </c>
      <c r="AN235" s="108">
        <f>AM235*'1. Standard_Cost'!$C$31</f>
        <v>0</v>
      </c>
      <c r="AO235" s="125" t="s">
        <v>436</v>
      </c>
      <c r="AQ235" s="14">
        <f t="shared" si="240"/>
        <v>0</v>
      </c>
      <c r="AR235" s="14">
        <f t="shared" si="241"/>
        <v>0</v>
      </c>
      <c r="AS235" s="14">
        <f t="shared" si="242"/>
        <v>0</v>
      </c>
      <c r="AT235" s="14">
        <f t="shared" si="244"/>
        <v>0</v>
      </c>
      <c r="AU235" s="234"/>
      <c r="AV235" s="234"/>
      <c r="AW235" s="234"/>
      <c r="AX235" s="234"/>
      <c r="AY235" s="234"/>
      <c r="AZ235" s="234"/>
      <c r="BA235" s="234"/>
      <c r="BB235" s="16">
        <f t="shared" si="243"/>
        <v>0</v>
      </c>
      <c r="BD235" s="294">
        <f>'Incremental_Cost Year 1'!AV235+'Incremental_Cost Year 2'!AV235+'Incremental_Cost Year 3'!AV235+'Incremental_Cost Year 4'!AV235+'Incremental_Cost Year 5'!AV235+'Incremental_Cost Year 6'!AV235+'Incremental_Cost Year 7'!AV235+'Incremental_Cost Year 8'!AV235+'Incremental_Cost Year 9'!AV235+'Incremental_Cost Year 10'!AV235</f>
        <v>0</v>
      </c>
      <c r="BE235" s="294">
        <f>'Incremental_Cost Year 1'!AW235+'Incremental_Cost Year 2'!AW235+'Incremental_Cost Year 3'!AW235+'Incremental_Cost Year 4'!AW235+'Incremental_Cost Year 5'!AW235+'Incremental_Cost Year 6'!AW235+'Incremental_Cost Year 7'!AW235+'Incremental_Cost Year 8'!AW235+'Incremental_Cost Year 9'!AW235+'Incremental_Cost Year 10'!AW235</f>
        <v>0</v>
      </c>
      <c r="BF235" s="294">
        <f>'Incremental_Cost Year 1'!AX235+'Incremental_Cost Year 2'!AX235+'Incremental_Cost Year 3'!AX235+'Incremental_Cost Year 4'!AX235+'Incremental_Cost Year 5'!AX235+'Incremental_Cost Year 6'!AX235+'Incremental_Cost Year 7'!AX235+'Incremental_Cost Year 8'!AX235+'Incremental_Cost Year 9'!AX235+'Incremental_Cost Year 10'!AX235</f>
        <v>0</v>
      </c>
      <c r="BG235" s="294">
        <f>'Incremental_Cost Year 1'!AY235+'Incremental_Cost Year 2'!AZ235+'Incremental_Cost Year 3'!AY235+'Incremental_Cost Year 4'!AY235+'Incremental_Cost Year 5'!AY235+'Incremental_Cost Year 6'!AY235+'Incremental_Cost Year 7'!AY235+'Incremental_Cost Year 8'!AY235+'Incremental_Cost Year 9'!AY235+'Incremental_Cost Year 10'!AY235</f>
        <v>0</v>
      </c>
      <c r="BH235" s="294">
        <f>'Incremental_Cost Year 1'!AZ235+'Incremental_Cost Year 2'!BA235+'Incremental_Cost Year 3'!AZ235+'Incremental_Cost Year 4'!AZ235+'Incremental_Cost Year 5'!AZ235+'Incremental_Cost Year 6'!AZ235+'Incremental_Cost Year 7'!AZ235+'Incremental_Cost Year 8'!AZ235+'Incremental_Cost Year 9'!AZ235+'Incremental_Cost Year 10'!AZ235</f>
        <v>0</v>
      </c>
      <c r="BI235" s="294">
        <f>'Incremental_Cost Year 1'!BA235+'Incremental_Cost Year 2'!BA235+'Incremental_Cost Year 3'!BA235+'Incremental_Cost Year 4'!BA235+'Incremental_Cost Year 5'!BA235+'Incremental_Cost Year 6'!BA235+'Incremental_Cost Year 7'!BA235+'Incremental_Cost Year 8'!BA235+'Incremental_Cost Year 9'!BA235+'Incremental_Cost Year 10'!BA235</f>
        <v>0</v>
      </c>
      <c r="BJ235" s="294">
        <f t="shared" si="202"/>
        <v>0</v>
      </c>
    </row>
    <row r="236" spans="1:62" ht="27.6" outlineLevel="1">
      <c r="A236" s="98"/>
      <c r="B236" s="102"/>
      <c r="C236" s="23"/>
      <c r="D236" s="56" t="s">
        <v>47</v>
      </c>
      <c r="E236" s="56" t="s">
        <v>261</v>
      </c>
      <c r="F236" s="253">
        <v>2021</v>
      </c>
      <c r="G236" s="254">
        <v>2026</v>
      </c>
      <c r="H236" s="277" t="s">
        <v>264</v>
      </c>
      <c r="I236" s="264"/>
      <c r="J236" s="264"/>
      <c r="K236" s="264"/>
      <c r="L236" s="113">
        <f>SUM(L233:L235)</f>
        <v>0</v>
      </c>
      <c r="M236" s="113">
        <f>SUM(M233:M235)</f>
        <v>0</v>
      </c>
      <c r="N236" s="264"/>
      <c r="O236" s="264"/>
      <c r="P236" s="264"/>
      <c r="Q236" s="264"/>
      <c r="R236" s="113">
        <f>SUM(R233:R235)</f>
        <v>0</v>
      </c>
      <c r="S236" s="113">
        <f>SUM(S233:S235)</f>
        <v>0</v>
      </c>
      <c r="T236" s="113">
        <f>SUM(T233:T235)</f>
        <v>0</v>
      </c>
      <c r="U236" s="113">
        <f>SUM(U233:U235)</f>
        <v>0</v>
      </c>
      <c r="V236" s="264"/>
      <c r="W236" s="264"/>
      <c r="X236" s="264"/>
      <c r="Y236" s="113">
        <f>SUM(Y233:Y235)</f>
        <v>0</v>
      </c>
      <c r="Z236" s="264"/>
      <c r="AA236" s="264"/>
      <c r="AB236" s="113">
        <f>SUM(AB233:AB235)</f>
        <v>0</v>
      </c>
      <c r="AC236" s="265">
        <f>SUM(AC233:AC235)</f>
        <v>0</v>
      </c>
      <c r="AD236" s="265">
        <f>SUM(AD233:AD235)</f>
        <v>0</v>
      </c>
      <c r="AE236" s="113">
        <f>SUM(AE233:AE235)</f>
        <v>0</v>
      </c>
      <c r="AF236" s="113">
        <f>SUM(AF233:AF235)</f>
        <v>0</v>
      </c>
      <c r="AG236" s="264"/>
      <c r="AH236" s="264"/>
      <c r="AI236" s="264"/>
      <c r="AJ236" s="265">
        <f>SUM(AJ233:AJ235)</f>
        <v>0</v>
      </c>
      <c r="AK236" s="265">
        <f>SUM(AK233:AK235)</f>
        <v>0</v>
      </c>
      <c r="AL236" s="265">
        <f>SUM(AL233:AL235)</f>
        <v>0</v>
      </c>
      <c r="AM236" s="113">
        <f>SUM(AM233:AM235)</f>
        <v>0</v>
      </c>
      <c r="AN236" s="113">
        <f>SUM(AN233:AN235)</f>
        <v>0</v>
      </c>
      <c r="AO236" s="131"/>
      <c r="AP236" s="17"/>
      <c r="AQ236" s="113">
        <f t="shared" ref="AQ236:BB236" si="245">SUM(AQ233:AQ235)</f>
        <v>0</v>
      </c>
      <c r="AR236" s="113">
        <f t="shared" si="245"/>
        <v>0</v>
      </c>
      <c r="AS236" s="113">
        <f t="shared" si="245"/>
        <v>0</v>
      </c>
      <c r="AT236" s="113">
        <f t="shared" si="245"/>
        <v>0</v>
      </c>
      <c r="AU236" s="265">
        <f t="shared" si="245"/>
        <v>0</v>
      </c>
      <c r="AV236" s="265">
        <f t="shared" si="245"/>
        <v>0</v>
      </c>
      <c r="AW236" s="265">
        <f t="shared" si="245"/>
        <v>0</v>
      </c>
      <c r="AX236" s="265">
        <f t="shared" si="245"/>
        <v>0</v>
      </c>
      <c r="AY236" s="265">
        <f t="shared" si="245"/>
        <v>0</v>
      </c>
      <c r="AZ236" s="265">
        <f t="shared" si="245"/>
        <v>0</v>
      </c>
      <c r="BA236" s="265">
        <f t="shared" si="245"/>
        <v>0</v>
      </c>
      <c r="BB236" s="113">
        <f t="shared" si="245"/>
        <v>0</v>
      </c>
      <c r="BD236" s="294"/>
      <c r="BE236" s="294"/>
      <c r="BF236" s="294"/>
      <c r="BG236" s="294"/>
      <c r="BH236" s="294"/>
      <c r="BI236" s="294"/>
      <c r="BJ236" s="294"/>
    </row>
    <row r="237" spans="1:62" ht="15.6" outlineLevel="2">
      <c r="A237" s="98"/>
      <c r="B237" s="102"/>
      <c r="C237" s="23"/>
      <c r="D237" s="269"/>
      <c r="E237" s="269"/>
      <c r="F237" s="269"/>
      <c r="G237" s="269"/>
      <c r="H237" s="272"/>
      <c r="I237" s="258"/>
      <c r="J237" s="259"/>
      <c r="K237" s="259"/>
      <c r="L237" s="106" t="str">
        <f>IF(I237&lt;&gt;0,((VLOOKUP(I237,'1. Standard_Cost'!$B$4:$D$11,2)+VLOOKUP(I237,'1. Standard_Cost'!$B$4:$D$11,3))*J237*K237),"0")</f>
        <v>0</v>
      </c>
      <c r="M237" s="106">
        <f>L237*'1. Standard_Cost'!$F$4</f>
        <v>0</v>
      </c>
      <c r="N237" s="260"/>
      <c r="O237" s="260"/>
      <c r="P237" s="260"/>
      <c r="Q237" s="260"/>
      <c r="R237" s="108">
        <f>'1. Standard_Cost'!$B$15*N237*P237</f>
        <v>0</v>
      </c>
      <c r="S237" s="108">
        <f>N237*O237*P237*'1. Standard_Cost'!$C$15</f>
        <v>0</v>
      </c>
      <c r="T237" s="108">
        <f>N237*P237*Q237*'1. Standard_Cost'!$D$15</f>
        <v>0</v>
      </c>
      <c r="U237" s="108">
        <f>N237*O237*'1. Standard_Cost'!$E$15</f>
        <v>0</v>
      </c>
      <c r="V237" s="260"/>
      <c r="W237" s="260"/>
      <c r="X237" s="260"/>
      <c r="Y237" s="108">
        <f>+V237*((X237*'1. Standard_Cost'!$B$19)+(W237*X237*'1. Standard_Cost'!$C$19))</f>
        <v>0</v>
      </c>
      <c r="Z237" s="260"/>
      <c r="AA237" s="260"/>
      <c r="AB237" s="108">
        <f>+Z237*'1. Standard_Cost'!$B$23+AA237*'1. Standard_Cost'!$C$23</f>
        <v>0</v>
      </c>
      <c r="AC237" s="261"/>
      <c r="AD237" s="262"/>
      <c r="AE237" s="108">
        <f>SUM(AD237,AC237,AB237,Y237,U237,T237,S237,R237)*'1. Standard_Cost'!$B$31</f>
        <v>0</v>
      </c>
      <c r="AF237" s="108">
        <f t="shared" ref="AF237:AF241" si="246">SUM(AE237,AD237,AC237,AB237,Y237,U237,T237,S237,R237)</f>
        <v>0</v>
      </c>
      <c r="AG237" s="260"/>
      <c r="AH237" s="260"/>
      <c r="AI237" s="260"/>
      <c r="AJ237" s="263"/>
      <c r="AK237" s="263"/>
      <c r="AL237" s="263"/>
      <c r="AM237" s="108">
        <f>AG237*'1. Standard_Cost'!$B$27+'Incremental_Cost Year 10'!AH237*'1. Standard_Cost'!$C$27+'Incremental_Cost Year 10'!AI237*'1. Standard_Cost'!$D$27+'Incremental_Cost Year 10'!AJ237+'Incremental_Cost Year 10'!AL237+AK237</f>
        <v>0</v>
      </c>
      <c r="AN237" s="108">
        <f>AM237*'1. Standard_Cost'!$C$31</f>
        <v>0</v>
      </c>
      <c r="AO237" s="125" t="s">
        <v>437</v>
      </c>
      <c r="AQ237" s="14">
        <f t="shared" ref="AQ237:AQ241" si="247">L237+M237</f>
        <v>0</v>
      </c>
      <c r="AR237" s="14">
        <f t="shared" ref="AR237:AR241" si="248">AF237</f>
        <v>0</v>
      </c>
      <c r="AS237" s="14">
        <f t="shared" ref="AS237:AS241" si="249">AM237+AN237</f>
        <v>0</v>
      </c>
      <c r="AT237" s="14">
        <f>SUM(AQ237,AR237,AS237)</f>
        <v>0</v>
      </c>
      <c r="AU237" s="234"/>
      <c r="AV237" s="234"/>
      <c r="AW237" s="234"/>
      <c r="AX237" s="234"/>
      <c r="AY237" s="234"/>
      <c r="AZ237" s="234"/>
      <c r="BA237" s="234"/>
      <c r="BB237" s="16">
        <f t="shared" ref="BB237:BB241" si="250">SUM(AU237:BA237)-AT237</f>
        <v>0</v>
      </c>
      <c r="BD237" s="294">
        <f>'Incremental_Cost Year 1'!AV237+'Incremental_Cost Year 2'!AV237+'Incremental_Cost Year 3'!AV237+'Incremental_Cost Year 4'!AV237+'Incremental_Cost Year 5'!AV237+'Incremental_Cost Year 6'!AV237+'Incremental_Cost Year 7'!AV237+'Incremental_Cost Year 8'!AV237+'Incremental_Cost Year 9'!AV237+'Incremental_Cost Year 10'!AV237</f>
        <v>0</v>
      </c>
      <c r="BE237" s="294">
        <f>'Incremental_Cost Year 1'!AW237+'Incremental_Cost Year 2'!AW237+'Incremental_Cost Year 3'!AW237+'Incremental_Cost Year 4'!AW237+'Incremental_Cost Year 5'!AW237+'Incremental_Cost Year 6'!AW237+'Incremental_Cost Year 7'!AW237+'Incremental_Cost Year 8'!AW237+'Incremental_Cost Year 9'!AW237+'Incremental_Cost Year 10'!AW237</f>
        <v>0</v>
      </c>
      <c r="BF237" s="294">
        <f>'Incremental_Cost Year 1'!AX237+'Incremental_Cost Year 2'!AX237+'Incremental_Cost Year 3'!AX237+'Incremental_Cost Year 4'!AX237+'Incremental_Cost Year 5'!AX237+'Incremental_Cost Year 6'!AX237+'Incremental_Cost Year 7'!AX237+'Incremental_Cost Year 8'!AX237+'Incremental_Cost Year 9'!AX237+'Incremental_Cost Year 10'!AX237</f>
        <v>0</v>
      </c>
      <c r="BG237" s="294">
        <f>'Incremental_Cost Year 1'!AY237+'Incremental_Cost Year 2'!AZ237+'Incremental_Cost Year 3'!AY237+'Incremental_Cost Year 4'!AY237+'Incremental_Cost Year 5'!AY237+'Incremental_Cost Year 6'!AY237+'Incremental_Cost Year 7'!AY237+'Incremental_Cost Year 8'!AY237+'Incremental_Cost Year 9'!AY237+'Incremental_Cost Year 10'!AY237</f>
        <v>0</v>
      </c>
      <c r="BH237" s="294">
        <f>'Incremental_Cost Year 1'!AZ237+'Incremental_Cost Year 2'!BA237+'Incremental_Cost Year 3'!AZ237+'Incremental_Cost Year 4'!AZ237+'Incremental_Cost Year 5'!AZ237+'Incremental_Cost Year 6'!AZ237+'Incremental_Cost Year 7'!AZ237+'Incremental_Cost Year 8'!AZ237+'Incremental_Cost Year 9'!AZ237+'Incremental_Cost Year 10'!AZ237</f>
        <v>0</v>
      </c>
      <c r="BI237" s="294">
        <f>'Incremental_Cost Year 1'!BA237+'Incremental_Cost Year 2'!BA237+'Incremental_Cost Year 3'!BA237+'Incremental_Cost Year 4'!BA237+'Incremental_Cost Year 5'!BA237+'Incremental_Cost Year 6'!BA237+'Incremental_Cost Year 7'!BA237+'Incremental_Cost Year 8'!BA237+'Incremental_Cost Year 9'!BA237+'Incremental_Cost Year 10'!BA237</f>
        <v>0</v>
      </c>
      <c r="BJ237" s="294">
        <f t="shared" si="202"/>
        <v>0</v>
      </c>
    </row>
    <row r="238" spans="1:62" ht="15.6" outlineLevel="2">
      <c r="A238" s="98"/>
      <c r="B238" s="102"/>
      <c r="C238" s="23"/>
      <c r="D238" s="269"/>
      <c r="E238" s="269"/>
      <c r="F238" s="269"/>
      <c r="G238" s="269"/>
      <c r="H238" s="272"/>
      <c r="I238" s="258"/>
      <c r="J238" s="259"/>
      <c r="K238" s="259"/>
      <c r="L238" s="106" t="str">
        <f>IF(I238&lt;&gt;0,((VLOOKUP(I238,'1. Standard_Cost'!$B$4:$D$11,2)+VLOOKUP(I238,'1. Standard_Cost'!$B$4:$D$11,3))*J238*K238),"0")</f>
        <v>0</v>
      </c>
      <c r="M238" s="106">
        <f>L238*'1. Standard_Cost'!$F$4</f>
        <v>0</v>
      </c>
      <c r="N238" s="260"/>
      <c r="O238" s="260"/>
      <c r="P238" s="260"/>
      <c r="Q238" s="260"/>
      <c r="R238" s="108">
        <f>'1. Standard_Cost'!$B$15*N238*P238</f>
        <v>0</v>
      </c>
      <c r="S238" s="108">
        <f>N238*O238*P238*'1. Standard_Cost'!$C$15</f>
        <v>0</v>
      </c>
      <c r="T238" s="108">
        <f>N238*P238*Q238*'1. Standard_Cost'!$D$15</f>
        <v>0</v>
      </c>
      <c r="U238" s="108">
        <f>N238*O238*'1. Standard_Cost'!$E$15</f>
        <v>0</v>
      </c>
      <c r="V238" s="260"/>
      <c r="W238" s="260"/>
      <c r="X238" s="260"/>
      <c r="Y238" s="108">
        <f>+V238*((X238*'1. Standard_Cost'!$B$19)+(W238*X238*'1. Standard_Cost'!$C$19))</f>
        <v>0</v>
      </c>
      <c r="Z238" s="260"/>
      <c r="AA238" s="260"/>
      <c r="AB238" s="108">
        <f>+Z238*'1. Standard_Cost'!$B$23+AA238*'1. Standard_Cost'!$C$23</f>
        <v>0</v>
      </c>
      <c r="AC238" s="261"/>
      <c r="AD238" s="262"/>
      <c r="AE238" s="108">
        <f>SUM(AD238,AC238,AB238,Y238,U238,T238,S238,R238)*'1. Standard_Cost'!$B$31</f>
        <v>0</v>
      </c>
      <c r="AF238" s="108">
        <f t="shared" si="246"/>
        <v>0</v>
      </c>
      <c r="AG238" s="260"/>
      <c r="AH238" s="260"/>
      <c r="AI238" s="260"/>
      <c r="AJ238" s="263"/>
      <c r="AK238" s="263"/>
      <c r="AL238" s="263"/>
      <c r="AM238" s="108">
        <f>AG238*'1. Standard_Cost'!$B$27+'Incremental_Cost Year 10'!AH238*'1. Standard_Cost'!$C$27+'Incremental_Cost Year 10'!AI238*'1. Standard_Cost'!$D$27+'Incremental_Cost Year 10'!AJ238+'Incremental_Cost Year 10'!AL238+AK238</f>
        <v>0</v>
      </c>
      <c r="AN238" s="108">
        <f>AM238*'1. Standard_Cost'!$C$31</f>
        <v>0</v>
      </c>
      <c r="AO238" s="125" t="s">
        <v>438</v>
      </c>
      <c r="AQ238" s="14">
        <f t="shared" si="247"/>
        <v>0</v>
      </c>
      <c r="AR238" s="14">
        <f t="shared" si="248"/>
        <v>0</v>
      </c>
      <c r="AS238" s="14">
        <f t="shared" si="249"/>
        <v>0</v>
      </c>
      <c r="AT238" s="14">
        <f t="shared" ref="AT238:AT241" si="251">SUM(AQ238,AR238,AS238)</f>
        <v>0</v>
      </c>
      <c r="AU238" s="234"/>
      <c r="AV238" s="234"/>
      <c r="AW238" s="234"/>
      <c r="AX238" s="234"/>
      <c r="AY238" s="234"/>
      <c r="AZ238" s="234"/>
      <c r="BA238" s="234"/>
      <c r="BB238" s="16">
        <f t="shared" si="250"/>
        <v>0</v>
      </c>
      <c r="BD238" s="294">
        <f>'Incremental_Cost Year 1'!AV238+'Incremental_Cost Year 2'!AV238+'Incremental_Cost Year 3'!AV238+'Incremental_Cost Year 4'!AV238+'Incremental_Cost Year 5'!AV238+'Incremental_Cost Year 6'!AV238+'Incremental_Cost Year 7'!AV238+'Incremental_Cost Year 8'!AV238+'Incremental_Cost Year 9'!AV238+'Incremental_Cost Year 10'!AV238</f>
        <v>0</v>
      </c>
      <c r="BE238" s="294">
        <f>'Incremental_Cost Year 1'!AW238+'Incremental_Cost Year 2'!AW238+'Incremental_Cost Year 3'!AW238+'Incremental_Cost Year 4'!AW238+'Incremental_Cost Year 5'!AW238+'Incremental_Cost Year 6'!AW238+'Incremental_Cost Year 7'!AW238+'Incremental_Cost Year 8'!AW238+'Incremental_Cost Year 9'!AW238+'Incremental_Cost Year 10'!AW238</f>
        <v>0</v>
      </c>
      <c r="BF238" s="294">
        <f>'Incremental_Cost Year 1'!AX238+'Incremental_Cost Year 2'!AX238+'Incremental_Cost Year 3'!AX238+'Incremental_Cost Year 4'!AX238+'Incremental_Cost Year 5'!AX238+'Incremental_Cost Year 6'!AX238+'Incremental_Cost Year 7'!AX238+'Incremental_Cost Year 8'!AX238+'Incremental_Cost Year 9'!AX238+'Incremental_Cost Year 10'!AX238</f>
        <v>0</v>
      </c>
      <c r="BG238" s="294">
        <f>'Incremental_Cost Year 1'!AY238+'Incremental_Cost Year 2'!AZ238+'Incremental_Cost Year 3'!AY238+'Incremental_Cost Year 4'!AY238+'Incremental_Cost Year 5'!AY238+'Incremental_Cost Year 6'!AY238+'Incremental_Cost Year 7'!AY238+'Incremental_Cost Year 8'!AY238+'Incremental_Cost Year 9'!AY238+'Incremental_Cost Year 10'!AY238</f>
        <v>0</v>
      </c>
      <c r="BH238" s="294">
        <f>'Incremental_Cost Year 1'!AZ238+'Incremental_Cost Year 2'!BA238+'Incremental_Cost Year 3'!AZ238+'Incremental_Cost Year 4'!AZ238+'Incremental_Cost Year 5'!AZ238+'Incremental_Cost Year 6'!AZ238+'Incremental_Cost Year 7'!AZ238+'Incremental_Cost Year 8'!AZ238+'Incremental_Cost Year 9'!AZ238+'Incremental_Cost Year 10'!AZ238</f>
        <v>0</v>
      </c>
      <c r="BI238" s="294">
        <f>'Incremental_Cost Year 1'!BA238+'Incremental_Cost Year 2'!BA238+'Incremental_Cost Year 3'!BA238+'Incremental_Cost Year 4'!BA238+'Incremental_Cost Year 5'!BA238+'Incremental_Cost Year 6'!BA238+'Incremental_Cost Year 7'!BA238+'Incremental_Cost Year 8'!BA238+'Incremental_Cost Year 9'!BA238+'Incremental_Cost Year 10'!BA238</f>
        <v>0</v>
      </c>
      <c r="BJ238" s="294">
        <f t="shared" si="202"/>
        <v>0</v>
      </c>
    </row>
    <row r="239" spans="1:62" ht="15.6" outlineLevel="2">
      <c r="A239" s="98"/>
      <c r="B239" s="102"/>
      <c r="C239" s="23"/>
      <c r="D239" s="269"/>
      <c r="E239" s="269"/>
      <c r="F239" s="269"/>
      <c r="G239" s="269"/>
      <c r="H239" s="272"/>
      <c r="I239" s="258"/>
      <c r="J239" s="259"/>
      <c r="K239" s="259"/>
      <c r="L239" s="106" t="str">
        <f>IF(I239&lt;&gt;0,((VLOOKUP(I239,'1. Standard_Cost'!$B$4:$D$11,2)+VLOOKUP(I239,'1. Standard_Cost'!$B$4:$D$11,3))*J239*K239),"0")</f>
        <v>0</v>
      </c>
      <c r="M239" s="106">
        <f>L239*'1. Standard_Cost'!$F$4</f>
        <v>0</v>
      </c>
      <c r="N239" s="260"/>
      <c r="O239" s="260"/>
      <c r="P239" s="260"/>
      <c r="Q239" s="260"/>
      <c r="R239" s="108">
        <f>'1. Standard_Cost'!$B$15*N239*P239</f>
        <v>0</v>
      </c>
      <c r="S239" s="108">
        <f>N239*O239*P239*'1. Standard_Cost'!$C$15</f>
        <v>0</v>
      </c>
      <c r="T239" s="108">
        <f>N239*P239*Q239*'1. Standard_Cost'!$D$15</f>
        <v>0</v>
      </c>
      <c r="U239" s="108">
        <f>N239*O239*'1. Standard_Cost'!$E$15</f>
        <v>0</v>
      </c>
      <c r="V239" s="260"/>
      <c r="W239" s="260"/>
      <c r="X239" s="260"/>
      <c r="Y239" s="108">
        <f>+V239*((X239*'1. Standard_Cost'!$B$19)+(W239*X239*'1. Standard_Cost'!$C$19))</f>
        <v>0</v>
      </c>
      <c r="Z239" s="260"/>
      <c r="AA239" s="260"/>
      <c r="AB239" s="108">
        <f>+Z239*'1. Standard_Cost'!$B$23+AA239*'1. Standard_Cost'!$C$23</f>
        <v>0</v>
      </c>
      <c r="AC239" s="261"/>
      <c r="AD239" s="262"/>
      <c r="AE239" s="108">
        <f>SUM(AD239,AC239,AB239,Y239,U239,T239,S239,R239)*'1. Standard_Cost'!$B$31</f>
        <v>0</v>
      </c>
      <c r="AF239" s="108">
        <f t="shared" si="246"/>
        <v>0</v>
      </c>
      <c r="AG239" s="260"/>
      <c r="AH239" s="260"/>
      <c r="AI239" s="260"/>
      <c r="AJ239" s="263"/>
      <c r="AK239" s="263"/>
      <c r="AL239" s="263"/>
      <c r="AM239" s="108">
        <f>AG239*'1. Standard_Cost'!$B$27+'Incremental_Cost Year 10'!AH239*'1. Standard_Cost'!$C$27+'Incremental_Cost Year 10'!AI239*'1. Standard_Cost'!$D$27+'Incremental_Cost Year 10'!AJ239+'Incremental_Cost Year 10'!AL239+AK239</f>
        <v>0</v>
      </c>
      <c r="AN239" s="108">
        <f>AM239*'1. Standard_Cost'!$C$31</f>
        <v>0</v>
      </c>
      <c r="AO239" s="125" t="s">
        <v>439</v>
      </c>
      <c r="AQ239" s="14">
        <f t="shared" si="247"/>
        <v>0</v>
      </c>
      <c r="AR239" s="14">
        <f t="shared" si="248"/>
        <v>0</v>
      </c>
      <c r="AS239" s="14">
        <f t="shared" si="249"/>
        <v>0</v>
      </c>
      <c r="AT239" s="14">
        <f t="shared" si="251"/>
        <v>0</v>
      </c>
      <c r="AU239" s="234"/>
      <c r="AV239" s="234"/>
      <c r="AW239" s="234"/>
      <c r="AX239" s="234"/>
      <c r="AY239" s="234"/>
      <c r="AZ239" s="234"/>
      <c r="BA239" s="234"/>
      <c r="BB239" s="16">
        <f t="shared" si="250"/>
        <v>0</v>
      </c>
      <c r="BD239" s="294">
        <f>'Incremental_Cost Year 1'!AV239+'Incremental_Cost Year 2'!AV239+'Incremental_Cost Year 3'!AV239+'Incremental_Cost Year 4'!AV239+'Incremental_Cost Year 5'!AV239+'Incremental_Cost Year 6'!AV239+'Incremental_Cost Year 7'!AV239+'Incremental_Cost Year 8'!AV239+'Incremental_Cost Year 9'!AV239+'Incremental_Cost Year 10'!AV239</f>
        <v>0</v>
      </c>
      <c r="BE239" s="294">
        <f>'Incremental_Cost Year 1'!AW239+'Incremental_Cost Year 2'!AW239+'Incremental_Cost Year 3'!AW239+'Incremental_Cost Year 4'!AW239+'Incremental_Cost Year 5'!AW239+'Incremental_Cost Year 6'!AW239+'Incremental_Cost Year 7'!AW239+'Incremental_Cost Year 8'!AW239+'Incremental_Cost Year 9'!AW239+'Incremental_Cost Year 10'!AW239</f>
        <v>0</v>
      </c>
      <c r="BF239" s="294">
        <f>'Incremental_Cost Year 1'!AX239+'Incremental_Cost Year 2'!AX239+'Incremental_Cost Year 3'!AX239+'Incremental_Cost Year 4'!AX239+'Incremental_Cost Year 5'!AX239+'Incremental_Cost Year 6'!AX239+'Incremental_Cost Year 7'!AX239+'Incremental_Cost Year 8'!AX239+'Incremental_Cost Year 9'!AX239+'Incremental_Cost Year 10'!AX239</f>
        <v>0</v>
      </c>
      <c r="BG239" s="294">
        <f>'Incremental_Cost Year 1'!AY239+'Incremental_Cost Year 2'!AZ239+'Incremental_Cost Year 3'!AY239+'Incremental_Cost Year 4'!AY239+'Incremental_Cost Year 5'!AY239+'Incremental_Cost Year 6'!AY239+'Incremental_Cost Year 7'!AY239+'Incremental_Cost Year 8'!AY239+'Incremental_Cost Year 9'!AY239+'Incremental_Cost Year 10'!AY239</f>
        <v>0</v>
      </c>
      <c r="BH239" s="294">
        <f>'Incremental_Cost Year 1'!AZ239+'Incremental_Cost Year 2'!BA239+'Incremental_Cost Year 3'!AZ239+'Incremental_Cost Year 4'!AZ239+'Incremental_Cost Year 5'!AZ239+'Incremental_Cost Year 6'!AZ239+'Incremental_Cost Year 7'!AZ239+'Incremental_Cost Year 8'!AZ239+'Incremental_Cost Year 9'!AZ239+'Incremental_Cost Year 10'!AZ239</f>
        <v>0</v>
      </c>
      <c r="BI239" s="294">
        <f>'Incremental_Cost Year 1'!BA239+'Incremental_Cost Year 2'!BA239+'Incremental_Cost Year 3'!BA239+'Incremental_Cost Year 4'!BA239+'Incremental_Cost Year 5'!BA239+'Incremental_Cost Year 6'!BA239+'Incremental_Cost Year 7'!BA239+'Incremental_Cost Year 8'!BA239+'Incremental_Cost Year 9'!BA239+'Incremental_Cost Year 10'!BA239</f>
        <v>0</v>
      </c>
      <c r="BJ239" s="294">
        <f t="shared" si="202"/>
        <v>0</v>
      </c>
    </row>
    <row r="240" spans="1:62" ht="15.6" outlineLevel="2">
      <c r="A240" s="98"/>
      <c r="B240" s="102"/>
      <c r="C240" s="23"/>
      <c r="D240" s="269"/>
      <c r="E240" s="269"/>
      <c r="F240" s="269"/>
      <c r="G240" s="269"/>
      <c r="H240" s="272"/>
      <c r="I240" s="258"/>
      <c r="J240" s="259"/>
      <c r="K240" s="259"/>
      <c r="L240" s="106" t="str">
        <f>IF(I240&lt;&gt;0,((VLOOKUP(I240,'1. Standard_Cost'!$B$4:$D$11,2)+VLOOKUP(I240,'1. Standard_Cost'!$B$4:$D$11,3))*J240*K240),"0")</f>
        <v>0</v>
      </c>
      <c r="M240" s="106">
        <f>L240*'1. Standard_Cost'!$F$4</f>
        <v>0</v>
      </c>
      <c r="N240" s="260"/>
      <c r="O240" s="260"/>
      <c r="P240" s="260"/>
      <c r="Q240" s="260"/>
      <c r="R240" s="108">
        <f>'1. Standard_Cost'!$B$15*N240*P240</f>
        <v>0</v>
      </c>
      <c r="S240" s="108">
        <f>N240*O240*P240*'1. Standard_Cost'!$C$15</f>
        <v>0</v>
      </c>
      <c r="T240" s="108">
        <f>N240*P240*Q240*'1. Standard_Cost'!$D$15</f>
        <v>0</v>
      </c>
      <c r="U240" s="108">
        <f>N240*O240*'1. Standard_Cost'!$E$15</f>
        <v>0</v>
      </c>
      <c r="V240" s="260"/>
      <c r="W240" s="260"/>
      <c r="X240" s="260"/>
      <c r="Y240" s="108">
        <f>+V240*((X240*'1. Standard_Cost'!$B$19)+(W240*X240*'1. Standard_Cost'!$C$19))</f>
        <v>0</v>
      </c>
      <c r="Z240" s="260"/>
      <c r="AA240" s="260"/>
      <c r="AB240" s="108">
        <f>+Z240*'1. Standard_Cost'!$B$23+AA240*'1. Standard_Cost'!$C$23</f>
        <v>0</v>
      </c>
      <c r="AC240" s="261"/>
      <c r="AD240" s="262"/>
      <c r="AE240" s="108">
        <f>SUM(AD240,AC240,AB240,Y240,U240,T240,S240,R240)*'1. Standard_Cost'!$B$31</f>
        <v>0</v>
      </c>
      <c r="AF240" s="108">
        <f t="shared" si="246"/>
        <v>0</v>
      </c>
      <c r="AG240" s="260"/>
      <c r="AH240" s="260"/>
      <c r="AI240" s="260"/>
      <c r="AJ240" s="263"/>
      <c r="AK240" s="263"/>
      <c r="AL240" s="263"/>
      <c r="AM240" s="108">
        <f>AG240*'1. Standard_Cost'!$B$27+'Incremental_Cost Year 10'!AH240*'1. Standard_Cost'!$C$27+'Incremental_Cost Year 10'!AI240*'1. Standard_Cost'!$D$27+'Incremental_Cost Year 10'!AJ240+'Incremental_Cost Year 10'!AL240+AK240</f>
        <v>0</v>
      </c>
      <c r="AN240" s="108">
        <f>AM240*'1. Standard_Cost'!$C$31</f>
        <v>0</v>
      </c>
      <c r="AO240" s="125" t="s">
        <v>440</v>
      </c>
      <c r="AQ240" s="14">
        <f t="shared" si="247"/>
        <v>0</v>
      </c>
      <c r="AR240" s="14">
        <f t="shared" si="248"/>
        <v>0</v>
      </c>
      <c r="AS240" s="14">
        <f t="shared" si="249"/>
        <v>0</v>
      </c>
      <c r="AT240" s="14">
        <f t="shared" si="251"/>
        <v>0</v>
      </c>
      <c r="AU240" s="234"/>
      <c r="AV240" s="234"/>
      <c r="AW240" s="234"/>
      <c r="AX240" s="234"/>
      <c r="AY240" s="234"/>
      <c r="AZ240" s="234"/>
      <c r="BA240" s="234"/>
      <c r="BB240" s="16">
        <f t="shared" si="250"/>
        <v>0</v>
      </c>
      <c r="BD240" s="294">
        <f>'Incremental_Cost Year 1'!AV240+'Incremental_Cost Year 2'!AV240+'Incremental_Cost Year 3'!AV240+'Incremental_Cost Year 4'!AV240+'Incremental_Cost Year 5'!AV240+'Incremental_Cost Year 6'!AV240+'Incremental_Cost Year 7'!AV240+'Incremental_Cost Year 8'!AV240+'Incremental_Cost Year 9'!AV240+'Incremental_Cost Year 10'!AV240</f>
        <v>0</v>
      </c>
      <c r="BE240" s="294">
        <f>'Incremental_Cost Year 1'!AW240+'Incremental_Cost Year 2'!AW240+'Incremental_Cost Year 3'!AW240+'Incremental_Cost Year 4'!AW240+'Incremental_Cost Year 5'!AW240+'Incremental_Cost Year 6'!AW240+'Incremental_Cost Year 7'!AW240+'Incremental_Cost Year 8'!AW240+'Incremental_Cost Year 9'!AW240+'Incremental_Cost Year 10'!AW240</f>
        <v>0</v>
      </c>
      <c r="BF240" s="294">
        <f>'Incremental_Cost Year 1'!AX240+'Incremental_Cost Year 2'!AX240+'Incremental_Cost Year 3'!AX240+'Incremental_Cost Year 4'!AX240+'Incremental_Cost Year 5'!AX240+'Incremental_Cost Year 6'!AX240+'Incremental_Cost Year 7'!AX240+'Incremental_Cost Year 8'!AX240+'Incremental_Cost Year 9'!AX240+'Incremental_Cost Year 10'!AX240</f>
        <v>0</v>
      </c>
      <c r="BG240" s="294">
        <f>'Incremental_Cost Year 1'!AY240+'Incremental_Cost Year 2'!AZ240+'Incremental_Cost Year 3'!AY240+'Incremental_Cost Year 4'!AY240+'Incremental_Cost Year 5'!AY240+'Incremental_Cost Year 6'!AY240+'Incremental_Cost Year 7'!AY240+'Incremental_Cost Year 8'!AY240+'Incremental_Cost Year 9'!AY240+'Incremental_Cost Year 10'!AY240</f>
        <v>0</v>
      </c>
      <c r="BH240" s="294">
        <f>'Incremental_Cost Year 1'!AZ240+'Incremental_Cost Year 2'!BA240+'Incremental_Cost Year 3'!AZ240+'Incremental_Cost Year 4'!AZ240+'Incremental_Cost Year 5'!AZ240+'Incremental_Cost Year 6'!AZ240+'Incremental_Cost Year 7'!AZ240+'Incremental_Cost Year 8'!AZ240+'Incremental_Cost Year 9'!AZ240+'Incremental_Cost Year 10'!AZ240</f>
        <v>0</v>
      </c>
      <c r="BI240" s="294">
        <f>'Incremental_Cost Year 1'!BA240+'Incremental_Cost Year 2'!BA240+'Incremental_Cost Year 3'!BA240+'Incremental_Cost Year 4'!BA240+'Incremental_Cost Year 5'!BA240+'Incremental_Cost Year 6'!BA240+'Incremental_Cost Year 7'!BA240+'Incremental_Cost Year 8'!BA240+'Incremental_Cost Year 9'!BA240+'Incremental_Cost Year 10'!BA240</f>
        <v>0</v>
      </c>
      <c r="BJ240" s="294">
        <f t="shared" si="202"/>
        <v>0</v>
      </c>
    </row>
    <row r="241" spans="1:62" ht="15.6" outlineLevel="2">
      <c r="A241" s="98"/>
      <c r="B241" s="102"/>
      <c r="C241" s="23"/>
      <c r="D241" s="269"/>
      <c r="E241" s="269"/>
      <c r="F241" s="269"/>
      <c r="G241" s="269"/>
      <c r="H241" s="272"/>
      <c r="I241" s="258"/>
      <c r="J241" s="259"/>
      <c r="K241" s="259"/>
      <c r="L241" s="106" t="str">
        <f>IF(I241&lt;&gt;0,((VLOOKUP(I241,'1. Standard_Cost'!$B$4:$D$11,2)+VLOOKUP(I241,'1. Standard_Cost'!$B$4:$D$11,3))*J241*K241),"0")</f>
        <v>0</v>
      </c>
      <c r="M241" s="106">
        <f>L241*'1. Standard_Cost'!$F$4</f>
        <v>0</v>
      </c>
      <c r="N241" s="260"/>
      <c r="O241" s="260"/>
      <c r="P241" s="260"/>
      <c r="Q241" s="260"/>
      <c r="R241" s="108">
        <f>'1. Standard_Cost'!$B$15*N241*P241</f>
        <v>0</v>
      </c>
      <c r="S241" s="108">
        <f>N241*O241*P241*'1. Standard_Cost'!$C$15</f>
        <v>0</v>
      </c>
      <c r="T241" s="108">
        <f>N241*P241*Q241*'1. Standard_Cost'!$D$15</f>
        <v>0</v>
      </c>
      <c r="U241" s="108">
        <f>N241*O241*'1. Standard_Cost'!$E$15</f>
        <v>0</v>
      </c>
      <c r="V241" s="260"/>
      <c r="W241" s="260"/>
      <c r="X241" s="260"/>
      <c r="Y241" s="108">
        <f>+V241*((X241*'1. Standard_Cost'!$B$19)+(W241*X241*'1. Standard_Cost'!$C$19))</f>
        <v>0</v>
      </c>
      <c r="Z241" s="260"/>
      <c r="AA241" s="260"/>
      <c r="AB241" s="108">
        <f>+Z241*'1. Standard_Cost'!$B$23+AA241*'1. Standard_Cost'!$C$23</f>
        <v>0</v>
      </c>
      <c r="AC241" s="261"/>
      <c r="AD241" s="262"/>
      <c r="AE241" s="108">
        <f>SUM(AD241,AC241,AB241,Y241,U241,T241,S241,R241)*'1. Standard_Cost'!$B$31</f>
        <v>0</v>
      </c>
      <c r="AF241" s="108">
        <f t="shared" si="246"/>
        <v>0</v>
      </c>
      <c r="AG241" s="260"/>
      <c r="AH241" s="260"/>
      <c r="AI241" s="260"/>
      <c r="AJ241" s="263"/>
      <c r="AK241" s="263"/>
      <c r="AL241" s="263"/>
      <c r="AM241" s="108">
        <f>AG241*'1. Standard_Cost'!$B$27+'Incremental_Cost Year 10'!AH241*'1. Standard_Cost'!$C$27+'Incremental_Cost Year 10'!AI241*'1. Standard_Cost'!$D$27+'Incremental_Cost Year 10'!AJ241+'Incremental_Cost Year 10'!AL241+AK241</f>
        <v>0</v>
      </c>
      <c r="AN241" s="108">
        <f>AM241*'1. Standard_Cost'!$C$31</f>
        <v>0</v>
      </c>
      <c r="AO241" s="125" t="s">
        <v>441</v>
      </c>
      <c r="AQ241" s="14">
        <f t="shared" si="247"/>
        <v>0</v>
      </c>
      <c r="AR241" s="14">
        <f t="shared" si="248"/>
        <v>0</v>
      </c>
      <c r="AS241" s="14">
        <f t="shared" si="249"/>
        <v>0</v>
      </c>
      <c r="AT241" s="14">
        <f t="shared" si="251"/>
        <v>0</v>
      </c>
      <c r="AU241" s="234"/>
      <c r="AV241" s="234"/>
      <c r="AW241" s="234"/>
      <c r="AX241" s="234"/>
      <c r="AY241" s="234"/>
      <c r="AZ241" s="234"/>
      <c r="BA241" s="234"/>
      <c r="BB241" s="16">
        <f t="shared" si="250"/>
        <v>0</v>
      </c>
      <c r="BD241" s="294">
        <f>'Incremental_Cost Year 1'!AV241+'Incremental_Cost Year 2'!AV241+'Incremental_Cost Year 3'!AV241+'Incremental_Cost Year 4'!AV241+'Incremental_Cost Year 5'!AV241+'Incremental_Cost Year 6'!AV241+'Incremental_Cost Year 7'!AV241+'Incremental_Cost Year 8'!AV241+'Incremental_Cost Year 9'!AV241+'Incremental_Cost Year 10'!AV241</f>
        <v>0</v>
      </c>
      <c r="BE241" s="294">
        <f>'Incremental_Cost Year 1'!AW241+'Incremental_Cost Year 2'!AW241+'Incremental_Cost Year 3'!AW241+'Incremental_Cost Year 4'!AW241+'Incremental_Cost Year 5'!AW241+'Incremental_Cost Year 6'!AW241+'Incremental_Cost Year 7'!AW241+'Incremental_Cost Year 8'!AW241+'Incremental_Cost Year 9'!AW241+'Incremental_Cost Year 10'!AW241</f>
        <v>0</v>
      </c>
      <c r="BF241" s="294">
        <f>'Incremental_Cost Year 1'!AX241+'Incremental_Cost Year 2'!AX241+'Incremental_Cost Year 3'!AX241+'Incremental_Cost Year 4'!AX241+'Incremental_Cost Year 5'!AX241+'Incremental_Cost Year 6'!AX241+'Incremental_Cost Year 7'!AX241+'Incremental_Cost Year 8'!AX241+'Incremental_Cost Year 9'!AX241+'Incremental_Cost Year 10'!AX241</f>
        <v>0</v>
      </c>
      <c r="BG241" s="294">
        <f>'Incremental_Cost Year 1'!AY241+'Incremental_Cost Year 2'!AZ241+'Incremental_Cost Year 3'!AY241+'Incremental_Cost Year 4'!AY241+'Incremental_Cost Year 5'!AY241+'Incremental_Cost Year 6'!AY241+'Incremental_Cost Year 7'!AY241+'Incremental_Cost Year 8'!AY241+'Incremental_Cost Year 9'!AY241+'Incremental_Cost Year 10'!AY241</f>
        <v>0</v>
      </c>
      <c r="BH241" s="294">
        <f>'Incremental_Cost Year 1'!AZ241+'Incremental_Cost Year 2'!BA241+'Incremental_Cost Year 3'!AZ241+'Incremental_Cost Year 4'!AZ241+'Incremental_Cost Year 5'!AZ241+'Incremental_Cost Year 6'!AZ241+'Incremental_Cost Year 7'!AZ241+'Incremental_Cost Year 8'!AZ241+'Incremental_Cost Year 9'!AZ241+'Incremental_Cost Year 10'!AZ241</f>
        <v>0</v>
      </c>
      <c r="BI241" s="294">
        <f>'Incremental_Cost Year 1'!BA241+'Incremental_Cost Year 2'!BA241+'Incremental_Cost Year 3'!BA241+'Incremental_Cost Year 4'!BA241+'Incremental_Cost Year 5'!BA241+'Incremental_Cost Year 6'!BA241+'Incremental_Cost Year 7'!BA241+'Incremental_Cost Year 8'!BA241+'Incremental_Cost Year 9'!BA241+'Incremental_Cost Year 10'!BA241</f>
        <v>0</v>
      </c>
      <c r="BJ241" s="294">
        <f t="shared" si="202"/>
        <v>0</v>
      </c>
    </row>
    <row r="242" spans="1:62" ht="27.6" outlineLevel="1">
      <c r="A242" s="98"/>
      <c r="B242" s="102"/>
      <c r="C242" s="23"/>
      <c r="D242" s="56" t="s">
        <v>47</v>
      </c>
      <c r="E242" s="56" t="s">
        <v>265</v>
      </c>
      <c r="F242" s="253">
        <v>2021</v>
      </c>
      <c r="G242" s="254">
        <v>2026</v>
      </c>
      <c r="H242" s="277" t="s">
        <v>269</v>
      </c>
      <c r="I242" s="264"/>
      <c r="J242" s="264"/>
      <c r="K242" s="264"/>
      <c r="L242" s="113">
        <f>SUM(L237:L241)</f>
        <v>0</v>
      </c>
      <c r="M242" s="113">
        <f>SUM(M237:M241)</f>
        <v>0</v>
      </c>
      <c r="N242" s="264"/>
      <c r="O242" s="264"/>
      <c r="P242" s="264"/>
      <c r="Q242" s="264"/>
      <c r="R242" s="113">
        <f>SUM(R237:R241)</f>
        <v>0</v>
      </c>
      <c r="S242" s="113">
        <f>SUM(S237:S241)</f>
        <v>0</v>
      </c>
      <c r="T242" s="113">
        <f>SUM(T237:T241)</f>
        <v>0</v>
      </c>
      <c r="U242" s="113">
        <f>SUM(U237:U241)</f>
        <v>0</v>
      </c>
      <c r="V242" s="264"/>
      <c r="W242" s="264"/>
      <c r="X242" s="264"/>
      <c r="Y242" s="113">
        <f>SUM(Y237:Y241)</f>
        <v>0</v>
      </c>
      <c r="Z242" s="264"/>
      <c r="AA242" s="264"/>
      <c r="AB242" s="113">
        <f>SUM(AB237:AB241)</f>
        <v>0</v>
      </c>
      <c r="AC242" s="265">
        <f>SUM(AC237:AC241)</f>
        <v>0</v>
      </c>
      <c r="AD242" s="265">
        <f>SUM(AD237:AD241)</f>
        <v>0</v>
      </c>
      <c r="AE242" s="113">
        <f>SUM(AE237:AE241)</f>
        <v>0</v>
      </c>
      <c r="AF242" s="113">
        <f>SUM(AF237:AF241)</f>
        <v>0</v>
      </c>
      <c r="AG242" s="264"/>
      <c r="AH242" s="264"/>
      <c r="AI242" s="264"/>
      <c r="AJ242" s="265">
        <f>SUM(AJ237:AJ241)</f>
        <v>0</v>
      </c>
      <c r="AK242" s="265">
        <f>SUM(AK237:AK241)</f>
        <v>0</v>
      </c>
      <c r="AL242" s="265">
        <f>SUM(AL237:AL241)</f>
        <v>0</v>
      </c>
      <c r="AM242" s="113">
        <f>SUM(AM237:AM241)</f>
        <v>0</v>
      </c>
      <c r="AN242" s="113">
        <f>SUM(AN237:AN241)</f>
        <v>0</v>
      </c>
      <c r="AO242" s="131"/>
      <c r="AP242" s="17"/>
      <c r="AQ242" s="113">
        <f t="shared" ref="AQ242:BB242" si="252">SUM(AQ237:AQ241)</f>
        <v>0</v>
      </c>
      <c r="AR242" s="113">
        <f t="shared" si="252"/>
        <v>0</v>
      </c>
      <c r="AS242" s="113">
        <f t="shared" si="252"/>
        <v>0</v>
      </c>
      <c r="AT242" s="113">
        <f t="shared" si="252"/>
        <v>0</v>
      </c>
      <c r="AU242" s="265">
        <f t="shared" si="252"/>
        <v>0</v>
      </c>
      <c r="AV242" s="265">
        <f t="shared" si="252"/>
        <v>0</v>
      </c>
      <c r="AW242" s="265">
        <f t="shared" si="252"/>
        <v>0</v>
      </c>
      <c r="AX242" s="265">
        <f t="shared" si="252"/>
        <v>0</v>
      </c>
      <c r="AY242" s="265">
        <f t="shared" si="252"/>
        <v>0</v>
      </c>
      <c r="AZ242" s="265">
        <f t="shared" si="252"/>
        <v>0</v>
      </c>
      <c r="BA242" s="265">
        <f t="shared" si="252"/>
        <v>0</v>
      </c>
      <c r="BB242" s="113">
        <f t="shared" si="252"/>
        <v>0</v>
      </c>
      <c r="BD242" s="294"/>
      <c r="BE242" s="294"/>
      <c r="BF242" s="294"/>
      <c r="BG242" s="294"/>
      <c r="BH242" s="294"/>
      <c r="BI242" s="294"/>
      <c r="BJ242" s="294"/>
    </row>
  </sheetData>
  <mergeCells count="17">
    <mergeCell ref="B223:E223"/>
    <mergeCell ref="C224:E224"/>
    <mergeCell ref="AQ2:BB2"/>
    <mergeCell ref="B2:E2"/>
    <mergeCell ref="C32:E32"/>
    <mergeCell ref="C40:E40"/>
    <mergeCell ref="C143:E143"/>
    <mergeCell ref="C80:E80"/>
    <mergeCell ref="B92:E92"/>
    <mergeCell ref="C93:E93"/>
    <mergeCell ref="C179:E179"/>
    <mergeCell ref="C202:E202"/>
    <mergeCell ref="B1:L1"/>
    <mergeCell ref="B3:E3"/>
    <mergeCell ref="B5:E5"/>
    <mergeCell ref="C6:E6"/>
    <mergeCell ref="B31:E31"/>
  </mergeCells>
  <conditionalFormatting sqref="BB243:BB286 BB288:BB291 BB293:BB302 BB305:BB308 BB33 BB81:BB82 BB94:BB100 BB7:BB10 BB26:BB29 BB24 BB36:BB38 BB85:BB90 BB16:BB20 BB60:BB78 BB183:BB185 BB144:BB146 BB154:BB160 BB162:BB167">
    <cfRule type="cellIs" dxfId="175" priority="175" operator="lessThan">
      <formula>0</formula>
    </cfRule>
    <cfRule type="cellIs" dxfId="174" priority="176" operator="lessThan">
      <formula>-105575</formula>
    </cfRule>
  </conditionalFormatting>
  <conditionalFormatting sqref="BB311:BB314 BB316:BB320">
    <cfRule type="cellIs" dxfId="173" priority="173" operator="lessThan">
      <formula>0</formula>
    </cfRule>
    <cfRule type="cellIs" dxfId="172" priority="174" operator="lessThan">
      <formula>-105575</formula>
    </cfRule>
  </conditionalFormatting>
  <conditionalFormatting sqref="BB321:BB325">
    <cfRule type="cellIs" dxfId="171" priority="171" operator="lessThan">
      <formula>0</formula>
    </cfRule>
    <cfRule type="cellIs" dxfId="170" priority="172" operator="lessThan">
      <formula>-105575</formula>
    </cfRule>
  </conditionalFormatting>
  <conditionalFormatting sqref="BB326:BB330">
    <cfRule type="cellIs" dxfId="169" priority="169" operator="lessThan">
      <formula>0</formula>
    </cfRule>
    <cfRule type="cellIs" dxfId="168" priority="170" operator="lessThan">
      <formula>-105575</formula>
    </cfRule>
  </conditionalFormatting>
  <conditionalFormatting sqref="BB332:BB335 BB337:BB341">
    <cfRule type="cellIs" dxfId="167" priority="167" operator="lessThan">
      <formula>0</formula>
    </cfRule>
    <cfRule type="cellIs" dxfId="166" priority="168" operator="lessThan">
      <formula>-105575</formula>
    </cfRule>
  </conditionalFormatting>
  <conditionalFormatting sqref="BB342:BB346">
    <cfRule type="cellIs" dxfId="165" priority="165" operator="lessThan">
      <formula>0</formula>
    </cfRule>
    <cfRule type="cellIs" dxfId="164" priority="166" operator="lessThan">
      <formula>-105575</formula>
    </cfRule>
  </conditionalFormatting>
  <conditionalFormatting sqref="BB347:BB351">
    <cfRule type="cellIs" dxfId="163" priority="163" operator="lessThan">
      <formula>0</formula>
    </cfRule>
    <cfRule type="cellIs" dxfId="162" priority="164" operator="lessThan">
      <formula>-105575</formula>
    </cfRule>
  </conditionalFormatting>
  <conditionalFormatting sqref="BB353:BB356 BB358:BB362">
    <cfRule type="cellIs" dxfId="161" priority="161" operator="lessThan">
      <formula>0</formula>
    </cfRule>
    <cfRule type="cellIs" dxfId="160" priority="162" operator="lessThan">
      <formula>-105575</formula>
    </cfRule>
  </conditionalFormatting>
  <conditionalFormatting sqref="BB363:BB367">
    <cfRule type="cellIs" dxfId="159" priority="159" operator="lessThan">
      <formula>0</formula>
    </cfRule>
    <cfRule type="cellIs" dxfId="158" priority="160" operator="lessThan">
      <formula>-105575</formula>
    </cfRule>
  </conditionalFormatting>
  <conditionalFormatting sqref="BB370:BB373 BB375:BB379">
    <cfRule type="cellIs" dxfId="157" priority="157" operator="lessThan">
      <formula>0</formula>
    </cfRule>
    <cfRule type="cellIs" dxfId="156" priority="158" operator="lessThan">
      <formula>-105575</formula>
    </cfRule>
  </conditionalFormatting>
  <conditionalFormatting sqref="BB381:BB384">
    <cfRule type="cellIs" dxfId="155" priority="155" operator="lessThan">
      <formula>0</formula>
    </cfRule>
    <cfRule type="cellIs" dxfId="154" priority="156" operator="lessThan">
      <formula>-105575</formula>
    </cfRule>
  </conditionalFormatting>
  <conditionalFormatting sqref="BB381:BB384 BB386:BB390">
    <cfRule type="cellIs" dxfId="153" priority="153" operator="lessThan">
      <formula>0</formula>
    </cfRule>
    <cfRule type="cellIs" dxfId="152" priority="154" operator="lessThan">
      <formula>-105575</formula>
    </cfRule>
  </conditionalFormatting>
  <conditionalFormatting sqref="BB391:BB395">
    <cfRule type="cellIs" dxfId="151" priority="151" operator="lessThan">
      <formula>0</formula>
    </cfRule>
    <cfRule type="cellIs" dxfId="150" priority="152" operator="lessThan">
      <formula>-105575</formula>
    </cfRule>
  </conditionalFormatting>
  <conditionalFormatting sqref="BB396:BB400">
    <cfRule type="cellIs" dxfId="149" priority="149" operator="lessThan">
      <formula>0</formula>
    </cfRule>
    <cfRule type="cellIs" dxfId="148" priority="150" operator="lessThan">
      <formula>-105575</formula>
    </cfRule>
  </conditionalFormatting>
  <conditionalFormatting sqref="BB401:BB405">
    <cfRule type="cellIs" dxfId="147" priority="147" operator="lessThan">
      <formula>0</formula>
    </cfRule>
    <cfRule type="cellIs" dxfId="146" priority="148" operator="lessThan">
      <formula>-105575</formula>
    </cfRule>
  </conditionalFormatting>
  <conditionalFormatting sqref="BB406:BB410">
    <cfRule type="cellIs" dxfId="145" priority="145" operator="lessThan">
      <formula>0</formula>
    </cfRule>
    <cfRule type="cellIs" dxfId="144" priority="146" operator="lessThan">
      <formula>-105575</formula>
    </cfRule>
  </conditionalFormatting>
  <conditionalFormatting sqref="BB412:BB415">
    <cfRule type="cellIs" dxfId="143" priority="143" operator="lessThan">
      <formula>0</formula>
    </cfRule>
    <cfRule type="cellIs" dxfId="142" priority="144" operator="lessThan">
      <formula>-105575</formula>
    </cfRule>
  </conditionalFormatting>
  <conditionalFormatting sqref="BB412:BB415">
    <cfRule type="cellIs" dxfId="141" priority="141" operator="lessThan">
      <formula>0</formula>
    </cfRule>
    <cfRule type="cellIs" dxfId="140" priority="142" operator="lessThan">
      <formula>-105575</formula>
    </cfRule>
  </conditionalFormatting>
  <conditionalFormatting sqref="BB418:BB421">
    <cfRule type="cellIs" dxfId="139" priority="139" operator="lessThan">
      <formula>0</formula>
    </cfRule>
    <cfRule type="cellIs" dxfId="138" priority="140" operator="lessThan">
      <formula>-105575</formula>
    </cfRule>
  </conditionalFormatting>
  <conditionalFormatting sqref="BB418:BB421 BB423:BB427">
    <cfRule type="cellIs" dxfId="137" priority="137" operator="lessThan">
      <formula>0</formula>
    </cfRule>
    <cfRule type="cellIs" dxfId="136" priority="138" operator="lessThan">
      <formula>-105575</formula>
    </cfRule>
  </conditionalFormatting>
  <conditionalFormatting sqref="BB428:BB432">
    <cfRule type="cellIs" dxfId="135" priority="135" operator="lessThan">
      <formula>0</formula>
    </cfRule>
    <cfRule type="cellIs" dxfId="134" priority="136" operator="lessThan">
      <formula>-105575</formula>
    </cfRule>
  </conditionalFormatting>
  <conditionalFormatting sqref="BB433:BB437">
    <cfRule type="cellIs" dxfId="133" priority="133" operator="lessThan">
      <formula>0</formula>
    </cfRule>
    <cfRule type="cellIs" dxfId="132" priority="134" operator="lessThan">
      <formula>-105575</formula>
    </cfRule>
  </conditionalFormatting>
  <conditionalFormatting sqref="BB439:BB442">
    <cfRule type="cellIs" dxfId="131" priority="131" operator="lessThan">
      <formula>0</formula>
    </cfRule>
    <cfRule type="cellIs" dxfId="130" priority="132" operator="lessThan">
      <formula>-105575</formula>
    </cfRule>
  </conditionalFormatting>
  <conditionalFormatting sqref="BB439:BB442 BB444:BB448">
    <cfRule type="cellIs" dxfId="129" priority="129" operator="lessThan">
      <formula>0</formula>
    </cfRule>
    <cfRule type="cellIs" dxfId="128" priority="130" operator="lessThan">
      <formula>-105575</formula>
    </cfRule>
  </conditionalFormatting>
  <conditionalFormatting sqref="BB449:BB453">
    <cfRule type="cellIs" dxfId="127" priority="127" operator="lessThan">
      <formula>0</formula>
    </cfRule>
    <cfRule type="cellIs" dxfId="126" priority="128" operator="lessThan">
      <formula>-105575</formula>
    </cfRule>
  </conditionalFormatting>
  <conditionalFormatting sqref="BB454:BB458">
    <cfRule type="cellIs" dxfId="125" priority="125" operator="lessThan">
      <formula>0</formula>
    </cfRule>
    <cfRule type="cellIs" dxfId="124" priority="126" operator="lessThan">
      <formula>-105575</formula>
    </cfRule>
  </conditionalFormatting>
  <conditionalFormatting sqref="BB460:BB463">
    <cfRule type="cellIs" dxfId="123" priority="123" operator="lessThan">
      <formula>0</formula>
    </cfRule>
    <cfRule type="cellIs" dxfId="122" priority="124" operator="lessThan">
      <formula>-105575</formula>
    </cfRule>
  </conditionalFormatting>
  <conditionalFormatting sqref="BB460:BB463 BB465:BB469">
    <cfRule type="cellIs" dxfId="121" priority="121" operator="lessThan">
      <formula>0</formula>
    </cfRule>
    <cfRule type="cellIs" dxfId="120" priority="122" operator="lessThan">
      <formula>-105575</formula>
    </cfRule>
  </conditionalFormatting>
  <conditionalFormatting sqref="BB470:BB474">
    <cfRule type="cellIs" dxfId="119" priority="119" operator="lessThan">
      <formula>0</formula>
    </cfRule>
    <cfRule type="cellIs" dxfId="118" priority="120" operator="lessThan">
      <formula>-105575</formula>
    </cfRule>
  </conditionalFormatting>
  <conditionalFormatting sqref="BB475:BB479">
    <cfRule type="cellIs" dxfId="117" priority="117" operator="lessThan">
      <formula>0</formula>
    </cfRule>
    <cfRule type="cellIs" dxfId="116" priority="118" operator="lessThan">
      <formula>-105575</formula>
    </cfRule>
  </conditionalFormatting>
  <conditionalFormatting sqref="BB481:BB484">
    <cfRule type="cellIs" dxfId="115" priority="115" operator="lessThan">
      <formula>0</formula>
    </cfRule>
    <cfRule type="cellIs" dxfId="114" priority="116" operator="lessThan">
      <formula>-105575</formula>
    </cfRule>
  </conditionalFormatting>
  <conditionalFormatting sqref="BB481:BB484 BB486:BB490">
    <cfRule type="cellIs" dxfId="113" priority="113" operator="lessThan">
      <formula>0</formula>
    </cfRule>
    <cfRule type="cellIs" dxfId="112" priority="114" operator="lessThan">
      <formula>-105575</formula>
    </cfRule>
  </conditionalFormatting>
  <conditionalFormatting sqref="BB491:BB495">
    <cfRule type="cellIs" dxfId="111" priority="111" operator="lessThan">
      <formula>0</formula>
    </cfRule>
    <cfRule type="cellIs" dxfId="110" priority="112" operator="lessThan">
      <formula>-105575</formula>
    </cfRule>
  </conditionalFormatting>
  <conditionalFormatting sqref="BB144:BB146 BB154:BB160 BB162:BB167">
    <cfRule type="cellIs" dxfId="109" priority="109" operator="lessThan">
      <formula>0</formula>
    </cfRule>
    <cfRule type="cellIs" dxfId="108" priority="110" operator="lessThan">
      <formula>-105575</formula>
    </cfRule>
  </conditionalFormatting>
  <conditionalFormatting sqref="BB163:BB164">
    <cfRule type="cellIs" dxfId="107" priority="107" operator="lessThan">
      <formula>0</formula>
    </cfRule>
    <cfRule type="cellIs" dxfId="106" priority="108" operator="lessThan">
      <formula>-105575</formula>
    </cfRule>
  </conditionalFormatting>
  <conditionalFormatting sqref="BB34:BB35">
    <cfRule type="cellIs" dxfId="105" priority="97" operator="lessThan">
      <formula>0</formula>
    </cfRule>
    <cfRule type="cellIs" dxfId="104" priority="98" operator="lessThan">
      <formula>-105575</formula>
    </cfRule>
  </conditionalFormatting>
  <conditionalFormatting sqref="BB41 BB56:BB58">
    <cfRule type="cellIs" dxfId="103" priority="95" operator="lessThan">
      <formula>0</formula>
    </cfRule>
    <cfRule type="cellIs" dxfId="102" priority="96" operator="lessThan">
      <formula>-105575</formula>
    </cfRule>
  </conditionalFormatting>
  <conditionalFormatting sqref="BB14">
    <cfRule type="cellIs" dxfId="101" priority="105" operator="lessThan">
      <formula>0</formula>
    </cfRule>
    <cfRule type="cellIs" dxfId="100" priority="106" operator="lessThan">
      <formula>-105575</formula>
    </cfRule>
  </conditionalFormatting>
  <conditionalFormatting sqref="BB11">
    <cfRule type="cellIs" dxfId="99" priority="103" operator="lessThan">
      <formula>0</formula>
    </cfRule>
    <cfRule type="cellIs" dxfId="98" priority="104" operator="lessThan">
      <formula>-105575</formula>
    </cfRule>
  </conditionalFormatting>
  <conditionalFormatting sqref="BB54:BB55">
    <cfRule type="cellIs" dxfId="97" priority="93" operator="lessThan">
      <formula>0</formula>
    </cfRule>
    <cfRule type="cellIs" dxfId="96" priority="94" operator="lessThan">
      <formula>-105575</formula>
    </cfRule>
  </conditionalFormatting>
  <conditionalFormatting sqref="BB21 BB23">
    <cfRule type="cellIs" dxfId="95" priority="101" operator="lessThan">
      <formula>0</formula>
    </cfRule>
    <cfRule type="cellIs" dxfId="94" priority="102" operator="lessThan">
      <formula>-105575</formula>
    </cfRule>
  </conditionalFormatting>
  <conditionalFormatting sqref="BB22">
    <cfRule type="cellIs" dxfId="93" priority="99" operator="lessThan">
      <formula>0</formula>
    </cfRule>
    <cfRule type="cellIs" dxfId="92" priority="100" operator="lessThan">
      <formula>-105575</formula>
    </cfRule>
  </conditionalFormatting>
  <conditionalFormatting sqref="BB52:BB53">
    <cfRule type="cellIs" dxfId="91" priority="91" operator="lessThan">
      <formula>0</formula>
    </cfRule>
    <cfRule type="cellIs" dxfId="90" priority="92" operator="lessThan">
      <formula>-105575</formula>
    </cfRule>
  </conditionalFormatting>
  <conditionalFormatting sqref="BB50:BB51">
    <cfRule type="cellIs" dxfId="89" priority="89" operator="lessThan">
      <formula>0</formula>
    </cfRule>
    <cfRule type="cellIs" dxfId="88" priority="90" operator="lessThan">
      <formula>-105575</formula>
    </cfRule>
  </conditionalFormatting>
  <conditionalFormatting sqref="BB49">
    <cfRule type="cellIs" dxfId="87" priority="87" operator="lessThan">
      <formula>0</formula>
    </cfRule>
    <cfRule type="cellIs" dxfId="86" priority="88" operator="lessThan">
      <formula>-105575</formula>
    </cfRule>
  </conditionalFormatting>
  <conditionalFormatting sqref="BB47:BB48">
    <cfRule type="cellIs" dxfId="85" priority="85" operator="lessThan">
      <formula>0</formula>
    </cfRule>
    <cfRule type="cellIs" dxfId="84" priority="86" operator="lessThan">
      <formula>-105575</formula>
    </cfRule>
  </conditionalFormatting>
  <conditionalFormatting sqref="BB45:BB46">
    <cfRule type="cellIs" dxfId="83" priority="83" operator="lessThan">
      <formula>0</formula>
    </cfRule>
    <cfRule type="cellIs" dxfId="82" priority="84" operator="lessThan">
      <formula>-105575</formula>
    </cfRule>
  </conditionalFormatting>
  <conditionalFormatting sqref="BB42 BB44">
    <cfRule type="cellIs" dxfId="81" priority="81" operator="lessThan">
      <formula>0</formula>
    </cfRule>
    <cfRule type="cellIs" dxfId="80" priority="82" operator="lessThan">
      <formula>-105575</formula>
    </cfRule>
  </conditionalFormatting>
  <conditionalFormatting sqref="BB43">
    <cfRule type="cellIs" dxfId="79" priority="79" operator="lessThan">
      <formula>0</formula>
    </cfRule>
    <cfRule type="cellIs" dxfId="78" priority="80" operator="lessThan">
      <formula>-105575</formula>
    </cfRule>
  </conditionalFormatting>
  <conditionalFormatting sqref="BB83:BB84">
    <cfRule type="cellIs" dxfId="77" priority="77" operator="lessThan">
      <formula>0</formula>
    </cfRule>
    <cfRule type="cellIs" dxfId="76" priority="78" operator="lessThan">
      <formula>-105575</formula>
    </cfRule>
  </conditionalFormatting>
  <conditionalFormatting sqref="BB102:BB106 BB111:BB112">
    <cfRule type="cellIs" dxfId="75" priority="75" operator="lessThan">
      <formula>0</formula>
    </cfRule>
    <cfRule type="cellIs" dxfId="74" priority="76" operator="lessThan">
      <formula>-105575</formula>
    </cfRule>
  </conditionalFormatting>
  <conditionalFormatting sqref="BB114 BB134:BB135 BB125:BB128">
    <cfRule type="cellIs" dxfId="73" priority="71" operator="lessThan">
      <formula>0</formula>
    </cfRule>
    <cfRule type="cellIs" dxfId="72" priority="72" operator="lessThan">
      <formula>-105575</formula>
    </cfRule>
  </conditionalFormatting>
  <conditionalFormatting sqref="BB107:BB110">
    <cfRule type="cellIs" dxfId="71" priority="73" operator="lessThan">
      <formula>0</formula>
    </cfRule>
    <cfRule type="cellIs" dxfId="70" priority="74" operator="lessThan">
      <formula>-105575</formula>
    </cfRule>
  </conditionalFormatting>
  <conditionalFormatting sqref="BB123:BB124 BB115:BB118">
    <cfRule type="cellIs" dxfId="69" priority="67" operator="lessThan">
      <formula>0</formula>
    </cfRule>
    <cfRule type="cellIs" dxfId="68" priority="68" operator="lessThan">
      <formula>-105575</formula>
    </cfRule>
  </conditionalFormatting>
  <conditionalFormatting sqref="BB129:BB133">
    <cfRule type="cellIs" dxfId="67" priority="69" operator="lessThan">
      <formula>0</formula>
    </cfRule>
    <cfRule type="cellIs" dxfId="66" priority="70" operator="lessThan">
      <formula>-105575</formula>
    </cfRule>
  </conditionalFormatting>
  <conditionalFormatting sqref="BB119:BB122">
    <cfRule type="cellIs" dxfId="65" priority="65" operator="lessThan">
      <formula>0</formula>
    </cfRule>
    <cfRule type="cellIs" dxfId="64" priority="66" operator="lessThan">
      <formula>-105575</formula>
    </cfRule>
  </conditionalFormatting>
  <conditionalFormatting sqref="BB137:BB138">
    <cfRule type="cellIs" dxfId="63" priority="63" operator="lessThan">
      <formula>0</formula>
    </cfRule>
    <cfRule type="cellIs" dxfId="62" priority="64" operator="lessThan">
      <formula>-105575</formula>
    </cfRule>
  </conditionalFormatting>
  <conditionalFormatting sqref="BB147:BB153">
    <cfRule type="cellIs" dxfId="61" priority="59" operator="lessThan">
      <formula>0</formula>
    </cfRule>
    <cfRule type="cellIs" dxfId="60" priority="60" operator="lessThan">
      <formula>-105575</formula>
    </cfRule>
  </conditionalFormatting>
  <conditionalFormatting sqref="BB140:BB141">
    <cfRule type="cellIs" dxfId="59" priority="61" operator="lessThan">
      <formula>0</formula>
    </cfRule>
    <cfRule type="cellIs" dxfId="58" priority="62" operator="lessThan">
      <formula>-105575</formula>
    </cfRule>
  </conditionalFormatting>
  <conditionalFormatting sqref="BB161">
    <cfRule type="cellIs" dxfId="57" priority="55" operator="lessThan">
      <formula>0</formula>
    </cfRule>
    <cfRule type="cellIs" dxfId="56" priority="56" operator="lessThan">
      <formula>-105575</formula>
    </cfRule>
  </conditionalFormatting>
  <conditionalFormatting sqref="BB147:BB153">
    <cfRule type="cellIs" dxfId="55" priority="57" operator="lessThan">
      <formula>0</formula>
    </cfRule>
    <cfRule type="cellIs" dxfId="54" priority="58" operator="lessThan">
      <formula>-105575</formula>
    </cfRule>
  </conditionalFormatting>
  <conditionalFormatting sqref="BB193:BB198">
    <cfRule type="cellIs" dxfId="53" priority="35" operator="lessThan">
      <formula>0</formula>
    </cfRule>
    <cfRule type="cellIs" dxfId="52" priority="36" operator="lessThan">
      <formula>-105575</formula>
    </cfRule>
  </conditionalFormatting>
  <conditionalFormatting sqref="BB161">
    <cfRule type="cellIs" dxfId="51" priority="53" operator="lessThan">
      <formula>0</formula>
    </cfRule>
    <cfRule type="cellIs" dxfId="50" priority="54" operator="lessThan">
      <formula>-105575</formula>
    </cfRule>
  </conditionalFormatting>
  <conditionalFormatting sqref="BB169 BB175:BB177">
    <cfRule type="cellIs" dxfId="49" priority="51" operator="lessThan">
      <formula>0</formula>
    </cfRule>
    <cfRule type="cellIs" dxfId="48" priority="52" operator="lessThan">
      <formula>-105575</formula>
    </cfRule>
  </conditionalFormatting>
  <conditionalFormatting sqref="BB169 BB175:BB177">
    <cfRule type="cellIs" dxfId="47" priority="49" operator="lessThan">
      <formula>0</formula>
    </cfRule>
    <cfRule type="cellIs" dxfId="46" priority="50" operator="lessThan">
      <formula>-105575</formula>
    </cfRule>
  </conditionalFormatting>
  <conditionalFormatting sqref="BB170:BB174">
    <cfRule type="cellIs" dxfId="45" priority="47" operator="lessThan">
      <formula>0</formula>
    </cfRule>
    <cfRule type="cellIs" dxfId="44" priority="48" operator="lessThan">
      <formula>-105575</formula>
    </cfRule>
  </conditionalFormatting>
  <conditionalFormatting sqref="BB182">
    <cfRule type="cellIs" dxfId="43" priority="31" operator="lessThan">
      <formula>0</formula>
    </cfRule>
    <cfRule type="cellIs" dxfId="42" priority="32" operator="lessThan">
      <formula>-105575</formula>
    </cfRule>
  </conditionalFormatting>
  <conditionalFormatting sqref="BB170:BB174">
    <cfRule type="cellIs" dxfId="41" priority="45" operator="lessThan">
      <formula>0</formula>
    </cfRule>
    <cfRule type="cellIs" dxfId="40" priority="46" operator="lessThan">
      <formula>-105575</formula>
    </cfRule>
  </conditionalFormatting>
  <conditionalFormatting sqref="BB193:BB198">
    <cfRule type="cellIs" dxfId="39" priority="33" operator="lessThan">
      <formula>0</formula>
    </cfRule>
    <cfRule type="cellIs" dxfId="38" priority="34" operator="lessThan">
      <formula>-105575</formula>
    </cfRule>
  </conditionalFormatting>
  <conditionalFormatting sqref="BB180 BB186:BB192 BB199:BB200">
    <cfRule type="cellIs" dxfId="37" priority="43" operator="lessThan">
      <formula>0</formula>
    </cfRule>
    <cfRule type="cellIs" dxfId="36" priority="44" operator="lessThan">
      <formula>-105575</formula>
    </cfRule>
  </conditionalFormatting>
  <conditionalFormatting sqref="BB180 BB186:BB192 BB199:BB200">
    <cfRule type="cellIs" dxfId="35" priority="41" operator="lessThan">
      <formula>0</formula>
    </cfRule>
    <cfRule type="cellIs" dxfId="34" priority="42" operator="lessThan">
      <formula>-105575</formula>
    </cfRule>
  </conditionalFormatting>
  <conditionalFormatting sqref="BB181">
    <cfRule type="cellIs" dxfId="33" priority="37" operator="lessThan">
      <formula>0</formula>
    </cfRule>
    <cfRule type="cellIs" dxfId="32" priority="38" operator="lessThan">
      <formula>-105575</formula>
    </cfRule>
  </conditionalFormatting>
  <conditionalFormatting sqref="BB181">
    <cfRule type="cellIs" dxfId="31" priority="39" operator="lessThan">
      <formula>0</formula>
    </cfRule>
    <cfRule type="cellIs" dxfId="30" priority="40" operator="lessThan">
      <formula>-105575</formula>
    </cfRule>
  </conditionalFormatting>
  <conditionalFormatting sqref="BB182">
    <cfRule type="cellIs" dxfId="29" priority="29" operator="lessThan">
      <formula>0</formula>
    </cfRule>
    <cfRule type="cellIs" dxfId="28" priority="30" operator="lessThan">
      <formula>-105575</formula>
    </cfRule>
  </conditionalFormatting>
  <conditionalFormatting sqref="BB218">
    <cfRule type="cellIs" dxfId="27" priority="17" operator="lessThan">
      <formula>0</formula>
    </cfRule>
    <cfRule type="cellIs" dxfId="26" priority="18" operator="lessThan">
      <formula>-105575</formula>
    </cfRule>
  </conditionalFormatting>
  <conditionalFormatting sqref="BB220:BB221">
    <cfRule type="cellIs" dxfId="25" priority="23" operator="lessThan">
      <formula>0</formula>
    </cfRule>
    <cfRule type="cellIs" dxfId="24" priority="24" operator="lessThan">
      <formula>-105575</formula>
    </cfRule>
  </conditionalFormatting>
  <conditionalFormatting sqref="BB218">
    <cfRule type="cellIs" dxfId="23" priority="15" operator="lessThan">
      <formula>0</formula>
    </cfRule>
    <cfRule type="cellIs" dxfId="22" priority="16" operator="lessThan">
      <formula>-105575</formula>
    </cfRule>
  </conditionalFormatting>
  <conditionalFormatting sqref="BB203 BB219:BB221 BB210:BB217">
    <cfRule type="cellIs" dxfId="21" priority="27" operator="lessThan">
      <formula>0</formula>
    </cfRule>
    <cfRule type="cellIs" dxfId="20" priority="28" operator="lessThan">
      <formula>-105575</formula>
    </cfRule>
  </conditionalFormatting>
  <conditionalFormatting sqref="BB203 BB219:BB221 BB210:BB217">
    <cfRule type="cellIs" dxfId="19" priority="25" operator="lessThan">
      <formula>0</formula>
    </cfRule>
    <cfRule type="cellIs" dxfId="18" priority="26" operator="lessThan">
      <formula>-105575</formula>
    </cfRule>
  </conditionalFormatting>
  <conditionalFormatting sqref="BB204:BB209">
    <cfRule type="cellIs" dxfId="17" priority="19" operator="lessThan">
      <formula>0</formula>
    </cfRule>
    <cfRule type="cellIs" dxfId="16" priority="20" operator="lessThan">
      <formula>-105575</formula>
    </cfRule>
  </conditionalFormatting>
  <conditionalFormatting sqref="BB204:BB209">
    <cfRule type="cellIs" dxfId="15" priority="21" operator="lessThan">
      <formula>0</formula>
    </cfRule>
    <cfRule type="cellIs" dxfId="14" priority="22" operator="lessThan">
      <formula>-105575</formula>
    </cfRule>
  </conditionalFormatting>
  <conditionalFormatting sqref="BB225:BB231">
    <cfRule type="cellIs" dxfId="13" priority="13" operator="lessThan">
      <formula>0</formula>
    </cfRule>
    <cfRule type="cellIs" dxfId="12" priority="14" operator="lessThan">
      <formula>-105575</formula>
    </cfRule>
  </conditionalFormatting>
  <conditionalFormatting sqref="BB233:BB235">
    <cfRule type="cellIs" dxfId="11" priority="11" operator="lessThan">
      <formula>0</formula>
    </cfRule>
    <cfRule type="cellIs" dxfId="10" priority="12" operator="lessThan">
      <formula>-105575</formula>
    </cfRule>
  </conditionalFormatting>
  <conditionalFormatting sqref="BB237">
    <cfRule type="cellIs" dxfId="9" priority="9" operator="lessThan">
      <formula>0</formula>
    </cfRule>
    <cfRule type="cellIs" dxfId="8" priority="10" operator="lessThan">
      <formula>-105575</formula>
    </cfRule>
  </conditionalFormatting>
  <conditionalFormatting sqref="BB238:BB241">
    <cfRule type="cellIs" dxfId="7" priority="7" operator="lessThan">
      <formula>0</formula>
    </cfRule>
    <cfRule type="cellIs" dxfId="6" priority="8" operator="lessThan">
      <formula>-105575</formula>
    </cfRule>
  </conditionalFormatting>
  <conditionalFormatting sqref="BB12">
    <cfRule type="cellIs" dxfId="5" priority="5" operator="lessThan">
      <formula>0</formula>
    </cfRule>
    <cfRule type="cellIs" dxfId="4" priority="6" operator="lessThan">
      <formula>-105575</formula>
    </cfRule>
  </conditionalFormatting>
  <conditionalFormatting sqref="BB13">
    <cfRule type="cellIs" dxfId="3" priority="3" operator="lessThan">
      <formula>0</formula>
    </cfRule>
    <cfRule type="cellIs" dxfId="2" priority="4" operator="lessThan">
      <formula>-105575</formula>
    </cfRule>
  </conditionalFormatting>
  <conditionalFormatting sqref="BA17:BA18">
    <cfRule type="cellIs" dxfId="1" priority="1" operator="lessThan">
      <formula>0</formula>
    </cfRule>
    <cfRule type="cellIs" dxfId="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I26:I29 I16:I24 I7:I14</xm:sqref>
        </x14:dataValidation>
        <x14:dataValidation type="list" allowBlank="1" showInputMessage="1" showErrorMessage="1">
          <x14:formula1>
            <xm:f>'[2]1. Standard_Cost'!#REF!</xm:f>
          </x14:formula1>
          <xm:sqref>I33:I34 I36</xm:sqref>
        </x14:dataValidation>
      </x14:dataValidations>
    </ext>
  </extLst>
</worksheet>
</file>

<file path=xl/worksheets/sheet12.xml><?xml version="1.0" encoding="utf-8"?>
<worksheet xmlns="http://schemas.openxmlformats.org/spreadsheetml/2006/main" xmlns:r="http://schemas.openxmlformats.org/officeDocument/2006/relationships">
  <dimension ref="A1:ES44"/>
  <sheetViews>
    <sheetView tabSelected="1" zoomScale="90" zoomScaleNormal="90" workbookViewId="0">
      <selection activeCell="E5" sqref="E5"/>
    </sheetView>
  </sheetViews>
  <sheetFormatPr defaultRowHeight="14.4" outlineLevelCol="1"/>
  <cols>
    <col min="1" max="1" width="3.5546875" style="2" customWidth="1"/>
    <col min="2" max="2" width="3.44140625" style="2" customWidth="1"/>
    <col min="3" max="3" width="4" style="18" customWidth="1"/>
    <col min="4" max="4" width="23.88671875" style="235" customWidth="1"/>
    <col min="5" max="5" width="48.33203125" style="18" customWidth="1" outlineLevel="1"/>
    <col min="6" max="6" width="8.6640625" style="18" customWidth="1" outlineLevel="1"/>
    <col min="7" max="7" width="9.33203125" style="18" customWidth="1" outlineLevel="1"/>
    <col min="8" max="8" width="14.109375" customWidth="1"/>
    <col min="9" max="9" width="12.44140625" customWidth="1"/>
    <col min="10" max="10" width="13.109375" customWidth="1"/>
    <col min="11" max="11" width="12.109375" customWidth="1"/>
    <col min="12" max="12" width="12.6640625" customWidth="1"/>
    <col min="13" max="13" width="13.109375" customWidth="1"/>
    <col min="14" max="14" width="11.33203125" customWidth="1"/>
    <col min="15" max="16" width="14" customWidth="1"/>
    <col min="17" max="17" width="13.44140625" customWidth="1"/>
    <col min="18" max="18" width="12.5546875" customWidth="1"/>
    <col min="19" max="19" width="12" customWidth="1"/>
    <col min="20" max="20" width="6.6640625" style="1" customWidth="1"/>
    <col min="21" max="21" width="13.109375" customWidth="1"/>
    <col min="22" max="22" width="13.33203125" bestFit="1" customWidth="1"/>
    <col min="23" max="23" width="9.33203125" bestFit="1" customWidth="1"/>
    <col min="24" max="25" width="13.33203125" bestFit="1" customWidth="1"/>
    <col min="26" max="26" width="11.44140625" customWidth="1"/>
    <col min="27" max="29" width="9.33203125" bestFit="1" customWidth="1"/>
    <col min="30" max="30" width="11.5546875" bestFit="1" customWidth="1"/>
    <col min="31" max="31" width="9.33203125" bestFit="1" customWidth="1"/>
    <col min="32" max="32" width="13.33203125" customWidth="1"/>
    <col min="33" max="33" width="6.6640625" style="1" customWidth="1"/>
    <col min="34" max="34" width="12.33203125" bestFit="1" customWidth="1"/>
    <col min="35" max="35" width="13.33203125" bestFit="1" customWidth="1"/>
    <col min="36" max="36" width="9.33203125" bestFit="1" customWidth="1"/>
    <col min="37" max="38" width="13.33203125" bestFit="1" customWidth="1"/>
    <col min="39" max="42" width="9.33203125" bestFit="1" customWidth="1"/>
    <col min="43" max="43" width="11.5546875" bestFit="1" customWidth="1"/>
    <col min="44" max="44" width="9.33203125" bestFit="1" customWidth="1"/>
    <col min="45" max="45" width="13.44140625" customWidth="1"/>
    <col min="46" max="46" width="9.33203125" bestFit="1" customWidth="1"/>
    <col min="47" max="47" width="12.33203125" bestFit="1" customWidth="1"/>
    <col min="48" max="48" width="13.33203125" bestFit="1" customWidth="1"/>
    <col min="49" max="49" width="9.33203125" bestFit="1" customWidth="1"/>
    <col min="50" max="51" width="13.33203125" bestFit="1" customWidth="1"/>
    <col min="52" max="56" width="9.33203125" bestFit="1" customWidth="1"/>
    <col min="57" max="57" width="12.109375" customWidth="1"/>
    <col min="58" max="58" width="15.6640625" customWidth="1"/>
    <col min="59" max="59" width="9.33203125" bestFit="1" customWidth="1"/>
    <col min="60" max="60" width="12.33203125" bestFit="1" customWidth="1"/>
    <col min="61" max="61" width="13.33203125" bestFit="1" customWidth="1"/>
    <col min="62" max="62" width="11.5546875" customWidth="1"/>
    <col min="63" max="64" width="13.33203125" bestFit="1" customWidth="1"/>
    <col min="65" max="68" width="9.33203125" bestFit="1" customWidth="1"/>
    <col min="69" max="69" width="11.5546875" bestFit="1" customWidth="1"/>
    <col min="70" max="70" width="12" customWidth="1"/>
    <col min="71" max="71" width="15.44140625" customWidth="1"/>
    <col min="72" max="72" width="9.33203125" bestFit="1" customWidth="1"/>
    <col min="73" max="73" width="12.33203125" bestFit="1" customWidth="1"/>
    <col min="74" max="74" width="13.33203125" bestFit="1" customWidth="1"/>
    <col min="75" max="75" width="9.33203125" bestFit="1" customWidth="1"/>
    <col min="76" max="77" width="13.33203125" bestFit="1" customWidth="1"/>
    <col min="78" max="81" width="9.33203125" bestFit="1" customWidth="1"/>
    <col min="82" max="82" width="11.5546875" bestFit="1" customWidth="1"/>
    <col min="83" max="83" width="9.33203125" bestFit="1" customWidth="1"/>
    <col min="84" max="84" width="14.6640625" customWidth="1"/>
    <col min="85" max="85" width="9.33203125" bestFit="1" customWidth="1"/>
    <col min="86" max="86" width="12.33203125" bestFit="1" customWidth="1"/>
    <col min="87" max="87" width="13.33203125" bestFit="1" customWidth="1"/>
    <col min="88" max="88" width="9.33203125" bestFit="1" customWidth="1"/>
    <col min="89" max="90" width="13.33203125" bestFit="1" customWidth="1"/>
    <col min="91" max="94" width="9.33203125" bestFit="1" customWidth="1"/>
    <col min="95" max="95" width="11.5546875" bestFit="1" customWidth="1"/>
    <col min="96" max="96" width="9.33203125" bestFit="1" customWidth="1"/>
    <col min="97" max="97" width="15" customWidth="1"/>
    <col min="98" max="99" width="9.33203125" bestFit="1" customWidth="1"/>
    <col min="100" max="100" width="13.33203125" bestFit="1" customWidth="1"/>
    <col min="101" max="101" width="9.33203125" bestFit="1" customWidth="1"/>
    <col min="102" max="103" width="13.33203125" bestFit="1" customWidth="1"/>
    <col min="104" max="107" width="9.33203125" bestFit="1" customWidth="1"/>
    <col min="108" max="108" width="11.5546875" bestFit="1" customWidth="1"/>
    <col min="109" max="112" width="9.33203125" bestFit="1" customWidth="1"/>
    <col min="113" max="113" width="13.33203125" bestFit="1" customWidth="1"/>
    <col min="114" max="114" width="9.33203125" bestFit="1" customWidth="1"/>
    <col min="115" max="116" width="13.33203125" bestFit="1" customWidth="1"/>
    <col min="117" max="120" width="9.33203125" bestFit="1" customWidth="1"/>
    <col min="121" max="121" width="11.5546875" bestFit="1" customWidth="1"/>
    <col min="122" max="125" width="9.33203125" bestFit="1" customWidth="1"/>
    <col min="126" max="126" width="13.33203125" bestFit="1" customWidth="1"/>
    <col min="127" max="127" width="9.33203125" bestFit="1" customWidth="1"/>
    <col min="128" max="129" width="13.33203125" bestFit="1" customWidth="1"/>
    <col min="130" max="133" width="9.33203125" bestFit="1" customWidth="1"/>
    <col min="134" max="134" width="11.5546875" bestFit="1" customWidth="1"/>
    <col min="135" max="137" width="9.33203125" bestFit="1" customWidth="1"/>
    <col min="138" max="138" width="13.33203125" customWidth="1"/>
    <col min="139" max="139" width="15.44140625" customWidth="1"/>
    <col min="140" max="140" width="12.109375" customWidth="1"/>
    <col min="141" max="141" width="16.109375" customWidth="1"/>
    <col min="142" max="142" width="14.33203125" bestFit="1" customWidth="1"/>
    <col min="143" max="143" width="13" customWidth="1"/>
    <col min="144" max="144" width="9.33203125" bestFit="1" customWidth="1"/>
    <col min="145" max="145" width="13" customWidth="1"/>
    <col min="146" max="146" width="12.109375" customWidth="1"/>
    <col min="147" max="147" width="13.33203125" bestFit="1" customWidth="1"/>
    <col min="148" max="148" width="13.6640625" customWidth="1"/>
    <col min="149" max="149" width="14" customWidth="1"/>
  </cols>
  <sheetData>
    <row r="1" spans="1:149">
      <c r="B1" s="77" t="s">
        <v>169</v>
      </c>
      <c r="C1" s="78"/>
      <c r="D1" s="78"/>
      <c r="E1" s="78"/>
      <c r="F1" s="78"/>
      <c r="G1" s="78"/>
      <c r="H1" s="79"/>
      <c r="I1" s="79"/>
      <c r="J1" s="79"/>
      <c r="K1" s="79"/>
      <c r="L1" s="79"/>
      <c r="M1" s="79"/>
    </row>
    <row r="2" spans="1:149" ht="18.75" customHeight="1">
      <c r="C2" s="2"/>
      <c r="D2" s="2"/>
      <c r="E2" s="2"/>
      <c r="F2" s="2"/>
      <c r="G2" s="2"/>
      <c r="H2" s="339" t="s">
        <v>159</v>
      </c>
      <c r="I2" s="340"/>
      <c r="J2" s="340"/>
      <c r="K2" s="340"/>
      <c r="L2" s="340"/>
      <c r="M2" s="340"/>
      <c r="N2" s="340"/>
      <c r="O2" s="340"/>
      <c r="P2" s="340"/>
      <c r="Q2" s="340"/>
      <c r="R2" s="340"/>
      <c r="S2" s="341"/>
      <c r="U2" s="342" t="s">
        <v>160</v>
      </c>
      <c r="V2" s="343"/>
      <c r="W2" s="343"/>
      <c r="X2" s="343"/>
      <c r="Y2" s="343"/>
      <c r="Z2" s="343"/>
      <c r="AA2" s="343"/>
      <c r="AB2" s="343"/>
      <c r="AC2" s="343"/>
      <c r="AD2" s="343"/>
      <c r="AE2" s="343"/>
      <c r="AF2" s="344"/>
      <c r="AG2" s="91"/>
      <c r="AH2" s="342" t="s">
        <v>161</v>
      </c>
      <c r="AI2" s="343"/>
      <c r="AJ2" s="343"/>
      <c r="AK2" s="343"/>
      <c r="AL2" s="343"/>
      <c r="AM2" s="343"/>
      <c r="AN2" s="343"/>
      <c r="AO2" s="343"/>
      <c r="AP2" s="343"/>
      <c r="AQ2" s="343"/>
      <c r="AR2" s="343"/>
      <c r="AS2" s="344"/>
      <c r="AT2" s="92"/>
      <c r="AU2" s="342" t="s">
        <v>162</v>
      </c>
      <c r="AV2" s="343"/>
      <c r="AW2" s="343"/>
      <c r="AX2" s="343"/>
      <c r="AY2" s="343"/>
      <c r="AZ2" s="343"/>
      <c r="BA2" s="343"/>
      <c r="BB2" s="343"/>
      <c r="BC2" s="343"/>
      <c r="BD2" s="343"/>
      <c r="BE2" s="343"/>
      <c r="BF2" s="344"/>
      <c r="BG2" s="92"/>
      <c r="BH2" s="342" t="s">
        <v>163</v>
      </c>
      <c r="BI2" s="343"/>
      <c r="BJ2" s="343"/>
      <c r="BK2" s="343"/>
      <c r="BL2" s="343"/>
      <c r="BM2" s="343"/>
      <c r="BN2" s="343"/>
      <c r="BO2" s="343"/>
      <c r="BP2" s="343"/>
      <c r="BQ2" s="343"/>
      <c r="BR2" s="343"/>
      <c r="BS2" s="344"/>
      <c r="BT2" s="92"/>
      <c r="BU2" s="342" t="s">
        <v>164</v>
      </c>
      <c r="BV2" s="343"/>
      <c r="BW2" s="343"/>
      <c r="BX2" s="343"/>
      <c r="BY2" s="343"/>
      <c r="BZ2" s="343"/>
      <c r="CA2" s="343"/>
      <c r="CB2" s="343"/>
      <c r="CC2" s="343"/>
      <c r="CD2" s="343"/>
      <c r="CE2" s="343"/>
      <c r="CF2" s="344"/>
      <c r="CG2" s="92"/>
      <c r="CH2" s="342" t="s">
        <v>165</v>
      </c>
      <c r="CI2" s="343"/>
      <c r="CJ2" s="343"/>
      <c r="CK2" s="343"/>
      <c r="CL2" s="343"/>
      <c r="CM2" s="343"/>
      <c r="CN2" s="343"/>
      <c r="CO2" s="343"/>
      <c r="CP2" s="343"/>
      <c r="CQ2" s="343"/>
      <c r="CR2" s="343"/>
      <c r="CS2" s="344"/>
      <c r="CT2" s="92"/>
      <c r="CU2" s="342" t="s">
        <v>175</v>
      </c>
      <c r="CV2" s="343"/>
      <c r="CW2" s="343"/>
      <c r="CX2" s="343"/>
      <c r="CY2" s="343"/>
      <c r="CZ2" s="343"/>
      <c r="DA2" s="343"/>
      <c r="DB2" s="343"/>
      <c r="DC2" s="343"/>
      <c r="DD2" s="343"/>
      <c r="DE2" s="343"/>
      <c r="DF2" s="344"/>
      <c r="DG2" s="92"/>
      <c r="DH2" s="342" t="s">
        <v>176</v>
      </c>
      <c r="DI2" s="343"/>
      <c r="DJ2" s="343"/>
      <c r="DK2" s="343"/>
      <c r="DL2" s="343"/>
      <c r="DM2" s="343"/>
      <c r="DN2" s="343"/>
      <c r="DO2" s="343"/>
      <c r="DP2" s="343"/>
      <c r="DQ2" s="343"/>
      <c r="DR2" s="343"/>
      <c r="DS2" s="344"/>
      <c r="DT2" s="92"/>
      <c r="DU2" s="342" t="s">
        <v>177</v>
      </c>
      <c r="DV2" s="343"/>
      <c r="DW2" s="343"/>
      <c r="DX2" s="343"/>
      <c r="DY2" s="343"/>
      <c r="DZ2" s="343"/>
      <c r="EA2" s="343"/>
      <c r="EB2" s="343"/>
      <c r="EC2" s="343"/>
      <c r="ED2" s="343"/>
      <c r="EE2" s="343"/>
      <c r="EF2" s="344"/>
      <c r="EG2" s="92"/>
      <c r="EH2" s="336" t="s">
        <v>178</v>
      </c>
      <c r="EI2" s="337"/>
      <c r="EJ2" s="337"/>
      <c r="EK2" s="337"/>
      <c r="EL2" s="337"/>
      <c r="EM2" s="337"/>
      <c r="EN2" s="337"/>
      <c r="EO2" s="337"/>
      <c r="EP2" s="337"/>
      <c r="EQ2" s="337"/>
      <c r="ER2" s="337"/>
      <c r="ES2" s="338"/>
    </row>
    <row r="3" spans="1:149" ht="41.4">
      <c r="A3" s="2" t="s">
        <v>58</v>
      </c>
      <c r="B3" s="333" t="s">
        <v>124</v>
      </c>
      <c r="C3" s="334"/>
      <c r="D3" s="334"/>
      <c r="E3" s="335"/>
      <c r="F3" s="85" t="s">
        <v>141</v>
      </c>
      <c r="G3" s="85" t="s">
        <v>142</v>
      </c>
      <c r="H3" s="11" t="s">
        <v>127</v>
      </c>
      <c r="I3" s="11" t="s">
        <v>25</v>
      </c>
      <c r="J3" s="11" t="s">
        <v>12</v>
      </c>
      <c r="K3" s="11" t="s">
        <v>20</v>
      </c>
      <c r="L3" s="12" t="s">
        <v>128</v>
      </c>
      <c r="M3" s="12" t="s">
        <v>129</v>
      </c>
      <c r="N3" s="12" t="s">
        <v>144</v>
      </c>
      <c r="O3" s="12" t="s">
        <v>145</v>
      </c>
      <c r="P3" s="12" t="s">
        <v>196</v>
      </c>
      <c r="Q3" s="12" t="s">
        <v>156</v>
      </c>
      <c r="R3" s="45" t="s">
        <v>132</v>
      </c>
      <c r="S3" s="12" t="s">
        <v>26</v>
      </c>
      <c r="U3" s="11" t="s">
        <v>127</v>
      </c>
      <c r="V3" s="11" t="s">
        <v>25</v>
      </c>
      <c r="W3" s="11" t="s">
        <v>12</v>
      </c>
      <c r="X3" s="11" t="s">
        <v>20</v>
      </c>
      <c r="Y3" s="12" t="s">
        <v>128</v>
      </c>
      <c r="Z3" s="12" t="s">
        <v>129</v>
      </c>
      <c r="AA3" s="12" t="s">
        <v>144</v>
      </c>
      <c r="AB3" s="12" t="s">
        <v>145</v>
      </c>
      <c r="AC3" s="12" t="s">
        <v>196</v>
      </c>
      <c r="AD3" s="12" t="s">
        <v>156</v>
      </c>
      <c r="AE3" s="45" t="s">
        <v>132</v>
      </c>
      <c r="AF3" s="12" t="s">
        <v>26</v>
      </c>
      <c r="AG3" s="91"/>
      <c r="AH3" s="11" t="s">
        <v>127</v>
      </c>
      <c r="AI3" s="11" t="s">
        <v>25</v>
      </c>
      <c r="AJ3" s="11" t="s">
        <v>12</v>
      </c>
      <c r="AK3" s="11" t="s">
        <v>20</v>
      </c>
      <c r="AL3" s="12" t="s">
        <v>128</v>
      </c>
      <c r="AM3" s="12" t="s">
        <v>129</v>
      </c>
      <c r="AN3" s="12" t="s">
        <v>144</v>
      </c>
      <c r="AO3" s="12" t="s">
        <v>145</v>
      </c>
      <c r="AP3" s="12" t="s">
        <v>196</v>
      </c>
      <c r="AQ3" s="12" t="s">
        <v>156</v>
      </c>
      <c r="AR3" s="45" t="s">
        <v>132</v>
      </c>
      <c r="AS3" s="12" t="s">
        <v>26</v>
      </c>
      <c r="AT3" s="92"/>
      <c r="AU3" s="11" t="s">
        <v>127</v>
      </c>
      <c r="AV3" s="11" t="s">
        <v>25</v>
      </c>
      <c r="AW3" s="11" t="s">
        <v>12</v>
      </c>
      <c r="AX3" s="11" t="s">
        <v>20</v>
      </c>
      <c r="AY3" s="12" t="s">
        <v>128</v>
      </c>
      <c r="AZ3" s="12" t="s">
        <v>129</v>
      </c>
      <c r="BA3" s="12" t="s">
        <v>144</v>
      </c>
      <c r="BB3" s="12" t="s">
        <v>145</v>
      </c>
      <c r="BC3" s="12" t="s">
        <v>196</v>
      </c>
      <c r="BD3" s="12" t="s">
        <v>156</v>
      </c>
      <c r="BE3" s="45" t="s">
        <v>132</v>
      </c>
      <c r="BF3" s="12" t="s">
        <v>26</v>
      </c>
      <c r="BG3" s="92"/>
      <c r="BH3" s="11" t="s">
        <v>127</v>
      </c>
      <c r="BI3" s="11" t="s">
        <v>25</v>
      </c>
      <c r="BJ3" s="11" t="s">
        <v>12</v>
      </c>
      <c r="BK3" s="11" t="s">
        <v>20</v>
      </c>
      <c r="BL3" s="12" t="s">
        <v>128</v>
      </c>
      <c r="BM3" s="12" t="s">
        <v>129</v>
      </c>
      <c r="BN3" s="12" t="s">
        <v>144</v>
      </c>
      <c r="BO3" s="12" t="s">
        <v>145</v>
      </c>
      <c r="BP3" s="12" t="s">
        <v>196</v>
      </c>
      <c r="BQ3" s="12" t="s">
        <v>156</v>
      </c>
      <c r="BR3" s="45" t="s">
        <v>132</v>
      </c>
      <c r="BS3" s="12" t="s">
        <v>26</v>
      </c>
      <c r="BT3" s="92"/>
      <c r="BU3" s="11" t="s">
        <v>127</v>
      </c>
      <c r="BV3" s="11" t="s">
        <v>25</v>
      </c>
      <c r="BW3" s="11" t="s">
        <v>12</v>
      </c>
      <c r="BX3" s="11" t="s">
        <v>20</v>
      </c>
      <c r="BY3" s="12" t="s">
        <v>128</v>
      </c>
      <c r="BZ3" s="12" t="s">
        <v>129</v>
      </c>
      <c r="CA3" s="12" t="s">
        <v>144</v>
      </c>
      <c r="CB3" s="12" t="s">
        <v>145</v>
      </c>
      <c r="CC3" s="12" t="s">
        <v>196</v>
      </c>
      <c r="CD3" s="12" t="s">
        <v>156</v>
      </c>
      <c r="CE3" s="45" t="s">
        <v>132</v>
      </c>
      <c r="CF3" s="12" t="s">
        <v>26</v>
      </c>
      <c r="CG3" s="92"/>
      <c r="CH3" s="11" t="s">
        <v>127</v>
      </c>
      <c r="CI3" s="11" t="s">
        <v>25</v>
      </c>
      <c r="CJ3" s="11" t="s">
        <v>12</v>
      </c>
      <c r="CK3" s="11" t="s">
        <v>20</v>
      </c>
      <c r="CL3" s="12" t="s">
        <v>128</v>
      </c>
      <c r="CM3" s="12" t="s">
        <v>129</v>
      </c>
      <c r="CN3" s="12" t="s">
        <v>144</v>
      </c>
      <c r="CO3" s="12" t="s">
        <v>145</v>
      </c>
      <c r="CP3" s="12" t="s">
        <v>196</v>
      </c>
      <c r="CQ3" s="12" t="s">
        <v>156</v>
      </c>
      <c r="CR3" s="45" t="s">
        <v>132</v>
      </c>
      <c r="CS3" s="12" t="s">
        <v>26</v>
      </c>
      <c r="CT3" s="92"/>
      <c r="CU3" s="11" t="s">
        <v>127</v>
      </c>
      <c r="CV3" s="11" t="s">
        <v>25</v>
      </c>
      <c r="CW3" s="11" t="s">
        <v>12</v>
      </c>
      <c r="CX3" s="11" t="s">
        <v>20</v>
      </c>
      <c r="CY3" s="12" t="s">
        <v>128</v>
      </c>
      <c r="CZ3" s="12" t="s">
        <v>129</v>
      </c>
      <c r="DA3" s="12" t="s">
        <v>144</v>
      </c>
      <c r="DB3" s="12" t="s">
        <v>145</v>
      </c>
      <c r="DC3" s="12" t="s">
        <v>196</v>
      </c>
      <c r="DD3" s="12" t="s">
        <v>156</v>
      </c>
      <c r="DE3" s="45" t="s">
        <v>132</v>
      </c>
      <c r="DF3" s="12" t="s">
        <v>26</v>
      </c>
      <c r="DG3" s="92"/>
      <c r="DH3" s="11" t="s">
        <v>127</v>
      </c>
      <c r="DI3" s="11" t="s">
        <v>25</v>
      </c>
      <c r="DJ3" s="11" t="s">
        <v>12</v>
      </c>
      <c r="DK3" s="11" t="s">
        <v>20</v>
      </c>
      <c r="DL3" s="12" t="s">
        <v>128</v>
      </c>
      <c r="DM3" s="12" t="s">
        <v>129</v>
      </c>
      <c r="DN3" s="12" t="s">
        <v>144</v>
      </c>
      <c r="DO3" s="12" t="s">
        <v>145</v>
      </c>
      <c r="DP3" s="12" t="s">
        <v>196</v>
      </c>
      <c r="DQ3" s="12" t="s">
        <v>156</v>
      </c>
      <c r="DR3" s="45" t="s">
        <v>132</v>
      </c>
      <c r="DS3" s="12" t="s">
        <v>26</v>
      </c>
      <c r="DT3" s="92"/>
      <c r="DU3" s="11" t="s">
        <v>127</v>
      </c>
      <c r="DV3" s="11" t="s">
        <v>25</v>
      </c>
      <c r="DW3" s="11" t="s">
        <v>12</v>
      </c>
      <c r="DX3" s="11" t="s">
        <v>20</v>
      </c>
      <c r="DY3" s="12" t="s">
        <v>128</v>
      </c>
      <c r="DZ3" s="12" t="s">
        <v>129</v>
      </c>
      <c r="EA3" s="12" t="s">
        <v>144</v>
      </c>
      <c r="EB3" s="12" t="s">
        <v>145</v>
      </c>
      <c r="EC3" s="12" t="s">
        <v>196</v>
      </c>
      <c r="ED3" s="12" t="s">
        <v>156</v>
      </c>
      <c r="EE3" s="45" t="s">
        <v>132</v>
      </c>
      <c r="EF3" s="12" t="s">
        <v>26</v>
      </c>
      <c r="EG3" s="92"/>
      <c r="EH3" s="94" t="s">
        <v>127</v>
      </c>
      <c r="EI3" s="94" t="s">
        <v>25</v>
      </c>
      <c r="EJ3" s="94" t="s">
        <v>12</v>
      </c>
      <c r="EK3" s="94" t="s">
        <v>20</v>
      </c>
      <c r="EL3" s="95" t="s">
        <v>128</v>
      </c>
      <c r="EM3" s="95" t="s">
        <v>129</v>
      </c>
      <c r="EN3" s="95" t="s">
        <v>130</v>
      </c>
      <c r="EO3" s="95" t="s">
        <v>131</v>
      </c>
      <c r="EP3" s="95" t="s">
        <v>196</v>
      </c>
      <c r="EQ3" s="95" t="s">
        <v>155</v>
      </c>
      <c r="ER3" s="95" t="s">
        <v>132</v>
      </c>
      <c r="ES3" s="95" t="s">
        <v>26</v>
      </c>
    </row>
    <row r="4" spans="1:149" ht="55.2">
      <c r="A4" s="6" t="s">
        <v>59</v>
      </c>
      <c r="B4" s="329" t="s">
        <v>125</v>
      </c>
      <c r="C4" s="330"/>
      <c r="D4" s="330"/>
      <c r="E4" s="331"/>
      <c r="F4" s="85" t="s">
        <v>143</v>
      </c>
      <c r="G4" s="85" t="s">
        <v>143</v>
      </c>
      <c r="H4" s="11" t="s">
        <v>146</v>
      </c>
      <c r="I4" s="11" t="s">
        <v>148</v>
      </c>
      <c r="J4" s="11" t="s">
        <v>149</v>
      </c>
      <c r="K4" s="11" t="s">
        <v>147</v>
      </c>
      <c r="L4" s="12" t="s">
        <v>150</v>
      </c>
      <c r="M4" s="12" t="s">
        <v>151</v>
      </c>
      <c r="N4" s="12" t="s">
        <v>152</v>
      </c>
      <c r="O4" s="12" t="s">
        <v>153</v>
      </c>
      <c r="P4" s="12" t="s">
        <v>198</v>
      </c>
      <c r="Q4" s="12" t="s">
        <v>154</v>
      </c>
      <c r="R4" s="12" t="s">
        <v>179</v>
      </c>
      <c r="S4" s="93" t="s">
        <v>180</v>
      </c>
      <c r="U4" s="11" t="s">
        <v>146</v>
      </c>
      <c r="V4" s="11" t="s">
        <v>148</v>
      </c>
      <c r="W4" s="11" t="s">
        <v>149</v>
      </c>
      <c r="X4" s="11" t="s">
        <v>147</v>
      </c>
      <c r="Y4" s="12" t="s">
        <v>150</v>
      </c>
      <c r="Z4" s="12" t="s">
        <v>151</v>
      </c>
      <c r="AA4" s="12" t="s">
        <v>152</v>
      </c>
      <c r="AB4" s="12" t="s">
        <v>153</v>
      </c>
      <c r="AC4" s="12" t="s">
        <v>198</v>
      </c>
      <c r="AD4" s="12" t="s">
        <v>154</v>
      </c>
      <c r="AE4" s="12" t="s">
        <v>179</v>
      </c>
      <c r="AF4" s="93" t="s">
        <v>180</v>
      </c>
      <c r="AG4" s="91"/>
      <c r="AH4" s="11" t="s">
        <v>146</v>
      </c>
      <c r="AI4" s="11" t="s">
        <v>148</v>
      </c>
      <c r="AJ4" s="11" t="s">
        <v>149</v>
      </c>
      <c r="AK4" s="11" t="s">
        <v>147</v>
      </c>
      <c r="AL4" s="12" t="s">
        <v>150</v>
      </c>
      <c r="AM4" s="12" t="s">
        <v>151</v>
      </c>
      <c r="AN4" s="12" t="s">
        <v>152</v>
      </c>
      <c r="AO4" s="12" t="s">
        <v>153</v>
      </c>
      <c r="AP4" s="12" t="s">
        <v>198</v>
      </c>
      <c r="AQ4" s="12" t="s">
        <v>154</v>
      </c>
      <c r="AR4" s="12" t="s">
        <v>179</v>
      </c>
      <c r="AS4" s="93" t="s">
        <v>180</v>
      </c>
      <c r="AT4" s="92"/>
      <c r="AU4" s="11" t="s">
        <v>146</v>
      </c>
      <c r="AV4" s="11" t="s">
        <v>148</v>
      </c>
      <c r="AW4" s="11" t="s">
        <v>149</v>
      </c>
      <c r="AX4" s="11" t="s">
        <v>147</v>
      </c>
      <c r="AY4" s="12" t="s">
        <v>150</v>
      </c>
      <c r="AZ4" s="12" t="s">
        <v>151</v>
      </c>
      <c r="BA4" s="12" t="s">
        <v>152</v>
      </c>
      <c r="BB4" s="12" t="s">
        <v>153</v>
      </c>
      <c r="BC4" s="12" t="s">
        <v>198</v>
      </c>
      <c r="BD4" s="12" t="s">
        <v>154</v>
      </c>
      <c r="BE4" s="12" t="s">
        <v>179</v>
      </c>
      <c r="BF4" s="93" t="s">
        <v>180</v>
      </c>
      <c r="BG4" s="92"/>
      <c r="BH4" s="11" t="s">
        <v>146</v>
      </c>
      <c r="BI4" s="11" t="s">
        <v>148</v>
      </c>
      <c r="BJ4" s="11" t="s">
        <v>149</v>
      </c>
      <c r="BK4" s="11" t="s">
        <v>147</v>
      </c>
      <c r="BL4" s="12" t="s">
        <v>150</v>
      </c>
      <c r="BM4" s="12" t="s">
        <v>151</v>
      </c>
      <c r="BN4" s="12" t="s">
        <v>152</v>
      </c>
      <c r="BO4" s="12" t="s">
        <v>153</v>
      </c>
      <c r="BP4" s="12" t="s">
        <v>198</v>
      </c>
      <c r="BQ4" s="12" t="s">
        <v>154</v>
      </c>
      <c r="BR4" s="12" t="s">
        <v>179</v>
      </c>
      <c r="BS4" s="93" t="s">
        <v>180</v>
      </c>
      <c r="BT4" s="92"/>
      <c r="BU4" s="11" t="s">
        <v>146</v>
      </c>
      <c r="BV4" s="11" t="s">
        <v>148</v>
      </c>
      <c r="BW4" s="11" t="s">
        <v>149</v>
      </c>
      <c r="BX4" s="11" t="s">
        <v>147</v>
      </c>
      <c r="BY4" s="12" t="s">
        <v>150</v>
      </c>
      <c r="BZ4" s="12" t="s">
        <v>151</v>
      </c>
      <c r="CA4" s="12" t="s">
        <v>152</v>
      </c>
      <c r="CB4" s="12" t="s">
        <v>153</v>
      </c>
      <c r="CC4" s="12" t="s">
        <v>198</v>
      </c>
      <c r="CD4" s="12" t="s">
        <v>154</v>
      </c>
      <c r="CE4" s="12" t="s">
        <v>179</v>
      </c>
      <c r="CF4" s="93" t="s">
        <v>180</v>
      </c>
      <c r="CG4" s="92"/>
      <c r="CH4" s="11" t="s">
        <v>146</v>
      </c>
      <c r="CI4" s="11" t="s">
        <v>148</v>
      </c>
      <c r="CJ4" s="11" t="s">
        <v>149</v>
      </c>
      <c r="CK4" s="11" t="s">
        <v>147</v>
      </c>
      <c r="CL4" s="12" t="s">
        <v>150</v>
      </c>
      <c r="CM4" s="12" t="s">
        <v>151</v>
      </c>
      <c r="CN4" s="12" t="s">
        <v>152</v>
      </c>
      <c r="CO4" s="12" t="s">
        <v>153</v>
      </c>
      <c r="CP4" s="12" t="s">
        <v>198</v>
      </c>
      <c r="CQ4" s="12" t="s">
        <v>154</v>
      </c>
      <c r="CR4" s="12" t="s">
        <v>179</v>
      </c>
      <c r="CS4" s="93" t="s">
        <v>180</v>
      </c>
      <c r="CT4" s="92"/>
      <c r="CU4" s="11" t="s">
        <v>146</v>
      </c>
      <c r="CV4" s="11" t="s">
        <v>148</v>
      </c>
      <c r="CW4" s="11" t="s">
        <v>149</v>
      </c>
      <c r="CX4" s="11" t="s">
        <v>147</v>
      </c>
      <c r="CY4" s="12" t="s">
        <v>150</v>
      </c>
      <c r="CZ4" s="12" t="s">
        <v>151</v>
      </c>
      <c r="DA4" s="12" t="s">
        <v>152</v>
      </c>
      <c r="DB4" s="12" t="s">
        <v>153</v>
      </c>
      <c r="DC4" s="12" t="s">
        <v>198</v>
      </c>
      <c r="DD4" s="12" t="s">
        <v>154</v>
      </c>
      <c r="DE4" s="12" t="s">
        <v>179</v>
      </c>
      <c r="DF4" s="93" t="s">
        <v>180</v>
      </c>
      <c r="DG4" s="92"/>
      <c r="DH4" s="11" t="s">
        <v>146</v>
      </c>
      <c r="DI4" s="11" t="s">
        <v>148</v>
      </c>
      <c r="DJ4" s="11" t="s">
        <v>149</v>
      </c>
      <c r="DK4" s="11" t="s">
        <v>147</v>
      </c>
      <c r="DL4" s="12" t="s">
        <v>150</v>
      </c>
      <c r="DM4" s="12" t="s">
        <v>151</v>
      </c>
      <c r="DN4" s="12" t="s">
        <v>152</v>
      </c>
      <c r="DO4" s="12" t="s">
        <v>153</v>
      </c>
      <c r="DP4" s="12" t="s">
        <v>198</v>
      </c>
      <c r="DQ4" s="12" t="s">
        <v>154</v>
      </c>
      <c r="DR4" s="12" t="s">
        <v>179</v>
      </c>
      <c r="DS4" s="93" t="s">
        <v>180</v>
      </c>
      <c r="DT4" s="92"/>
      <c r="DU4" s="11" t="s">
        <v>146</v>
      </c>
      <c r="DV4" s="11" t="s">
        <v>148</v>
      </c>
      <c r="DW4" s="11" t="s">
        <v>149</v>
      </c>
      <c r="DX4" s="11" t="s">
        <v>147</v>
      </c>
      <c r="DY4" s="12" t="s">
        <v>150</v>
      </c>
      <c r="DZ4" s="12" t="s">
        <v>151</v>
      </c>
      <c r="EA4" s="12" t="s">
        <v>152</v>
      </c>
      <c r="EB4" s="12" t="s">
        <v>153</v>
      </c>
      <c r="EC4" s="12" t="s">
        <v>198</v>
      </c>
      <c r="ED4" s="12" t="s">
        <v>154</v>
      </c>
      <c r="EE4" s="12" t="s">
        <v>179</v>
      </c>
      <c r="EF4" s="93" t="s">
        <v>180</v>
      </c>
      <c r="EG4" s="92"/>
      <c r="EH4" s="94" t="s">
        <v>146</v>
      </c>
      <c r="EI4" s="94" t="s">
        <v>148</v>
      </c>
      <c r="EJ4" s="94" t="s">
        <v>149</v>
      </c>
      <c r="EK4" s="94" t="s">
        <v>147</v>
      </c>
      <c r="EL4" s="95" t="s">
        <v>150</v>
      </c>
      <c r="EM4" s="95" t="s">
        <v>151</v>
      </c>
      <c r="EN4" s="95" t="s">
        <v>152</v>
      </c>
      <c r="EO4" s="95" t="s">
        <v>153</v>
      </c>
      <c r="EP4" s="95" t="s">
        <v>198</v>
      </c>
      <c r="EQ4" s="95" t="s">
        <v>154</v>
      </c>
      <c r="ER4" s="95" t="s">
        <v>179</v>
      </c>
      <c r="ES4" s="95" t="s">
        <v>180</v>
      </c>
    </row>
    <row r="5" spans="1:149" ht="57.6">
      <c r="A5" s="19"/>
      <c r="B5" s="28"/>
      <c r="C5" s="29"/>
      <c r="D5" s="29"/>
      <c r="E5" s="30"/>
      <c r="F5" s="30" t="s">
        <v>139</v>
      </c>
      <c r="G5" s="30" t="s">
        <v>140</v>
      </c>
      <c r="H5" s="49">
        <v>1</v>
      </c>
      <c r="I5" s="49">
        <v>2</v>
      </c>
      <c r="J5" s="49">
        <v>3</v>
      </c>
      <c r="K5" s="49">
        <v>4</v>
      </c>
      <c r="L5" s="49">
        <v>5</v>
      </c>
      <c r="M5" s="49">
        <v>6</v>
      </c>
      <c r="N5" s="49">
        <v>7</v>
      </c>
      <c r="O5" s="49">
        <v>8</v>
      </c>
      <c r="P5" s="49">
        <v>9</v>
      </c>
      <c r="Q5" s="49">
        <v>10</v>
      </c>
      <c r="R5" s="49">
        <v>11</v>
      </c>
      <c r="S5" s="52" t="s">
        <v>199</v>
      </c>
      <c r="T5" s="88"/>
      <c r="U5" s="49">
        <v>1</v>
      </c>
      <c r="V5" s="49">
        <v>2</v>
      </c>
      <c r="W5" s="49">
        <v>3</v>
      </c>
      <c r="X5" s="49">
        <v>4</v>
      </c>
      <c r="Y5" s="49">
        <v>5</v>
      </c>
      <c r="Z5" s="49">
        <v>6</v>
      </c>
      <c r="AA5" s="49">
        <v>7</v>
      </c>
      <c r="AB5" s="49">
        <v>8</v>
      </c>
      <c r="AC5" s="49">
        <v>9</v>
      </c>
      <c r="AD5" s="49">
        <v>10</v>
      </c>
      <c r="AE5" s="49">
        <v>11</v>
      </c>
      <c r="AF5" s="52" t="s">
        <v>199</v>
      </c>
      <c r="AG5" s="96"/>
      <c r="AH5" s="49">
        <v>1</v>
      </c>
      <c r="AI5" s="49">
        <v>2</v>
      </c>
      <c r="AJ5" s="49">
        <v>3</v>
      </c>
      <c r="AK5" s="49">
        <v>4</v>
      </c>
      <c r="AL5" s="49">
        <v>5</v>
      </c>
      <c r="AM5" s="49">
        <v>6</v>
      </c>
      <c r="AN5" s="49">
        <v>7</v>
      </c>
      <c r="AO5" s="49">
        <v>8</v>
      </c>
      <c r="AP5" s="49">
        <v>9</v>
      </c>
      <c r="AQ5" s="49">
        <v>10</v>
      </c>
      <c r="AR5" s="49">
        <v>11</v>
      </c>
      <c r="AS5" s="52" t="s">
        <v>199</v>
      </c>
      <c r="AT5" s="92"/>
      <c r="AU5" s="49">
        <v>1</v>
      </c>
      <c r="AV5" s="49">
        <v>2</v>
      </c>
      <c r="AW5" s="49">
        <v>3</v>
      </c>
      <c r="AX5" s="49">
        <v>4</v>
      </c>
      <c r="AY5" s="49">
        <v>5</v>
      </c>
      <c r="AZ5" s="49">
        <v>6</v>
      </c>
      <c r="BA5" s="49">
        <v>7</v>
      </c>
      <c r="BB5" s="49">
        <v>8</v>
      </c>
      <c r="BC5" s="49">
        <v>9</v>
      </c>
      <c r="BD5" s="49">
        <v>10</v>
      </c>
      <c r="BE5" s="49">
        <v>11</v>
      </c>
      <c r="BF5" s="52" t="s">
        <v>199</v>
      </c>
      <c r="BG5" s="92"/>
      <c r="BH5" s="49">
        <v>1</v>
      </c>
      <c r="BI5" s="49">
        <v>2</v>
      </c>
      <c r="BJ5" s="49">
        <v>3</v>
      </c>
      <c r="BK5" s="49">
        <v>4</v>
      </c>
      <c r="BL5" s="49">
        <v>5</v>
      </c>
      <c r="BM5" s="49">
        <v>6</v>
      </c>
      <c r="BN5" s="49">
        <v>7</v>
      </c>
      <c r="BO5" s="49">
        <v>8</v>
      </c>
      <c r="BP5" s="49">
        <v>9</v>
      </c>
      <c r="BQ5" s="49">
        <v>10</v>
      </c>
      <c r="BR5" s="49">
        <v>11</v>
      </c>
      <c r="BS5" s="52" t="s">
        <v>199</v>
      </c>
      <c r="BT5" s="92"/>
      <c r="BU5" s="49">
        <v>1</v>
      </c>
      <c r="BV5" s="49">
        <v>2</v>
      </c>
      <c r="BW5" s="49">
        <v>3</v>
      </c>
      <c r="BX5" s="49">
        <v>4</v>
      </c>
      <c r="BY5" s="49">
        <v>5</v>
      </c>
      <c r="BZ5" s="49">
        <v>6</v>
      </c>
      <c r="CA5" s="49">
        <v>7</v>
      </c>
      <c r="CB5" s="49">
        <v>8</v>
      </c>
      <c r="CC5" s="49">
        <v>9</v>
      </c>
      <c r="CD5" s="49">
        <v>10</v>
      </c>
      <c r="CE5" s="49">
        <v>11</v>
      </c>
      <c r="CF5" s="52" t="s">
        <v>199</v>
      </c>
      <c r="CG5" s="92"/>
      <c r="CH5" s="49">
        <v>1</v>
      </c>
      <c r="CI5" s="49">
        <v>2</v>
      </c>
      <c r="CJ5" s="49">
        <v>3</v>
      </c>
      <c r="CK5" s="49">
        <v>4</v>
      </c>
      <c r="CL5" s="49">
        <v>5</v>
      </c>
      <c r="CM5" s="49">
        <v>6</v>
      </c>
      <c r="CN5" s="49">
        <v>7</v>
      </c>
      <c r="CO5" s="49">
        <v>8</v>
      </c>
      <c r="CP5" s="49">
        <v>9</v>
      </c>
      <c r="CQ5" s="49">
        <v>10</v>
      </c>
      <c r="CR5" s="49">
        <v>11</v>
      </c>
      <c r="CS5" s="52" t="s">
        <v>199</v>
      </c>
      <c r="CT5" s="92"/>
      <c r="CU5" s="49">
        <v>1</v>
      </c>
      <c r="CV5" s="49">
        <v>2</v>
      </c>
      <c r="CW5" s="49">
        <v>3</v>
      </c>
      <c r="CX5" s="49">
        <v>4</v>
      </c>
      <c r="CY5" s="49">
        <v>5</v>
      </c>
      <c r="CZ5" s="49">
        <v>6</v>
      </c>
      <c r="DA5" s="49">
        <v>7</v>
      </c>
      <c r="DB5" s="49">
        <v>8</v>
      </c>
      <c r="DC5" s="49">
        <v>9</v>
      </c>
      <c r="DD5" s="49">
        <v>10</v>
      </c>
      <c r="DE5" s="49">
        <v>11</v>
      </c>
      <c r="DF5" s="52" t="s">
        <v>199</v>
      </c>
      <c r="DG5" s="92"/>
      <c r="DH5" s="49">
        <v>1</v>
      </c>
      <c r="DI5" s="49">
        <v>2</v>
      </c>
      <c r="DJ5" s="49">
        <v>3</v>
      </c>
      <c r="DK5" s="49">
        <v>4</v>
      </c>
      <c r="DL5" s="49">
        <v>5</v>
      </c>
      <c r="DM5" s="49">
        <v>6</v>
      </c>
      <c r="DN5" s="49">
        <v>7</v>
      </c>
      <c r="DO5" s="49">
        <v>8</v>
      </c>
      <c r="DP5" s="49">
        <v>9</v>
      </c>
      <c r="DQ5" s="49">
        <v>10</v>
      </c>
      <c r="DR5" s="49">
        <v>11</v>
      </c>
      <c r="DS5" s="52" t="s">
        <v>199</v>
      </c>
      <c r="DT5" s="92"/>
      <c r="DU5" s="49">
        <v>1</v>
      </c>
      <c r="DV5" s="49">
        <v>2</v>
      </c>
      <c r="DW5" s="49">
        <v>3</v>
      </c>
      <c r="DX5" s="49">
        <v>4</v>
      </c>
      <c r="DY5" s="49">
        <v>5</v>
      </c>
      <c r="DZ5" s="49">
        <v>6</v>
      </c>
      <c r="EA5" s="49">
        <v>7</v>
      </c>
      <c r="EB5" s="49">
        <v>8</v>
      </c>
      <c r="EC5" s="49">
        <v>9</v>
      </c>
      <c r="ED5" s="49">
        <v>10</v>
      </c>
      <c r="EE5" s="49">
        <v>11</v>
      </c>
      <c r="EF5" s="52" t="s">
        <v>199</v>
      </c>
      <c r="EG5" s="92"/>
      <c r="EH5" s="81">
        <v>1</v>
      </c>
      <c r="EI5" s="81">
        <v>2</v>
      </c>
      <c r="EJ5" s="81">
        <v>3</v>
      </c>
      <c r="EK5" s="81">
        <v>4</v>
      </c>
      <c r="EL5" s="81">
        <v>5</v>
      </c>
      <c r="EM5" s="81">
        <v>6</v>
      </c>
      <c r="EN5" s="81">
        <v>7</v>
      </c>
      <c r="EO5" s="81">
        <v>8</v>
      </c>
      <c r="EP5" s="81">
        <v>8</v>
      </c>
      <c r="EQ5" s="81">
        <v>9</v>
      </c>
      <c r="ER5" s="81">
        <v>10</v>
      </c>
      <c r="ES5" s="82" t="s">
        <v>158</v>
      </c>
    </row>
    <row r="6" spans="1:149" ht="15" customHeight="1">
      <c r="A6" s="3"/>
      <c r="B6" s="316" t="s">
        <v>203</v>
      </c>
      <c r="C6" s="317"/>
      <c r="D6" s="317"/>
      <c r="E6" s="318"/>
      <c r="F6" s="38"/>
      <c r="G6" s="38"/>
      <c r="H6" s="50">
        <f>SUM(H7)</f>
        <v>1454023.6500000001</v>
      </c>
      <c r="I6" s="50">
        <f t="shared" ref="I6:S6" si="0">SUM(I7)</f>
        <v>7486489.6799999997</v>
      </c>
      <c r="J6" s="50">
        <f t="shared" si="0"/>
        <v>0</v>
      </c>
      <c r="K6" s="50">
        <f t="shared" si="0"/>
        <v>8940513.3300000001</v>
      </c>
      <c r="L6" s="50">
        <f t="shared" si="0"/>
        <v>1624454.68</v>
      </c>
      <c r="M6" s="50">
        <f t="shared" si="0"/>
        <v>0</v>
      </c>
      <c r="N6" s="50">
        <f t="shared" si="0"/>
        <v>0</v>
      </c>
      <c r="O6" s="50">
        <f t="shared" si="0"/>
        <v>2421000</v>
      </c>
      <c r="P6" s="50">
        <f t="shared" si="0"/>
        <v>0</v>
      </c>
      <c r="Q6" s="50">
        <f t="shared" si="0"/>
        <v>4384800</v>
      </c>
      <c r="R6" s="50">
        <f t="shared" si="0"/>
        <v>41253</v>
      </c>
      <c r="S6" s="50">
        <f t="shared" si="0"/>
        <v>-469005.65000000026</v>
      </c>
      <c r="T6" s="88"/>
      <c r="U6" s="50">
        <f>SUM(U7)</f>
        <v>5326450.5750000002</v>
      </c>
      <c r="V6" s="50">
        <f t="shared" ref="V6" si="1">SUM(V7)</f>
        <v>12543837.196800001</v>
      </c>
      <c r="W6" s="50">
        <f t="shared" ref="W6" si="2">SUM(W7)</f>
        <v>2070000</v>
      </c>
      <c r="X6" s="50">
        <f t="shared" ref="X6" si="3">SUM(X7)</f>
        <v>19940287.7718</v>
      </c>
      <c r="Y6" s="50">
        <f t="shared" ref="Y6" si="4">SUM(Y7)</f>
        <v>6250886</v>
      </c>
      <c r="Z6" s="50">
        <f t="shared" ref="Z6" si="5">SUM(Z7)</f>
        <v>0</v>
      </c>
      <c r="AA6" s="50">
        <f t="shared" ref="AA6" si="6">SUM(AA7)</f>
        <v>0</v>
      </c>
      <c r="AB6" s="50">
        <f t="shared" ref="AB6" si="7">SUM(AB7)</f>
        <v>4320000</v>
      </c>
      <c r="AC6" s="50">
        <f t="shared" ref="AC6" si="8">SUM(AC7)</f>
        <v>0</v>
      </c>
      <c r="AD6" s="50">
        <f t="shared" ref="AD6" si="9">SUM(AD7)</f>
        <v>4883117</v>
      </c>
      <c r="AE6" s="50">
        <f t="shared" ref="AE6" si="10">SUM(AE7)</f>
        <v>103688</v>
      </c>
      <c r="AF6" s="50">
        <f t="shared" ref="AF6" si="11">SUM(AF7)</f>
        <v>-4382596.7718000002</v>
      </c>
      <c r="AG6" s="96"/>
      <c r="AH6" s="50">
        <f>SUM(AH7)</f>
        <v>4176751.35</v>
      </c>
      <c r="AI6" s="50">
        <f t="shared" ref="AI6" si="12">SUM(AI7)</f>
        <v>6686037.1968</v>
      </c>
      <c r="AJ6" s="50">
        <f t="shared" ref="AJ6" si="13">SUM(AJ7)</f>
        <v>2070000</v>
      </c>
      <c r="AK6" s="50">
        <f t="shared" ref="AK6" si="14">SUM(AK7)</f>
        <v>12932788.546800002</v>
      </c>
      <c r="AL6" s="50">
        <f t="shared" ref="AL6" si="15">SUM(AL7)</f>
        <v>3801919</v>
      </c>
      <c r="AM6" s="50">
        <f t="shared" ref="AM6" si="16">SUM(AM7)</f>
        <v>0</v>
      </c>
      <c r="AN6" s="50">
        <f t="shared" ref="AN6" si="17">SUM(AN7)</f>
        <v>0</v>
      </c>
      <c r="AO6" s="50">
        <f t="shared" ref="AO6" si="18">SUM(AO7)</f>
        <v>0</v>
      </c>
      <c r="AP6" s="50">
        <f t="shared" ref="AP6" si="19">SUM(AP7)</f>
        <v>0</v>
      </c>
      <c r="AQ6" s="50">
        <f t="shared" ref="AQ6" si="20">SUM(AQ7)</f>
        <v>360000</v>
      </c>
      <c r="AR6" s="50">
        <f t="shared" ref="AR6" si="21">SUM(AR7)</f>
        <v>2036971</v>
      </c>
      <c r="AS6" s="50">
        <f t="shared" ref="AS6" si="22">SUM(AS7)</f>
        <v>-6733898.5468000006</v>
      </c>
      <c r="AT6" s="92"/>
      <c r="AU6" s="50">
        <f>SUM(AU7)</f>
        <v>4784495.7750000004</v>
      </c>
      <c r="AV6" s="50">
        <f t="shared" ref="AV6" si="23">SUM(AV7)</f>
        <v>8235237.1968</v>
      </c>
      <c r="AW6" s="50">
        <f t="shared" ref="AW6" si="24">SUM(AW7)</f>
        <v>2070000</v>
      </c>
      <c r="AX6" s="50">
        <f t="shared" ref="AX6" si="25">SUM(AX7)</f>
        <v>15089732.971800001</v>
      </c>
      <c r="AY6" s="50">
        <f t="shared" ref="AY6" si="26">SUM(AY7)</f>
        <v>6458323</v>
      </c>
      <c r="AZ6" s="50">
        <f t="shared" ref="AZ6" si="27">SUM(AZ7)</f>
        <v>0</v>
      </c>
      <c r="BA6" s="50">
        <f t="shared" ref="BA6" si="28">SUM(BA7)</f>
        <v>0</v>
      </c>
      <c r="BB6" s="50">
        <f t="shared" ref="BB6" si="29">SUM(BB7)</f>
        <v>0</v>
      </c>
      <c r="BC6" s="50">
        <f t="shared" ref="BC6" si="30">SUM(BC7)</f>
        <v>0</v>
      </c>
      <c r="BD6" s="50">
        <f t="shared" ref="BD6" si="31">SUM(BD7)</f>
        <v>0</v>
      </c>
      <c r="BE6" s="50">
        <f t="shared" ref="BE6" si="32">SUM(BE7)</f>
        <v>705360</v>
      </c>
      <c r="BF6" s="50">
        <f t="shared" ref="BF6" si="33">SUM(BF7)</f>
        <v>-7926049.9718000013</v>
      </c>
      <c r="BG6" s="92"/>
      <c r="BH6" s="50">
        <f>SUM(BH7)</f>
        <v>4219667.7750000004</v>
      </c>
      <c r="BI6" s="50">
        <f t="shared" ref="BI6" si="34">SUM(BI7)</f>
        <v>7933800</v>
      </c>
      <c r="BJ6" s="50">
        <f t="shared" ref="BJ6" si="35">SUM(BJ7)</f>
        <v>2070000</v>
      </c>
      <c r="BK6" s="50">
        <f t="shared" ref="BK6" si="36">SUM(BK7)</f>
        <v>14223467.775</v>
      </c>
      <c r="BL6" s="50">
        <f t="shared" ref="BL6" si="37">SUM(BL7)</f>
        <v>5128790</v>
      </c>
      <c r="BM6" s="50">
        <f t="shared" ref="BM6" si="38">SUM(BM7)</f>
        <v>0</v>
      </c>
      <c r="BN6" s="50">
        <f t="shared" ref="BN6" si="39">SUM(BN7)</f>
        <v>0</v>
      </c>
      <c r="BO6" s="50">
        <f t="shared" ref="BO6" si="40">SUM(BO7)</f>
        <v>0</v>
      </c>
      <c r="BP6" s="50">
        <f t="shared" ref="BP6" si="41">SUM(BP7)</f>
        <v>0</v>
      </c>
      <c r="BQ6" s="50">
        <f t="shared" ref="BQ6" si="42">SUM(BQ7)</f>
        <v>0</v>
      </c>
      <c r="BR6" s="50">
        <f t="shared" ref="BR6" si="43">SUM(BR7)</f>
        <v>705360</v>
      </c>
      <c r="BS6" s="50">
        <f t="shared" ref="BS6" si="44">SUM(BS7)</f>
        <v>-8389317.7750000004</v>
      </c>
      <c r="BT6" s="92"/>
      <c r="BU6" s="50">
        <f>SUM(BU7)</f>
        <v>3108888.0000000005</v>
      </c>
      <c r="BV6" s="50">
        <f t="shared" ref="BV6" si="45">SUM(BV7)</f>
        <v>6269637.1968</v>
      </c>
      <c r="BW6" s="50">
        <f t="shared" ref="BW6" si="46">SUM(BW7)</f>
        <v>2070000</v>
      </c>
      <c r="BX6" s="50">
        <f t="shared" ref="BX6" si="47">SUM(BX7)</f>
        <v>11448525.196800001</v>
      </c>
      <c r="BY6" s="50">
        <f t="shared" ref="BY6" si="48">SUM(BY7)</f>
        <v>3478089</v>
      </c>
      <c r="BZ6" s="50">
        <f t="shared" ref="BZ6" si="49">SUM(BZ7)</f>
        <v>0</v>
      </c>
      <c r="CA6" s="50">
        <f t="shared" ref="CA6" si="50">SUM(CA7)</f>
        <v>0</v>
      </c>
      <c r="CB6" s="50">
        <f t="shared" ref="CB6" si="51">SUM(CB7)</f>
        <v>0</v>
      </c>
      <c r="CC6" s="50">
        <f t="shared" ref="CC6" si="52">SUM(CC7)</f>
        <v>0</v>
      </c>
      <c r="CD6" s="50">
        <f t="shared" ref="CD6" si="53">SUM(CD7)</f>
        <v>0</v>
      </c>
      <c r="CE6" s="50">
        <f t="shared" ref="CE6" si="54">SUM(CE7)</f>
        <v>728387</v>
      </c>
      <c r="CF6" s="50">
        <f t="shared" ref="CF6" si="55">SUM(CF7)</f>
        <v>-7242049.196800001</v>
      </c>
      <c r="CG6" s="92"/>
      <c r="CH6" s="50">
        <f>SUM(CH7)</f>
        <v>0</v>
      </c>
      <c r="CI6" s="50">
        <f t="shared" ref="CI6" si="56">SUM(CI7)</f>
        <v>0</v>
      </c>
      <c r="CJ6" s="50">
        <f t="shared" ref="CJ6" si="57">SUM(CJ7)</f>
        <v>0</v>
      </c>
      <c r="CK6" s="50">
        <f t="shared" ref="CK6" si="58">SUM(CK7)</f>
        <v>0</v>
      </c>
      <c r="CL6" s="50">
        <f t="shared" ref="CL6" si="59">SUM(CL7)</f>
        <v>0</v>
      </c>
      <c r="CM6" s="50">
        <f t="shared" ref="CM6" si="60">SUM(CM7)</f>
        <v>0</v>
      </c>
      <c r="CN6" s="50">
        <f t="shared" ref="CN6" si="61">SUM(CN7)</f>
        <v>0</v>
      </c>
      <c r="CO6" s="50">
        <f t="shared" ref="CO6" si="62">SUM(CO7)</f>
        <v>0</v>
      </c>
      <c r="CP6" s="50">
        <f t="shared" ref="CP6" si="63">SUM(CP7)</f>
        <v>0</v>
      </c>
      <c r="CQ6" s="50">
        <f t="shared" ref="CQ6" si="64">SUM(CQ7)</f>
        <v>0</v>
      </c>
      <c r="CR6" s="50">
        <f t="shared" ref="CR6" si="65">SUM(CR7)</f>
        <v>0</v>
      </c>
      <c r="CS6" s="50">
        <f t="shared" ref="CS6" si="66">SUM(CS7)</f>
        <v>0</v>
      </c>
      <c r="CT6" s="92"/>
      <c r="CU6" s="50">
        <f>SUM(CU7)</f>
        <v>0</v>
      </c>
      <c r="CV6" s="50">
        <f t="shared" ref="CV6" si="67">SUM(CV7)</f>
        <v>0</v>
      </c>
      <c r="CW6" s="50">
        <f t="shared" ref="CW6" si="68">SUM(CW7)</f>
        <v>0</v>
      </c>
      <c r="CX6" s="50">
        <f t="shared" ref="CX6" si="69">SUM(CX7)</f>
        <v>0</v>
      </c>
      <c r="CY6" s="50">
        <f t="shared" ref="CY6" si="70">SUM(CY7)</f>
        <v>0</v>
      </c>
      <c r="CZ6" s="50">
        <f t="shared" ref="CZ6" si="71">SUM(CZ7)</f>
        <v>0</v>
      </c>
      <c r="DA6" s="50">
        <f t="shared" ref="DA6" si="72">SUM(DA7)</f>
        <v>0</v>
      </c>
      <c r="DB6" s="50">
        <f t="shared" ref="DB6" si="73">SUM(DB7)</f>
        <v>0</v>
      </c>
      <c r="DC6" s="50">
        <f t="shared" ref="DC6" si="74">SUM(DC7)</f>
        <v>0</v>
      </c>
      <c r="DD6" s="50">
        <f t="shared" ref="DD6" si="75">SUM(DD7)</f>
        <v>0</v>
      </c>
      <c r="DE6" s="50">
        <f t="shared" ref="DE6" si="76">SUM(DE7)</f>
        <v>0</v>
      </c>
      <c r="DF6" s="50">
        <f t="shared" ref="DF6" si="77">SUM(DF7)</f>
        <v>0</v>
      </c>
      <c r="DG6" s="92"/>
      <c r="DH6" s="50">
        <f>SUM(DH7)</f>
        <v>0</v>
      </c>
      <c r="DI6" s="50">
        <f t="shared" ref="DI6" si="78">SUM(DI7)</f>
        <v>0</v>
      </c>
      <c r="DJ6" s="50">
        <f t="shared" ref="DJ6" si="79">SUM(DJ7)</f>
        <v>0</v>
      </c>
      <c r="DK6" s="50">
        <f t="shared" ref="DK6" si="80">SUM(DK7)</f>
        <v>0</v>
      </c>
      <c r="DL6" s="50">
        <f t="shared" ref="DL6" si="81">SUM(DL7)</f>
        <v>0</v>
      </c>
      <c r="DM6" s="50">
        <f t="shared" ref="DM6" si="82">SUM(DM7)</f>
        <v>0</v>
      </c>
      <c r="DN6" s="50">
        <f t="shared" ref="DN6" si="83">SUM(DN7)</f>
        <v>0</v>
      </c>
      <c r="DO6" s="50">
        <f t="shared" ref="DO6" si="84">SUM(DO7)</f>
        <v>0</v>
      </c>
      <c r="DP6" s="50">
        <f t="shared" ref="DP6" si="85">SUM(DP7)</f>
        <v>0</v>
      </c>
      <c r="DQ6" s="50">
        <f t="shared" ref="DQ6" si="86">SUM(DQ7)</f>
        <v>0</v>
      </c>
      <c r="DR6" s="50">
        <f t="shared" ref="DR6" si="87">SUM(DR7)</f>
        <v>0</v>
      </c>
      <c r="DS6" s="50">
        <f t="shared" ref="DS6" si="88">SUM(DS7)</f>
        <v>0</v>
      </c>
      <c r="DT6" s="92"/>
      <c r="DU6" s="50">
        <f>SUM(DU7)</f>
        <v>0</v>
      </c>
      <c r="DV6" s="50">
        <f t="shared" ref="DV6" si="89">SUM(DV7)</f>
        <v>0</v>
      </c>
      <c r="DW6" s="50">
        <f t="shared" ref="DW6" si="90">SUM(DW7)</f>
        <v>0</v>
      </c>
      <c r="DX6" s="50">
        <f t="shared" ref="DX6" si="91">SUM(DX7)</f>
        <v>0</v>
      </c>
      <c r="DY6" s="50">
        <f t="shared" ref="DY6" si="92">SUM(DY7)</f>
        <v>0</v>
      </c>
      <c r="DZ6" s="50">
        <f t="shared" ref="DZ6" si="93">SUM(DZ7)</f>
        <v>0</v>
      </c>
      <c r="EA6" s="50">
        <f t="shared" ref="EA6" si="94">SUM(EA7)</f>
        <v>0</v>
      </c>
      <c r="EB6" s="50">
        <f t="shared" ref="EB6" si="95">SUM(EB7)</f>
        <v>0</v>
      </c>
      <c r="EC6" s="50">
        <f t="shared" ref="EC6" si="96">SUM(EC7)</f>
        <v>0</v>
      </c>
      <c r="ED6" s="50">
        <f t="shared" ref="ED6" si="97">SUM(ED7)</f>
        <v>0</v>
      </c>
      <c r="EE6" s="50">
        <f t="shared" ref="EE6" si="98">SUM(EE7)</f>
        <v>0</v>
      </c>
      <c r="EF6" s="50">
        <f t="shared" ref="EF6" si="99">SUM(EF7)</f>
        <v>0</v>
      </c>
      <c r="EG6" s="92"/>
      <c r="EH6" s="50">
        <f>SUM(EH7)</f>
        <v>23070277.125</v>
      </c>
      <c r="EI6" s="50">
        <f t="shared" ref="EI6" si="100">SUM(EI7)</f>
        <v>49155038.467199996</v>
      </c>
      <c r="EJ6" s="50">
        <f t="shared" ref="EJ6" si="101">SUM(EJ7)</f>
        <v>10350000</v>
      </c>
      <c r="EK6" s="50">
        <f t="shared" ref="EK6" si="102">SUM(EK7)</f>
        <v>82575315.592199981</v>
      </c>
      <c r="EL6" s="50">
        <f t="shared" ref="EL6" si="103">SUM(EL7)</f>
        <v>26742461.68</v>
      </c>
      <c r="EM6" s="50">
        <f t="shared" ref="EM6" si="104">SUM(EM7)</f>
        <v>0</v>
      </c>
      <c r="EN6" s="50">
        <f t="shared" ref="EN6" si="105">SUM(EN7)</f>
        <v>0</v>
      </c>
      <c r="EO6" s="50">
        <f t="shared" ref="EO6" si="106">SUM(EO7)</f>
        <v>6741000</v>
      </c>
      <c r="EP6" s="50">
        <f t="shared" ref="EP6" si="107">SUM(EP7)</f>
        <v>0</v>
      </c>
      <c r="EQ6" s="50">
        <f t="shared" ref="EQ6" si="108">SUM(EQ7)</f>
        <v>9627917</v>
      </c>
      <c r="ER6" s="50">
        <f t="shared" ref="ER6" si="109">SUM(ER7)</f>
        <v>4321019</v>
      </c>
      <c r="ES6" s="50">
        <f t="shared" ref="ES6" si="110">SUM(ES7)</f>
        <v>-35142917.912200004</v>
      </c>
    </row>
    <row r="7" spans="1:149" ht="15" customHeight="1">
      <c r="A7" s="3"/>
      <c r="B7" s="27"/>
      <c r="C7" s="324" t="s">
        <v>204</v>
      </c>
      <c r="D7" s="324"/>
      <c r="E7" s="325"/>
      <c r="F7" s="140"/>
      <c r="G7" s="140"/>
      <c r="H7" s="51">
        <f>SUM(H8:H11)</f>
        <v>1454023.6500000001</v>
      </c>
      <c r="I7" s="51">
        <f t="shared" ref="I7:S7" si="111">SUM(I8:I11)</f>
        <v>7486489.6799999997</v>
      </c>
      <c r="J7" s="51">
        <f t="shared" si="111"/>
        <v>0</v>
      </c>
      <c r="K7" s="51">
        <f t="shared" si="111"/>
        <v>8940513.3300000001</v>
      </c>
      <c r="L7" s="51">
        <f t="shared" si="111"/>
        <v>1624454.68</v>
      </c>
      <c r="M7" s="51">
        <f t="shared" si="111"/>
        <v>0</v>
      </c>
      <c r="N7" s="51">
        <f t="shared" si="111"/>
        <v>0</v>
      </c>
      <c r="O7" s="51">
        <f t="shared" si="111"/>
        <v>2421000</v>
      </c>
      <c r="P7" s="51">
        <f t="shared" si="111"/>
        <v>0</v>
      </c>
      <c r="Q7" s="51">
        <f t="shared" si="111"/>
        <v>4384800</v>
      </c>
      <c r="R7" s="51">
        <f t="shared" si="111"/>
        <v>41253</v>
      </c>
      <c r="S7" s="51">
        <f t="shared" si="111"/>
        <v>-469005.65000000026</v>
      </c>
      <c r="T7" s="88"/>
      <c r="U7" s="51">
        <f>SUM(U8:U11)</f>
        <v>5326450.5750000002</v>
      </c>
      <c r="V7" s="51">
        <f t="shared" ref="V7" si="112">SUM(V8:V11)</f>
        <v>12543837.196800001</v>
      </c>
      <c r="W7" s="51">
        <f t="shared" ref="W7" si="113">SUM(W8:W11)</f>
        <v>2070000</v>
      </c>
      <c r="X7" s="51">
        <f t="shared" ref="X7" si="114">SUM(X8:X11)</f>
        <v>19940287.7718</v>
      </c>
      <c r="Y7" s="51">
        <f t="shared" ref="Y7" si="115">SUM(Y8:Y11)</f>
        <v>6250886</v>
      </c>
      <c r="Z7" s="51">
        <f t="shared" ref="Z7" si="116">SUM(Z8:Z11)</f>
        <v>0</v>
      </c>
      <c r="AA7" s="51">
        <f t="shared" ref="AA7" si="117">SUM(AA8:AA11)</f>
        <v>0</v>
      </c>
      <c r="AB7" s="51">
        <f t="shared" ref="AB7" si="118">SUM(AB8:AB11)</f>
        <v>4320000</v>
      </c>
      <c r="AC7" s="51">
        <f t="shared" ref="AC7" si="119">SUM(AC8:AC11)</f>
        <v>0</v>
      </c>
      <c r="AD7" s="51">
        <f t="shared" ref="AD7" si="120">SUM(AD8:AD11)</f>
        <v>4883117</v>
      </c>
      <c r="AE7" s="51">
        <f t="shared" ref="AE7" si="121">SUM(AE8:AE11)</f>
        <v>103688</v>
      </c>
      <c r="AF7" s="51">
        <f t="shared" ref="AF7" si="122">SUM(AF8:AF11)</f>
        <v>-4382596.7718000002</v>
      </c>
      <c r="AG7" s="96"/>
      <c r="AH7" s="51">
        <f>SUM(AH8:AH11)</f>
        <v>4176751.35</v>
      </c>
      <c r="AI7" s="51">
        <f t="shared" ref="AI7" si="123">SUM(AI8:AI11)</f>
        <v>6686037.1968</v>
      </c>
      <c r="AJ7" s="51">
        <f t="shared" ref="AJ7" si="124">SUM(AJ8:AJ11)</f>
        <v>2070000</v>
      </c>
      <c r="AK7" s="51">
        <f t="shared" ref="AK7" si="125">SUM(AK8:AK11)</f>
        <v>12932788.546800002</v>
      </c>
      <c r="AL7" s="51">
        <f t="shared" ref="AL7" si="126">SUM(AL8:AL11)</f>
        <v>3801919</v>
      </c>
      <c r="AM7" s="51">
        <f t="shared" ref="AM7" si="127">SUM(AM8:AM11)</f>
        <v>0</v>
      </c>
      <c r="AN7" s="51">
        <f t="shared" ref="AN7" si="128">SUM(AN8:AN11)</f>
        <v>0</v>
      </c>
      <c r="AO7" s="51">
        <f t="shared" ref="AO7" si="129">SUM(AO8:AO11)</f>
        <v>0</v>
      </c>
      <c r="AP7" s="51">
        <f t="shared" ref="AP7" si="130">SUM(AP8:AP11)</f>
        <v>0</v>
      </c>
      <c r="AQ7" s="51">
        <f t="shared" ref="AQ7" si="131">SUM(AQ8:AQ11)</f>
        <v>360000</v>
      </c>
      <c r="AR7" s="51">
        <f t="shared" ref="AR7" si="132">SUM(AR8:AR11)</f>
        <v>2036971</v>
      </c>
      <c r="AS7" s="51">
        <f t="shared" ref="AS7" si="133">SUM(AS8:AS11)</f>
        <v>-6733898.5468000006</v>
      </c>
      <c r="AT7" s="92"/>
      <c r="AU7" s="51">
        <f>SUM(AU8:AU11)</f>
        <v>4784495.7750000004</v>
      </c>
      <c r="AV7" s="51">
        <f t="shared" ref="AV7" si="134">SUM(AV8:AV11)</f>
        <v>8235237.1968</v>
      </c>
      <c r="AW7" s="51">
        <f t="shared" ref="AW7" si="135">SUM(AW8:AW11)</f>
        <v>2070000</v>
      </c>
      <c r="AX7" s="51">
        <f t="shared" ref="AX7" si="136">SUM(AX8:AX11)</f>
        <v>15089732.971800001</v>
      </c>
      <c r="AY7" s="51">
        <f t="shared" ref="AY7" si="137">SUM(AY8:AY11)</f>
        <v>6458323</v>
      </c>
      <c r="AZ7" s="51">
        <f t="shared" ref="AZ7" si="138">SUM(AZ8:AZ11)</f>
        <v>0</v>
      </c>
      <c r="BA7" s="51">
        <f t="shared" ref="BA7" si="139">SUM(BA8:BA11)</f>
        <v>0</v>
      </c>
      <c r="BB7" s="51">
        <f t="shared" ref="BB7" si="140">SUM(BB8:BB11)</f>
        <v>0</v>
      </c>
      <c r="BC7" s="51">
        <f t="shared" ref="BC7" si="141">SUM(BC8:BC11)</f>
        <v>0</v>
      </c>
      <c r="BD7" s="51">
        <f t="shared" ref="BD7" si="142">SUM(BD8:BD11)</f>
        <v>0</v>
      </c>
      <c r="BE7" s="51">
        <f t="shared" ref="BE7" si="143">SUM(BE8:BE11)</f>
        <v>705360</v>
      </c>
      <c r="BF7" s="51">
        <f t="shared" ref="BF7" si="144">SUM(BF8:BF11)</f>
        <v>-7926049.9718000013</v>
      </c>
      <c r="BG7" s="92"/>
      <c r="BH7" s="51">
        <f>SUM(BH8:BH11)</f>
        <v>4219667.7750000004</v>
      </c>
      <c r="BI7" s="51">
        <f t="shared" ref="BI7" si="145">SUM(BI8:BI11)</f>
        <v>7933800</v>
      </c>
      <c r="BJ7" s="51">
        <f t="shared" ref="BJ7" si="146">SUM(BJ8:BJ11)</f>
        <v>2070000</v>
      </c>
      <c r="BK7" s="51">
        <f t="shared" ref="BK7" si="147">SUM(BK8:BK11)</f>
        <v>14223467.775</v>
      </c>
      <c r="BL7" s="51">
        <f t="shared" ref="BL7" si="148">SUM(BL8:BL11)</f>
        <v>5128790</v>
      </c>
      <c r="BM7" s="51">
        <f t="shared" ref="BM7" si="149">SUM(BM8:BM11)</f>
        <v>0</v>
      </c>
      <c r="BN7" s="51">
        <f t="shared" ref="BN7" si="150">SUM(BN8:BN11)</f>
        <v>0</v>
      </c>
      <c r="BO7" s="51">
        <f t="shared" ref="BO7" si="151">SUM(BO8:BO11)</f>
        <v>0</v>
      </c>
      <c r="BP7" s="51">
        <f t="shared" ref="BP7" si="152">SUM(BP8:BP11)</f>
        <v>0</v>
      </c>
      <c r="BQ7" s="51">
        <f t="shared" ref="BQ7" si="153">SUM(BQ8:BQ11)</f>
        <v>0</v>
      </c>
      <c r="BR7" s="51">
        <f t="shared" ref="BR7" si="154">SUM(BR8:BR11)</f>
        <v>705360</v>
      </c>
      <c r="BS7" s="51">
        <f t="shared" ref="BS7" si="155">SUM(BS8:BS11)</f>
        <v>-8389317.7750000004</v>
      </c>
      <c r="BT7" s="92"/>
      <c r="BU7" s="51">
        <f>SUM(BU8:BU11)</f>
        <v>3108888.0000000005</v>
      </c>
      <c r="BV7" s="51">
        <f t="shared" ref="BV7" si="156">SUM(BV8:BV11)</f>
        <v>6269637.1968</v>
      </c>
      <c r="BW7" s="51">
        <f t="shared" ref="BW7" si="157">SUM(BW8:BW11)</f>
        <v>2070000</v>
      </c>
      <c r="BX7" s="51">
        <f t="shared" ref="BX7" si="158">SUM(BX8:BX11)</f>
        <v>11448525.196800001</v>
      </c>
      <c r="BY7" s="51">
        <f t="shared" ref="BY7" si="159">SUM(BY8:BY11)</f>
        <v>3478089</v>
      </c>
      <c r="BZ7" s="51">
        <f t="shared" ref="BZ7" si="160">SUM(BZ8:BZ11)</f>
        <v>0</v>
      </c>
      <c r="CA7" s="51">
        <f t="shared" ref="CA7" si="161">SUM(CA8:CA11)</f>
        <v>0</v>
      </c>
      <c r="CB7" s="51">
        <f t="shared" ref="CB7" si="162">SUM(CB8:CB11)</f>
        <v>0</v>
      </c>
      <c r="CC7" s="51">
        <f t="shared" ref="CC7" si="163">SUM(CC8:CC11)</f>
        <v>0</v>
      </c>
      <c r="CD7" s="51">
        <f t="shared" ref="CD7" si="164">SUM(CD8:CD11)</f>
        <v>0</v>
      </c>
      <c r="CE7" s="51">
        <f t="shared" ref="CE7" si="165">SUM(CE8:CE11)</f>
        <v>728387</v>
      </c>
      <c r="CF7" s="51">
        <f t="shared" ref="CF7" si="166">SUM(CF8:CF11)</f>
        <v>-7242049.196800001</v>
      </c>
      <c r="CG7" s="92"/>
      <c r="CH7" s="51">
        <f>SUM(CH8:CH11)</f>
        <v>0</v>
      </c>
      <c r="CI7" s="51">
        <f t="shared" ref="CI7" si="167">SUM(CI8:CI11)</f>
        <v>0</v>
      </c>
      <c r="CJ7" s="51">
        <f t="shared" ref="CJ7" si="168">SUM(CJ8:CJ11)</f>
        <v>0</v>
      </c>
      <c r="CK7" s="51">
        <f t="shared" ref="CK7" si="169">SUM(CK8:CK11)</f>
        <v>0</v>
      </c>
      <c r="CL7" s="51">
        <f t="shared" ref="CL7" si="170">SUM(CL8:CL11)</f>
        <v>0</v>
      </c>
      <c r="CM7" s="51">
        <f t="shared" ref="CM7" si="171">SUM(CM8:CM11)</f>
        <v>0</v>
      </c>
      <c r="CN7" s="51">
        <f t="shared" ref="CN7" si="172">SUM(CN8:CN11)</f>
        <v>0</v>
      </c>
      <c r="CO7" s="51">
        <f t="shared" ref="CO7" si="173">SUM(CO8:CO11)</f>
        <v>0</v>
      </c>
      <c r="CP7" s="51">
        <f t="shared" ref="CP7" si="174">SUM(CP8:CP11)</f>
        <v>0</v>
      </c>
      <c r="CQ7" s="51">
        <f t="shared" ref="CQ7" si="175">SUM(CQ8:CQ11)</f>
        <v>0</v>
      </c>
      <c r="CR7" s="51">
        <f t="shared" ref="CR7" si="176">SUM(CR8:CR11)</f>
        <v>0</v>
      </c>
      <c r="CS7" s="51">
        <f t="shared" ref="CS7" si="177">SUM(CS8:CS11)</f>
        <v>0</v>
      </c>
      <c r="CT7" s="92"/>
      <c r="CU7" s="51">
        <f>SUM(CU8:CU11)</f>
        <v>0</v>
      </c>
      <c r="CV7" s="51">
        <f t="shared" ref="CV7" si="178">SUM(CV8:CV11)</f>
        <v>0</v>
      </c>
      <c r="CW7" s="51">
        <f t="shared" ref="CW7" si="179">SUM(CW8:CW11)</f>
        <v>0</v>
      </c>
      <c r="CX7" s="51">
        <f t="shared" ref="CX7" si="180">SUM(CX8:CX11)</f>
        <v>0</v>
      </c>
      <c r="CY7" s="51">
        <f t="shared" ref="CY7" si="181">SUM(CY8:CY11)</f>
        <v>0</v>
      </c>
      <c r="CZ7" s="51">
        <f t="shared" ref="CZ7" si="182">SUM(CZ8:CZ11)</f>
        <v>0</v>
      </c>
      <c r="DA7" s="51">
        <f t="shared" ref="DA7" si="183">SUM(DA8:DA11)</f>
        <v>0</v>
      </c>
      <c r="DB7" s="51">
        <f t="shared" ref="DB7" si="184">SUM(DB8:DB11)</f>
        <v>0</v>
      </c>
      <c r="DC7" s="51">
        <f t="shared" ref="DC7" si="185">SUM(DC8:DC11)</f>
        <v>0</v>
      </c>
      <c r="DD7" s="51">
        <f t="shared" ref="DD7" si="186">SUM(DD8:DD11)</f>
        <v>0</v>
      </c>
      <c r="DE7" s="51">
        <f t="shared" ref="DE7" si="187">SUM(DE8:DE11)</f>
        <v>0</v>
      </c>
      <c r="DF7" s="51">
        <f t="shared" ref="DF7" si="188">SUM(DF8:DF11)</f>
        <v>0</v>
      </c>
      <c r="DG7" s="92"/>
      <c r="DH7" s="51">
        <f>SUM(DH8:DH11)</f>
        <v>0</v>
      </c>
      <c r="DI7" s="51">
        <f t="shared" ref="DI7" si="189">SUM(DI8:DI11)</f>
        <v>0</v>
      </c>
      <c r="DJ7" s="51">
        <f t="shared" ref="DJ7" si="190">SUM(DJ8:DJ11)</f>
        <v>0</v>
      </c>
      <c r="DK7" s="51">
        <f t="shared" ref="DK7" si="191">SUM(DK8:DK11)</f>
        <v>0</v>
      </c>
      <c r="DL7" s="51">
        <f t="shared" ref="DL7" si="192">SUM(DL8:DL11)</f>
        <v>0</v>
      </c>
      <c r="DM7" s="51">
        <f t="shared" ref="DM7" si="193">SUM(DM8:DM11)</f>
        <v>0</v>
      </c>
      <c r="DN7" s="51">
        <f t="shared" ref="DN7" si="194">SUM(DN8:DN11)</f>
        <v>0</v>
      </c>
      <c r="DO7" s="51">
        <f t="shared" ref="DO7" si="195">SUM(DO8:DO11)</f>
        <v>0</v>
      </c>
      <c r="DP7" s="51">
        <f t="shared" ref="DP7" si="196">SUM(DP8:DP11)</f>
        <v>0</v>
      </c>
      <c r="DQ7" s="51">
        <f t="shared" ref="DQ7" si="197">SUM(DQ8:DQ11)</f>
        <v>0</v>
      </c>
      <c r="DR7" s="51">
        <f t="shared" ref="DR7" si="198">SUM(DR8:DR11)</f>
        <v>0</v>
      </c>
      <c r="DS7" s="51">
        <f t="shared" ref="DS7" si="199">SUM(DS8:DS11)</f>
        <v>0</v>
      </c>
      <c r="DT7" s="92"/>
      <c r="DU7" s="51">
        <f>SUM(DU8:DU11)</f>
        <v>0</v>
      </c>
      <c r="DV7" s="51">
        <f t="shared" ref="DV7" si="200">SUM(DV8:DV11)</f>
        <v>0</v>
      </c>
      <c r="DW7" s="51">
        <f t="shared" ref="DW7" si="201">SUM(DW8:DW11)</f>
        <v>0</v>
      </c>
      <c r="DX7" s="51">
        <f t="shared" ref="DX7" si="202">SUM(DX8:DX11)</f>
        <v>0</v>
      </c>
      <c r="DY7" s="51">
        <f t="shared" ref="DY7" si="203">SUM(DY8:DY11)</f>
        <v>0</v>
      </c>
      <c r="DZ7" s="51">
        <f t="shared" ref="DZ7" si="204">SUM(DZ8:DZ11)</f>
        <v>0</v>
      </c>
      <c r="EA7" s="51">
        <f t="shared" ref="EA7" si="205">SUM(EA8:EA11)</f>
        <v>0</v>
      </c>
      <c r="EB7" s="51">
        <f t="shared" ref="EB7" si="206">SUM(EB8:EB11)</f>
        <v>0</v>
      </c>
      <c r="EC7" s="51">
        <f t="shared" ref="EC7" si="207">SUM(EC8:EC11)</f>
        <v>0</v>
      </c>
      <c r="ED7" s="51">
        <f t="shared" ref="ED7" si="208">SUM(ED8:ED11)</f>
        <v>0</v>
      </c>
      <c r="EE7" s="51">
        <f t="shared" ref="EE7" si="209">SUM(EE8:EE11)</f>
        <v>0</v>
      </c>
      <c r="EF7" s="51">
        <f t="shared" ref="EF7" si="210">SUM(EF8:EF11)</f>
        <v>0</v>
      </c>
      <c r="EG7" s="92"/>
      <c r="EH7" s="51">
        <f>SUM(EH8:EH11)</f>
        <v>23070277.125</v>
      </c>
      <c r="EI7" s="51">
        <f t="shared" ref="EI7" si="211">SUM(EI8:EI11)</f>
        <v>49155038.467199996</v>
      </c>
      <c r="EJ7" s="51">
        <f t="shared" ref="EJ7" si="212">SUM(EJ8:EJ11)</f>
        <v>10350000</v>
      </c>
      <c r="EK7" s="51">
        <f t="shared" ref="EK7" si="213">SUM(EK8:EK11)</f>
        <v>82575315.592199981</v>
      </c>
      <c r="EL7" s="51">
        <f t="shared" ref="EL7" si="214">SUM(EL8:EL11)</f>
        <v>26742461.68</v>
      </c>
      <c r="EM7" s="51">
        <f t="shared" ref="EM7" si="215">SUM(EM8:EM11)</f>
        <v>0</v>
      </c>
      <c r="EN7" s="51">
        <f t="shared" ref="EN7" si="216">SUM(EN8:EN11)</f>
        <v>0</v>
      </c>
      <c r="EO7" s="51">
        <f t="shared" ref="EO7" si="217">SUM(EO8:EO11)</f>
        <v>6741000</v>
      </c>
      <c r="EP7" s="51">
        <f t="shared" ref="EP7" si="218">SUM(EP8:EP11)</f>
        <v>0</v>
      </c>
      <c r="EQ7" s="51">
        <f t="shared" ref="EQ7" si="219">SUM(EQ8:EQ11)</f>
        <v>9627917</v>
      </c>
      <c r="ER7" s="51">
        <f t="shared" ref="ER7" si="220">SUM(ER8:ER11)</f>
        <v>4321019</v>
      </c>
      <c r="ES7" s="51">
        <f t="shared" ref="ES7" si="221">SUM(ES8:ES11)</f>
        <v>-35142917.912200004</v>
      </c>
    </row>
    <row r="8" spans="1:149" ht="179.4">
      <c r="B8" s="26"/>
      <c r="C8" s="23"/>
      <c r="D8" s="301" t="s">
        <v>624</v>
      </c>
      <c r="E8" s="56" t="s">
        <v>577</v>
      </c>
      <c r="F8" s="58">
        <v>2021</v>
      </c>
      <c r="G8" s="59">
        <v>2026</v>
      </c>
      <c r="H8" s="49">
        <f>'Incremental_Cost Year 1'!AQ15</f>
        <v>729375</v>
      </c>
      <c r="I8" s="49">
        <f>'Incremental_Cost Year 1'!AR15</f>
        <v>3002689.68</v>
      </c>
      <c r="J8" s="49">
        <f>'Incremental_Cost Year 1'!AS15</f>
        <v>0</v>
      </c>
      <c r="K8" s="49">
        <f>'Incremental_Cost Year 1'!AT15</f>
        <v>3732064.68</v>
      </c>
      <c r="L8" s="49">
        <f>'Incremental_Cost Year 1'!AU15</f>
        <v>792064.67999999993</v>
      </c>
      <c r="M8" s="49">
        <f>'Incremental_Cost Year 1'!AV15</f>
        <v>0</v>
      </c>
      <c r="N8" s="49">
        <f>'Incremental_Cost Year 1'!AW15</f>
        <v>0</v>
      </c>
      <c r="O8" s="49">
        <f>'Incremental_Cost Year 1'!AX15</f>
        <v>0</v>
      </c>
      <c r="P8" s="49">
        <f>'Incremental_Cost Year 1'!AY15</f>
        <v>0</v>
      </c>
      <c r="Q8" s="49">
        <f>'Incremental_Cost Year 1'!AZ15</f>
        <v>2550000</v>
      </c>
      <c r="R8" s="49">
        <f>'Incremental_Cost Year 1'!BA15</f>
        <v>0</v>
      </c>
      <c r="S8" s="49">
        <f>L8+M8+N8+O8+P8+Q8+R8-K8</f>
        <v>-390000.00000000047</v>
      </c>
      <c r="T8" s="88"/>
      <c r="U8" s="49">
        <f>'Incremental_Cost Year 2'!AQ15</f>
        <v>4331349.6749999998</v>
      </c>
      <c r="V8" s="49">
        <f>'Incremental_Cost Year 2'!AR15</f>
        <v>1502637.1968</v>
      </c>
      <c r="W8" s="49">
        <f>'Incremental_Cost Year 2'!AS15</f>
        <v>0</v>
      </c>
      <c r="X8" s="49">
        <f>'Incremental_Cost Year 2'!AT15</f>
        <v>5833986.8717999998</v>
      </c>
      <c r="Y8" s="49">
        <f>'Incremental_Cost Year 2'!AU15</f>
        <v>2880470</v>
      </c>
      <c r="Z8" s="49">
        <f>'Incremental_Cost Year 2'!AV15</f>
        <v>0</v>
      </c>
      <c r="AA8" s="49">
        <f>'Incremental_Cost Year 2'!AW15</f>
        <v>0</v>
      </c>
      <c r="AB8" s="49">
        <f>'Incremental_Cost Year 2'!AX15</f>
        <v>0</v>
      </c>
      <c r="AC8" s="49">
        <f>'Incremental_Cost Year 2'!AY15</f>
        <v>0</v>
      </c>
      <c r="AD8" s="49">
        <f>'Incremental_Cost Year 2'!AZ15</f>
        <v>1808717</v>
      </c>
      <c r="AE8" s="49">
        <f>'Incremental_Cost Year 2'!BA15</f>
        <v>0</v>
      </c>
      <c r="AF8" s="49">
        <f>Y8+Z8+AA8+AB8+AC8+AD8+AE8-X8</f>
        <v>-1144799.8717999998</v>
      </c>
      <c r="AG8" s="96"/>
      <c r="AH8" s="49">
        <f>'Incremental_Cost Year 3'!AQ15</f>
        <v>3817315.35</v>
      </c>
      <c r="AI8" s="49">
        <f>'Incremental_Cost Year 3'!AR15</f>
        <v>1351437.1968</v>
      </c>
      <c r="AJ8" s="49">
        <f>'Incremental_Cost Year 3'!AS15</f>
        <v>0</v>
      </c>
      <c r="AK8" s="49">
        <f>'Incremental_Cost Year 3'!AT15</f>
        <v>5168752.5468000006</v>
      </c>
      <c r="AL8" s="49">
        <f>'Incremental_Cost Year 3'!AU15</f>
        <v>2028235</v>
      </c>
      <c r="AM8" s="49">
        <f>'Incremental_Cost Year 3'!AV15</f>
        <v>0</v>
      </c>
      <c r="AN8" s="49">
        <f>'Incremental_Cost Year 3'!AW15</f>
        <v>0</v>
      </c>
      <c r="AO8" s="49">
        <f>'Incremental_Cost Year 3'!AX15</f>
        <v>0</v>
      </c>
      <c r="AP8" s="49">
        <f>'Incremental_Cost Year 3'!AY15</f>
        <v>0</v>
      </c>
      <c r="AQ8" s="49">
        <f>'Incremental_Cost Year 3'!AZ15</f>
        <v>0</v>
      </c>
      <c r="AR8" s="49">
        <f>'Incremental_Cost Year 3'!BA15</f>
        <v>1995718</v>
      </c>
      <c r="AS8" s="49">
        <f t="shared" ref="AS8:AS11" si="222">AL8+AM8+AN8+AO8+AP8+AQ8+AR8-AK8</f>
        <v>-1144799.5468000006</v>
      </c>
      <c r="AT8" s="92"/>
      <c r="AU8" s="49">
        <f>'Incremental_Cost Year 4'!AQ15</f>
        <v>2758292.0250000004</v>
      </c>
      <c r="AV8" s="49">
        <f>'Incremental_Cost Year 4'!AR15</f>
        <v>1249437.1968</v>
      </c>
      <c r="AW8" s="49">
        <f>'Incremental_Cost Year 4'!AS15</f>
        <v>0</v>
      </c>
      <c r="AX8" s="49">
        <f>'Incremental_Cost Year 4'!AT15</f>
        <v>4007729.2218000004</v>
      </c>
      <c r="AY8" s="49">
        <f>'Incremental_Cost Year 4'!AU15</f>
        <v>2335623</v>
      </c>
      <c r="AZ8" s="49">
        <f>'Incremental_Cost Year 4'!AV15</f>
        <v>0</v>
      </c>
      <c r="BA8" s="49">
        <f>'Incremental_Cost Year 4'!AW15</f>
        <v>0</v>
      </c>
      <c r="BB8" s="49">
        <f>'Incremental_Cost Year 4'!AX15</f>
        <v>0</v>
      </c>
      <c r="BC8" s="49">
        <f>'Incremental_Cost Year 4'!AY15</f>
        <v>0</v>
      </c>
      <c r="BD8" s="49">
        <f>'Incremental_Cost Year 4'!AZ15</f>
        <v>0</v>
      </c>
      <c r="BE8" s="49">
        <f>'Incremental_Cost Year 4'!BA15</f>
        <v>664107</v>
      </c>
      <c r="BF8" s="49">
        <f t="shared" ref="BF8:BF11" si="223">AY8+AZ8+BA8+BB8+BC8+BD8+BE8-AX8</f>
        <v>-1007999.2218000004</v>
      </c>
      <c r="BG8" s="92"/>
      <c r="BH8" s="49">
        <f>'Incremental_Cost Year 5'!AQ15</f>
        <v>2193464.0249999999</v>
      </c>
      <c r="BI8" s="49">
        <f>'Incremental_Cost Year 5'!AR15</f>
        <v>1308000</v>
      </c>
      <c r="BJ8" s="49">
        <f>'Incremental_Cost Year 5'!AS15</f>
        <v>0</v>
      </c>
      <c r="BK8" s="49">
        <f>'Incremental_Cost Year 5'!AT15</f>
        <v>3501464.0250000004</v>
      </c>
      <c r="BL8" s="49">
        <f>'Incremental_Cost Year 5'!AU15</f>
        <v>1366090</v>
      </c>
      <c r="BM8" s="49">
        <f>'Incremental_Cost Year 5'!AV15</f>
        <v>0</v>
      </c>
      <c r="BN8" s="49">
        <f>'Incremental_Cost Year 5'!AW15</f>
        <v>0</v>
      </c>
      <c r="BO8" s="49">
        <f>'Incremental_Cost Year 5'!AX15</f>
        <v>0</v>
      </c>
      <c r="BP8" s="49">
        <f>'Incremental_Cost Year 5'!AY15</f>
        <v>0</v>
      </c>
      <c r="BQ8" s="49">
        <f>'Incremental_Cost Year 5'!AZ15</f>
        <v>0</v>
      </c>
      <c r="BR8" s="49">
        <f>'Incremental_Cost Year 5'!BA15</f>
        <v>664107</v>
      </c>
      <c r="BS8" s="49">
        <f t="shared" ref="BS8:BS11" si="224">BL8+BM8+BN8+BO8+BP8+BQ8+BR8-BK8</f>
        <v>-1471267.0250000004</v>
      </c>
      <c r="BT8" s="92"/>
      <c r="BU8" s="49">
        <f>'Incremental_Cost Year 6'!AQ15</f>
        <v>2778918.7500000005</v>
      </c>
      <c r="BV8" s="49">
        <f>'Incremental_Cost Year 6'!AR15</f>
        <v>1251837.1968</v>
      </c>
      <c r="BW8" s="49">
        <f>'Incremental_Cost Year 6'!AS15</f>
        <v>0</v>
      </c>
      <c r="BX8" s="49">
        <f>'Incremental_Cost Year 6'!AT15</f>
        <v>4030755.9468000005</v>
      </c>
      <c r="BY8" s="49">
        <f>'Incremental_Cost Year 6'!AU15</f>
        <v>2335623</v>
      </c>
      <c r="BZ8" s="49">
        <f>'Incremental_Cost Year 6'!AV15</f>
        <v>0</v>
      </c>
      <c r="CA8" s="49">
        <f>'Incremental_Cost Year 6'!AW15</f>
        <v>0</v>
      </c>
      <c r="CB8" s="49">
        <f>'Incremental_Cost Year 6'!AX15</f>
        <v>0</v>
      </c>
      <c r="CC8" s="49">
        <f>'Incremental_Cost Year 6'!AY15</f>
        <v>0</v>
      </c>
      <c r="CD8" s="49">
        <f>'Incremental_Cost Year 6'!AZ15</f>
        <v>0</v>
      </c>
      <c r="CE8" s="49">
        <f>'Incremental_Cost Year 6'!BA15</f>
        <v>687134</v>
      </c>
      <c r="CF8" s="49">
        <f t="shared" ref="CF8:CF11" si="225">BY8+BZ8+CA8+CB8+CC8+CD8+CE8-BX8</f>
        <v>-1007998.9468000005</v>
      </c>
      <c r="CG8" s="92"/>
      <c r="CH8" s="49"/>
      <c r="CI8" s="49"/>
      <c r="CJ8" s="49"/>
      <c r="CK8" s="49"/>
      <c r="CL8" s="49"/>
      <c r="CM8" s="49"/>
      <c r="CN8" s="49"/>
      <c r="CO8" s="49"/>
      <c r="CP8" s="49"/>
      <c r="CQ8" s="49"/>
      <c r="CR8" s="49"/>
      <c r="CS8" s="49"/>
      <c r="CT8" s="92"/>
      <c r="CU8" s="49"/>
      <c r="CV8" s="49"/>
      <c r="CW8" s="49"/>
      <c r="CX8" s="49"/>
      <c r="CY8" s="49"/>
      <c r="CZ8" s="49"/>
      <c r="DA8" s="49"/>
      <c r="DB8" s="49"/>
      <c r="DC8" s="49"/>
      <c r="DD8" s="49"/>
      <c r="DE8" s="49"/>
      <c r="DF8" s="49">
        <f t="shared" ref="DF8:DF11" si="226">SUM(CY8:DE8)-CX8</f>
        <v>0</v>
      </c>
      <c r="DG8" s="92"/>
      <c r="DH8" s="49"/>
      <c r="DI8" s="49"/>
      <c r="DJ8" s="49"/>
      <c r="DK8" s="49"/>
      <c r="DL8" s="49"/>
      <c r="DM8" s="49"/>
      <c r="DN8" s="49"/>
      <c r="DO8" s="49"/>
      <c r="DP8" s="49"/>
      <c r="DQ8" s="49"/>
      <c r="DR8" s="49"/>
      <c r="DS8" s="49">
        <f t="shared" ref="DS8:DS11" si="227">SUM(DL8:DR8)-DK8</f>
        <v>0</v>
      </c>
      <c r="DT8" s="92"/>
      <c r="DU8" s="49"/>
      <c r="DV8" s="49"/>
      <c r="DW8" s="49"/>
      <c r="DX8" s="49"/>
      <c r="DY8" s="49"/>
      <c r="DZ8" s="49"/>
      <c r="EA8" s="49"/>
      <c r="EB8" s="49"/>
      <c r="EC8" s="49"/>
      <c r="ED8" s="49"/>
      <c r="EE8" s="49"/>
      <c r="EF8" s="49">
        <f>SUM(DY8:EE8)-DX8</f>
        <v>0</v>
      </c>
      <c r="EG8" s="92"/>
      <c r="EH8" s="49">
        <f>H8+U8+AH8+AU8+BH8+BU8+CH8+CU8+DH8+DU8</f>
        <v>16608714.825000001</v>
      </c>
      <c r="EI8" s="49">
        <f t="shared" ref="EI8:ES11" si="228">I8+V8+AI8+AV8+BI8+BV8+CI8+CV8+DI8+DV8</f>
        <v>9666038.4671999998</v>
      </c>
      <c r="EJ8" s="49">
        <f t="shared" si="228"/>
        <v>0</v>
      </c>
      <c r="EK8" s="49">
        <f t="shared" si="228"/>
        <v>26274753.292199999</v>
      </c>
      <c r="EL8" s="49">
        <f t="shared" si="228"/>
        <v>11738105.68</v>
      </c>
      <c r="EM8" s="49">
        <f t="shared" si="228"/>
        <v>0</v>
      </c>
      <c r="EN8" s="49">
        <f t="shared" si="228"/>
        <v>0</v>
      </c>
      <c r="EO8" s="49">
        <f t="shared" si="228"/>
        <v>0</v>
      </c>
      <c r="EP8" s="49">
        <f t="shared" si="228"/>
        <v>0</v>
      </c>
      <c r="EQ8" s="49">
        <f t="shared" si="228"/>
        <v>4358717</v>
      </c>
      <c r="ER8" s="49">
        <f t="shared" si="228"/>
        <v>4011066</v>
      </c>
      <c r="ES8" s="49">
        <f t="shared" si="228"/>
        <v>-6166864.6122000031</v>
      </c>
    </row>
    <row r="9" spans="1:149" ht="27.6">
      <c r="B9" s="26"/>
      <c r="C9" s="23"/>
      <c r="D9" s="31" t="s">
        <v>625</v>
      </c>
      <c r="E9" s="56" t="s">
        <v>578</v>
      </c>
      <c r="F9" s="58"/>
      <c r="G9" s="59"/>
      <c r="H9" s="49">
        <f>'Incremental_Cost Year 1'!AQ17</f>
        <v>82506.899999999994</v>
      </c>
      <c r="I9" s="49">
        <f>'Incremental_Cost Year 1'!AR17</f>
        <v>0</v>
      </c>
      <c r="J9" s="49">
        <f>'Incremental_Cost Year 1'!AS17</f>
        <v>0</v>
      </c>
      <c r="K9" s="49">
        <f>'Incremental_Cost Year 1'!AT17</f>
        <v>82506.899999999994</v>
      </c>
      <c r="L9" s="49">
        <f>'Incremental_Cost Year 1'!AU17</f>
        <v>0</v>
      </c>
      <c r="M9" s="49">
        <f>'Incremental_Cost Year 1'!AV17</f>
        <v>0</v>
      </c>
      <c r="N9" s="49">
        <f>'Incremental_Cost Year 1'!AW17</f>
        <v>0</v>
      </c>
      <c r="O9" s="49">
        <f>'Incremental_Cost Year 1'!AX17</f>
        <v>0</v>
      </c>
      <c r="P9" s="49">
        <f>'Incremental_Cost Year 1'!AY17</f>
        <v>0</v>
      </c>
      <c r="Q9" s="49">
        <f>'Incremental_Cost Year 1'!AZ17</f>
        <v>0</v>
      </c>
      <c r="R9" s="49">
        <f>'Incremental_Cost Year 1'!BA17</f>
        <v>0</v>
      </c>
      <c r="S9" s="49">
        <f t="shared" ref="S9:S11" si="229">L9+M9+N9+O9+P9+Q9+R9-K9</f>
        <v>-82506.899999999994</v>
      </c>
      <c r="T9" s="88"/>
      <c r="U9" s="49">
        <f>'Incremental_Cost Year 2'!AQ17</f>
        <v>82506.899999999994</v>
      </c>
      <c r="V9" s="49">
        <f>'Incremental_Cost Year 2'!AR17</f>
        <v>631200</v>
      </c>
      <c r="W9" s="49">
        <f>'Incremental_Cost Year 2'!AS17</f>
        <v>0</v>
      </c>
      <c r="X9" s="49">
        <f>'Incremental_Cost Year 2'!AT17</f>
        <v>713706.9</v>
      </c>
      <c r="Y9" s="49">
        <f>'Incremental_Cost Year 2'!AU17</f>
        <v>82507</v>
      </c>
      <c r="Z9" s="49">
        <f>'Incremental_Cost Year 2'!AV17</f>
        <v>0</v>
      </c>
      <c r="AA9" s="49">
        <f>'Incremental_Cost Year 2'!AW17</f>
        <v>0</v>
      </c>
      <c r="AB9" s="49">
        <f>'Incremental_Cost Year 2'!AX17</f>
        <v>0</v>
      </c>
      <c r="AC9" s="49">
        <f>'Incremental_Cost Year 2'!AY17</f>
        <v>0</v>
      </c>
      <c r="AD9" s="49">
        <f>'Incremental_Cost Year 2'!AZ17</f>
        <v>0</v>
      </c>
      <c r="AE9" s="49">
        <f>'Incremental_Cost Year 2'!BA17</f>
        <v>0</v>
      </c>
      <c r="AF9" s="49">
        <f t="shared" ref="AF9:AF11" si="230">Y9+Z9+AA9+AB9+AC9+AD9+AE9-X9</f>
        <v>-631199.9</v>
      </c>
      <c r="AG9" s="96"/>
      <c r="AH9" s="49">
        <f>'Incremental_Cost Year 3'!AQ17</f>
        <v>82506.899999999994</v>
      </c>
      <c r="AI9" s="49">
        <f>'Incremental_Cost Year 3'!AR17</f>
        <v>228000</v>
      </c>
      <c r="AJ9" s="49">
        <f>'Incremental_Cost Year 3'!AS17</f>
        <v>0</v>
      </c>
      <c r="AK9" s="49">
        <f>'Incremental_Cost Year 3'!AT17</f>
        <v>310506.90000000002</v>
      </c>
      <c r="AL9" s="49">
        <f>'Incremental_Cost Year 3'!AU17</f>
        <v>82507</v>
      </c>
      <c r="AM9" s="49">
        <f>'Incremental_Cost Year 3'!AV17</f>
        <v>0</v>
      </c>
      <c r="AN9" s="49">
        <f>'Incremental_Cost Year 3'!AW17</f>
        <v>0</v>
      </c>
      <c r="AO9" s="49">
        <f>'Incremental_Cost Year 3'!AX17</f>
        <v>0</v>
      </c>
      <c r="AP9" s="49">
        <f>'Incremental_Cost Year 3'!AY17</f>
        <v>0</v>
      </c>
      <c r="AQ9" s="49">
        <f>'Incremental_Cost Year 3'!AZ17</f>
        <v>0</v>
      </c>
      <c r="AR9" s="49">
        <f>'Incremental_Cost Year 3'!BA17</f>
        <v>0</v>
      </c>
      <c r="AS9" s="49">
        <f t="shared" si="222"/>
        <v>-227999.90000000002</v>
      </c>
      <c r="AT9" s="92"/>
      <c r="AU9" s="49">
        <f>'Incremental_Cost Year 4'!AQ17</f>
        <v>82506.899999999994</v>
      </c>
      <c r="AV9" s="49">
        <f>'Incremental_Cost Year 4'!AR17</f>
        <v>228000</v>
      </c>
      <c r="AW9" s="49">
        <f>'Incremental_Cost Year 4'!AS17</f>
        <v>0</v>
      </c>
      <c r="AX9" s="49">
        <f>'Incremental_Cost Year 4'!AT17</f>
        <v>310506.90000000002</v>
      </c>
      <c r="AY9" s="49">
        <f>'Incremental_Cost Year 4'!AU17</f>
        <v>82507</v>
      </c>
      <c r="AZ9" s="49">
        <f>'Incremental_Cost Year 4'!AV17</f>
        <v>0</v>
      </c>
      <c r="BA9" s="49">
        <f>'Incremental_Cost Year 4'!AW17</f>
        <v>0</v>
      </c>
      <c r="BB9" s="49">
        <f>'Incremental_Cost Year 4'!AX17</f>
        <v>0</v>
      </c>
      <c r="BC9" s="49">
        <f>'Incremental_Cost Year 4'!AY17</f>
        <v>0</v>
      </c>
      <c r="BD9" s="49">
        <f>'Incremental_Cost Year 4'!AZ17</f>
        <v>0</v>
      </c>
      <c r="BE9" s="49">
        <f>'Incremental_Cost Year 4'!BA17</f>
        <v>0</v>
      </c>
      <c r="BF9" s="49">
        <f t="shared" si="223"/>
        <v>-227999.90000000002</v>
      </c>
      <c r="BG9" s="92"/>
      <c r="BH9" s="49">
        <f>'Incremental_Cost Year 5'!AQ17</f>
        <v>82506.899999999994</v>
      </c>
      <c r="BI9" s="49">
        <f>'Incremental_Cost Year 5'!AR17</f>
        <v>228000</v>
      </c>
      <c r="BJ9" s="49">
        <f>'Incremental_Cost Year 5'!AS17</f>
        <v>0</v>
      </c>
      <c r="BK9" s="49">
        <f>'Incremental_Cost Year 5'!AT17</f>
        <v>310506.90000000002</v>
      </c>
      <c r="BL9" s="49">
        <f>'Incremental_Cost Year 5'!AU17</f>
        <v>82507</v>
      </c>
      <c r="BM9" s="49">
        <f>'Incremental_Cost Year 5'!AV17</f>
        <v>0</v>
      </c>
      <c r="BN9" s="49">
        <f>'Incremental_Cost Year 5'!AW17</f>
        <v>0</v>
      </c>
      <c r="BO9" s="49">
        <f>'Incremental_Cost Year 5'!AX17</f>
        <v>0</v>
      </c>
      <c r="BP9" s="49">
        <f>'Incremental_Cost Year 5'!AY17</f>
        <v>0</v>
      </c>
      <c r="BQ9" s="49">
        <f>'Incremental_Cost Year 5'!AZ17</f>
        <v>0</v>
      </c>
      <c r="BR9" s="49">
        <f>'Incremental_Cost Year 5'!BA17</f>
        <v>0</v>
      </c>
      <c r="BS9" s="49">
        <f t="shared" si="224"/>
        <v>-227999.90000000002</v>
      </c>
      <c r="BT9" s="92"/>
      <c r="BU9" s="49">
        <f>'Incremental_Cost Year 6'!AQ17</f>
        <v>82506.899999999994</v>
      </c>
      <c r="BV9" s="49">
        <f>'Incremental_Cost Year 6'!AR17</f>
        <v>0</v>
      </c>
      <c r="BW9" s="49">
        <f>'Incremental_Cost Year 6'!AS17</f>
        <v>0</v>
      </c>
      <c r="BX9" s="49">
        <f>'Incremental_Cost Year 6'!AT17</f>
        <v>82506.899999999994</v>
      </c>
      <c r="BY9" s="49">
        <f>'Incremental_Cost Year 6'!AU17</f>
        <v>82507</v>
      </c>
      <c r="BZ9" s="49">
        <f>'Incremental_Cost Year 6'!AV17</f>
        <v>0</v>
      </c>
      <c r="CA9" s="49">
        <f>'Incremental_Cost Year 6'!AW17</f>
        <v>0</v>
      </c>
      <c r="CB9" s="49">
        <f>'Incremental_Cost Year 6'!AX17</f>
        <v>0</v>
      </c>
      <c r="CC9" s="49">
        <f>'Incremental_Cost Year 6'!AY17</f>
        <v>0</v>
      </c>
      <c r="CD9" s="49">
        <f>'Incremental_Cost Year 6'!AZ17</f>
        <v>0</v>
      </c>
      <c r="CE9" s="49">
        <f>'Incremental_Cost Year 6'!BA17</f>
        <v>0</v>
      </c>
      <c r="CF9" s="49">
        <f t="shared" si="225"/>
        <v>0.10000000000582077</v>
      </c>
      <c r="CG9" s="92"/>
      <c r="CH9" s="49"/>
      <c r="CI9" s="49"/>
      <c r="CJ9" s="49"/>
      <c r="CK9" s="49"/>
      <c r="CL9" s="49"/>
      <c r="CM9" s="49"/>
      <c r="CN9" s="49"/>
      <c r="CO9" s="49"/>
      <c r="CP9" s="49"/>
      <c r="CQ9" s="49"/>
      <c r="CR9" s="49"/>
      <c r="CS9" s="49"/>
      <c r="CT9" s="92"/>
      <c r="CU9" s="49"/>
      <c r="CV9" s="49"/>
      <c r="CW9" s="49"/>
      <c r="CX9" s="49"/>
      <c r="CY9" s="49"/>
      <c r="CZ9" s="49"/>
      <c r="DA9" s="49"/>
      <c r="DB9" s="49"/>
      <c r="DC9" s="49"/>
      <c r="DD9" s="49"/>
      <c r="DE9" s="49"/>
      <c r="DF9" s="49">
        <f t="shared" si="226"/>
        <v>0</v>
      </c>
      <c r="DG9" s="92"/>
      <c r="DH9" s="49"/>
      <c r="DI9" s="49"/>
      <c r="DJ9" s="49"/>
      <c r="DK9" s="49"/>
      <c r="DL9" s="49"/>
      <c r="DM9" s="49"/>
      <c r="DN9" s="49"/>
      <c r="DO9" s="49"/>
      <c r="DP9" s="49"/>
      <c r="DQ9" s="49"/>
      <c r="DR9" s="49"/>
      <c r="DS9" s="49">
        <f t="shared" si="227"/>
        <v>0</v>
      </c>
      <c r="DT9" s="92"/>
      <c r="DU9" s="49"/>
      <c r="DV9" s="49"/>
      <c r="DW9" s="49"/>
      <c r="DX9" s="49"/>
      <c r="DY9" s="49"/>
      <c r="DZ9" s="49"/>
      <c r="EA9" s="49"/>
      <c r="EB9" s="49"/>
      <c r="EC9" s="49"/>
      <c r="ED9" s="49"/>
      <c r="EE9" s="49"/>
      <c r="EF9" s="49">
        <f t="shared" ref="EF9:EF11" si="231">SUM(DY9:EE9)-DX9</f>
        <v>0</v>
      </c>
      <c r="EG9" s="92"/>
      <c r="EH9" s="49">
        <f>H9+U9+AH9+AU9+BH9+BU9+CH9+CU9+DH9+DU9</f>
        <v>495041.4</v>
      </c>
      <c r="EI9" s="49">
        <f t="shared" si="228"/>
        <v>1315200</v>
      </c>
      <c r="EJ9" s="49">
        <f t="shared" si="228"/>
        <v>0</v>
      </c>
      <c r="EK9" s="49">
        <f t="shared" si="228"/>
        <v>1810241.4</v>
      </c>
      <c r="EL9" s="49">
        <f t="shared" si="228"/>
        <v>412535</v>
      </c>
      <c r="EM9" s="49">
        <f t="shared" si="228"/>
        <v>0</v>
      </c>
      <c r="EN9" s="49">
        <f t="shared" si="228"/>
        <v>0</v>
      </c>
      <c r="EO9" s="49">
        <f t="shared" si="228"/>
        <v>0</v>
      </c>
      <c r="EP9" s="49">
        <f t="shared" si="228"/>
        <v>0</v>
      </c>
      <c r="EQ9" s="49">
        <f t="shared" si="228"/>
        <v>0</v>
      </c>
      <c r="ER9" s="49">
        <f t="shared" si="228"/>
        <v>0</v>
      </c>
      <c r="ES9" s="49">
        <f t="shared" si="228"/>
        <v>-1397706.4</v>
      </c>
    </row>
    <row r="10" spans="1:149" ht="41.4">
      <c r="B10" s="26"/>
      <c r="C10" s="23"/>
      <c r="D10" s="31" t="s">
        <v>626</v>
      </c>
      <c r="E10" s="56" t="s">
        <v>579</v>
      </c>
      <c r="F10" s="58"/>
      <c r="G10" s="59"/>
      <c r="H10" s="49">
        <f>'Incremental_Cost Year 1'!AQ25</f>
        <v>418194.45</v>
      </c>
      <c r="I10" s="49">
        <f>'Incremental_Cost Year 1'!AR25</f>
        <v>771600</v>
      </c>
      <c r="J10" s="49">
        <f>'Incremental_Cost Year 1'!AS25</f>
        <v>0</v>
      </c>
      <c r="K10" s="49">
        <f>'Incremental_Cost Year 1'!AT25</f>
        <v>1189794.45</v>
      </c>
      <c r="L10" s="49">
        <f>'Incremental_Cost Year 1'!AU25</f>
        <v>604941</v>
      </c>
      <c r="M10" s="49">
        <f>'Incremental_Cost Year 1'!AV25</f>
        <v>0</v>
      </c>
      <c r="N10" s="49">
        <f>'Incremental_Cost Year 1'!AW25</f>
        <v>0</v>
      </c>
      <c r="O10" s="49">
        <f>'Incremental_Cost Year 1'!AX25</f>
        <v>0</v>
      </c>
      <c r="P10" s="49">
        <f>'Incremental_Cost Year 1'!AY25</f>
        <v>0</v>
      </c>
      <c r="Q10" s="49">
        <f>'Incremental_Cost Year 1'!AZ25</f>
        <v>543600</v>
      </c>
      <c r="R10" s="49">
        <f>'Incremental_Cost Year 1'!BA25</f>
        <v>41253</v>
      </c>
      <c r="S10" s="49">
        <f t="shared" si="229"/>
        <v>-0.44999999995343387</v>
      </c>
      <c r="T10" s="88"/>
      <c r="U10" s="49">
        <f>'Incremental_Cost Year 2'!AQ25</f>
        <v>629713.19999999995</v>
      </c>
      <c r="V10" s="49">
        <f>'Incremental_Cost Year 2'!AR25</f>
        <v>3015600</v>
      </c>
      <c r="W10" s="49">
        <f>'Incremental_Cost Year 2'!AS25</f>
        <v>0</v>
      </c>
      <c r="X10" s="49">
        <f>'Incremental_Cost Year 2'!AT25</f>
        <v>3645313.2</v>
      </c>
      <c r="Y10" s="49">
        <f>'Incremental_Cost Year 2'!AU25</f>
        <v>3060460</v>
      </c>
      <c r="Z10" s="49">
        <f>'Incremental_Cost Year 2'!AV25</f>
        <v>0</v>
      </c>
      <c r="AA10" s="49">
        <f>'Incremental_Cost Year 2'!AW25</f>
        <v>0</v>
      </c>
      <c r="AB10" s="49">
        <f>'Incremental_Cost Year 2'!AX25</f>
        <v>0</v>
      </c>
      <c r="AC10" s="49">
        <f>'Incremental_Cost Year 2'!AY25</f>
        <v>0</v>
      </c>
      <c r="AD10" s="49">
        <f>'Incremental_Cost Year 2'!AZ25</f>
        <v>0</v>
      </c>
      <c r="AE10" s="49">
        <f>'Incremental_Cost Year 2'!BA25</f>
        <v>41253</v>
      </c>
      <c r="AF10" s="49">
        <f t="shared" si="230"/>
        <v>-543600.20000000019</v>
      </c>
      <c r="AG10" s="96"/>
      <c r="AH10" s="49">
        <f>'Incremental_Cost Year 3'!AQ25</f>
        <v>135488.70000000001</v>
      </c>
      <c r="AI10" s="49">
        <f>'Incremental_Cost Year 3'!AR25</f>
        <v>1995600</v>
      </c>
      <c r="AJ10" s="49">
        <f>'Incremental_Cost Year 3'!AS25</f>
        <v>0</v>
      </c>
      <c r="AK10" s="49">
        <f>'Incremental_Cost Year 3'!AT25</f>
        <v>2131088.7000000002</v>
      </c>
      <c r="AL10" s="49">
        <f>'Incremental_Cost Year 3'!AU25</f>
        <v>1546235</v>
      </c>
      <c r="AM10" s="49">
        <f>'Incremental_Cost Year 3'!AV25</f>
        <v>0</v>
      </c>
      <c r="AN10" s="49">
        <f>'Incremental_Cost Year 3'!AW25</f>
        <v>0</v>
      </c>
      <c r="AO10" s="49">
        <f>'Incremental_Cost Year 3'!AX25</f>
        <v>0</v>
      </c>
      <c r="AP10" s="49">
        <f>'Incremental_Cost Year 3'!AY25</f>
        <v>0</v>
      </c>
      <c r="AQ10" s="49">
        <f>'Incremental_Cost Year 3'!AZ25</f>
        <v>0</v>
      </c>
      <c r="AR10" s="49">
        <f>'Incremental_Cost Year 3'!BA25</f>
        <v>41253</v>
      </c>
      <c r="AS10" s="49">
        <f t="shared" si="222"/>
        <v>-543600.70000000019</v>
      </c>
      <c r="AT10" s="92"/>
      <c r="AU10" s="49">
        <f>'Incremental_Cost Year 4'!AQ25</f>
        <v>1831723.2</v>
      </c>
      <c r="AV10" s="49">
        <f>'Incremental_Cost Year 4'!AR25</f>
        <v>3135600</v>
      </c>
      <c r="AW10" s="49">
        <f>'Incremental_Cost Year 4'!AS25</f>
        <v>0</v>
      </c>
      <c r="AX10" s="49">
        <f>'Incremental_Cost Year 4'!AT25</f>
        <v>4967323.2</v>
      </c>
      <c r="AY10" s="49">
        <f>'Incremental_Cost Year 4'!AU25</f>
        <v>3926469</v>
      </c>
      <c r="AZ10" s="49">
        <f>'Incremental_Cost Year 4'!AV25</f>
        <v>0</v>
      </c>
      <c r="BA10" s="49">
        <f>'Incremental_Cost Year 4'!AW25</f>
        <v>0</v>
      </c>
      <c r="BB10" s="49">
        <f>'Incremental_Cost Year 4'!AX25</f>
        <v>0</v>
      </c>
      <c r="BC10" s="49">
        <f>'Incremental_Cost Year 4'!AY25</f>
        <v>0</v>
      </c>
      <c r="BD10" s="49">
        <f>'Incremental_Cost Year 4'!AZ25</f>
        <v>0</v>
      </c>
      <c r="BE10" s="49">
        <f>'Incremental_Cost Year 4'!BA25</f>
        <v>41253</v>
      </c>
      <c r="BF10" s="49">
        <f t="shared" si="223"/>
        <v>-999601.20000000019</v>
      </c>
      <c r="BG10" s="92"/>
      <c r="BH10" s="49">
        <f>'Incremental_Cost Year 5'!AQ25</f>
        <v>1831723.2</v>
      </c>
      <c r="BI10" s="49">
        <f>'Incremental_Cost Year 5'!AR25</f>
        <v>2775600</v>
      </c>
      <c r="BJ10" s="49">
        <f>'Incremental_Cost Year 5'!AS25</f>
        <v>0</v>
      </c>
      <c r="BK10" s="49">
        <f>'Incremental_Cost Year 5'!AT25</f>
        <v>4607323.2</v>
      </c>
      <c r="BL10" s="49">
        <f>'Incremental_Cost Year 5'!AU25</f>
        <v>3566469</v>
      </c>
      <c r="BM10" s="49">
        <f>'Incremental_Cost Year 5'!AV25</f>
        <v>0</v>
      </c>
      <c r="BN10" s="49">
        <f>'Incremental_Cost Year 5'!AW25</f>
        <v>0</v>
      </c>
      <c r="BO10" s="49">
        <f>'Incremental_Cost Year 5'!AX25</f>
        <v>0</v>
      </c>
      <c r="BP10" s="49">
        <f>'Incremental_Cost Year 5'!AY25</f>
        <v>0</v>
      </c>
      <c r="BQ10" s="49">
        <f>'Incremental_Cost Year 5'!AZ25</f>
        <v>0</v>
      </c>
      <c r="BR10" s="49">
        <f>'Incremental_Cost Year 5'!BA25</f>
        <v>41253</v>
      </c>
      <c r="BS10" s="49">
        <f t="shared" si="224"/>
        <v>-999601.20000000019</v>
      </c>
      <c r="BT10" s="92"/>
      <c r="BU10" s="49">
        <f>'Incremental_Cost Year 6'!AQ25</f>
        <v>135488.70000000001</v>
      </c>
      <c r="BV10" s="49">
        <f>'Incremental_Cost Year 6'!AR25</f>
        <v>1395600</v>
      </c>
      <c r="BW10" s="49">
        <f>'Incremental_Cost Year 6'!AS25</f>
        <v>0</v>
      </c>
      <c r="BX10" s="49">
        <f>'Incremental_Cost Year 6'!AT25</f>
        <v>1531088.7</v>
      </c>
      <c r="BY10" s="49">
        <f>'Incremental_Cost Year 6'!AU25</f>
        <v>946235</v>
      </c>
      <c r="BZ10" s="49">
        <f>'Incremental_Cost Year 6'!AV25</f>
        <v>0</v>
      </c>
      <c r="CA10" s="49">
        <f>'Incremental_Cost Year 6'!AW25</f>
        <v>0</v>
      </c>
      <c r="CB10" s="49">
        <f>'Incremental_Cost Year 6'!AX25</f>
        <v>0</v>
      </c>
      <c r="CC10" s="49">
        <f>'Incremental_Cost Year 6'!AY25</f>
        <v>0</v>
      </c>
      <c r="CD10" s="49">
        <f>'Incremental_Cost Year 6'!AZ25</f>
        <v>0</v>
      </c>
      <c r="CE10" s="49">
        <f>'Incremental_Cost Year 6'!BA25</f>
        <v>41253</v>
      </c>
      <c r="CF10" s="49">
        <f t="shared" si="225"/>
        <v>-543600.69999999995</v>
      </c>
      <c r="CG10" s="92"/>
      <c r="CH10" s="49"/>
      <c r="CI10" s="49"/>
      <c r="CJ10" s="49"/>
      <c r="CK10" s="49"/>
      <c r="CL10" s="49"/>
      <c r="CM10" s="49"/>
      <c r="CN10" s="49"/>
      <c r="CO10" s="49"/>
      <c r="CP10" s="49"/>
      <c r="CQ10" s="49"/>
      <c r="CR10" s="49"/>
      <c r="CS10" s="49"/>
      <c r="CT10" s="92"/>
      <c r="CU10" s="49"/>
      <c r="CV10" s="49"/>
      <c r="CW10" s="49"/>
      <c r="CX10" s="49"/>
      <c r="CY10" s="49"/>
      <c r="CZ10" s="49"/>
      <c r="DA10" s="49"/>
      <c r="DB10" s="49"/>
      <c r="DC10" s="49"/>
      <c r="DD10" s="49"/>
      <c r="DE10" s="49"/>
      <c r="DF10" s="49">
        <f t="shared" ref="DF10" si="232">SUM(CY10:DE10)-CX10</f>
        <v>0</v>
      </c>
      <c r="DG10" s="92"/>
      <c r="DH10" s="49"/>
      <c r="DI10" s="49"/>
      <c r="DJ10" s="49"/>
      <c r="DK10" s="49"/>
      <c r="DL10" s="49"/>
      <c r="DM10" s="49"/>
      <c r="DN10" s="49"/>
      <c r="DO10" s="49"/>
      <c r="DP10" s="49"/>
      <c r="DQ10" s="49"/>
      <c r="DR10" s="49"/>
      <c r="DS10" s="49">
        <f t="shared" ref="DS10" si="233">SUM(DL10:DR10)-DK10</f>
        <v>0</v>
      </c>
      <c r="DT10" s="92"/>
      <c r="DU10" s="49"/>
      <c r="DV10" s="49"/>
      <c r="DW10" s="49"/>
      <c r="DX10" s="49"/>
      <c r="DY10" s="49"/>
      <c r="DZ10" s="49"/>
      <c r="EA10" s="49"/>
      <c r="EB10" s="49"/>
      <c r="EC10" s="49"/>
      <c r="ED10" s="49"/>
      <c r="EE10" s="49"/>
      <c r="EF10" s="49">
        <f t="shared" ref="EF10" si="234">SUM(DY10:EE10)-DX10</f>
        <v>0</v>
      </c>
      <c r="EG10" s="92"/>
      <c r="EH10" s="49">
        <f>H10+U10+AH10+AU10+BH10+BU10+CH10+CU10+DH10+DU10</f>
        <v>4982331.45</v>
      </c>
      <c r="EI10" s="49">
        <f t="shared" si="228"/>
        <v>13089600</v>
      </c>
      <c r="EJ10" s="49">
        <f t="shared" si="228"/>
        <v>0</v>
      </c>
      <c r="EK10" s="49">
        <f t="shared" si="228"/>
        <v>18071931.449999999</v>
      </c>
      <c r="EL10" s="49">
        <f t="shared" si="228"/>
        <v>13650809</v>
      </c>
      <c r="EM10" s="49">
        <f t="shared" si="228"/>
        <v>0</v>
      </c>
      <c r="EN10" s="49">
        <f t="shared" si="228"/>
        <v>0</v>
      </c>
      <c r="EO10" s="49">
        <f t="shared" si="228"/>
        <v>0</v>
      </c>
      <c r="EP10" s="49">
        <f t="shared" si="228"/>
        <v>0</v>
      </c>
      <c r="EQ10" s="49">
        <f t="shared" si="228"/>
        <v>543600</v>
      </c>
      <c r="ER10" s="49">
        <f t="shared" si="228"/>
        <v>247518</v>
      </c>
      <c r="ES10" s="49">
        <f t="shared" si="228"/>
        <v>-3630004.4500000011</v>
      </c>
    </row>
    <row r="11" spans="1:149" ht="27.75" customHeight="1">
      <c r="B11" s="26"/>
      <c r="C11" s="23"/>
      <c r="D11" s="31" t="s">
        <v>627</v>
      </c>
      <c r="E11" s="56" t="s">
        <v>564</v>
      </c>
      <c r="F11" s="58">
        <v>2021</v>
      </c>
      <c r="G11" s="59">
        <v>2026</v>
      </c>
      <c r="H11" s="49">
        <f>'Incremental_Cost Year 1'!AQ30</f>
        <v>223947.3</v>
      </c>
      <c r="I11" s="49">
        <f>'Incremental_Cost Year 1'!AR30</f>
        <v>3712200</v>
      </c>
      <c r="J11" s="49">
        <f>'Incremental_Cost Year 1'!AS30</f>
        <v>0</v>
      </c>
      <c r="K11" s="49">
        <f>'Incremental_Cost Year 1'!AT30</f>
        <v>3936147.3</v>
      </c>
      <c r="L11" s="49">
        <f>'Incremental_Cost Year 1'!AU30</f>
        <v>227449</v>
      </c>
      <c r="M11" s="49">
        <f>'Incremental_Cost Year 1'!AV30</f>
        <v>0</v>
      </c>
      <c r="N11" s="49">
        <f>'Incremental_Cost Year 1'!AW30</f>
        <v>0</v>
      </c>
      <c r="O11" s="49">
        <f>'Incremental_Cost Year 1'!AX30</f>
        <v>2421000</v>
      </c>
      <c r="P11" s="49">
        <f>'Incremental_Cost Year 1'!AY30</f>
        <v>0</v>
      </c>
      <c r="Q11" s="49">
        <f>'Incremental_Cost Year 1'!AZ30</f>
        <v>1291200</v>
      </c>
      <c r="R11" s="49">
        <f>'Incremental_Cost Year 1'!BA30</f>
        <v>0</v>
      </c>
      <c r="S11" s="49">
        <f t="shared" si="229"/>
        <v>3501.7000000001863</v>
      </c>
      <c r="T11" s="89"/>
      <c r="U11" s="49">
        <f>'Incremental_Cost Year 2'!AQ30</f>
        <v>282880.8</v>
      </c>
      <c r="V11" s="49">
        <f>'Incremental_Cost Year 2'!AR30</f>
        <v>7394400</v>
      </c>
      <c r="W11" s="49">
        <f>'Incremental_Cost Year 2'!AS30</f>
        <v>2070000</v>
      </c>
      <c r="X11" s="49">
        <f>'Incremental_Cost Year 2'!AT30</f>
        <v>9747280.8000000007</v>
      </c>
      <c r="Y11" s="49">
        <f>'Incremental_Cost Year 2'!AU30</f>
        <v>227449</v>
      </c>
      <c r="Z11" s="49">
        <f>'Incremental_Cost Year 2'!AV30</f>
        <v>0</v>
      </c>
      <c r="AA11" s="49">
        <f>'Incremental_Cost Year 2'!AW30</f>
        <v>0</v>
      </c>
      <c r="AB11" s="49">
        <f>'Incremental_Cost Year 2'!AX30</f>
        <v>4320000</v>
      </c>
      <c r="AC11" s="49">
        <f>'Incremental_Cost Year 2'!AY30</f>
        <v>0</v>
      </c>
      <c r="AD11" s="49">
        <f>'Incremental_Cost Year 2'!AZ30</f>
        <v>3074400</v>
      </c>
      <c r="AE11" s="49">
        <f>'Incremental_Cost Year 2'!BA30</f>
        <v>62435</v>
      </c>
      <c r="AF11" s="49">
        <f t="shared" si="230"/>
        <v>-2062996.8000000007</v>
      </c>
      <c r="AG11" s="96"/>
      <c r="AH11" s="49">
        <f>'Incremental_Cost Year 3'!AQ30</f>
        <v>141440.4</v>
      </c>
      <c r="AI11" s="49">
        <f>'Incremental_Cost Year 3'!AR30</f>
        <v>3111000</v>
      </c>
      <c r="AJ11" s="49">
        <f>'Incremental_Cost Year 3'!AS30</f>
        <v>2070000</v>
      </c>
      <c r="AK11" s="49">
        <f>'Incremental_Cost Year 3'!AT30</f>
        <v>5322440.4000000004</v>
      </c>
      <c r="AL11" s="49">
        <f>'Incremental_Cost Year 3'!AU30</f>
        <v>144942</v>
      </c>
      <c r="AM11" s="49">
        <f>'Incremental_Cost Year 3'!AV30</f>
        <v>0</v>
      </c>
      <c r="AN11" s="49">
        <f>'Incremental_Cost Year 3'!AW30</f>
        <v>0</v>
      </c>
      <c r="AO11" s="49">
        <f>'Incremental_Cost Year 3'!AX30</f>
        <v>0</v>
      </c>
      <c r="AP11" s="49">
        <f>'Incremental_Cost Year 3'!AY30</f>
        <v>0</v>
      </c>
      <c r="AQ11" s="49">
        <f>'Incremental_Cost Year 3'!AZ30</f>
        <v>360000</v>
      </c>
      <c r="AR11" s="49">
        <f>'Incremental_Cost Year 3'!BA30</f>
        <v>0</v>
      </c>
      <c r="AS11" s="49">
        <f t="shared" si="222"/>
        <v>-4817498.4000000004</v>
      </c>
      <c r="AT11" s="92"/>
      <c r="AU11" s="49">
        <f>'Incremental_Cost Year 4'!AQ30</f>
        <v>111973.65</v>
      </c>
      <c r="AV11" s="49">
        <f>'Incremental_Cost Year 4'!AR30</f>
        <v>3622200</v>
      </c>
      <c r="AW11" s="49">
        <f>'Incremental_Cost Year 4'!AS30</f>
        <v>2070000</v>
      </c>
      <c r="AX11" s="49">
        <f>'Incremental_Cost Year 4'!AT30</f>
        <v>5804173.6500000004</v>
      </c>
      <c r="AY11" s="49">
        <f>'Incremental_Cost Year 4'!AU30</f>
        <v>113724</v>
      </c>
      <c r="AZ11" s="49">
        <f>'Incremental_Cost Year 4'!AV30</f>
        <v>0</v>
      </c>
      <c r="BA11" s="49">
        <f>'Incremental_Cost Year 4'!AW30</f>
        <v>0</v>
      </c>
      <c r="BB11" s="49">
        <f>'Incremental_Cost Year 4'!AX30</f>
        <v>0</v>
      </c>
      <c r="BC11" s="49">
        <f>'Incremental_Cost Year 4'!AY30</f>
        <v>0</v>
      </c>
      <c r="BD11" s="49">
        <f>'Incremental_Cost Year 4'!AZ30</f>
        <v>0</v>
      </c>
      <c r="BE11" s="49">
        <f>'Incremental_Cost Year 4'!BA30</f>
        <v>0</v>
      </c>
      <c r="BF11" s="49">
        <f t="shared" si="223"/>
        <v>-5690449.6500000004</v>
      </c>
      <c r="BG11" s="92"/>
      <c r="BH11" s="49">
        <f>'Incremental_Cost Year 5'!AQ30</f>
        <v>111973.65</v>
      </c>
      <c r="BI11" s="49">
        <f>'Incremental_Cost Year 5'!AR30</f>
        <v>3622200</v>
      </c>
      <c r="BJ11" s="49">
        <f>'Incremental_Cost Year 5'!AS30</f>
        <v>2070000</v>
      </c>
      <c r="BK11" s="49">
        <f>'Incremental_Cost Year 5'!AT30</f>
        <v>5804173.6500000004</v>
      </c>
      <c r="BL11" s="49">
        <f>'Incremental_Cost Year 5'!AU30</f>
        <v>113724</v>
      </c>
      <c r="BM11" s="49">
        <f>'Incremental_Cost Year 5'!AV30</f>
        <v>0</v>
      </c>
      <c r="BN11" s="49">
        <f>'Incremental_Cost Year 5'!AW30</f>
        <v>0</v>
      </c>
      <c r="BO11" s="49">
        <f>'Incremental_Cost Year 5'!AX30</f>
        <v>0</v>
      </c>
      <c r="BP11" s="49">
        <f>'Incremental_Cost Year 5'!AY30</f>
        <v>0</v>
      </c>
      <c r="BQ11" s="49">
        <f>'Incremental_Cost Year 5'!AZ30</f>
        <v>0</v>
      </c>
      <c r="BR11" s="49">
        <f>'Incremental_Cost Year 5'!BA30</f>
        <v>0</v>
      </c>
      <c r="BS11" s="49">
        <f t="shared" si="224"/>
        <v>-5690449.6500000004</v>
      </c>
      <c r="BT11" s="92"/>
      <c r="BU11" s="49">
        <f>'Incremental_Cost Year 6'!AQ30</f>
        <v>111973.65</v>
      </c>
      <c r="BV11" s="49">
        <f>'Incremental_Cost Year 6'!AR30</f>
        <v>3622200</v>
      </c>
      <c r="BW11" s="49">
        <f>'Incremental_Cost Year 6'!AS30</f>
        <v>2070000</v>
      </c>
      <c r="BX11" s="49">
        <f>'Incremental_Cost Year 6'!AT30</f>
        <v>5804173.6500000004</v>
      </c>
      <c r="BY11" s="49">
        <f>'Incremental_Cost Year 6'!AU30</f>
        <v>113724</v>
      </c>
      <c r="BZ11" s="49">
        <f>'Incremental_Cost Year 6'!AV30</f>
        <v>0</v>
      </c>
      <c r="CA11" s="49">
        <f>'Incremental_Cost Year 6'!AW30</f>
        <v>0</v>
      </c>
      <c r="CB11" s="49">
        <f>'Incremental_Cost Year 6'!AX30</f>
        <v>0</v>
      </c>
      <c r="CC11" s="49">
        <f>'Incremental_Cost Year 6'!AY30</f>
        <v>0</v>
      </c>
      <c r="CD11" s="49">
        <f>'Incremental_Cost Year 6'!AZ30</f>
        <v>0</v>
      </c>
      <c r="CE11" s="49">
        <f>'Incremental_Cost Year 6'!BA30</f>
        <v>0</v>
      </c>
      <c r="CF11" s="49">
        <f t="shared" si="225"/>
        <v>-5690449.6500000004</v>
      </c>
      <c r="CG11" s="92"/>
      <c r="CH11" s="49"/>
      <c r="CI11" s="49"/>
      <c r="CJ11" s="49"/>
      <c r="CK11" s="49"/>
      <c r="CL11" s="49"/>
      <c r="CM11" s="49"/>
      <c r="CN11" s="49"/>
      <c r="CO11" s="49"/>
      <c r="CP11" s="49"/>
      <c r="CQ11" s="49"/>
      <c r="CR11" s="49"/>
      <c r="CS11" s="49"/>
      <c r="CT11" s="92"/>
      <c r="CU11" s="49"/>
      <c r="CV11" s="49"/>
      <c r="CW11" s="49"/>
      <c r="CX11" s="49"/>
      <c r="CY11" s="49"/>
      <c r="CZ11" s="49"/>
      <c r="DA11" s="49"/>
      <c r="DB11" s="49"/>
      <c r="DC11" s="49"/>
      <c r="DD11" s="49"/>
      <c r="DE11" s="49"/>
      <c r="DF11" s="49">
        <f t="shared" si="226"/>
        <v>0</v>
      </c>
      <c r="DG11" s="92"/>
      <c r="DH11" s="49"/>
      <c r="DI11" s="49"/>
      <c r="DJ11" s="49"/>
      <c r="DK11" s="49"/>
      <c r="DL11" s="49"/>
      <c r="DM11" s="49"/>
      <c r="DN11" s="49"/>
      <c r="DO11" s="49"/>
      <c r="DP11" s="49"/>
      <c r="DQ11" s="49"/>
      <c r="DR11" s="49"/>
      <c r="DS11" s="49">
        <f t="shared" si="227"/>
        <v>0</v>
      </c>
      <c r="DT11" s="92"/>
      <c r="DU11" s="49"/>
      <c r="DV11" s="49"/>
      <c r="DW11" s="49"/>
      <c r="DX11" s="49"/>
      <c r="DY11" s="49"/>
      <c r="DZ11" s="49"/>
      <c r="EA11" s="49"/>
      <c r="EB11" s="49"/>
      <c r="EC11" s="49"/>
      <c r="ED11" s="49"/>
      <c r="EE11" s="49"/>
      <c r="EF11" s="49">
        <f t="shared" si="231"/>
        <v>0</v>
      </c>
      <c r="EG11" s="92"/>
      <c r="EH11" s="49">
        <f>H11+U11+AH11+AU11+BH11+BU11+CH11+CU11+DH11+DU11</f>
        <v>984189.45000000007</v>
      </c>
      <c r="EI11" s="49">
        <f t="shared" si="228"/>
        <v>25084200</v>
      </c>
      <c r="EJ11" s="49">
        <f t="shared" si="228"/>
        <v>10350000</v>
      </c>
      <c r="EK11" s="49">
        <f t="shared" si="228"/>
        <v>36418389.449999996</v>
      </c>
      <c r="EL11" s="49">
        <f t="shared" si="228"/>
        <v>941012</v>
      </c>
      <c r="EM11" s="49">
        <f t="shared" si="228"/>
        <v>0</v>
      </c>
      <c r="EN11" s="49">
        <f t="shared" si="228"/>
        <v>0</v>
      </c>
      <c r="EO11" s="49">
        <f t="shared" si="228"/>
        <v>6741000</v>
      </c>
      <c r="EP11" s="49">
        <f t="shared" si="228"/>
        <v>0</v>
      </c>
      <c r="EQ11" s="49">
        <f t="shared" si="228"/>
        <v>4725600</v>
      </c>
      <c r="ER11" s="49">
        <f t="shared" si="228"/>
        <v>62435</v>
      </c>
      <c r="ES11" s="49">
        <f t="shared" si="228"/>
        <v>-23948342.450000003</v>
      </c>
    </row>
    <row r="12" spans="1:149" ht="15" customHeight="1">
      <c r="B12" s="316" t="s">
        <v>562</v>
      </c>
      <c r="C12" s="317"/>
      <c r="D12" s="317"/>
      <c r="E12" s="318"/>
      <c r="F12" s="39"/>
      <c r="G12" s="39"/>
      <c r="H12" s="50">
        <f>SUM(H13+H15+H18)</f>
        <v>8748911.4749999996</v>
      </c>
      <c r="I12" s="50">
        <f t="shared" ref="I12:S12" si="235">SUM(I13+I15+I18)</f>
        <v>24233372.688000001</v>
      </c>
      <c r="J12" s="50">
        <f t="shared" si="235"/>
        <v>1955000</v>
      </c>
      <c r="K12" s="50">
        <f t="shared" si="235"/>
        <v>34937284.163000003</v>
      </c>
      <c r="L12" s="50">
        <f t="shared" si="235"/>
        <v>18719926</v>
      </c>
      <c r="M12" s="50">
        <f t="shared" si="235"/>
        <v>0</v>
      </c>
      <c r="N12" s="50">
        <f t="shared" si="235"/>
        <v>0</v>
      </c>
      <c r="O12" s="50">
        <f t="shared" si="235"/>
        <v>570000</v>
      </c>
      <c r="P12" s="50">
        <f t="shared" si="235"/>
        <v>0</v>
      </c>
      <c r="Q12" s="50">
        <f t="shared" si="235"/>
        <v>5962800</v>
      </c>
      <c r="R12" s="50">
        <f t="shared" si="235"/>
        <v>5712757</v>
      </c>
      <c r="S12" s="50">
        <f t="shared" si="235"/>
        <v>-3971801.1630000006</v>
      </c>
      <c r="T12" s="89"/>
      <c r="U12" s="50">
        <f>SUM(U13+U15+U18)</f>
        <v>18671363.984999999</v>
      </c>
      <c r="V12" s="50">
        <f t="shared" ref="V12" si="236">SUM(V13+V15+V18)</f>
        <v>60867040.127999999</v>
      </c>
      <c r="W12" s="50">
        <f t="shared" ref="W12" si="237">SUM(W13+W15+W18)</f>
        <v>19002600</v>
      </c>
      <c r="X12" s="50">
        <f t="shared" ref="X12" si="238">SUM(X13+X15+X18)</f>
        <v>98541004.112999991</v>
      </c>
      <c r="Y12" s="50">
        <f t="shared" ref="Y12" si="239">SUM(Y13+Y15+Y18)</f>
        <v>34349740</v>
      </c>
      <c r="Z12" s="50">
        <f t="shared" ref="Z12" si="240">SUM(Z13+Z15+Z18)</f>
        <v>0</v>
      </c>
      <c r="AA12" s="50">
        <f t="shared" ref="AA12" si="241">SUM(AA13+AA15+AA18)</f>
        <v>0</v>
      </c>
      <c r="AB12" s="50">
        <f t="shared" ref="AB12" si="242">SUM(AB13+AB15+AB18)</f>
        <v>42110400</v>
      </c>
      <c r="AC12" s="50">
        <f t="shared" ref="AC12" si="243">SUM(AC13+AC15+AC18)</f>
        <v>0</v>
      </c>
      <c r="AD12" s="50">
        <f t="shared" ref="AD12" si="244">SUM(AD13+AD15+AD18)</f>
        <v>1992600</v>
      </c>
      <c r="AE12" s="50">
        <f t="shared" ref="AE12" si="245">SUM(AE13+AE15+AE18)</f>
        <v>5712757</v>
      </c>
      <c r="AF12" s="50">
        <f t="shared" ref="AF12" si="246">SUM(AF13+AF15+AF18)</f>
        <v>-14375507.112999994</v>
      </c>
      <c r="AG12" s="90"/>
      <c r="AH12" s="50">
        <f>SUM(AH13+AH15+AH18)</f>
        <v>15528137.010000002</v>
      </c>
      <c r="AI12" s="50">
        <f t="shared" ref="AI12" si="247">SUM(AI13+AI15+AI18)</f>
        <v>40909054.656000003</v>
      </c>
      <c r="AJ12" s="50">
        <f t="shared" ref="AJ12" si="248">SUM(AJ13+AJ15+AJ18)</f>
        <v>8855000</v>
      </c>
      <c r="AK12" s="50">
        <f t="shared" ref="AK12" si="249">SUM(AK13+AK15+AK18)</f>
        <v>65292191.665999994</v>
      </c>
      <c r="AL12" s="50">
        <f t="shared" ref="AL12" si="250">SUM(AL13+AL15+AL18)</f>
        <v>24150419</v>
      </c>
      <c r="AM12" s="50">
        <f t="shared" ref="AM12" si="251">SUM(AM13+AM15+AM18)</f>
        <v>0</v>
      </c>
      <c r="AN12" s="50">
        <f t="shared" ref="AN12" si="252">SUM(AN13+AN15+AN18)</f>
        <v>0</v>
      </c>
      <c r="AO12" s="50">
        <f t="shared" ref="AO12" si="253">SUM(AO13+AO15+AO18)</f>
        <v>3042000</v>
      </c>
      <c r="AP12" s="50">
        <f t="shared" ref="AP12" si="254">SUM(AP13+AP15+AP18)</f>
        <v>0</v>
      </c>
      <c r="AQ12" s="50">
        <f t="shared" ref="AQ12" si="255">SUM(AQ13+AQ15+AQ18)</f>
        <v>902400</v>
      </c>
      <c r="AR12" s="50">
        <f t="shared" ref="AR12" si="256">SUM(AR13+AR15+AR18)</f>
        <v>5712757</v>
      </c>
      <c r="AS12" s="50">
        <f t="shared" ref="AS12" si="257">SUM(AS13+AS15+AS18)</f>
        <v>-31484615.665999994</v>
      </c>
      <c r="AT12" s="92"/>
      <c r="AU12" s="50">
        <f>SUM(AU13+AU15+AU18)</f>
        <v>14585784.510000002</v>
      </c>
      <c r="AV12" s="50">
        <f t="shared" ref="AV12" si="258">SUM(AV13+AV15+AV18)</f>
        <v>31657555.583999999</v>
      </c>
      <c r="AW12" s="50">
        <f t="shared" ref="AW12" si="259">SUM(AW13+AW15+AW18)</f>
        <v>4255000</v>
      </c>
      <c r="AX12" s="50">
        <f t="shared" ref="AX12" si="260">SUM(AX13+AX15+AX18)</f>
        <v>50498340.093999997</v>
      </c>
      <c r="AY12" s="50">
        <f t="shared" ref="AY12" si="261">SUM(AY13+AY15+AY18)</f>
        <v>32298274</v>
      </c>
      <c r="AZ12" s="50">
        <f t="shared" ref="AZ12" si="262">SUM(AZ13+AZ15+AZ18)</f>
        <v>0</v>
      </c>
      <c r="BA12" s="50">
        <f t="shared" ref="BA12" si="263">SUM(BA13+BA15+BA18)</f>
        <v>0</v>
      </c>
      <c r="BB12" s="50">
        <f t="shared" ref="BB12" si="264">SUM(BB13+BB15+BB18)</f>
        <v>0</v>
      </c>
      <c r="BC12" s="50">
        <f t="shared" ref="BC12" si="265">SUM(BC13+BC15+BC18)</f>
        <v>0</v>
      </c>
      <c r="BD12" s="50">
        <f t="shared" ref="BD12" si="266">SUM(BD13+BD15+BD18)</f>
        <v>456000</v>
      </c>
      <c r="BE12" s="50">
        <f t="shared" ref="BE12" si="267">SUM(BE13+BE15+BE18)</f>
        <v>5712757</v>
      </c>
      <c r="BF12" s="50">
        <f t="shared" ref="BF12" si="268">SUM(BF13+BF15+BF18)</f>
        <v>-12031309.094000001</v>
      </c>
      <c r="BG12" s="92"/>
      <c r="BH12" s="50">
        <f>SUM(BH13+BH15+BH18)</f>
        <v>6270436.8750000009</v>
      </c>
      <c r="BI12" s="50">
        <f t="shared" ref="BI12" si="269">SUM(BI13+BI15+BI18)</f>
        <v>27868800</v>
      </c>
      <c r="BJ12" s="50">
        <f t="shared" ref="BJ12" si="270">SUM(BJ13+BJ15+BJ18)</f>
        <v>4255000</v>
      </c>
      <c r="BK12" s="50">
        <f t="shared" ref="BK12" si="271">SUM(BK13+BK15+BK18)</f>
        <v>38394236.875</v>
      </c>
      <c r="BL12" s="50">
        <f t="shared" ref="BL12" si="272">SUM(BL13+BL15+BL18)</f>
        <v>22780024</v>
      </c>
      <c r="BM12" s="50">
        <f t="shared" ref="BM12" si="273">SUM(BM13+BM15+BM18)</f>
        <v>0</v>
      </c>
      <c r="BN12" s="50">
        <f t="shared" ref="BN12" si="274">SUM(BN13+BN15+BN18)</f>
        <v>0</v>
      </c>
      <c r="BO12" s="50">
        <f t="shared" ref="BO12" si="275">SUM(BO13+BO15+BO18)</f>
        <v>0</v>
      </c>
      <c r="BP12" s="50">
        <f t="shared" ref="BP12" si="276">SUM(BP13+BP15+BP18)</f>
        <v>0</v>
      </c>
      <c r="BQ12" s="50">
        <f t="shared" ref="BQ12" si="277">SUM(BQ13+BQ15+BQ18)</f>
        <v>456000</v>
      </c>
      <c r="BR12" s="50">
        <f t="shared" ref="BR12" si="278">SUM(BR13+BR15+BR18)</f>
        <v>5712757</v>
      </c>
      <c r="BS12" s="50">
        <f t="shared" ref="BS12" si="279">SUM(BS13+BS15+BS18)</f>
        <v>-9445455.8749999981</v>
      </c>
      <c r="BT12" s="92"/>
      <c r="BU12" s="50">
        <f>SUM(BU13+BU15+BU18)</f>
        <v>6270436.8750000009</v>
      </c>
      <c r="BV12" s="50">
        <f t="shared" ref="BV12" si="280">SUM(BV13+BV15+BV18)</f>
        <v>42814800</v>
      </c>
      <c r="BW12" s="50">
        <f t="shared" ref="BW12" si="281">SUM(BW13+BW15+BW18)</f>
        <v>4255000</v>
      </c>
      <c r="BX12" s="50">
        <f t="shared" ref="BX12" si="282">SUM(BX13+BX15+BX18)</f>
        <v>53340236.875</v>
      </c>
      <c r="BY12" s="50">
        <f t="shared" ref="BY12" si="283">SUM(BY13+BY15+BY18)</f>
        <v>37540024</v>
      </c>
      <c r="BZ12" s="50">
        <f t="shared" ref="BZ12" si="284">SUM(BZ13+BZ15+BZ18)</f>
        <v>0</v>
      </c>
      <c r="CA12" s="50">
        <f t="shared" ref="CA12" si="285">SUM(CA13+CA15+CA18)</f>
        <v>0</v>
      </c>
      <c r="CB12" s="50">
        <f t="shared" ref="CB12" si="286">SUM(CB13+CB15+CB18)</f>
        <v>0</v>
      </c>
      <c r="CC12" s="50">
        <f t="shared" ref="CC12" si="287">SUM(CC13+CC15+CC18)</f>
        <v>0</v>
      </c>
      <c r="CD12" s="50">
        <f t="shared" ref="CD12" si="288">SUM(CD13+CD15+CD18)</f>
        <v>456000</v>
      </c>
      <c r="CE12" s="50">
        <f t="shared" ref="CE12" si="289">SUM(CE13+CE15+CE18)</f>
        <v>5712757</v>
      </c>
      <c r="CF12" s="50">
        <f t="shared" ref="CF12" si="290">SUM(CF13+CF15+CF18)</f>
        <v>-9631455.8749999981</v>
      </c>
      <c r="CG12" s="92"/>
      <c r="CH12" s="50">
        <f>SUM(CH13+CH15+CH18)</f>
        <v>0</v>
      </c>
      <c r="CI12" s="50">
        <f t="shared" ref="CI12" si="291">SUM(CI13+CI15+CI18)</f>
        <v>0</v>
      </c>
      <c r="CJ12" s="50">
        <f t="shared" ref="CJ12" si="292">SUM(CJ13+CJ15+CJ18)</f>
        <v>0</v>
      </c>
      <c r="CK12" s="50">
        <f t="shared" ref="CK12" si="293">SUM(CK13+CK15+CK18)</f>
        <v>0</v>
      </c>
      <c r="CL12" s="50">
        <f t="shared" ref="CL12" si="294">SUM(CL13+CL15+CL18)</f>
        <v>0</v>
      </c>
      <c r="CM12" s="50">
        <f t="shared" ref="CM12" si="295">SUM(CM13+CM15+CM18)</f>
        <v>0</v>
      </c>
      <c r="CN12" s="50">
        <f t="shared" ref="CN12" si="296">SUM(CN13+CN15+CN18)</f>
        <v>0</v>
      </c>
      <c r="CO12" s="50">
        <f t="shared" ref="CO12" si="297">SUM(CO13+CO15+CO18)</f>
        <v>0</v>
      </c>
      <c r="CP12" s="50">
        <f t="shared" ref="CP12" si="298">SUM(CP13+CP15+CP18)</f>
        <v>0</v>
      </c>
      <c r="CQ12" s="50">
        <f t="shared" ref="CQ12" si="299">SUM(CQ13+CQ15+CQ18)</f>
        <v>0</v>
      </c>
      <c r="CR12" s="50">
        <f t="shared" ref="CR12" si="300">SUM(CR13+CR15+CR18)</f>
        <v>0</v>
      </c>
      <c r="CS12" s="50">
        <f t="shared" ref="CS12" si="301">SUM(CS13+CS15+CS18)</f>
        <v>0</v>
      </c>
      <c r="CT12" s="92"/>
      <c r="CU12" s="50">
        <f>SUM(CU13+CU15+CU18)</f>
        <v>0</v>
      </c>
      <c r="CV12" s="50">
        <f t="shared" ref="CV12" si="302">SUM(CV13+CV15+CV18)</f>
        <v>0</v>
      </c>
      <c r="CW12" s="50">
        <f t="shared" ref="CW12" si="303">SUM(CW13+CW15+CW18)</f>
        <v>0</v>
      </c>
      <c r="CX12" s="50">
        <f t="shared" ref="CX12" si="304">SUM(CX13+CX15+CX18)</f>
        <v>0</v>
      </c>
      <c r="CY12" s="50">
        <f t="shared" ref="CY12" si="305">SUM(CY13+CY15+CY18)</f>
        <v>0</v>
      </c>
      <c r="CZ12" s="50">
        <f t="shared" ref="CZ12" si="306">SUM(CZ13+CZ15+CZ18)</f>
        <v>0</v>
      </c>
      <c r="DA12" s="50">
        <f t="shared" ref="DA12" si="307">SUM(DA13+DA15+DA18)</f>
        <v>0</v>
      </c>
      <c r="DB12" s="50">
        <f t="shared" ref="DB12" si="308">SUM(DB13+DB15+DB18)</f>
        <v>0</v>
      </c>
      <c r="DC12" s="50">
        <f t="shared" ref="DC12" si="309">SUM(DC13+DC15+DC18)</f>
        <v>0</v>
      </c>
      <c r="DD12" s="50">
        <f t="shared" ref="DD12" si="310">SUM(DD13+DD15+DD18)</f>
        <v>0</v>
      </c>
      <c r="DE12" s="50">
        <f t="shared" ref="DE12" si="311">SUM(DE13+DE15+DE18)</f>
        <v>0</v>
      </c>
      <c r="DF12" s="50">
        <f t="shared" ref="DF12" si="312">SUM(DF13+DF15+DF18)</f>
        <v>0</v>
      </c>
      <c r="DG12" s="92"/>
      <c r="DH12" s="50">
        <f>SUM(DH13+DH15+DH18)</f>
        <v>0</v>
      </c>
      <c r="DI12" s="50">
        <f t="shared" ref="DI12" si="313">SUM(DI13+DI15+DI18)</f>
        <v>0</v>
      </c>
      <c r="DJ12" s="50">
        <f t="shared" ref="DJ12" si="314">SUM(DJ13+DJ15+DJ18)</f>
        <v>0</v>
      </c>
      <c r="DK12" s="50">
        <f t="shared" ref="DK12" si="315">SUM(DK13+DK15+DK18)</f>
        <v>0</v>
      </c>
      <c r="DL12" s="50">
        <f t="shared" ref="DL12" si="316">SUM(DL13+DL15+DL18)</f>
        <v>0</v>
      </c>
      <c r="DM12" s="50">
        <f t="shared" ref="DM12" si="317">SUM(DM13+DM15+DM18)</f>
        <v>0</v>
      </c>
      <c r="DN12" s="50">
        <f t="shared" ref="DN12" si="318">SUM(DN13+DN15+DN18)</f>
        <v>0</v>
      </c>
      <c r="DO12" s="50">
        <f t="shared" ref="DO12" si="319">SUM(DO13+DO15+DO18)</f>
        <v>0</v>
      </c>
      <c r="DP12" s="50">
        <f t="shared" ref="DP12" si="320">SUM(DP13+DP15+DP18)</f>
        <v>0</v>
      </c>
      <c r="DQ12" s="50">
        <f t="shared" ref="DQ12" si="321">SUM(DQ13+DQ15+DQ18)</f>
        <v>0</v>
      </c>
      <c r="DR12" s="50">
        <f t="shared" ref="DR12" si="322">SUM(DR13+DR15+DR18)</f>
        <v>0</v>
      </c>
      <c r="DS12" s="50">
        <f t="shared" ref="DS12" si="323">SUM(DS13+DS15+DS18)</f>
        <v>0</v>
      </c>
      <c r="DT12" s="92"/>
      <c r="DU12" s="50">
        <f>SUM(DU13+DU15+DU18)</f>
        <v>0</v>
      </c>
      <c r="DV12" s="50">
        <f t="shared" ref="DV12" si="324">SUM(DV13+DV15+DV18)</f>
        <v>0</v>
      </c>
      <c r="DW12" s="50">
        <f t="shared" ref="DW12" si="325">SUM(DW13+DW15+DW18)</f>
        <v>0</v>
      </c>
      <c r="DX12" s="50">
        <f t="shared" ref="DX12" si="326">SUM(DX13+DX15+DX18)</f>
        <v>0</v>
      </c>
      <c r="DY12" s="50">
        <f t="shared" ref="DY12" si="327">SUM(DY13+DY15+DY18)</f>
        <v>0</v>
      </c>
      <c r="DZ12" s="50">
        <f t="shared" ref="DZ12" si="328">SUM(DZ13+DZ15+DZ18)</f>
        <v>0</v>
      </c>
      <c r="EA12" s="50">
        <f t="shared" ref="EA12" si="329">SUM(EA13+EA15+EA18)</f>
        <v>0</v>
      </c>
      <c r="EB12" s="50">
        <f t="shared" ref="EB12" si="330">SUM(EB13+EB15+EB18)</f>
        <v>0</v>
      </c>
      <c r="EC12" s="50">
        <f t="shared" ref="EC12" si="331">SUM(EC13+EC15+EC18)</f>
        <v>0</v>
      </c>
      <c r="ED12" s="50">
        <f t="shared" ref="ED12" si="332">SUM(ED13+ED15+ED18)</f>
        <v>0</v>
      </c>
      <c r="EE12" s="50">
        <f t="shared" ref="EE12" si="333">SUM(EE13+EE15+EE18)</f>
        <v>0</v>
      </c>
      <c r="EF12" s="50">
        <f t="shared" ref="EF12" si="334">SUM(EF13+EF15+EF18)</f>
        <v>0</v>
      </c>
      <c r="EG12" s="92"/>
      <c r="EH12" s="50">
        <f>SUM(EH13+EH15+EH18)</f>
        <v>70075070.729999989</v>
      </c>
      <c r="EI12" s="50">
        <f t="shared" ref="EI12" si="335">SUM(EI13+EI15+EI18)</f>
        <v>228350623.05599999</v>
      </c>
      <c r="EJ12" s="50">
        <f t="shared" ref="EJ12" si="336">SUM(EJ13+EJ15+EJ18)</f>
        <v>42577600</v>
      </c>
      <c r="EK12" s="50">
        <f t="shared" ref="EK12" si="337">SUM(EK13+EK15+EK18)</f>
        <v>341003293.78600001</v>
      </c>
      <c r="EL12" s="50">
        <f t="shared" ref="EL12" si="338">SUM(EL13+EL15+EL18)</f>
        <v>169838407</v>
      </c>
      <c r="EM12" s="50">
        <f t="shared" ref="EM12" si="339">SUM(EM13+EM15+EM18)</f>
        <v>0</v>
      </c>
      <c r="EN12" s="50">
        <f t="shared" ref="EN12" si="340">SUM(EN13+EN15+EN18)</f>
        <v>0</v>
      </c>
      <c r="EO12" s="50">
        <f t="shared" ref="EO12" si="341">SUM(EO13+EO15+EO18)</f>
        <v>45722400</v>
      </c>
      <c r="EP12" s="50">
        <f t="shared" ref="EP12" si="342">SUM(EP13+EP15+EP18)</f>
        <v>0</v>
      </c>
      <c r="EQ12" s="50">
        <f t="shared" ref="EQ12" si="343">SUM(EQ13+EQ15+EQ18)</f>
        <v>10225800</v>
      </c>
      <c r="ER12" s="50">
        <f t="shared" ref="ER12" si="344">SUM(ER13+ER15+ER18)</f>
        <v>34276542</v>
      </c>
      <c r="ES12" s="50">
        <f t="shared" ref="ES12" si="345">SUM(ES13+ES15+ES18)</f>
        <v>-80940144.785999984</v>
      </c>
    </row>
    <row r="13" spans="1:149" ht="15" customHeight="1">
      <c r="A13" s="24"/>
      <c r="B13" s="32"/>
      <c r="C13" s="324" t="s">
        <v>210</v>
      </c>
      <c r="D13" s="324"/>
      <c r="E13" s="325"/>
      <c r="F13" s="84"/>
      <c r="G13" s="84"/>
      <c r="H13" s="51">
        <f>SUM(H14:H14)</f>
        <v>0</v>
      </c>
      <c r="I13" s="51">
        <f t="shared" ref="I13:S13" si="346">SUM(I14:I14)</f>
        <v>2040000</v>
      </c>
      <c r="J13" s="51">
        <f t="shared" si="346"/>
        <v>0</v>
      </c>
      <c r="K13" s="51">
        <f t="shared" si="346"/>
        <v>2040000</v>
      </c>
      <c r="L13" s="51">
        <f t="shared" si="346"/>
        <v>0</v>
      </c>
      <c r="M13" s="51">
        <f t="shared" si="346"/>
        <v>0</v>
      </c>
      <c r="N13" s="51">
        <f t="shared" si="346"/>
        <v>0</v>
      </c>
      <c r="O13" s="51">
        <f t="shared" si="346"/>
        <v>0</v>
      </c>
      <c r="P13" s="51">
        <f t="shared" si="346"/>
        <v>0</v>
      </c>
      <c r="Q13" s="51">
        <f t="shared" si="346"/>
        <v>0</v>
      </c>
      <c r="R13" s="51">
        <f t="shared" si="346"/>
        <v>0</v>
      </c>
      <c r="S13" s="51">
        <f t="shared" si="346"/>
        <v>-2040000</v>
      </c>
      <c r="T13" s="89"/>
      <c r="U13" s="51">
        <f>SUM(U14:U14)</f>
        <v>412534.5</v>
      </c>
      <c r="V13" s="51">
        <f t="shared" ref="V13" si="347">SUM(V14:V14)</f>
        <v>17370000</v>
      </c>
      <c r="W13" s="51">
        <f t="shared" ref="W13" si="348">SUM(W14:W14)</f>
        <v>0</v>
      </c>
      <c r="X13" s="51">
        <f t="shared" ref="X13" si="349">SUM(X14:X14)</f>
        <v>17782534.5</v>
      </c>
      <c r="Y13" s="51">
        <f t="shared" ref="Y13" si="350">SUM(Y14:Y14)</f>
        <v>412535</v>
      </c>
      <c r="Z13" s="51">
        <f t="shared" ref="Z13" si="351">SUM(Z14:Z14)</f>
        <v>0</v>
      </c>
      <c r="AA13" s="51">
        <f t="shared" ref="AA13" si="352">SUM(AA14:AA14)</f>
        <v>0</v>
      </c>
      <c r="AB13" s="51">
        <f t="shared" ref="AB13" si="353">SUM(AB14:AB14)</f>
        <v>14760000</v>
      </c>
      <c r="AC13" s="51">
        <f t="shared" ref="AC13" si="354">SUM(AC14:AC14)</f>
        <v>0</v>
      </c>
      <c r="AD13" s="51">
        <f t="shared" ref="AD13" si="355">SUM(AD14:AD14)</f>
        <v>342000</v>
      </c>
      <c r="AE13" s="51">
        <f t="shared" ref="AE13" si="356">SUM(AE14:AE14)</f>
        <v>0</v>
      </c>
      <c r="AF13" s="51">
        <f t="shared" ref="AF13" si="357">SUM(AF14:AF14)</f>
        <v>-2267999.5</v>
      </c>
      <c r="AG13" s="90"/>
      <c r="AH13" s="51">
        <f>SUM(AH14:AH14)</f>
        <v>247520.69999999998</v>
      </c>
      <c r="AI13" s="51">
        <f t="shared" ref="AI13" si="358">SUM(AI14:AI14)</f>
        <v>2910000</v>
      </c>
      <c r="AJ13" s="51">
        <f t="shared" ref="AJ13" si="359">SUM(AJ14:AJ14)</f>
        <v>0</v>
      </c>
      <c r="AK13" s="51">
        <f t="shared" ref="AK13" si="360">SUM(AK14:AK14)</f>
        <v>3157520.7</v>
      </c>
      <c r="AL13" s="51">
        <f t="shared" ref="AL13" si="361">SUM(AL14:AL14)</f>
        <v>547521</v>
      </c>
      <c r="AM13" s="51">
        <f t="shared" ref="AM13" si="362">SUM(AM14:AM14)</f>
        <v>0</v>
      </c>
      <c r="AN13" s="51">
        <f t="shared" ref="AN13" si="363">SUM(AN14:AN14)</f>
        <v>0</v>
      </c>
      <c r="AO13" s="51">
        <f t="shared" ref="AO13" si="364">SUM(AO14:AO14)</f>
        <v>0</v>
      </c>
      <c r="AP13" s="51">
        <f t="shared" ref="AP13" si="365">SUM(AP14:AP14)</f>
        <v>0</v>
      </c>
      <c r="AQ13" s="51">
        <f t="shared" ref="AQ13" si="366">SUM(AQ14:AQ14)</f>
        <v>0</v>
      </c>
      <c r="AR13" s="51">
        <f t="shared" ref="AR13" si="367">SUM(AR14:AR14)</f>
        <v>0</v>
      </c>
      <c r="AS13" s="51">
        <f t="shared" ref="AS13" si="368">SUM(AS14:AS14)</f>
        <v>-2609999.7000000002</v>
      </c>
      <c r="AT13" s="92"/>
      <c r="AU13" s="51">
        <f>SUM(AU14:AU14)</f>
        <v>247520.69999999998</v>
      </c>
      <c r="AV13" s="51">
        <f t="shared" ref="AV13" si="369">SUM(AV14:AV14)</f>
        <v>2743200</v>
      </c>
      <c r="AW13" s="51">
        <f t="shared" ref="AW13" si="370">SUM(AW14:AW14)</f>
        <v>0</v>
      </c>
      <c r="AX13" s="51">
        <f t="shared" ref="AX13" si="371">SUM(AX14:AX14)</f>
        <v>2990720.7</v>
      </c>
      <c r="AY13" s="51">
        <f t="shared" ref="AY13" si="372">SUM(AY14:AY14)</f>
        <v>2587521</v>
      </c>
      <c r="AZ13" s="51">
        <f t="shared" ref="AZ13" si="373">SUM(AZ14:AZ14)</f>
        <v>0</v>
      </c>
      <c r="BA13" s="51">
        <f t="shared" ref="BA13" si="374">SUM(BA14:BA14)</f>
        <v>0</v>
      </c>
      <c r="BB13" s="51">
        <f t="shared" ref="BB13" si="375">SUM(BB14:BB14)</f>
        <v>0</v>
      </c>
      <c r="BC13" s="51">
        <f t="shared" ref="BC13" si="376">SUM(BC14:BC14)</f>
        <v>0</v>
      </c>
      <c r="BD13" s="51">
        <f t="shared" ref="BD13" si="377">SUM(BD14:BD14)</f>
        <v>0</v>
      </c>
      <c r="BE13" s="51">
        <f t="shared" ref="BE13" si="378">SUM(BE14:BE14)</f>
        <v>0</v>
      </c>
      <c r="BF13" s="51">
        <f t="shared" ref="BF13" si="379">SUM(BF14:BF14)</f>
        <v>-403199.70000000019</v>
      </c>
      <c r="BG13" s="92"/>
      <c r="BH13" s="51">
        <f>SUM(BH14:BH14)</f>
        <v>0</v>
      </c>
      <c r="BI13" s="51">
        <f t="shared" ref="BI13" si="380">SUM(BI14:BI14)</f>
        <v>2040000</v>
      </c>
      <c r="BJ13" s="51">
        <f t="shared" ref="BJ13" si="381">SUM(BJ14:BJ14)</f>
        <v>0</v>
      </c>
      <c r="BK13" s="51">
        <f t="shared" ref="BK13" si="382">SUM(BK14:BK14)</f>
        <v>2040000</v>
      </c>
      <c r="BL13" s="51">
        <f t="shared" ref="BL13" si="383">SUM(BL14:BL14)</f>
        <v>2040000</v>
      </c>
      <c r="BM13" s="51">
        <f t="shared" ref="BM13" si="384">SUM(BM14:BM14)</f>
        <v>0</v>
      </c>
      <c r="BN13" s="51">
        <f t="shared" ref="BN13" si="385">SUM(BN14:BN14)</f>
        <v>0</v>
      </c>
      <c r="BO13" s="51">
        <f t="shared" ref="BO13" si="386">SUM(BO14:BO14)</f>
        <v>0</v>
      </c>
      <c r="BP13" s="51">
        <f t="shared" ref="BP13" si="387">SUM(BP14:BP14)</f>
        <v>0</v>
      </c>
      <c r="BQ13" s="51">
        <f t="shared" ref="BQ13" si="388">SUM(BQ14:BQ14)</f>
        <v>0</v>
      </c>
      <c r="BR13" s="51">
        <f t="shared" ref="BR13" si="389">SUM(BR14:BR14)</f>
        <v>0</v>
      </c>
      <c r="BS13" s="51">
        <f t="shared" ref="BS13" si="390">SUM(BS14:BS14)</f>
        <v>0</v>
      </c>
      <c r="BT13" s="92"/>
      <c r="BU13" s="51">
        <f>SUM(BU14:BU14)</f>
        <v>0</v>
      </c>
      <c r="BV13" s="51">
        <f t="shared" ref="BV13" si="391">SUM(BV14:BV14)</f>
        <v>16800000</v>
      </c>
      <c r="BW13" s="51">
        <f t="shared" ref="BW13" si="392">SUM(BW14:BW14)</f>
        <v>0</v>
      </c>
      <c r="BX13" s="51">
        <f t="shared" ref="BX13" si="393">SUM(BX14:BX14)</f>
        <v>16800000</v>
      </c>
      <c r="BY13" s="51">
        <f t="shared" ref="BY13" si="394">SUM(BY14:BY14)</f>
        <v>16800000</v>
      </c>
      <c r="BZ13" s="51">
        <f t="shared" ref="BZ13" si="395">SUM(BZ14:BZ14)</f>
        <v>0</v>
      </c>
      <c r="CA13" s="51">
        <f t="shared" ref="CA13" si="396">SUM(CA14:CA14)</f>
        <v>0</v>
      </c>
      <c r="CB13" s="51">
        <f t="shared" ref="CB13" si="397">SUM(CB14:CB14)</f>
        <v>0</v>
      </c>
      <c r="CC13" s="51">
        <f t="shared" ref="CC13" si="398">SUM(CC14:CC14)</f>
        <v>0</v>
      </c>
      <c r="CD13" s="51">
        <f t="shared" ref="CD13" si="399">SUM(CD14:CD14)</f>
        <v>0</v>
      </c>
      <c r="CE13" s="51">
        <f t="shared" ref="CE13" si="400">SUM(CE14:CE14)</f>
        <v>0</v>
      </c>
      <c r="CF13" s="51">
        <f t="shared" ref="CF13" si="401">SUM(CF14:CF14)</f>
        <v>0</v>
      </c>
      <c r="CG13" s="92"/>
      <c r="CH13" s="51">
        <f>SUM(CH14:CH14)</f>
        <v>0</v>
      </c>
      <c r="CI13" s="51">
        <f t="shared" ref="CI13" si="402">SUM(CI14:CI14)</f>
        <v>0</v>
      </c>
      <c r="CJ13" s="51">
        <f t="shared" ref="CJ13" si="403">SUM(CJ14:CJ14)</f>
        <v>0</v>
      </c>
      <c r="CK13" s="51">
        <f t="shared" ref="CK13" si="404">SUM(CK14:CK14)</f>
        <v>0</v>
      </c>
      <c r="CL13" s="51">
        <f t="shared" ref="CL13" si="405">SUM(CL14:CL14)</f>
        <v>0</v>
      </c>
      <c r="CM13" s="51">
        <f t="shared" ref="CM13" si="406">SUM(CM14:CM14)</f>
        <v>0</v>
      </c>
      <c r="CN13" s="51">
        <f t="shared" ref="CN13" si="407">SUM(CN14:CN14)</f>
        <v>0</v>
      </c>
      <c r="CO13" s="51">
        <f t="shared" ref="CO13" si="408">SUM(CO14:CO14)</f>
        <v>0</v>
      </c>
      <c r="CP13" s="51">
        <f t="shared" ref="CP13" si="409">SUM(CP14:CP14)</f>
        <v>0</v>
      </c>
      <c r="CQ13" s="51">
        <f t="shared" ref="CQ13" si="410">SUM(CQ14:CQ14)</f>
        <v>0</v>
      </c>
      <c r="CR13" s="51">
        <f t="shared" ref="CR13" si="411">SUM(CR14:CR14)</f>
        <v>0</v>
      </c>
      <c r="CS13" s="51">
        <f t="shared" ref="CS13" si="412">SUM(CS14:CS14)</f>
        <v>0</v>
      </c>
      <c r="CT13" s="92"/>
      <c r="CU13" s="51">
        <f>SUM(CU14:CU14)</f>
        <v>0</v>
      </c>
      <c r="CV13" s="51">
        <f t="shared" ref="CV13" si="413">SUM(CV14:CV14)</f>
        <v>0</v>
      </c>
      <c r="CW13" s="51">
        <f t="shared" ref="CW13" si="414">SUM(CW14:CW14)</f>
        <v>0</v>
      </c>
      <c r="CX13" s="51">
        <f t="shared" ref="CX13" si="415">SUM(CX14:CX14)</f>
        <v>0</v>
      </c>
      <c r="CY13" s="51">
        <f t="shared" ref="CY13" si="416">SUM(CY14:CY14)</f>
        <v>0</v>
      </c>
      <c r="CZ13" s="51">
        <f t="shared" ref="CZ13" si="417">SUM(CZ14:CZ14)</f>
        <v>0</v>
      </c>
      <c r="DA13" s="51">
        <f t="shared" ref="DA13" si="418">SUM(DA14:DA14)</f>
        <v>0</v>
      </c>
      <c r="DB13" s="51">
        <f t="shared" ref="DB13" si="419">SUM(DB14:DB14)</f>
        <v>0</v>
      </c>
      <c r="DC13" s="51">
        <f t="shared" ref="DC13" si="420">SUM(DC14:DC14)</f>
        <v>0</v>
      </c>
      <c r="DD13" s="51">
        <f t="shared" ref="DD13" si="421">SUM(DD14:DD14)</f>
        <v>0</v>
      </c>
      <c r="DE13" s="51">
        <f t="shared" ref="DE13" si="422">SUM(DE14:DE14)</f>
        <v>0</v>
      </c>
      <c r="DF13" s="51">
        <f t="shared" ref="DF13" si="423">SUM(DF14:DF14)</f>
        <v>0</v>
      </c>
      <c r="DG13" s="92"/>
      <c r="DH13" s="51">
        <f>SUM(DH14:DH14)</f>
        <v>0</v>
      </c>
      <c r="DI13" s="51">
        <f t="shared" ref="DI13" si="424">SUM(DI14:DI14)</f>
        <v>0</v>
      </c>
      <c r="DJ13" s="51">
        <f t="shared" ref="DJ13" si="425">SUM(DJ14:DJ14)</f>
        <v>0</v>
      </c>
      <c r="DK13" s="51">
        <f t="shared" ref="DK13" si="426">SUM(DK14:DK14)</f>
        <v>0</v>
      </c>
      <c r="DL13" s="51">
        <f t="shared" ref="DL13" si="427">SUM(DL14:DL14)</f>
        <v>0</v>
      </c>
      <c r="DM13" s="51">
        <f t="shared" ref="DM13" si="428">SUM(DM14:DM14)</f>
        <v>0</v>
      </c>
      <c r="DN13" s="51">
        <f t="shared" ref="DN13" si="429">SUM(DN14:DN14)</f>
        <v>0</v>
      </c>
      <c r="DO13" s="51">
        <f t="shared" ref="DO13" si="430">SUM(DO14:DO14)</f>
        <v>0</v>
      </c>
      <c r="DP13" s="51">
        <f t="shared" ref="DP13" si="431">SUM(DP14:DP14)</f>
        <v>0</v>
      </c>
      <c r="DQ13" s="51">
        <f t="shared" ref="DQ13" si="432">SUM(DQ14:DQ14)</f>
        <v>0</v>
      </c>
      <c r="DR13" s="51">
        <f t="shared" ref="DR13" si="433">SUM(DR14:DR14)</f>
        <v>0</v>
      </c>
      <c r="DS13" s="51">
        <f t="shared" ref="DS13" si="434">SUM(DS14:DS14)</f>
        <v>0</v>
      </c>
      <c r="DT13" s="92"/>
      <c r="DU13" s="51">
        <f>SUM(DU14:DU14)</f>
        <v>0</v>
      </c>
      <c r="DV13" s="51">
        <f t="shared" ref="DV13" si="435">SUM(DV14:DV14)</f>
        <v>0</v>
      </c>
      <c r="DW13" s="51">
        <f t="shared" ref="DW13" si="436">SUM(DW14:DW14)</f>
        <v>0</v>
      </c>
      <c r="DX13" s="51">
        <f t="shared" ref="DX13" si="437">SUM(DX14:DX14)</f>
        <v>0</v>
      </c>
      <c r="DY13" s="51">
        <f t="shared" ref="DY13" si="438">SUM(DY14:DY14)</f>
        <v>0</v>
      </c>
      <c r="DZ13" s="51">
        <f t="shared" ref="DZ13" si="439">SUM(DZ14:DZ14)</f>
        <v>0</v>
      </c>
      <c r="EA13" s="51">
        <f t="shared" ref="EA13" si="440">SUM(EA14:EA14)</f>
        <v>0</v>
      </c>
      <c r="EB13" s="51">
        <f t="shared" ref="EB13" si="441">SUM(EB14:EB14)</f>
        <v>0</v>
      </c>
      <c r="EC13" s="51">
        <f t="shared" ref="EC13" si="442">SUM(EC14:EC14)</f>
        <v>0</v>
      </c>
      <c r="ED13" s="51">
        <f t="shared" ref="ED13" si="443">SUM(ED14:ED14)</f>
        <v>0</v>
      </c>
      <c r="EE13" s="51">
        <f t="shared" ref="EE13" si="444">SUM(EE14:EE14)</f>
        <v>0</v>
      </c>
      <c r="EF13" s="51">
        <f t="shared" ref="EF13" si="445">SUM(EF14:EF14)</f>
        <v>0</v>
      </c>
      <c r="EG13" s="92"/>
      <c r="EH13" s="51">
        <f>SUM(EH14:EH14)</f>
        <v>907575.89999999991</v>
      </c>
      <c r="EI13" s="51">
        <f t="shared" ref="EI13" si="446">SUM(EI14:EI14)</f>
        <v>43903200</v>
      </c>
      <c r="EJ13" s="51">
        <f t="shared" ref="EJ13" si="447">SUM(EJ14:EJ14)</f>
        <v>0</v>
      </c>
      <c r="EK13" s="51">
        <f t="shared" ref="EK13" si="448">SUM(EK14:EK14)</f>
        <v>44810775.899999999</v>
      </c>
      <c r="EL13" s="51">
        <f t="shared" ref="EL13" si="449">SUM(EL14:EL14)</f>
        <v>22387577</v>
      </c>
      <c r="EM13" s="51">
        <f t="shared" ref="EM13" si="450">SUM(EM14:EM14)</f>
        <v>0</v>
      </c>
      <c r="EN13" s="51">
        <f t="shared" ref="EN13" si="451">SUM(EN14:EN14)</f>
        <v>0</v>
      </c>
      <c r="EO13" s="51">
        <f t="shared" ref="EO13" si="452">SUM(EO14:EO14)</f>
        <v>14760000</v>
      </c>
      <c r="EP13" s="51">
        <f t="shared" ref="EP13" si="453">SUM(EP14:EP14)</f>
        <v>0</v>
      </c>
      <c r="EQ13" s="51">
        <f t="shared" ref="EQ13" si="454">SUM(EQ14:EQ14)</f>
        <v>342000</v>
      </c>
      <c r="ER13" s="51">
        <f t="shared" ref="ER13" si="455">SUM(ER14:ER14)</f>
        <v>0</v>
      </c>
      <c r="ES13" s="51">
        <f t="shared" ref="ES13" si="456">SUM(ES14:ES14)</f>
        <v>-7321198.9000000004</v>
      </c>
    </row>
    <row r="14" spans="1:149" ht="82.8">
      <c r="B14" s="26"/>
      <c r="C14" s="159"/>
      <c r="D14" s="301" t="s">
        <v>628</v>
      </c>
      <c r="E14" s="56" t="s">
        <v>565</v>
      </c>
      <c r="F14" s="31">
        <v>2021</v>
      </c>
      <c r="G14" s="31">
        <v>2026</v>
      </c>
      <c r="H14" s="49">
        <f>'Incremental_Cost Year 1'!AQ39</f>
        <v>0</v>
      </c>
      <c r="I14" s="49">
        <f>'Incremental_Cost Year 1'!AR39</f>
        <v>2040000</v>
      </c>
      <c r="J14" s="49">
        <f>'Incremental_Cost Year 1'!AS39</f>
        <v>0</v>
      </c>
      <c r="K14" s="49">
        <f>'Incremental_Cost Year 1'!AT39</f>
        <v>2040000</v>
      </c>
      <c r="L14" s="49">
        <f>'Incremental_Cost Year 1'!AU39</f>
        <v>0</v>
      </c>
      <c r="M14" s="49">
        <f>'Incremental_Cost Year 1'!AV39</f>
        <v>0</v>
      </c>
      <c r="N14" s="49">
        <f>'Incremental_Cost Year 1'!AW39</f>
        <v>0</v>
      </c>
      <c r="O14" s="49">
        <f>'Incremental_Cost Year 1'!AX39</f>
        <v>0</v>
      </c>
      <c r="P14" s="49">
        <f>'Incremental_Cost Year 1'!AY39</f>
        <v>0</v>
      </c>
      <c r="Q14" s="49">
        <f>'Incremental_Cost Year 1'!AZ39</f>
        <v>0</v>
      </c>
      <c r="R14" s="49">
        <f>'Incremental_Cost Year 1'!BA39</f>
        <v>0</v>
      </c>
      <c r="S14" s="49">
        <f t="shared" ref="S14" si="457">L14+M14+N14+O14+P14+Q14+R14-K14</f>
        <v>-2040000</v>
      </c>
      <c r="T14" s="89"/>
      <c r="U14" s="49">
        <f>'Incremental_Cost Year 2'!AQ39</f>
        <v>412534.5</v>
      </c>
      <c r="V14" s="49">
        <f>'Incremental_Cost Year 2'!AR39</f>
        <v>17370000</v>
      </c>
      <c r="W14" s="49">
        <f>'Incremental_Cost Year 2'!AS39</f>
        <v>0</v>
      </c>
      <c r="X14" s="49">
        <f>'Incremental_Cost Year 2'!AT39</f>
        <v>17782534.5</v>
      </c>
      <c r="Y14" s="49">
        <f>'Incremental_Cost Year 2'!AU39</f>
        <v>412535</v>
      </c>
      <c r="Z14" s="49">
        <f>'Incremental_Cost Year 2'!AV39</f>
        <v>0</v>
      </c>
      <c r="AA14" s="49">
        <f>'Incremental_Cost Year 2'!AW39</f>
        <v>0</v>
      </c>
      <c r="AB14" s="49">
        <f>'Incremental_Cost Year 2'!AX39</f>
        <v>14760000</v>
      </c>
      <c r="AC14" s="49">
        <f>'Incremental_Cost Year 2'!AY39</f>
        <v>0</v>
      </c>
      <c r="AD14" s="49">
        <f>'Incremental_Cost Year 2'!AZ39</f>
        <v>342000</v>
      </c>
      <c r="AE14" s="49">
        <f>'Incremental_Cost Year 2'!BA39</f>
        <v>0</v>
      </c>
      <c r="AF14" s="49">
        <f>Y14+Z14+AA14+AB14+AC14+AD14+AE14-X14</f>
        <v>-2267999.5</v>
      </c>
      <c r="AG14" s="96"/>
      <c r="AH14" s="49">
        <f>'Incremental_Cost Year 3'!AQ39</f>
        <v>247520.69999999998</v>
      </c>
      <c r="AI14" s="49">
        <f>'Incremental_Cost Year 3'!AR39</f>
        <v>2910000</v>
      </c>
      <c r="AJ14" s="49">
        <f>'Incremental_Cost Year 3'!AS39</f>
        <v>0</v>
      </c>
      <c r="AK14" s="49">
        <f>'Incremental_Cost Year 3'!AT39</f>
        <v>3157520.7</v>
      </c>
      <c r="AL14" s="49">
        <f>'Incremental_Cost Year 3'!AU39</f>
        <v>547521</v>
      </c>
      <c r="AM14" s="49">
        <f>'Incremental_Cost Year 3'!AV39</f>
        <v>0</v>
      </c>
      <c r="AN14" s="49">
        <f>'Incremental_Cost Year 3'!AW39</f>
        <v>0</v>
      </c>
      <c r="AO14" s="49">
        <f>'Incremental_Cost Year 3'!AX39</f>
        <v>0</v>
      </c>
      <c r="AP14" s="49">
        <f>'Incremental_Cost Year 3'!AY39</f>
        <v>0</v>
      </c>
      <c r="AQ14" s="49">
        <f>'Incremental_Cost Year 3'!AZ39</f>
        <v>0</v>
      </c>
      <c r="AR14" s="49">
        <f>'Incremental_Cost Year 3'!BA39</f>
        <v>0</v>
      </c>
      <c r="AS14" s="49">
        <f>AL14+AM14+AN14+AO14+AP14+AQ14+AR14-AK14</f>
        <v>-2609999.7000000002</v>
      </c>
      <c r="AT14" s="92"/>
      <c r="AU14" s="49">
        <f>'Incremental_Cost Year 4'!AQ39</f>
        <v>247520.69999999998</v>
      </c>
      <c r="AV14" s="49">
        <f>'Incremental_Cost Year 4'!AR39</f>
        <v>2743200</v>
      </c>
      <c r="AW14" s="49">
        <f>'Incremental_Cost Year 4'!AS39</f>
        <v>0</v>
      </c>
      <c r="AX14" s="49">
        <f>'Incremental_Cost Year 4'!AT39</f>
        <v>2990720.7</v>
      </c>
      <c r="AY14" s="49">
        <f>'Incremental_Cost Year 4'!AU39</f>
        <v>2587521</v>
      </c>
      <c r="AZ14" s="49">
        <f>'Incremental_Cost Year 4'!AV39</f>
        <v>0</v>
      </c>
      <c r="BA14" s="49">
        <f>'Incremental_Cost Year 4'!AW39</f>
        <v>0</v>
      </c>
      <c r="BB14" s="49">
        <f>'Incremental_Cost Year 4'!AX39</f>
        <v>0</v>
      </c>
      <c r="BC14" s="49">
        <f>'Incremental_Cost Year 4'!AY39</f>
        <v>0</v>
      </c>
      <c r="BD14" s="49">
        <f>'Incremental_Cost Year 4'!AZ39</f>
        <v>0</v>
      </c>
      <c r="BE14" s="49">
        <f>'Incremental_Cost Year 4'!BA39</f>
        <v>0</v>
      </c>
      <c r="BF14" s="49">
        <f t="shared" ref="BF14" si="458">AY14+AZ14+BA14+BB14+BC14+BD14+BE14-AX14</f>
        <v>-403199.70000000019</v>
      </c>
      <c r="BG14" s="92"/>
      <c r="BH14" s="49">
        <f>'Incremental_Cost Year 5'!AQ39</f>
        <v>0</v>
      </c>
      <c r="BI14" s="49">
        <f>'Incremental_Cost Year 5'!AR39</f>
        <v>2040000</v>
      </c>
      <c r="BJ14" s="49">
        <f>'Incremental_Cost Year 5'!AS39</f>
        <v>0</v>
      </c>
      <c r="BK14" s="49">
        <f>'Incremental_Cost Year 5'!AT39</f>
        <v>2040000</v>
      </c>
      <c r="BL14" s="49">
        <f>'Incremental_Cost Year 5'!AU39</f>
        <v>2040000</v>
      </c>
      <c r="BM14" s="49">
        <f>'Incremental_Cost Year 5'!AV39</f>
        <v>0</v>
      </c>
      <c r="BN14" s="49">
        <f>'Incremental_Cost Year 5'!AW39</f>
        <v>0</v>
      </c>
      <c r="BO14" s="49">
        <f>'Incremental_Cost Year 5'!AX39</f>
        <v>0</v>
      </c>
      <c r="BP14" s="49">
        <f>'Incremental_Cost Year 5'!AY39</f>
        <v>0</v>
      </c>
      <c r="BQ14" s="49">
        <f>'Incremental_Cost Year 5'!AZ39</f>
        <v>0</v>
      </c>
      <c r="BR14" s="49">
        <f>'Incremental_Cost Year 5'!BA39</f>
        <v>0</v>
      </c>
      <c r="BS14" s="49">
        <f t="shared" ref="BS14" si="459">BL14+BM14+BN14+BO14+BP14+BQ14+BR14-BK14</f>
        <v>0</v>
      </c>
      <c r="BT14" s="92"/>
      <c r="BU14" s="49">
        <f>'Incremental_Cost Year 6'!AQ39</f>
        <v>0</v>
      </c>
      <c r="BV14" s="49">
        <f>'Incremental_Cost Year 6'!AR39</f>
        <v>16800000</v>
      </c>
      <c r="BW14" s="49">
        <f>'Incremental_Cost Year 6'!AS39</f>
        <v>0</v>
      </c>
      <c r="BX14" s="49">
        <f>'Incremental_Cost Year 6'!AT39</f>
        <v>16800000</v>
      </c>
      <c r="BY14" s="49">
        <f>'Incremental_Cost Year 6'!AU39</f>
        <v>16800000</v>
      </c>
      <c r="BZ14" s="49">
        <f>'Incremental_Cost Year 6'!AV39</f>
        <v>0</v>
      </c>
      <c r="CA14" s="49">
        <f>'Incremental_Cost Year 6'!AW39</f>
        <v>0</v>
      </c>
      <c r="CB14" s="49">
        <f>'Incremental_Cost Year 6'!AX39</f>
        <v>0</v>
      </c>
      <c r="CC14" s="49">
        <f>'Incremental_Cost Year 6'!AY39</f>
        <v>0</v>
      </c>
      <c r="CD14" s="49">
        <f>'Incremental_Cost Year 6'!AZ39</f>
        <v>0</v>
      </c>
      <c r="CE14" s="49">
        <f>'Incremental_Cost Year 6'!BA39</f>
        <v>0</v>
      </c>
      <c r="CF14" s="49">
        <f t="shared" ref="CF14" si="460">BY14+BZ14+CA14+CB14+CC14+CD14+CE14-BX14</f>
        <v>0</v>
      </c>
      <c r="CG14" s="92"/>
      <c r="CH14" s="49"/>
      <c r="CI14" s="49"/>
      <c r="CJ14" s="49"/>
      <c r="CK14" s="49"/>
      <c r="CL14" s="49"/>
      <c r="CM14" s="49"/>
      <c r="CN14" s="49"/>
      <c r="CO14" s="49"/>
      <c r="CP14" s="49"/>
      <c r="CQ14" s="49"/>
      <c r="CR14" s="49"/>
      <c r="CS14" s="49"/>
      <c r="CT14" s="92"/>
      <c r="CU14" s="49"/>
      <c r="CV14" s="49"/>
      <c r="CW14" s="49"/>
      <c r="CX14" s="49"/>
      <c r="CY14" s="49"/>
      <c r="CZ14" s="49"/>
      <c r="DA14" s="49"/>
      <c r="DB14" s="49"/>
      <c r="DC14" s="49"/>
      <c r="DD14" s="49"/>
      <c r="DE14" s="49"/>
      <c r="DF14" s="49">
        <f t="shared" ref="DF14" si="461">SUM(CY14:DE14)-CX14</f>
        <v>0</v>
      </c>
      <c r="DG14" s="92"/>
      <c r="DH14" s="49"/>
      <c r="DI14" s="49"/>
      <c r="DJ14" s="49"/>
      <c r="DK14" s="49"/>
      <c r="DL14" s="49"/>
      <c r="DM14" s="49"/>
      <c r="DN14" s="49"/>
      <c r="DO14" s="49"/>
      <c r="DP14" s="49"/>
      <c r="DQ14" s="49"/>
      <c r="DR14" s="49"/>
      <c r="DS14" s="49">
        <f t="shared" ref="DS14" si="462">SUM(DL14:DR14)-DK14</f>
        <v>0</v>
      </c>
      <c r="DT14" s="92"/>
      <c r="DU14" s="49"/>
      <c r="DV14" s="49"/>
      <c r="DW14" s="49"/>
      <c r="DX14" s="49"/>
      <c r="DY14" s="49"/>
      <c r="DZ14" s="49"/>
      <c r="EA14" s="49"/>
      <c r="EB14" s="49"/>
      <c r="EC14" s="49"/>
      <c r="ED14" s="49"/>
      <c r="EE14" s="49"/>
      <c r="EF14" s="49">
        <f t="shared" ref="EF14" si="463">SUM(DY14:EE14)-DX14</f>
        <v>0</v>
      </c>
      <c r="EG14" s="92"/>
      <c r="EH14" s="49">
        <f>H14+U14+AH14+AU14+BH14+BU14+CH14+CU14+DH14+DU14</f>
        <v>907575.89999999991</v>
      </c>
      <c r="EI14" s="49">
        <f t="shared" ref="EI14:ES14" si="464">I14+V14+AI14+AV14+BI14+BV14+CI14+CV14+DI14+DV14</f>
        <v>43903200</v>
      </c>
      <c r="EJ14" s="49">
        <f t="shared" si="464"/>
        <v>0</v>
      </c>
      <c r="EK14" s="49">
        <f t="shared" si="464"/>
        <v>44810775.899999999</v>
      </c>
      <c r="EL14" s="49">
        <f t="shared" si="464"/>
        <v>22387577</v>
      </c>
      <c r="EM14" s="49">
        <f t="shared" si="464"/>
        <v>0</v>
      </c>
      <c r="EN14" s="49">
        <f t="shared" si="464"/>
        <v>0</v>
      </c>
      <c r="EO14" s="49">
        <f t="shared" si="464"/>
        <v>14760000</v>
      </c>
      <c r="EP14" s="49">
        <f t="shared" si="464"/>
        <v>0</v>
      </c>
      <c r="EQ14" s="49">
        <f t="shared" si="464"/>
        <v>342000</v>
      </c>
      <c r="ER14" s="49">
        <f t="shared" si="464"/>
        <v>0</v>
      </c>
      <c r="ES14" s="49">
        <f t="shared" si="464"/>
        <v>-7321198.9000000004</v>
      </c>
    </row>
    <row r="15" spans="1:149" ht="15" customHeight="1">
      <c r="A15" s="24"/>
      <c r="B15" s="32"/>
      <c r="C15" s="314" t="s">
        <v>560</v>
      </c>
      <c r="D15" s="314"/>
      <c r="E15" s="315"/>
      <c r="F15" s="84"/>
      <c r="G15" s="84"/>
      <c r="H15" s="51">
        <f t="shared" ref="H15:S15" si="465">SUM(H16:H17)</f>
        <v>8748911.4749999996</v>
      </c>
      <c r="I15" s="51">
        <f t="shared" si="465"/>
        <v>21509372.688000001</v>
      </c>
      <c r="J15" s="51">
        <f t="shared" si="465"/>
        <v>0</v>
      </c>
      <c r="K15" s="51">
        <f t="shared" si="465"/>
        <v>30258284.163000003</v>
      </c>
      <c r="L15" s="51">
        <f t="shared" si="465"/>
        <v>16723673</v>
      </c>
      <c r="M15" s="51">
        <f t="shared" si="465"/>
        <v>0</v>
      </c>
      <c r="N15" s="51">
        <f t="shared" si="465"/>
        <v>0</v>
      </c>
      <c r="O15" s="51">
        <f t="shared" si="465"/>
        <v>570000</v>
      </c>
      <c r="P15" s="51">
        <f t="shared" si="465"/>
        <v>0</v>
      </c>
      <c r="Q15" s="51">
        <f t="shared" si="465"/>
        <v>5962800</v>
      </c>
      <c r="R15" s="51">
        <f t="shared" si="465"/>
        <v>5712757</v>
      </c>
      <c r="S15" s="51">
        <f t="shared" si="465"/>
        <v>-1289054.1630000006</v>
      </c>
      <c r="T15" s="90"/>
      <c r="U15" s="51">
        <f t="shared" ref="U15:AF15" si="466">SUM(U16:U17)</f>
        <v>17993716.259999998</v>
      </c>
      <c r="V15" s="51">
        <f t="shared" si="466"/>
        <v>27547840.127999999</v>
      </c>
      <c r="W15" s="51">
        <f t="shared" si="466"/>
        <v>0</v>
      </c>
      <c r="X15" s="51">
        <f t="shared" si="466"/>
        <v>45541556.387999997</v>
      </c>
      <c r="Y15" s="51">
        <f t="shared" si="466"/>
        <v>27117092</v>
      </c>
      <c r="Z15" s="51">
        <f t="shared" si="466"/>
        <v>0</v>
      </c>
      <c r="AA15" s="51">
        <f t="shared" si="466"/>
        <v>0</v>
      </c>
      <c r="AB15" s="51">
        <f t="shared" si="466"/>
        <v>912000</v>
      </c>
      <c r="AC15" s="51">
        <f t="shared" si="466"/>
        <v>0</v>
      </c>
      <c r="AD15" s="51">
        <f t="shared" si="466"/>
        <v>1650600</v>
      </c>
      <c r="AE15" s="51">
        <f t="shared" si="466"/>
        <v>5712757</v>
      </c>
      <c r="AF15" s="51">
        <f t="shared" si="466"/>
        <v>-10149107.388</v>
      </c>
      <c r="AG15" s="90"/>
      <c r="AH15" s="51">
        <f t="shared" ref="AH15:AS15" si="467">SUM(AH16:AH17)</f>
        <v>14486151.885000002</v>
      </c>
      <c r="AI15" s="51">
        <f t="shared" si="467"/>
        <v>27632254.655999999</v>
      </c>
      <c r="AJ15" s="51">
        <f t="shared" si="467"/>
        <v>0</v>
      </c>
      <c r="AK15" s="51">
        <f t="shared" si="467"/>
        <v>42118406.540999994</v>
      </c>
      <c r="AL15" s="51">
        <f t="shared" si="467"/>
        <v>11312834</v>
      </c>
      <c r="AM15" s="51">
        <f t="shared" si="467"/>
        <v>0</v>
      </c>
      <c r="AN15" s="51">
        <f t="shared" si="467"/>
        <v>0</v>
      </c>
      <c r="AO15" s="51">
        <f t="shared" si="467"/>
        <v>0</v>
      </c>
      <c r="AP15" s="51">
        <f t="shared" si="467"/>
        <v>0</v>
      </c>
      <c r="AQ15" s="51">
        <f t="shared" si="467"/>
        <v>902400</v>
      </c>
      <c r="AR15" s="51">
        <f t="shared" si="467"/>
        <v>5712757</v>
      </c>
      <c r="AS15" s="51">
        <f t="shared" si="467"/>
        <v>-24190415.540999997</v>
      </c>
      <c r="AT15" s="92"/>
      <c r="AU15" s="51">
        <f t="shared" ref="AU15:BF15" si="468">SUM(AU16:AU17)</f>
        <v>13543799.385000002</v>
      </c>
      <c r="AV15" s="51">
        <f t="shared" si="468"/>
        <v>20949955.583999999</v>
      </c>
      <c r="AW15" s="51">
        <f t="shared" si="468"/>
        <v>0</v>
      </c>
      <c r="AX15" s="51">
        <f t="shared" si="468"/>
        <v>34493754.968999997</v>
      </c>
      <c r="AY15" s="51">
        <f t="shared" si="468"/>
        <v>22021289</v>
      </c>
      <c r="AZ15" s="51">
        <f t="shared" si="468"/>
        <v>0</v>
      </c>
      <c r="BA15" s="51">
        <f t="shared" si="468"/>
        <v>0</v>
      </c>
      <c r="BB15" s="51">
        <f t="shared" si="468"/>
        <v>0</v>
      </c>
      <c r="BC15" s="51">
        <f t="shared" si="468"/>
        <v>0</v>
      </c>
      <c r="BD15" s="51">
        <f t="shared" si="468"/>
        <v>456000</v>
      </c>
      <c r="BE15" s="51">
        <f t="shared" si="468"/>
        <v>5712757</v>
      </c>
      <c r="BF15" s="51">
        <f t="shared" si="468"/>
        <v>-6303708.9689999986</v>
      </c>
      <c r="BG15" s="92"/>
      <c r="BH15" s="51">
        <f t="shared" ref="BH15:BS15" si="469">SUM(BH16:BH17)</f>
        <v>6229183.4250000007</v>
      </c>
      <c r="BI15" s="51">
        <f t="shared" si="469"/>
        <v>18840000</v>
      </c>
      <c r="BJ15" s="51">
        <f t="shared" si="469"/>
        <v>0</v>
      </c>
      <c r="BK15" s="51">
        <f t="shared" si="469"/>
        <v>25069183.424999997</v>
      </c>
      <c r="BL15" s="51">
        <f t="shared" si="469"/>
        <v>13803771</v>
      </c>
      <c r="BM15" s="51">
        <f t="shared" si="469"/>
        <v>0</v>
      </c>
      <c r="BN15" s="51">
        <f t="shared" si="469"/>
        <v>0</v>
      </c>
      <c r="BO15" s="51">
        <f t="shared" si="469"/>
        <v>0</v>
      </c>
      <c r="BP15" s="51">
        <f t="shared" si="469"/>
        <v>0</v>
      </c>
      <c r="BQ15" s="51">
        <f t="shared" si="469"/>
        <v>456000</v>
      </c>
      <c r="BR15" s="51">
        <f t="shared" si="469"/>
        <v>5712757</v>
      </c>
      <c r="BS15" s="51">
        <f t="shared" si="469"/>
        <v>-5096655.4249999989</v>
      </c>
      <c r="BT15" s="92"/>
      <c r="BU15" s="51">
        <f t="shared" ref="BU15:CF15" si="470">SUM(BU16:BU17)</f>
        <v>6229183.4250000007</v>
      </c>
      <c r="BV15" s="51">
        <f t="shared" si="470"/>
        <v>19026000</v>
      </c>
      <c r="BW15" s="51">
        <f t="shared" si="470"/>
        <v>0</v>
      </c>
      <c r="BX15" s="51">
        <f t="shared" si="470"/>
        <v>25255183.424999997</v>
      </c>
      <c r="BY15" s="51">
        <f t="shared" si="470"/>
        <v>13803771</v>
      </c>
      <c r="BZ15" s="51">
        <f t="shared" si="470"/>
        <v>0</v>
      </c>
      <c r="CA15" s="51">
        <f t="shared" si="470"/>
        <v>0</v>
      </c>
      <c r="CB15" s="51">
        <f t="shared" si="470"/>
        <v>0</v>
      </c>
      <c r="CC15" s="51">
        <f t="shared" si="470"/>
        <v>0</v>
      </c>
      <c r="CD15" s="51">
        <f t="shared" si="470"/>
        <v>456000</v>
      </c>
      <c r="CE15" s="51">
        <f t="shared" si="470"/>
        <v>5712757</v>
      </c>
      <c r="CF15" s="51">
        <f t="shared" si="470"/>
        <v>-5282655.4249999989</v>
      </c>
      <c r="CG15" s="92"/>
      <c r="CH15" s="51">
        <f t="shared" ref="CH15:CS15" si="471">SUM(CH16:CH17)</f>
        <v>0</v>
      </c>
      <c r="CI15" s="51">
        <f t="shared" si="471"/>
        <v>0</v>
      </c>
      <c r="CJ15" s="51">
        <f t="shared" si="471"/>
        <v>0</v>
      </c>
      <c r="CK15" s="51">
        <f t="shared" si="471"/>
        <v>0</v>
      </c>
      <c r="CL15" s="51">
        <f t="shared" si="471"/>
        <v>0</v>
      </c>
      <c r="CM15" s="51">
        <f t="shared" si="471"/>
        <v>0</v>
      </c>
      <c r="CN15" s="51">
        <f t="shared" si="471"/>
        <v>0</v>
      </c>
      <c r="CO15" s="51">
        <f t="shared" si="471"/>
        <v>0</v>
      </c>
      <c r="CP15" s="51">
        <f t="shared" si="471"/>
        <v>0</v>
      </c>
      <c r="CQ15" s="51">
        <f t="shared" si="471"/>
        <v>0</v>
      </c>
      <c r="CR15" s="51">
        <f t="shared" si="471"/>
        <v>0</v>
      </c>
      <c r="CS15" s="51">
        <f t="shared" si="471"/>
        <v>0</v>
      </c>
      <c r="CT15" s="92"/>
      <c r="CU15" s="51">
        <f t="shared" ref="CU15:DF15" si="472">SUM(CU16:CU17)</f>
        <v>0</v>
      </c>
      <c r="CV15" s="51">
        <f t="shared" si="472"/>
        <v>0</v>
      </c>
      <c r="CW15" s="51">
        <f t="shared" si="472"/>
        <v>0</v>
      </c>
      <c r="CX15" s="51">
        <f t="shared" si="472"/>
        <v>0</v>
      </c>
      <c r="CY15" s="51">
        <f t="shared" si="472"/>
        <v>0</v>
      </c>
      <c r="CZ15" s="51">
        <f t="shared" si="472"/>
        <v>0</v>
      </c>
      <c r="DA15" s="51">
        <f t="shared" si="472"/>
        <v>0</v>
      </c>
      <c r="DB15" s="51">
        <f t="shared" si="472"/>
        <v>0</v>
      </c>
      <c r="DC15" s="51">
        <f t="shared" si="472"/>
        <v>0</v>
      </c>
      <c r="DD15" s="51">
        <f t="shared" si="472"/>
        <v>0</v>
      </c>
      <c r="DE15" s="51">
        <f t="shared" si="472"/>
        <v>0</v>
      </c>
      <c r="DF15" s="51">
        <f t="shared" si="472"/>
        <v>0</v>
      </c>
      <c r="DG15" s="92"/>
      <c r="DH15" s="51">
        <f t="shared" ref="DH15:DS15" si="473">SUM(DH16:DH17)</f>
        <v>0</v>
      </c>
      <c r="DI15" s="51">
        <f t="shared" si="473"/>
        <v>0</v>
      </c>
      <c r="DJ15" s="51">
        <f t="shared" si="473"/>
        <v>0</v>
      </c>
      <c r="DK15" s="51">
        <f t="shared" si="473"/>
        <v>0</v>
      </c>
      <c r="DL15" s="51">
        <f t="shared" si="473"/>
        <v>0</v>
      </c>
      <c r="DM15" s="51">
        <f t="shared" si="473"/>
        <v>0</v>
      </c>
      <c r="DN15" s="51">
        <f t="shared" si="473"/>
        <v>0</v>
      </c>
      <c r="DO15" s="51">
        <f t="shared" si="473"/>
        <v>0</v>
      </c>
      <c r="DP15" s="51">
        <f t="shared" si="473"/>
        <v>0</v>
      </c>
      <c r="DQ15" s="51">
        <f t="shared" si="473"/>
        <v>0</v>
      </c>
      <c r="DR15" s="51">
        <f t="shared" si="473"/>
        <v>0</v>
      </c>
      <c r="DS15" s="51">
        <f t="shared" si="473"/>
        <v>0</v>
      </c>
      <c r="DT15" s="92"/>
      <c r="DU15" s="51">
        <f t="shared" ref="DU15:EF15" si="474">SUM(DU16:DU17)</f>
        <v>0</v>
      </c>
      <c r="DV15" s="51">
        <f t="shared" si="474"/>
        <v>0</v>
      </c>
      <c r="DW15" s="51">
        <f t="shared" si="474"/>
        <v>0</v>
      </c>
      <c r="DX15" s="51">
        <f t="shared" si="474"/>
        <v>0</v>
      </c>
      <c r="DY15" s="51">
        <f t="shared" si="474"/>
        <v>0</v>
      </c>
      <c r="DZ15" s="51">
        <f t="shared" si="474"/>
        <v>0</v>
      </c>
      <c r="EA15" s="51">
        <f t="shared" si="474"/>
        <v>0</v>
      </c>
      <c r="EB15" s="51">
        <f t="shared" si="474"/>
        <v>0</v>
      </c>
      <c r="EC15" s="51">
        <f t="shared" si="474"/>
        <v>0</v>
      </c>
      <c r="ED15" s="51">
        <f t="shared" si="474"/>
        <v>0</v>
      </c>
      <c r="EE15" s="51">
        <f t="shared" si="474"/>
        <v>0</v>
      </c>
      <c r="EF15" s="51">
        <f t="shared" si="474"/>
        <v>0</v>
      </c>
      <c r="EG15" s="92"/>
      <c r="EH15" s="51">
        <f t="shared" ref="EH15:ES15" si="475">SUM(EH16:EH17)</f>
        <v>67230945.854999989</v>
      </c>
      <c r="EI15" s="51">
        <f t="shared" si="475"/>
        <v>135505423.05599999</v>
      </c>
      <c r="EJ15" s="51">
        <f t="shared" si="475"/>
        <v>0</v>
      </c>
      <c r="EK15" s="51">
        <f t="shared" si="475"/>
        <v>202736368.91100001</v>
      </c>
      <c r="EL15" s="51">
        <f t="shared" si="475"/>
        <v>104782430</v>
      </c>
      <c r="EM15" s="51">
        <f t="shared" si="475"/>
        <v>0</v>
      </c>
      <c r="EN15" s="51">
        <f t="shared" si="475"/>
        <v>0</v>
      </c>
      <c r="EO15" s="51">
        <f t="shared" si="475"/>
        <v>1482000</v>
      </c>
      <c r="EP15" s="51">
        <f t="shared" si="475"/>
        <v>0</v>
      </c>
      <c r="EQ15" s="51">
        <f t="shared" si="475"/>
        <v>9883800</v>
      </c>
      <c r="ER15" s="51">
        <f t="shared" si="475"/>
        <v>34276542</v>
      </c>
      <c r="ES15" s="51">
        <f t="shared" si="475"/>
        <v>-52311596.910999998</v>
      </c>
    </row>
    <row r="16" spans="1:149" ht="220.8">
      <c r="B16" s="26"/>
      <c r="C16" s="332"/>
      <c r="D16" s="31" t="s">
        <v>629</v>
      </c>
      <c r="E16" s="56" t="s">
        <v>566</v>
      </c>
      <c r="F16" s="31">
        <v>2021</v>
      </c>
      <c r="G16" s="31">
        <v>2026</v>
      </c>
      <c r="H16" s="49">
        <f>'Incremental_Cost Year 1'!AQ59</f>
        <v>8171392.3499999996</v>
      </c>
      <c r="I16" s="49">
        <f>'Incremental_Cost Year 1'!AR59</f>
        <v>1912172.6880000001</v>
      </c>
      <c r="J16" s="49">
        <f>'Incremental_Cost Year 1'!AS59</f>
        <v>0</v>
      </c>
      <c r="K16" s="49">
        <f>'Incremental_Cost Year 1'!AT59</f>
        <v>10083565.038000001</v>
      </c>
      <c r="L16" s="49">
        <f>'Incremental_Cost Year 1'!AU59</f>
        <v>3179151</v>
      </c>
      <c r="M16" s="49">
        <f>'Incremental_Cost Year 1'!AV59</f>
        <v>0</v>
      </c>
      <c r="N16" s="49">
        <f>'Incremental_Cost Year 1'!AW59</f>
        <v>0</v>
      </c>
      <c r="O16" s="49">
        <f>'Incremental_Cost Year 1'!AX59</f>
        <v>570000</v>
      </c>
      <c r="P16" s="49">
        <f>'Incremental_Cost Year 1'!AY59</f>
        <v>0</v>
      </c>
      <c r="Q16" s="49">
        <f>'Incremental_Cost Year 1'!AZ59</f>
        <v>228000</v>
      </c>
      <c r="R16" s="49">
        <f>'Incremental_Cost Year 1'!BA59</f>
        <v>5712757</v>
      </c>
      <c r="S16" s="49">
        <f t="shared" ref="S16:S19" si="476">L16+M16+N16+O16+P16+Q16+R16-K16</f>
        <v>-393657.03800000064</v>
      </c>
      <c r="T16" s="89"/>
      <c r="U16" s="49">
        <f>'Incremental_Cost Year 2'!AQ59</f>
        <v>16721161.109999999</v>
      </c>
      <c r="V16" s="49">
        <f>'Incremental_Cost Year 2'!AR59</f>
        <v>6407440.1279999986</v>
      </c>
      <c r="W16" s="49">
        <f>'Incremental_Cost Year 2'!AS59</f>
        <v>0</v>
      </c>
      <c r="X16" s="49">
        <f>'Incremental_Cost Year 2'!AT59</f>
        <v>23128601.238000002</v>
      </c>
      <c r="Y16" s="49">
        <f>'Incremental_Cost Year 2'!AU59</f>
        <v>12877534</v>
      </c>
      <c r="Z16" s="49">
        <f>'Incremental_Cost Year 2'!AV59</f>
        <v>0</v>
      </c>
      <c r="AA16" s="49">
        <f>'Incremental_Cost Year 2'!AW59</f>
        <v>0</v>
      </c>
      <c r="AB16" s="49">
        <f>'Incremental_Cost Year 2'!AX59</f>
        <v>912000</v>
      </c>
      <c r="AC16" s="49">
        <f>'Incremental_Cost Year 2'!AY59</f>
        <v>0</v>
      </c>
      <c r="AD16" s="49">
        <f>'Incremental_Cost Year 2'!AZ59</f>
        <v>228000</v>
      </c>
      <c r="AE16" s="49">
        <f>'Incremental_Cost Year 2'!BA59</f>
        <v>5712757</v>
      </c>
      <c r="AF16" s="49">
        <f t="shared" ref="AF16:AF17" si="477">Y16+Z16+AA16+AB16+AC16+AD16+AE16-X16</f>
        <v>-3398310.2380000018</v>
      </c>
      <c r="AG16" s="96"/>
      <c r="AH16" s="49">
        <f>'Incremental_Cost Year 3'!AQ59</f>
        <v>13260714.360000001</v>
      </c>
      <c r="AI16" s="49">
        <f>'Incremental_Cost Year 3'!AR59</f>
        <v>5975854.6560000004</v>
      </c>
      <c r="AJ16" s="49">
        <f>'Incremental_Cost Year 3'!AS59</f>
        <v>0</v>
      </c>
      <c r="AK16" s="49">
        <f>'Incremental_Cost Year 3'!AT59</f>
        <v>19236569.015999999</v>
      </c>
      <c r="AL16" s="49">
        <f>'Incremental_Cost Year 3'!AU59</f>
        <v>8906901</v>
      </c>
      <c r="AM16" s="49">
        <f>'Incremental_Cost Year 3'!AV59</f>
        <v>0</v>
      </c>
      <c r="AN16" s="49">
        <f>'Incremental_Cost Year 3'!AW59</f>
        <v>0</v>
      </c>
      <c r="AO16" s="49">
        <f>'Incremental_Cost Year 3'!AX59</f>
        <v>0</v>
      </c>
      <c r="AP16" s="49">
        <f>'Incremental_Cost Year 3'!AY59</f>
        <v>0</v>
      </c>
      <c r="AQ16" s="49">
        <f>'Incremental_Cost Year 3'!AZ59</f>
        <v>228000</v>
      </c>
      <c r="AR16" s="49">
        <f>'Incremental_Cost Year 3'!BA59</f>
        <v>5712757</v>
      </c>
      <c r="AS16" s="49">
        <f t="shared" ref="AS16:AS17" si="478">AL16+AM16+AN16+AO16+AP16+AQ16+AR16-AK16</f>
        <v>-4388911.0159999989</v>
      </c>
      <c r="AT16" s="92"/>
      <c r="AU16" s="49">
        <f>'Incremental_Cost Year 4'!AQ59</f>
        <v>12318361.860000001</v>
      </c>
      <c r="AV16" s="49">
        <f>'Incremental_Cost Year 4'!AR59</f>
        <v>2351155.5839999998</v>
      </c>
      <c r="AW16" s="49">
        <f>'Incremental_Cost Year 4'!AS59</f>
        <v>0</v>
      </c>
      <c r="AX16" s="49">
        <f>'Incremental_Cost Year 4'!AT59</f>
        <v>14669517.444</v>
      </c>
      <c r="AY16" s="49">
        <f>'Incremental_Cost Year 4'!AU59</f>
        <v>7828849</v>
      </c>
      <c r="AZ16" s="49">
        <f>'Incremental_Cost Year 4'!AV59</f>
        <v>0</v>
      </c>
      <c r="BA16" s="49">
        <f>'Incremental_Cost Year 4'!AW59</f>
        <v>0</v>
      </c>
      <c r="BB16" s="49">
        <f>'Incremental_Cost Year 4'!AX59</f>
        <v>0</v>
      </c>
      <c r="BC16" s="49">
        <f>'Incremental_Cost Year 4'!AY59</f>
        <v>0</v>
      </c>
      <c r="BD16" s="49">
        <f>'Incremental_Cost Year 4'!AZ59</f>
        <v>0</v>
      </c>
      <c r="BE16" s="49">
        <f>'Incremental_Cost Year 4'!BA59</f>
        <v>5712757</v>
      </c>
      <c r="BF16" s="49">
        <f t="shared" ref="BF16:BF17" si="479">AY16+AZ16+BA16+BB16+BC16+BD16+BE16-AX16</f>
        <v>-1127911.4440000001</v>
      </c>
      <c r="BG16" s="92"/>
      <c r="BH16" s="49">
        <f>'Incremental_Cost Year 5'!AQ59</f>
        <v>5474922.1500000004</v>
      </c>
      <c r="BI16" s="49">
        <f>'Incremental_Cost Year 5'!AR59</f>
        <v>495600</v>
      </c>
      <c r="BJ16" s="49">
        <f>'Incremental_Cost Year 5'!AS59</f>
        <v>0</v>
      </c>
      <c r="BK16" s="49">
        <f>'Incremental_Cost Year 5'!AT59</f>
        <v>5970522.1500000004</v>
      </c>
      <c r="BL16" s="49">
        <f>'Incremental_Cost Year 5'!AU59</f>
        <v>82507</v>
      </c>
      <c r="BM16" s="49">
        <f>'Incremental_Cost Year 5'!AV59</f>
        <v>0</v>
      </c>
      <c r="BN16" s="49">
        <f>'Incremental_Cost Year 5'!AW59</f>
        <v>0</v>
      </c>
      <c r="BO16" s="49">
        <f>'Incremental_Cost Year 5'!AX59</f>
        <v>0</v>
      </c>
      <c r="BP16" s="49">
        <f>'Incremental_Cost Year 5'!AY59</f>
        <v>0</v>
      </c>
      <c r="BQ16" s="49">
        <f>'Incremental_Cost Year 5'!AZ59</f>
        <v>0</v>
      </c>
      <c r="BR16" s="49">
        <f>'Incremental_Cost Year 5'!BA59</f>
        <v>5712757</v>
      </c>
      <c r="BS16" s="49">
        <f t="shared" ref="BS16:BS17" si="480">BL16+BM16+BN16+BO16+BP16+BQ16+BR16-BK16</f>
        <v>-175258.15000000037</v>
      </c>
      <c r="BT16" s="92"/>
      <c r="BU16" s="49">
        <f>'Incremental_Cost Year 6'!AQ59</f>
        <v>5474922.1500000004</v>
      </c>
      <c r="BV16" s="49">
        <f>'Incremental_Cost Year 6'!AR59</f>
        <v>495600</v>
      </c>
      <c r="BW16" s="49">
        <f>'Incremental_Cost Year 6'!AS59</f>
        <v>0</v>
      </c>
      <c r="BX16" s="49">
        <f>'Incremental_Cost Year 6'!AT59</f>
        <v>5970522.1500000004</v>
      </c>
      <c r="BY16" s="49">
        <f>'Incremental_Cost Year 6'!AU59</f>
        <v>82507</v>
      </c>
      <c r="BZ16" s="49">
        <f>'Incremental_Cost Year 6'!AV59</f>
        <v>0</v>
      </c>
      <c r="CA16" s="49">
        <f>'Incremental_Cost Year 6'!AW59</f>
        <v>0</v>
      </c>
      <c r="CB16" s="49">
        <f>'Incremental_Cost Year 6'!AX59</f>
        <v>0</v>
      </c>
      <c r="CC16" s="49">
        <f>'Incremental_Cost Year 6'!AY59</f>
        <v>0</v>
      </c>
      <c r="CD16" s="49">
        <f>'Incremental_Cost Year 6'!AZ59</f>
        <v>0</v>
      </c>
      <c r="CE16" s="49">
        <f>'Incremental_Cost Year 6'!BA59</f>
        <v>5712757</v>
      </c>
      <c r="CF16" s="49">
        <f t="shared" ref="CF16:CF17" si="481">BY16+BZ16+CA16+CB16+CC16+CD16+CE16-BX16</f>
        <v>-175258.15000000037</v>
      </c>
      <c r="CG16" s="92"/>
      <c r="CH16" s="49"/>
      <c r="CI16" s="49"/>
      <c r="CJ16" s="49"/>
      <c r="CK16" s="49"/>
      <c r="CL16" s="49"/>
      <c r="CM16" s="49"/>
      <c r="CN16" s="49"/>
      <c r="CO16" s="49"/>
      <c r="CP16" s="49"/>
      <c r="CQ16" s="49"/>
      <c r="CR16" s="49"/>
      <c r="CS16" s="49"/>
      <c r="CT16" s="92"/>
      <c r="CU16" s="49"/>
      <c r="CV16" s="49"/>
      <c r="CW16" s="49"/>
      <c r="CX16" s="49"/>
      <c r="CY16" s="49"/>
      <c r="CZ16" s="49"/>
      <c r="DA16" s="49"/>
      <c r="DB16" s="49"/>
      <c r="DC16" s="49"/>
      <c r="DD16" s="49"/>
      <c r="DE16" s="49"/>
      <c r="DF16" s="49">
        <f t="shared" ref="DF16:DF17" si="482">SUM(CY16:DE16)-CX16</f>
        <v>0</v>
      </c>
      <c r="DG16" s="92"/>
      <c r="DH16" s="49"/>
      <c r="DI16" s="49"/>
      <c r="DJ16" s="49"/>
      <c r="DK16" s="49"/>
      <c r="DL16" s="49"/>
      <c r="DM16" s="49"/>
      <c r="DN16" s="49"/>
      <c r="DO16" s="49"/>
      <c r="DP16" s="49"/>
      <c r="DQ16" s="49"/>
      <c r="DR16" s="49"/>
      <c r="DS16" s="49">
        <f t="shared" ref="DS16:DS17" si="483">SUM(DL16:DR16)-DK16</f>
        <v>0</v>
      </c>
      <c r="DT16" s="92"/>
      <c r="DU16" s="49"/>
      <c r="DV16" s="49"/>
      <c r="DW16" s="49"/>
      <c r="DX16" s="49"/>
      <c r="DY16" s="49"/>
      <c r="DZ16" s="49"/>
      <c r="EA16" s="49"/>
      <c r="EB16" s="49"/>
      <c r="EC16" s="49"/>
      <c r="ED16" s="49"/>
      <c r="EE16" s="49"/>
      <c r="EF16" s="49">
        <f t="shared" ref="EF16:EF17" si="484">SUM(DY16:EE16)-DX16</f>
        <v>0</v>
      </c>
      <c r="EG16" s="92"/>
      <c r="EH16" s="49">
        <f>H16+U16+AH16+AU16+BH16+BU16+CH16+CU16+DH16+DU16</f>
        <v>61421473.979999997</v>
      </c>
      <c r="EI16" s="49">
        <f t="shared" ref="EI16:ES17" si="485">I16+V16+AI16+AV16+BI16+BV16+CI16+CV16+DI16+DV16</f>
        <v>17637823.055999998</v>
      </c>
      <c r="EJ16" s="49">
        <f t="shared" si="485"/>
        <v>0</v>
      </c>
      <c r="EK16" s="49">
        <f t="shared" si="485"/>
        <v>79059297.036000013</v>
      </c>
      <c r="EL16" s="49">
        <f t="shared" si="485"/>
        <v>32957449</v>
      </c>
      <c r="EM16" s="49">
        <f t="shared" si="485"/>
        <v>0</v>
      </c>
      <c r="EN16" s="49">
        <f t="shared" si="485"/>
        <v>0</v>
      </c>
      <c r="EO16" s="49">
        <f t="shared" si="485"/>
        <v>1482000</v>
      </c>
      <c r="EP16" s="49">
        <f t="shared" si="485"/>
        <v>0</v>
      </c>
      <c r="EQ16" s="49">
        <f t="shared" si="485"/>
        <v>684000</v>
      </c>
      <c r="ER16" s="49">
        <f t="shared" si="485"/>
        <v>34276542</v>
      </c>
      <c r="ES16" s="49">
        <f t="shared" si="485"/>
        <v>-9659306.0360000022</v>
      </c>
    </row>
    <row r="17" spans="1:149" ht="165.6">
      <c r="B17" s="26"/>
      <c r="C17" s="332"/>
      <c r="D17" s="31" t="s">
        <v>630</v>
      </c>
      <c r="E17" s="56" t="s">
        <v>567</v>
      </c>
      <c r="F17" s="31"/>
      <c r="G17" s="31"/>
      <c r="H17" s="49">
        <f>'Incremental_Cost Year 1'!AQ79</f>
        <v>577519.125</v>
      </c>
      <c r="I17" s="49">
        <f>'Incremental_Cost Year 1'!AR79</f>
        <v>19597200</v>
      </c>
      <c r="J17" s="49">
        <f>'Incremental_Cost Year 1'!AS79</f>
        <v>0</v>
      </c>
      <c r="K17" s="49">
        <f>'Incremental_Cost Year 1'!AT79</f>
        <v>20174719.125</v>
      </c>
      <c r="L17" s="49">
        <f>'Incremental_Cost Year 1'!AU79</f>
        <v>13544522</v>
      </c>
      <c r="M17" s="49">
        <f>'Incremental_Cost Year 1'!AV79</f>
        <v>0</v>
      </c>
      <c r="N17" s="49">
        <f>'Incremental_Cost Year 1'!AW79</f>
        <v>0</v>
      </c>
      <c r="O17" s="49">
        <f>'Incremental_Cost Year 1'!AX79</f>
        <v>0</v>
      </c>
      <c r="P17" s="49">
        <f>'Incremental_Cost Year 1'!AY79</f>
        <v>0</v>
      </c>
      <c r="Q17" s="49">
        <f>'Incremental_Cost Year 1'!AZ79</f>
        <v>5734800</v>
      </c>
      <c r="R17" s="49">
        <f>'Incremental_Cost Year 1'!BA79</f>
        <v>0</v>
      </c>
      <c r="S17" s="49">
        <f t="shared" si="476"/>
        <v>-895397.125</v>
      </c>
      <c r="T17" s="89"/>
      <c r="U17" s="49">
        <f>'Incremental_Cost Year 2'!AQ79</f>
        <v>1272555.1499999999</v>
      </c>
      <c r="V17" s="49">
        <f>'Incremental_Cost Year 2'!AR79</f>
        <v>21140400</v>
      </c>
      <c r="W17" s="49">
        <f>'Incremental_Cost Year 2'!AS79</f>
        <v>0</v>
      </c>
      <c r="X17" s="49">
        <f>'Incremental_Cost Year 2'!AT79</f>
        <v>22412955.149999999</v>
      </c>
      <c r="Y17" s="49">
        <f>'Incremental_Cost Year 2'!AU79</f>
        <v>14239558</v>
      </c>
      <c r="Z17" s="49">
        <f>'Incremental_Cost Year 2'!AV79</f>
        <v>0</v>
      </c>
      <c r="AA17" s="49">
        <f>'Incremental_Cost Year 2'!AW79</f>
        <v>0</v>
      </c>
      <c r="AB17" s="49">
        <f>'Incremental_Cost Year 2'!AX79</f>
        <v>0</v>
      </c>
      <c r="AC17" s="49">
        <f>'Incremental_Cost Year 2'!AY79</f>
        <v>0</v>
      </c>
      <c r="AD17" s="49">
        <f>'Incremental_Cost Year 2'!AZ79</f>
        <v>1422600</v>
      </c>
      <c r="AE17" s="49">
        <f>'Incremental_Cost Year 2'!BA79</f>
        <v>0</v>
      </c>
      <c r="AF17" s="49">
        <f t="shared" si="477"/>
        <v>-6750797.1499999985</v>
      </c>
      <c r="AG17" s="96"/>
      <c r="AH17" s="49">
        <f>'Incremental_Cost Year 3'!AQ79</f>
        <v>1225437.5249999999</v>
      </c>
      <c r="AI17" s="49">
        <f>'Incremental_Cost Year 3'!AR79</f>
        <v>21656400</v>
      </c>
      <c r="AJ17" s="49">
        <f>'Incremental_Cost Year 3'!AS79</f>
        <v>0</v>
      </c>
      <c r="AK17" s="49">
        <f>'Incremental_Cost Year 3'!AT79</f>
        <v>22881837.524999999</v>
      </c>
      <c r="AL17" s="49">
        <f>'Incremental_Cost Year 3'!AU79</f>
        <v>2405933</v>
      </c>
      <c r="AM17" s="49">
        <f>'Incremental_Cost Year 3'!AV79</f>
        <v>0</v>
      </c>
      <c r="AN17" s="49">
        <f>'Incremental_Cost Year 3'!AW79</f>
        <v>0</v>
      </c>
      <c r="AO17" s="49">
        <f>'Incremental_Cost Year 3'!AX79</f>
        <v>0</v>
      </c>
      <c r="AP17" s="49">
        <f>'Incremental_Cost Year 3'!AY79</f>
        <v>0</v>
      </c>
      <c r="AQ17" s="49">
        <f>'Incremental_Cost Year 3'!AZ79</f>
        <v>674400</v>
      </c>
      <c r="AR17" s="49">
        <f>'Incremental_Cost Year 3'!BA79</f>
        <v>0</v>
      </c>
      <c r="AS17" s="49">
        <f t="shared" si="478"/>
        <v>-19801504.524999999</v>
      </c>
      <c r="AT17" s="92"/>
      <c r="AU17" s="49">
        <f>'Incremental_Cost Year 4'!AQ79</f>
        <v>1225437.5249999999</v>
      </c>
      <c r="AV17" s="49">
        <f>'Incremental_Cost Year 4'!AR79</f>
        <v>18598800</v>
      </c>
      <c r="AW17" s="49">
        <f>'Incremental_Cost Year 4'!AS79</f>
        <v>0</v>
      </c>
      <c r="AX17" s="49">
        <f>'Incremental_Cost Year 4'!AT79</f>
        <v>19824237.524999999</v>
      </c>
      <c r="AY17" s="49">
        <f>'Incremental_Cost Year 4'!AU79</f>
        <v>14192440</v>
      </c>
      <c r="AZ17" s="49">
        <f>'Incremental_Cost Year 4'!AV79</f>
        <v>0</v>
      </c>
      <c r="BA17" s="49">
        <f>'Incremental_Cost Year 4'!AW79</f>
        <v>0</v>
      </c>
      <c r="BB17" s="49">
        <f>'Incremental_Cost Year 4'!AX79</f>
        <v>0</v>
      </c>
      <c r="BC17" s="49">
        <f>'Incremental_Cost Year 4'!AY79</f>
        <v>0</v>
      </c>
      <c r="BD17" s="49">
        <f>'Incremental_Cost Year 4'!AZ79</f>
        <v>456000</v>
      </c>
      <c r="BE17" s="49">
        <f>'Incremental_Cost Year 4'!BA79</f>
        <v>0</v>
      </c>
      <c r="BF17" s="49">
        <f t="shared" si="479"/>
        <v>-5175797.5249999985</v>
      </c>
      <c r="BG17" s="92"/>
      <c r="BH17" s="49">
        <f>'Incremental_Cost Year 5'!AQ79</f>
        <v>754261.27500000002</v>
      </c>
      <c r="BI17" s="49">
        <f>'Incremental_Cost Year 5'!AR79</f>
        <v>18344400</v>
      </c>
      <c r="BJ17" s="49">
        <f>'Incremental_Cost Year 5'!AS79</f>
        <v>0</v>
      </c>
      <c r="BK17" s="49">
        <f>'Incremental_Cost Year 5'!AT79</f>
        <v>19098661.274999999</v>
      </c>
      <c r="BL17" s="49">
        <f>'Incremental_Cost Year 5'!AU79</f>
        <v>13721264</v>
      </c>
      <c r="BM17" s="49">
        <f>'Incremental_Cost Year 5'!AV79</f>
        <v>0</v>
      </c>
      <c r="BN17" s="49">
        <f>'Incremental_Cost Year 5'!AW79</f>
        <v>0</v>
      </c>
      <c r="BO17" s="49">
        <f>'Incremental_Cost Year 5'!AX79</f>
        <v>0</v>
      </c>
      <c r="BP17" s="49">
        <f>'Incremental_Cost Year 5'!AY79</f>
        <v>0</v>
      </c>
      <c r="BQ17" s="49">
        <f>'Incremental_Cost Year 5'!AZ79</f>
        <v>456000</v>
      </c>
      <c r="BR17" s="49">
        <f>'Incremental_Cost Year 5'!BA79</f>
        <v>0</v>
      </c>
      <c r="BS17" s="49">
        <f t="shared" si="480"/>
        <v>-4921397.2749999985</v>
      </c>
      <c r="BT17" s="92"/>
      <c r="BU17" s="49">
        <f>'Incremental_Cost Year 6'!AQ79</f>
        <v>754261.27500000002</v>
      </c>
      <c r="BV17" s="49">
        <f>'Incremental_Cost Year 6'!AR79</f>
        <v>18530400</v>
      </c>
      <c r="BW17" s="49">
        <f>'Incremental_Cost Year 6'!AS79</f>
        <v>0</v>
      </c>
      <c r="BX17" s="49">
        <f>'Incremental_Cost Year 6'!AT79</f>
        <v>19284661.274999999</v>
      </c>
      <c r="BY17" s="49">
        <f>'Incremental_Cost Year 6'!AU79</f>
        <v>13721264</v>
      </c>
      <c r="BZ17" s="49">
        <f>'Incremental_Cost Year 6'!AV79</f>
        <v>0</v>
      </c>
      <c r="CA17" s="49">
        <f>'Incremental_Cost Year 6'!AW79</f>
        <v>0</v>
      </c>
      <c r="CB17" s="49">
        <f>'Incremental_Cost Year 6'!AX79</f>
        <v>0</v>
      </c>
      <c r="CC17" s="49">
        <f>'Incremental_Cost Year 6'!AY79</f>
        <v>0</v>
      </c>
      <c r="CD17" s="49">
        <f>'Incremental_Cost Year 6'!AZ79</f>
        <v>456000</v>
      </c>
      <c r="CE17" s="49">
        <f>'Incremental_Cost Year 6'!BA79</f>
        <v>0</v>
      </c>
      <c r="CF17" s="49">
        <f t="shared" si="481"/>
        <v>-5107397.2749999985</v>
      </c>
      <c r="CG17" s="92"/>
      <c r="CH17" s="49"/>
      <c r="CI17" s="49"/>
      <c r="CJ17" s="49"/>
      <c r="CK17" s="49"/>
      <c r="CL17" s="49"/>
      <c r="CM17" s="49"/>
      <c r="CN17" s="49"/>
      <c r="CO17" s="49"/>
      <c r="CP17" s="49"/>
      <c r="CQ17" s="49"/>
      <c r="CR17" s="49"/>
      <c r="CS17" s="49"/>
      <c r="CT17" s="92"/>
      <c r="CU17" s="49"/>
      <c r="CV17" s="49"/>
      <c r="CW17" s="49"/>
      <c r="CX17" s="49"/>
      <c r="CY17" s="49"/>
      <c r="CZ17" s="49"/>
      <c r="DA17" s="49"/>
      <c r="DB17" s="49"/>
      <c r="DC17" s="49"/>
      <c r="DD17" s="49"/>
      <c r="DE17" s="49"/>
      <c r="DF17" s="49">
        <f t="shared" si="482"/>
        <v>0</v>
      </c>
      <c r="DG17" s="92"/>
      <c r="DH17" s="49"/>
      <c r="DI17" s="49"/>
      <c r="DJ17" s="49"/>
      <c r="DK17" s="49"/>
      <c r="DL17" s="49"/>
      <c r="DM17" s="49"/>
      <c r="DN17" s="49"/>
      <c r="DO17" s="49"/>
      <c r="DP17" s="49"/>
      <c r="DQ17" s="49"/>
      <c r="DR17" s="49"/>
      <c r="DS17" s="49">
        <f t="shared" si="483"/>
        <v>0</v>
      </c>
      <c r="DT17" s="92"/>
      <c r="DU17" s="49"/>
      <c r="DV17" s="49"/>
      <c r="DW17" s="49"/>
      <c r="DX17" s="49"/>
      <c r="DY17" s="49"/>
      <c r="DZ17" s="49"/>
      <c r="EA17" s="49"/>
      <c r="EB17" s="49"/>
      <c r="EC17" s="49"/>
      <c r="ED17" s="49"/>
      <c r="EE17" s="49"/>
      <c r="EF17" s="49">
        <f t="shared" si="484"/>
        <v>0</v>
      </c>
      <c r="EG17" s="92"/>
      <c r="EH17" s="49">
        <f>H17+U17+AH17+AU17+BH17+BU17+CH17+CU17+DH17+DU17</f>
        <v>5809471.875</v>
      </c>
      <c r="EI17" s="49">
        <f t="shared" si="485"/>
        <v>117867600</v>
      </c>
      <c r="EJ17" s="49">
        <f t="shared" si="485"/>
        <v>0</v>
      </c>
      <c r="EK17" s="49">
        <f t="shared" si="485"/>
        <v>123677071.875</v>
      </c>
      <c r="EL17" s="49">
        <f t="shared" si="485"/>
        <v>71824981</v>
      </c>
      <c r="EM17" s="49">
        <f t="shared" si="485"/>
        <v>0</v>
      </c>
      <c r="EN17" s="49">
        <f t="shared" si="485"/>
        <v>0</v>
      </c>
      <c r="EO17" s="49">
        <f t="shared" si="485"/>
        <v>0</v>
      </c>
      <c r="EP17" s="49">
        <f t="shared" si="485"/>
        <v>0</v>
      </c>
      <c r="EQ17" s="49">
        <f t="shared" si="485"/>
        <v>9199800</v>
      </c>
      <c r="ER17" s="49">
        <f t="shared" si="485"/>
        <v>0</v>
      </c>
      <c r="ES17" s="49">
        <f t="shared" si="485"/>
        <v>-42652290.874999993</v>
      </c>
    </row>
    <row r="18" spans="1:149" ht="15" customHeight="1">
      <c r="A18" s="24"/>
      <c r="B18" s="32"/>
      <c r="C18" s="314" t="s">
        <v>561</v>
      </c>
      <c r="D18" s="314"/>
      <c r="E18" s="315"/>
      <c r="F18" s="158">
        <v>2021</v>
      </c>
      <c r="G18" s="158">
        <v>2026</v>
      </c>
      <c r="H18" s="51">
        <f t="shared" ref="H18:S18" si="486">SUM(H19:H19)</f>
        <v>0</v>
      </c>
      <c r="I18" s="51">
        <f t="shared" si="486"/>
        <v>684000</v>
      </c>
      <c r="J18" s="51">
        <f t="shared" si="486"/>
        <v>1955000</v>
      </c>
      <c r="K18" s="51">
        <f t="shared" si="486"/>
        <v>2639000</v>
      </c>
      <c r="L18" s="51">
        <f t="shared" si="486"/>
        <v>1996253</v>
      </c>
      <c r="M18" s="51">
        <f t="shared" si="486"/>
        <v>0</v>
      </c>
      <c r="N18" s="51">
        <f t="shared" si="486"/>
        <v>0</v>
      </c>
      <c r="O18" s="51">
        <f t="shared" si="486"/>
        <v>0</v>
      </c>
      <c r="P18" s="51">
        <f t="shared" si="486"/>
        <v>0</v>
      </c>
      <c r="Q18" s="51">
        <f t="shared" si="486"/>
        <v>0</v>
      </c>
      <c r="R18" s="51">
        <f t="shared" si="486"/>
        <v>0</v>
      </c>
      <c r="S18" s="51">
        <f t="shared" si="486"/>
        <v>-642747</v>
      </c>
      <c r="T18" s="90"/>
      <c r="U18" s="51">
        <f t="shared" ref="U18:AF18" si="487">SUM(U19:U19)</f>
        <v>265113.22499999998</v>
      </c>
      <c r="V18" s="51">
        <f t="shared" si="487"/>
        <v>15949200</v>
      </c>
      <c r="W18" s="51">
        <f t="shared" si="487"/>
        <v>19002600</v>
      </c>
      <c r="X18" s="51">
        <f t="shared" si="487"/>
        <v>35216913.224999994</v>
      </c>
      <c r="Y18" s="51">
        <f t="shared" si="487"/>
        <v>6820113</v>
      </c>
      <c r="Z18" s="51">
        <f t="shared" si="487"/>
        <v>0</v>
      </c>
      <c r="AA18" s="51">
        <f t="shared" si="487"/>
        <v>0</v>
      </c>
      <c r="AB18" s="51">
        <f t="shared" si="487"/>
        <v>26438400</v>
      </c>
      <c r="AC18" s="51">
        <f t="shared" si="487"/>
        <v>0</v>
      </c>
      <c r="AD18" s="51">
        <f t="shared" si="487"/>
        <v>0</v>
      </c>
      <c r="AE18" s="51">
        <f t="shared" si="487"/>
        <v>0</v>
      </c>
      <c r="AF18" s="51">
        <f t="shared" si="487"/>
        <v>-1958400.224999994</v>
      </c>
      <c r="AG18" s="90"/>
      <c r="AH18" s="51">
        <f t="shared" ref="AH18:AS18" si="488">SUM(AH19:AH19)</f>
        <v>794464.42499999993</v>
      </c>
      <c r="AI18" s="51">
        <f t="shared" si="488"/>
        <v>10366800</v>
      </c>
      <c r="AJ18" s="51">
        <f t="shared" si="488"/>
        <v>8855000</v>
      </c>
      <c r="AK18" s="51">
        <f t="shared" si="488"/>
        <v>20016264.424999997</v>
      </c>
      <c r="AL18" s="51">
        <f t="shared" si="488"/>
        <v>12290064</v>
      </c>
      <c r="AM18" s="51">
        <f t="shared" si="488"/>
        <v>0</v>
      </c>
      <c r="AN18" s="51">
        <f t="shared" si="488"/>
        <v>0</v>
      </c>
      <c r="AO18" s="51">
        <f t="shared" si="488"/>
        <v>3042000</v>
      </c>
      <c r="AP18" s="51">
        <f t="shared" si="488"/>
        <v>0</v>
      </c>
      <c r="AQ18" s="51">
        <f t="shared" si="488"/>
        <v>0</v>
      </c>
      <c r="AR18" s="51">
        <f t="shared" si="488"/>
        <v>0</v>
      </c>
      <c r="AS18" s="51">
        <f t="shared" si="488"/>
        <v>-4684200.424999997</v>
      </c>
      <c r="AT18" s="92"/>
      <c r="AU18" s="51">
        <f t="shared" ref="AU18:BF18" si="489">SUM(AU19:AU19)</f>
        <v>794464.42499999993</v>
      </c>
      <c r="AV18" s="51">
        <f t="shared" si="489"/>
        <v>7964400</v>
      </c>
      <c r="AW18" s="51">
        <f t="shared" si="489"/>
        <v>4255000</v>
      </c>
      <c r="AX18" s="51">
        <f t="shared" si="489"/>
        <v>13013864.425000001</v>
      </c>
      <c r="AY18" s="51">
        <f t="shared" si="489"/>
        <v>7689464</v>
      </c>
      <c r="AZ18" s="51">
        <f t="shared" si="489"/>
        <v>0</v>
      </c>
      <c r="BA18" s="51">
        <f t="shared" si="489"/>
        <v>0</v>
      </c>
      <c r="BB18" s="51">
        <f t="shared" si="489"/>
        <v>0</v>
      </c>
      <c r="BC18" s="51">
        <f t="shared" si="489"/>
        <v>0</v>
      </c>
      <c r="BD18" s="51">
        <f t="shared" si="489"/>
        <v>0</v>
      </c>
      <c r="BE18" s="51">
        <f t="shared" si="489"/>
        <v>0</v>
      </c>
      <c r="BF18" s="51">
        <f t="shared" si="489"/>
        <v>-5324400.4250000007</v>
      </c>
      <c r="BG18" s="92"/>
      <c r="BH18" s="51">
        <f t="shared" ref="BH18:BS18" si="490">SUM(BH19:BH19)</f>
        <v>41253.449999999997</v>
      </c>
      <c r="BI18" s="51">
        <f t="shared" si="490"/>
        <v>6988800</v>
      </c>
      <c r="BJ18" s="51">
        <f t="shared" si="490"/>
        <v>4255000</v>
      </c>
      <c r="BK18" s="51">
        <f t="shared" si="490"/>
        <v>11285053.449999999</v>
      </c>
      <c r="BL18" s="51">
        <f t="shared" si="490"/>
        <v>6936253</v>
      </c>
      <c r="BM18" s="51">
        <f t="shared" si="490"/>
        <v>0</v>
      </c>
      <c r="BN18" s="51">
        <f t="shared" si="490"/>
        <v>0</v>
      </c>
      <c r="BO18" s="51">
        <f t="shared" si="490"/>
        <v>0</v>
      </c>
      <c r="BP18" s="51">
        <f t="shared" si="490"/>
        <v>0</v>
      </c>
      <c r="BQ18" s="51">
        <f t="shared" si="490"/>
        <v>0</v>
      </c>
      <c r="BR18" s="51">
        <f t="shared" si="490"/>
        <v>0</v>
      </c>
      <c r="BS18" s="51">
        <f t="shared" si="490"/>
        <v>-4348800.4499999993</v>
      </c>
      <c r="BT18" s="92"/>
      <c r="BU18" s="51">
        <f t="shared" ref="BU18:CF18" si="491">SUM(BU19:BU19)</f>
        <v>41253.449999999997</v>
      </c>
      <c r="BV18" s="51">
        <f t="shared" si="491"/>
        <v>6988800</v>
      </c>
      <c r="BW18" s="51">
        <f t="shared" si="491"/>
        <v>4255000</v>
      </c>
      <c r="BX18" s="51">
        <f t="shared" si="491"/>
        <v>11285053.449999999</v>
      </c>
      <c r="BY18" s="51">
        <f t="shared" si="491"/>
        <v>6936253</v>
      </c>
      <c r="BZ18" s="51">
        <f t="shared" si="491"/>
        <v>0</v>
      </c>
      <c r="CA18" s="51">
        <f t="shared" si="491"/>
        <v>0</v>
      </c>
      <c r="CB18" s="51">
        <f t="shared" si="491"/>
        <v>0</v>
      </c>
      <c r="CC18" s="51">
        <f t="shared" si="491"/>
        <v>0</v>
      </c>
      <c r="CD18" s="51">
        <f t="shared" si="491"/>
        <v>0</v>
      </c>
      <c r="CE18" s="51">
        <f t="shared" si="491"/>
        <v>0</v>
      </c>
      <c r="CF18" s="51">
        <f t="shared" si="491"/>
        <v>-4348800.4499999993</v>
      </c>
      <c r="CG18" s="92"/>
      <c r="CH18" s="51">
        <f t="shared" ref="CH18:CS18" si="492">SUM(CH19:CH19)</f>
        <v>0</v>
      </c>
      <c r="CI18" s="51">
        <f t="shared" si="492"/>
        <v>0</v>
      </c>
      <c r="CJ18" s="51">
        <f t="shared" si="492"/>
        <v>0</v>
      </c>
      <c r="CK18" s="51">
        <f t="shared" si="492"/>
        <v>0</v>
      </c>
      <c r="CL18" s="51">
        <f t="shared" si="492"/>
        <v>0</v>
      </c>
      <c r="CM18" s="51">
        <f t="shared" si="492"/>
        <v>0</v>
      </c>
      <c r="CN18" s="51">
        <f t="shared" si="492"/>
        <v>0</v>
      </c>
      <c r="CO18" s="51">
        <f t="shared" si="492"/>
        <v>0</v>
      </c>
      <c r="CP18" s="51">
        <f t="shared" si="492"/>
        <v>0</v>
      </c>
      <c r="CQ18" s="51">
        <f t="shared" si="492"/>
        <v>0</v>
      </c>
      <c r="CR18" s="51">
        <f t="shared" si="492"/>
        <v>0</v>
      </c>
      <c r="CS18" s="51">
        <f t="shared" si="492"/>
        <v>0</v>
      </c>
      <c r="CT18" s="92"/>
      <c r="CU18" s="51">
        <f t="shared" ref="CU18:DF18" si="493">SUM(CU19:CU19)</f>
        <v>0</v>
      </c>
      <c r="CV18" s="51">
        <f t="shared" si="493"/>
        <v>0</v>
      </c>
      <c r="CW18" s="51">
        <f t="shared" si="493"/>
        <v>0</v>
      </c>
      <c r="CX18" s="51">
        <f t="shared" si="493"/>
        <v>0</v>
      </c>
      <c r="CY18" s="51">
        <f t="shared" si="493"/>
        <v>0</v>
      </c>
      <c r="CZ18" s="51">
        <f t="shared" si="493"/>
        <v>0</v>
      </c>
      <c r="DA18" s="51">
        <f t="shared" si="493"/>
        <v>0</v>
      </c>
      <c r="DB18" s="51">
        <f t="shared" si="493"/>
        <v>0</v>
      </c>
      <c r="DC18" s="51">
        <f t="shared" si="493"/>
        <v>0</v>
      </c>
      <c r="DD18" s="51">
        <f t="shared" si="493"/>
        <v>0</v>
      </c>
      <c r="DE18" s="51">
        <f t="shared" si="493"/>
        <v>0</v>
      </c>
      <c r="DF18" s="51">
        <f t="shared" si="493"/>
        <v>0</v>
      </c>
      <c r="DG18" s="92"/>
      <c r="DH18" s="51">
        <f t="shared" ref="DH18:DS18" si="494">SUM(DH19:DH19)</f>
        <v>0</v>
      </c>
      <c r="DI18" s="51">
        <f t="shared" si="494"/>
        <v>0</v>
      </c>
      <c r="DJ18" s="51">
        <f t="shared" si="494"/>
        <v>0</v>
      </c>
      <c r="DK18" s="51">
        <f t="shared" si="494"/>
        <v>0</v>
      </c>
      <c r="DL18" s="51">
        <f t="shared" si="494"/>
        <v>0</v>
      </c>
      <c r="DM18" s="51">
        <f t="shared" si="494"/>
        <v>0</v>
      </c>
      <c r="DN18" s="51">
        <f t="shared" si="494"/>
        <v>0</v>
      </c>
      <c r="DO18" s="51">
        <f t="shared" si="494"/>
        <v>0</v>
      </c>
      <c r="DP18" s="51">
        <f t="shared" si="494"/>
        <v>0</v>
      </c>
      <c r="DQ18" s="51">
        <f t="shared" si="494"/>
        <v>0</v>
      </c>
      <c r="DR18" s="51">
        <f t="shared" si="494"/>
        <v>0</v>
      </c>
      <c r="DS18" s="51">
        <f t="shared" si="494"/>
        <v>0</v>
      </c>
      <c r="DT18" s="92"/>
      <c r="DU18" s="51">
        <f t="shared" ref="DU18:EF18" si="495">SUM(DU19:DU19)</f>
        <v>0</v>
      </c>
      <c r="DV18" s="51">
        <f t="shared" si="495"/>
        <v>0</v>
      </c>
      <c r="DW18" s="51">
        <f t="shared" si="495"/>
        <v>0</v>
      </c>
      <c r="DX18" s="51">
        <f t="shared" si="495"/>
        <v>0</v>
      </c>
      <c r="DY18" s="51">
        <f t="shared" si="495"/>
        <v>0</v>
      </c>
      <c r="DZ18" s="51">
        <f t="shared" si="495"/>
        <v>0</v>
      </c>
      <c r="EA18" s="51">
        <f t="shared" si="495"/>
        <v>0</v>
      </c>
      <c r="EB18" s="51">
        <f t="shared" si="495"/>
        <v>0</v>
      </c>
      <c r="EC18" s="51">
        <f t="shared" si="495"/>
        <v>0</v>
      </c>
      <c r="ED18" s="51">
        <f t="shared" si="495"/>
        <v>0</v>
      </c>
      <c r="EE18" s="51">
        <f t="shared" si="495"/>
        <v>0</v>
      </c>
      <c r="EF18" s="51">
        <f t="shared" si="495"/>
        <v>0</v>
      </c>
      <c r="EG18" s="92"/>
      <c r="EH18" s="51">
        <f t="shared" ref="EH18:ES18" si="496">SUM(EH19:EH19)</f>
        <v>1936548.9749999996</v>
      </c>
      <c r="EI18" s="51">
        <f t="shared" si="496"/>
        <v>48942000</v>
      </c>
      <c r="EJ18" s="51">
        <f t="shared" si="496"/>
        <v>42577600</v>
      </c>
      <c r="EK18" s="51">
        <f t="shared" si="496"/>
        <v>93456148.974999994</v>
      </c>
      <c r="EL18" s="51">
        <f t="shared" si="496"/>
        <v>42668400</v>
      </c>
      <c r="EM18" s="51">
        <f t="shared" si="496"/>
        <v>0</v>
      </c>
      <c r="EN18" s="51">
        <f t="shared" si="496"/>
        <v>0</v>
      </c>
      <c r="EO18" s="51">
        <f t="shared" si="496"/>
        <v>29480400</v>
      </c>
      <c r="EP18" s="51">
        <f t="shared" si="496"/>
        <v>0</v>
      </c>
      <c r="EQ18" s="51">
        <f t="shared" si="496"/>
        <v>0</v>
      </c>
      <c r="ER18" s="51">
        <f t="shared" si="496"/>
        <v>0</v>
      </c>
      <c r="ES18" s="51">
        <f t="shared" si="496"/>
        <v>-21307348.97499999</v>
      </c>
    </row>
    <row r="19" spans="1:149" ht="69">
      <c r="B19" s="26"/>
      <c r="C19" s="159"/>
      <c r="D19" s="31" t="s">
        <v>631</v>
      </c>
      <c r="E19" s="56" t="s">
        <v>568</v>
      </c>
      <c r="F19" s="31"/>
      <c r="G19" s="31"/>
      <c r="H19" s="49">
        <f>'Incremental_Cost Year 1'!AQ91</f>
        <v>0</v>
      </c>
      <c r="I19" s="49">
        <f>'Incremental_Cost Year 1'!AR91</f>
        <v>684000</v>
      </c>
      <c r="J19" s="49">
        <f>'Incremental_Cost Year 1'!AS91</f>
        <v>1955000</v>
      </c>
      <c r="K19" s="49">
        <f>'Incremental_Cost Year 1'!AT91</f>
        <v>2639000</v>
      </c>
      <c r="L19" s="49">
        <f>'Incremental_Cost Year 1'!AU91</f>
        <v>1996253</v>
      </c>
      <c r="M19" s="49">
        <f>'Incremental_Cost Year 1'!AV91</f>
        <v>0</v>
      </c>
      <c r="N19" s="49">
        <f>'Incremental_Cost Year 1'!AW91</f>
        <v>0</v>
      </c>
      <c r="O19" s="49">
        <f>'Incremental_Cost Year 1'!AX91</f>
        <v>0</v>
      </c>
      <c r="P19" s="49">
        <f>'Incremental_Cost Year 1'!AY91</f>
        <v>0</v>
      </c>
      <c r="Q19" s="49">
        <f>'Incremental_Cost Year 1'!AZ91</f>
        <v>0</v>
      </c>
      <c r="R19" s="49">
        <f>'Incremental_Cost Year 1'!BA91</f>
        <v>0</v>
      </c>
      <c r="S19" s="49">
        <f t="shared" si="476"/>
        <v>-642747</v>
      </c>
      <c r="T19" s="89"/>
      <c r="U19" s="49">
        <f>'Incremental_Cost Year 2'!AQ91</f>
        <v>265113.22499999998</v>
      </c>
      <c r="V19" s="49">
        <f>'Incremental_Cost Year 2'!AR91</f>
        <v>15949200</v>
      </c>
      <c r="W19" s="49">
        <f>'Incremental_Cost Year 2'!AS91</f>
        <v>19002600</v>
      </c>
      <c r="X19" s="49">
        <f>'Incremental_Cost Year 2'!AT91</f>
        <v>35216913.224999994</v>
      </c>
      <c r="Y19" s="49">
        <f>'Incremental_Cost Year 2'!AU91</f>
        <v>6820113</v>
      </c>
      <c r="Z19" s="49">
        <f>'Incremental_Cost Year 2'!AV91</f>
        <v>0</v>
      </c>
      <c r="AA19" s="49">
        <f>'Incremental_Cost Year 2'!AW91</f>
        <v>0</v>
      </c>
      <c r="AB19" s="49">
        <f>'Incremental_Cost Year 2'!AX91</f>
        <v>26438400</v>
      </c>
      <c r="AC19" s="49">
        <f>'Incremental_Cost Year 2'!AY91</f>
        <v>0</v>
      </c>
      <c r="AD19" s="49">
        <f>'Incremental_Cost Year 2'!AZ91</f>
        <v>0</v>
      </c>
      <c r="AE19" s="49">
        <f>'Incremental_Cost Year 2'!BA91</f>
        <v>0</v>
      </c>
      <c r="AF19" s="49">
        <f>Y19+Z19+AA19+AB19+AC19+AD19+AE19-X19</f>
        <v>-1958400.224999994</v>
      </c>
      <c r="AG19" s="96"/>
      <c r="AH19" s="49">
        <f>'Incremental_Cost Year 3'!AQ91</f>
        <v>794464.42499999993</v>
      </c>
      <c r="AI19" s="49">
        <f>'Incremental_Cost Year 3'!AR91</f>
        <v>10366800</v>
      </c>
      <c r="AJ19" s="49">
        <f>'Incremental_Cost Year 3'!AS91</f>
        <v>8855000</v>
      </c>
      <c r="AK19" s="49">
        <f>'Incremental_Cost Year 3'!AT91</f>
        <v>20016264.424999997</v>
      </c>
      <c r="AL19" s="49">
        <f>'Incremental_Cost Year 3'!AU91</f>
        <v>12290064</v>
      </c>
      <c r="AM19" s="49">
        <f>'Incremental_Cost Year 3'!AV91</f>
        <v>0</v>
      </c>
      <c r="AN19" s="49">
        <f>'Incremental_Cost Year 3'!AW91</f>
        <v>0</v>
      </c>
      <c r="AO19" s="49">
        <f>'Incremental_Cost Year 3'!AX91</f>
        <v>3042000</v>
      </c>
      <c r="AP19" s="49">
        <f>'Incremental_Cost Year 3'!AY91</f>
        <v>0</v>
      </c>
      <c r="AQ19" s="49">
        <f>'Incremental_Cost Year 3'!AZ91</f>
        <v>0</v>
      </c>
      <c r="AR19" s="49">
        <f>'Incremental_Cost Year 3'!BA91</f>
        <v>0</v>
      </c>
      <c r="AS19" s="49">
        <f>AL19+AM19+AN19+AO19+AP19+AQ19+AR19-AK19</f>
        <v>-4684200.424999997</v>
      </c>
      <c r="AT19" s="92"/>
      <c r="AU19" s="49">
        <f>'Incremental_Cost Year 4'!AQ91</f>
        <v>794464.42499999993</v>
      </c>
      <c r="AV19" s="49">
        <f>'Incremental_Cost Year 4'!AR91</f>
        <v>7964400</v>
      </c>
      <c r="AW19" s="49">
        <f>'Incremental_Cost Year 4'!AS91</f>
        <v>4255000</v>
      </c>
      <c r="AX19" s="49">
        <f>'Incremental_Cost Year 4'!AT91</f>
        <v>13013864.425000001</v>
      </c>
      <c r="AY19" s="49">
        <f>'Incremental_Cost Year 4'!AU91</f>
        <v>7689464</v>
      </c>
      <c r="AZ19" s="49">
        <f>'Incremental_Cost Year 4'!AV91</f>
        <v>0</v>
      </c>
      <c r="BA19" s="49">
        <f>'Incremental_Cost Year 4'!AW91</f>
        <v>0</v>
      </c>
      <c r="BB19" s="49">
        <f>'Incremental_Cost Year 4'!AX91</f>
        <v>0</v>
      </c>
      <c r="BC19" s="49">
        <f>'Incremental_Cost Year 4'!AY91</f>
        <v>0</v>
      </c>
      <c r="BD19" s="49">
        <f>'Incremental_Cost Year 4'!AZ91</f>
        <v>0</v>
      </c>
      <c r="BE19" s="49">
        <f>'Incremental_Cost Year 4'!BA91</f>
        <v>0</v>
      </c>
      <c r="BF19" s="49">
        <f t="shared" ref="BF19" si="497">AY19+AZ19+BA19+BB19+BC19+BD19+BE19-AX19</f>
        <v>-5324400.4250000007</v>
      </c>
      <c r="BG19" s="92"/>
      <c r="BH19" s="49">
        <f>'Incremental_Cost Year 5'!AQ91</f>
        <v>41253.449999999997</v>
      </c>
      <c r="BI19" s="49">
        <f>'Incremental_Cost Year 5'!AR91</f>
        <v>6988800</v>
      </c>
      <c r="BJ19" s="49">
        <f>'Incremental_Cost Year 5'!AS91</f>
        <v>4255000</v>
      </c>
      <c r="BK19" s="49">
        <f>'Incremental_Cost Year 5'!AT91</f>
        <v>11285053.449999999</v>
      </c>
      <c r="BL19" s="49">
        <f>'Incremental_Cost Year 5'!AU91</f>
        <v>6936253</v>
      </c>
      <c r="BM19" s="49">
        <f>'Incremental_Cost Year 5'!AV91</f>
        <v>0</v>
      </c>
      <c r="BN19" s="49">
        <f>'Incremental_Cost Year 5'!AW91</f>
        <v>0</v>
      </c>
      <c r="BO19" s="49">
        <f>'Incremental_Cost Year 5'!AX91</f>
        <v>0</v>
      </c>
      <c r="BP19" s="49">
        <f>'Incremental_Cost Year 5'!AY91</f>
        <v>0</v>
      </c>
      <c r="BQ19" s="49">
        <f>'Incremental_Cost Year 5'!AZ91</f>
        <v>0</v>
      </c>
      <c r="BR19" s="49">
        <f>'Incremental_Cost Year 5'!BA91</f>
        <v>0</v>
      </c>
      <c r="BS19" s="49">
        <f t="shared" ref="BS19" si="498">BL19+BM19+BN19+BO19+BP19+BQ19+BR19-BK19</f>
        <v>-4348800.4499999993</v>
      </c>
      <c r="BT19" s="92"/>
      <c r="BU19" s="49">
        <f>'Incremental_Cost Year 6'!AQ91</f>
        <v>41253.449999999997</v>
      </c>
      <c r="BV19" s="49">
        <f>'Incremental_Cost Year 6'!AR91</f>
        <v>6988800</v>
      </c>
      <c r="BW19" s="49">
        <f>'Incremental_Cost Year 6'!AS91</f>
        <v>4255000</v>
      </c>
      <c r="BX19" s="49">
        <f>'Incremental_Cost Year 6'!AT91</f>
        <v>11285053.449999999</v>
      </c>
      <c r="BY19" s="49">
        <f>'Incremental_Cost Year 6'!AU91</f>
        <v>6936253</v>
      </c>
      <c r="BZ19" s="49">
        <f>'Incremental_Cost Year 6'!AV91</f>
        <v>0</v>
      </c>
      <c r="CA19" s="49">
        <f>'Incremental_Cost Year 6'!AW91</f>
        <v>0</v>
      </c>
      <c r="CB19" s="49">
        <f>'Incremental_Cost Year 6'!AX91</f>
        <v>0</v>
      </c>
      <c r="CC19" s="49">
        <f>'Incremental_Cost Year 6'!AY91</f>
        <v>0</v>
      </c>
      <c r="CD19" s="49">
        <f>'Incremental_Cost Year 6'!AZ91</f>
        <v>0</v>
      </c>
      <c r="CE19" s="49">
        <f>'Incremental_Cost Year 6'!BA91</f>
        <v>0</v>
      </c>
      <c r="CF19" s="49">
        <f t="shared" ref="CF19" si="499">BY19+BZ19+CA19+CB19+CC19+CD19+CE19-BX19</f>
        <v>-4348800.4499999993</v>
      </c>
      <c r="CG19" s="92"/>
      <c r="CH19" s="49"/>
      <c r="CI19" s="49"/>
      <c r="CJ19" s="49"/>
      <c r="CK19" s="49"/>
      <c r="CL19" s="49"/>
      <c r="CM19" s="49"/>
      <c r="CN19" s="49"/>
      <c r="CO19" s="49"/>
      <c r="CP19" s="49"/>
      <c r="CQ19" s="49"/>
      <c r="CR19" s="49"/>
      <c r="CS19" s="49"/>
      <c r="CT19" s="92"/>
      <c r="CU19" s="49"/>
      <c r="CV19" s="49"/>
      <c r="CW19" s="49"/>
      <c r="CX19" s="49"/>
      <c r="CY19" s="49"/>
      <c r="CZ19" s="49"/>
      <c r="DA19" s="49"/>
      <c r="DB19" s="49"/>
      <c r="DC19" s="49"/>
      <c r="DD19" s="49"/>
      <c r="DE19" s="49"/>
      <c r="DF19" s="49">
        <f t="shared" ref="DF19" si="500">SUM(CY19:DE19)-CX19</f>
        <v>0</v>
      </c>
      <c r="DG19" s="92"/>
      <c r="DH19" s="49"/>
      <c r="DI19" s="49"/>
      <c r="DJ19" s="49"/>
      <c r="DK19" s="49"/>
      <c r="DL19" s="49"/>
      <c r="DM19" s="49"/>
      <c r="DN19" s="49"/>
      <c r="DO19" s="49"/>
      <c r="DP19" s="49"/>
      <c r="DQ19" s="49"/>
      <c r="DR19" s="49"/>
      <c r="DS19" s="49">
        <f t="shared" ref="DS19" si="501">SUM(DL19:DR19)-DK19</f>
        <v>0</v>
      </c>
      <c r="DT19" s="92"/>
      <c r="DU19" s="49"/>
      <c r="DV19" s="49"/>
      <c r="DW19" s="49"/>
      <c r="DX19" s="49"/>
      <c r="DY19" s="49"/>
      <c r="DZ19" s="49"/>
      <c r="EA19" s="49"/>
      <c r="EB19" s="49"/>
      <c r="EC19" s="49"/>
      <c r="ED19" s="49"/>
      <c r="EE19" s="49"/>
      <c r="EF19" s="49">
        <f t="shared" ref="EF19" si="502">SUM(DY19:EE19)-DX19</f>
        <v>0</v>
      </c>
      <c r="EG19" s="92"/>
      <c r="EH19" s="49">
        <f>H19+U19+AH19+AU19+BH19+BU19+CH19+CU19+DH19+DU19</f>
        <v>1936548.9749999996</v>
      </c>
      <c r="EI19" s="49">
        <f t="shared" ref="EI19" si="503">I19+V19+AI19+AV19+BI19+BV19+CI19+CV19+DI19+DV19</f>
        <v>48942000</v>
      </c>
      <c r="EJ19" s="49">
        <f t="shared" ref="EJ19" si="504">J19+W19+AJ19+AW19+BJ19+BW19+CJ19+CW19+DJ19+DW19</f>
        <v>42577600</v>
      </c>
      <c r="EK19" s="49">
        <f t="shared" ref="EK19" si="505">K19+X19+AK19+AX19+BK19+BX19+CK19+CX19+DK19+DX19</f>
        <v>93456148.974999994</v>
      </c>
      <c r="EL19" s="49">
        <f t="shared" ref="EL19" si="506">L19+Y19+AL19+AY19+BL19+BY19+CL19+CY19+DL19+DY19</f>
        <v>42668400</v>
      </c>
      <c r="EM19" s="49">
        <f t="shared" ref="EM19" si="507">M19+Z19+AM19+AZ19+BM19+BZ19+CM19+CZ19+DM19+DZ19</f>
        <v>0</v>
      </c>
      <c r="EN19" s="49">
        <f t="shared" ref="EN19" si="508">N19+AA19+AN19+BA19+BN19+CA19+CN19+DA19+DN19+EA19</f>
        <v>0</v>
      </c>
      <c r="EO19" s="49">
        <f t="shared" ref="EO19" si="509">O19+AB19+AO19+BB19+BO19+CB19+CO19+DB19+DO19+EB19</f>
        <v>29480400</v>
      </c>
      <c r="EP19" s="49">
        <f t="shared" ref="EP19" si="510">P19+AC19+AP19+BC19+BP19+CC19+CP19+DC19+DP19+EC19</f>
        <v>0</v>
      </c>
      <c r="EQ19" s="49">
        <f t="shared" ref="EQ19" si="511">Q19+AD19+AQ19+BD19+BQ19+CD19+CQ19+DD19+DQ19+ED19</f>
        <v>0</v>
      </c>
      <c r="ER19" s="49">
        <f t="shared" ref="ER19" si="512">R19+AE19+AR19+BE19+BR19+CE19+CR19+DE19+DR19+EE19</f>
        <v>0</v>
      </c>
      <c r="ES19" s="49">
        <f t="shared" ref="ES19" si="513">S19+AF19+AS19+BF19+BS19+CF19+CS19+DF19+DS19+EF19</f>
        <v>-21307348.97499999</v>
      </c>
    </row>
    <row r="20" spans="1:149" ht="15" customHeight="1">
      <c r="B20" s="316" t="s">
        <v>220</v>
      </c>
      <c r="C20" s="317"/>
      <c r="D20" s="317"/>
      <c r="E20" s="318"/>
      <c r="F20" s="39"/>
      <c r="G20" s="39"/>
      <c r="H20" s="50">
        <f>SUM(H21+H27+H30+H32)</f>
        <v>43895444.639999993</v>
      </c>
      <c r="I20" s="50">
        <f t="shared" ref="I20:S20" si="514">SUM(I21+I27+I30+I32)</f>
        <v>104062600</v>
      </c>
      <c r="J20" s="50">
        <f t="shared" si="514"/>
        <v>0</v>
      </c>
      <c r="K20" s="50">
        <f t="shared" si="514"/>
        <v>147958044.64000002</v>
      </c>
      <c r="L20" s="50">
        <f t="shared" si="514"/>
        <v>44149910.369999997</v>
      </c>
      <c r="M20" s="50">
        <f t="shared" si="514"/>
        <v>0</v>
      </c>
      <c r="N20" s="50">
        <f t="shared" si="514"/>
        <v>122250.69</v>
      </c>
      <c r="O20" s="50">
        <f t="shared" si="514"/>
        <v>14420600</v>
      </c>
      <c r="P20" s="50">
        <f t="shared" si="514"/>
        <v>0</v>
      </c>
      <c r="Q20" s="50">
        <f t="shared" si="514"/>
        <v>14836000</v>
      </c>
      <c r="R20" s="50">
        <f t="shared" si="514"/>
        <v>0</v>
      </c>
      <c r="S20" s="50">
        <f t="shared" si="514"/>
        <v>-74429283.580000013</v>
      </c>
      <c r="T20" s="90"/>
      <c r="U20" s="50">
        <f>SUM(U21+U27+U30+U32)</f>
        <v>61826131.230000004</v>
      </c>
      <c r="V20" s="50">
        <f t="shared" ref="V20" si="515">SUM(V21+V27+V30+V32)</f>
        <v>235704000</v>
      </c>
      <c r="W20" s="50">
        <f t="shared" ref="W20" si="516">SUM(W21+W27+W30+W32)</f>
        <v>1150000</v>
      </c>
      <c r="X20" s="50">
        <f t="shared" ref="X20" si="517">SUM(X21+X27+X30+X32)</f>
        <v>298680131.22999996</v>
      </c>
      <c r="Y20" s="50">
        <f t="shared" ref="Y20" si="518">SUM(Y21+Y27+Y30+Y32)</f>
        <v>141971567.53</v>
      </c>
      <c r="Z20" s="50">
        <f t="shared" ref="Z20" si="519">SUM(Z21+Z27+Z30+Z32)</f>
        <v>0</v>
      </c>
      <c r="AA20" s="50">
        <f t="shared" ref="AA20" si="520">SUM(AA21+AA27+AA30+AA32)</f>
        <v>0</v>
      </c>
      <c r="AB20" s="50">
        <f t="shared" ref="AB20" si="521">SUM(AB21+AB27+AB30+AB32)</f>
        <v>12236750.689999999</v>
      </c>
      <c r="AC20" s="50">
        <f t="shared" ref="AC20" si="522">SUM(AC21+AC27+AC30+AC32)</f>
        <v>0</v>
      </c>
      <c r="AD20" s="50">
        <f t="shared" ref="AD20" si="523">SUM(AD21+AD27+AD30+AD32)</f>
        <v>117642605.45</v>
      </c>
      <c r="AE20" s="50">
        <f t="shared" ref="AE20" si="524">SUM(AE21+AE27+AE30+AE32)</f>
        <v>0</v>
      </c>
      <c r="AF20" s="50">
        <f t="shared" ref="AF20" si="525">SUM(AF21+AF27+AF30+AF32)</f>
        <v>-26829207.560000002</v>
      </c>
      <c r="AG20" s="90"/>
      <c r="AH20" s="50">
        <f>SUM(AH21+AH27+AH30+AH32)</f>
        <v>58556557.332857147</v>
      </c>
      <c r="AI20" s="50">
        <f t="shared" ref="AI20" si="526">SUM(AI21+AI27+AI30+AI32)</f>
        <v>150136300</v>
      </c>
      <c r="AJ20" s="50">
        <f t="shared" ref="AJ20" si="527">SUM(AJ21+AJ27+AJ30+AJ32)</f>
        <v>1150000</v>
      </c>
      <c r="AK20" s="50">
        <f t="shared" ref="AK20" si="528">SUM(AK21+AK27+AK30+AK32)</f>
        <v>209842857.33285716</v>
      </c>
      <c r="AL20" s="50">
        <f t="shared" ref="AL20" si="529">SUM(AL21+AL27+AL30+AL32)</f>
        <v>143810234.83285713</v>
      </c>
      <c r="AM20" s="50">
        <f t="shared" ref="AM20" si="530">SUM(AM21+AM27+AM30+AM32)</f>
        <v>0</v>
      </c>
      <c r="AN20" s="50">
        <f t="shared" ref="AN20" si="531">SUM(AN21+AN27+AN30+AN32)</f>
        <v>0</v>
      </c>
      <c r="AO20" s="50">
        <f t="shared" ref="AO20" si="532">SUM(AO21+AO27+AO30+AO32)</f>
        <v>7546400</v>
      </c>
      <c r="AP20" s="50">
        <f t="shared" ref="AP20" si="533">SUM(AP21+AP27+AP30+AP32)</f>
        <v>0</v>
      </c>
      <c r="AQ20" s="50">
        <f t="shared" ref="AQ20" si="534">SUM(AQ21+AQ27+AQ30+AQ32)</f>
        <v>33373676.25</v>
      </c>
      <c r="AR20" s="50">
        <f t="shared" ref="AR20" si="535">SUM(AR21+AR27+AR30+AR32)</f>
        <v>0</v>
      </c>
      <c r="AS20" s="50">
        <f t="shared" ref="AS20" si="536">SUM(AS21+AS27+AS30+AS32)</f>
        <v>-25112546.250000022</v>
      </c>
      <c r="AT20" s="92"/>
      <c r="AU20" s="50">
        <f>SUM(AU21+AU27+AU30+AU32)</f>
        <v>43236789.839999996</v>
      </c>
      <c r="AV20" s="50">
        <f t="shared" ref="AV20" si="537">SUM(AV21+AV27+AV30+AV32)</f>
        <v>128807000</v>
      </c>
      <c r="AW20" s="50">
        <f t="shared" ref="AW20" si="538">SUM(AW21+AW27+AW30+AW32)</f>
        <v>1150000</v>
      </c>
      <c r="AX20" s="50">
        <f t="shared" ref="AX20" si="539">SUM(AX21+AX27+AX30+AX32)</f>
        <v>173193789.84</v>
      </c>
      <c r="AY20" s="50">
        <f t="shared" ref="AY20" si="540">SUM(AY21+AY27+AY30+AY32)</f>
        <v>133625690.34</v>
      </c>
      <c r="AZ20" s="50">
        <f t="shared" ref="AZ20" si="541">SUM(AZ21+AZ27+AZ30+AZ32)</f>
        <v>0</v>
      </c>
      <c r="BA20" s="50">
        <f t="shared" ref="BA20" si="542">SUM(BA21+BA27+BA30+BA32)</f>
        <v>0</v>
      </c>
      <c r="BB20" s="50">
        <f t="shared" ref="BB20" si="543">SUM(BB21+BB27+BB30+BB32)</f>
        <v>955900</v>
      </c>
      <c r="BC20" s="50">
        <f t="shared" ref="BC20" si="544">SUM(BC21+BC27+BC30+BC32)</f>
        <v>0</v>
      </c>
      <c r="BD20" s="50">
        <f t="shared" ref="BD20" si="545">SUM(BD21+BD27+BD30+BD32)</f>
        <v>19197176.25</v>
      </c>
      <c r="BE20" s="50">
        <f t="shared" ref="BE20" si="546">SUM(BE21+BE27+BE30+BE32)</f>
        <v>0</v>
      </c>
      <c r="BF20" s="50">
        <f t="shared" ref="BF20" si="547">SUM(BF21+BF27+BF30+BF32)</f>
        <v>-19415023.25</v>
      </c>
      <c r="BG20" s="92"/>
      <c r="BH20" s="50">
        <f>SUM(BH21+BH27+BH30+BH32)</f>
        <v>41992884.540000007</v>
      </c>
      <c r="BI20" s="50">
        <f t="shared" ref="BI20" si="548">SUM(BI21+BI27+BI30+BI32)</f>
        <v>130402420</v>
      </c>
      <c r="BJ20" s="50">
        <f t="shared" ref="BJ20" si="549">SUM(BJ21+BJ27+BJ30+BJ32)</f>
        <v>1150000</v>
      </c>
      <c r="BK20" s="50">
        <f t="shared" ref="BK20" si="550">SUM(BK21+BK27+BK30+BK32)</f>
        <v>173545304.53999999</v>
      </c>
      <c r="BL20" s="50">
        <f t="shared" ref="BL20" si="551">SUM(BL21+BL27+BL30+BL32)</f>
        <v>135971405.03999999</v>
      </c>
      <c r="BM20" s="50">
        <f t="shared" ref="BM20" si="552">SUM(BM21+BM27+BM30+BM32)</f>
        <v>0</v>
      </c>
      <c r="BN20" s="50">
        <f t="shared" ref="BN20" si="553">SUM(BN21+BN27+BN30+BN32)</f>
        <v>0</v>
      </c>
      <c r="BO20" s="50">
        <f t="shared" ref="BO20" si="554">SUM(BO21+BO27+BO30+BO32)</f>
        <v>655900</v>
      </c>
      <c r="BP20" s="50">
        <f t="shared" ref="BP20" si="555">SUM(BP21+BP27+BP30+BP32)</f>
        <v>0</v>
      </c>
      <c r="BQ20" s="50">
        <f t="shared" ref="BQ20" si="556">SUM(BQ21+BQ27+BQ30+BQ32)</f>
        <v>16582976.25</v>
      </c>
      <c r="BR20" s="50">
        <f t="shared" ref="BR20" si="557">SUM(BR21+BR27+BR30+BR32)</f>
        <v>0</v>
      </c>
      <c r="BS20" s="50">
        <f t="shared" ref="BS20" si="558">SUM(BS21+BS27+BS30+BS32)</f>
        <v>-20335023.25</v>
      </c>
      <c r="BT20" s="92"/>
      <c r="BU20" s="50">
        <f>SUM(BU21+BU27+BU30+BU32)</f>
        <v>41408625.990000002</v>
      </c>
      <c r="BV20" s="50">
        <f t="shared" ref="BV20" si="559">SUM(BV21+BV27+BV30+BV32)</f>
        <v>133401621</v>
      </c>
      <c r="BW20" s="50">
        <f t="shared" ref="BW20" si="560">SUM(BW21+BW27+BW30+BW32)</f>
        <v>1150000</v>
      </c>
      <c r="BX20" s="50">
        <f t="shared" ref="BX20" si="561">SUM(BX21+BX27+BX30+BX32)</f>
        <v>175960246.99000001</v>
      </c>
      <c r="BY20" s="50">
        <f t="shared" ref="BY20" si="562">SUM(BY21+BY27+BY30+BY32)</f>
        <v>138908746.99000001</v>
      </c>
      <c r="BZ20" s="50">
        <f t="shared" ref="BZ20" si="563">SUM(BZ21+BZ27+BZ30+BZ32)</f>
        <v>0</v>
      </c>
      <c r="CA20" s="50">
        <f t="shared" ref="CA20" si="564">SUM(CA21+CA27+CA30+CA32)</f>
        <v>0</v>
      </c>
      <c r="CB20" s="50">
        <f t="shared" ref="CB20" si="565">SUM(CB21+CB27+CB30+CB32)</f>
        <v>655900</v>
      </c>
      <c r="CC20" s="50">
        <f t="shared" ref="CC20" si="566">SUM(CC21+CC27+CC30+CC32)</f>
        <v>0</v>
      </c>
      <c r="CD20" s="50">
        <f t="shared" ref="CD20" si="567">SUM(CD21+CD27+CD30+CD32)</f>
        <v>16582976.25</v>
      </c>
      <c r="CE20" s="50">
        <f t="shared" ref="CE20" si="568">SUM(CE21+CE27+CE30+CE32)</f>
        <v>0</v>
      </c>
      <c r="CF20" s="50">
        <f t="shared" ref="CF20" si="569">SUM(CF21+CF27+CF30+CF32)</f>
        <v>-19812623.75</v>
      </c>
      <c r="CG20" s="92"/>
      <c r="CH20" s="50">
        <f>SUM(CH21+CH27+CH30+CH32)</f>
        <v>0</v>
      </c>
      <c r="CI20" s="50">
        <f t="shared" ref="CI20" si="570">SUM(CI21+CI27+CI30+CI32)</f>
        <v>0</v>
      </c>
      <c r="CJ20" s="50">
        <f t="shared" ref="CJ20" si="571">SUM(CJ21+CJ27+CJ30+CJ32)</f>
        <v>0</v>
      </c>
      <c r="CK20" s="50">
        <f t="shared" ref="CK20" si="572">SUM(CK21+CK27+CK30+CK32)</f>
        <v>0</v>
      </c>
      <c r="CL20" s="50">
        <f t="shared" ref="CL20" si="573">SUM(CL21+CL27+CL30+CL32)</f>
        <v>0</v>
      </c>
      <c r="CM20" s="50">
        <f t="shared" ref="CM20" si="574">SUM(CM21+CM27+CM30+CM32)</f>
        <v>0</v>
      </c>
      <c r="CN20" s="50">
        <f t="shared" ref="CN20" si="575">SUM(CN21+CN27+CN30+CN32)</f>
        <v>0</v>
      </c>
      <c r="CO20" s="50">
        <f t="shared" ref="CO20" si="576">SUM(CO21+CO27+CO30+CO32)</f>
        <v>0</v>
      </c>
      <c r="CP20" s="50">
        <f t="shared" ref="CP20" si="577">SUM(CP21+CP27+CP30+CP32)</f>
        <v>0</v>
      </c>
      <c r="CQ20" s="50">
        <f t="shared" ref="CQ20" si="578">SUM(CQ21+CQ27+CQ30+CQ32)</f>
        <v>0</v>
      </c>
      <c r="CR20" s="50">
        <f t="shared" ref="CR20" si="579">SUM(CR21+CR27+CR30+CR32)</f>
        <v>0</v>
      </c>
      <c r="CS20" s="50">
        <f t="shared" ref="CS20" si="580">SUM(CS21+CS27+CS30+CS32)</f>
        <v>0</v>
      </c>
      <c r="CT20" s="92"/>
      <c r="CU20" s="50">
        <f>SUM(CU21+CU27+CU30+CU32)</f>
        <v>0</v>
      </c>
      <c r="CV20" s="50">
        <f t="shared" ref="CV20" si="581">SUM(CV21+CV27+CV30+CV32)</f>
        <v>0</v>
      </c>
      <c r="CW20" s="50">
        <f t="shared" ref="CW20" si="582">SUM(CW21+CW27+CW30+CW32)</f>
        <v>0</v>
      </c>
      <c r="CX20" s="50">
        <f t="shared" ref="CX20" si="583">SUM(CX21+CX27+CX30+CX32)</f>
        <v>0</v>
      </c>
      <c r="CY20" s="50">
        <f t="shared" ref="CY20" si="584">SUM(CY21+CY27+CY30+CY32)</f>
        <v>0</v>
      </c>
      <c r="CZ20" s="50">
        <f t="shared" ref="CZ20" si="585">SUM(CZ21+CZ27+CZ30+CZ32)</f>
        <v>0</v>
      </c>
      <c r="DA20" s="50">
        <f t="shared" ref="DA20" si="586">SUM(DA21+DA27+DA30+DA32)</f>
        <v>0</v>
      </c>
      <c r="DB20" s="50">
        <f t="shared" ref="DB20" si="587">SUM(DB21+DB27+DB30+DB32)</f>
        <v>0</v>
      </c>
      <c r="DC20" s="50">
        <f t="shared" ref="DC20" si="588">SUM(DC21+DC27+DC30+DC32)</f>
        <v>0</v>
      </c>
      <c r="DD20" s="50">
        <f t="shared" ref="DD20" si="589">SUM(DD21+DD27+DD30+DD32)</f>
        <v>0</v>
      </c>
      <c r="DE20" s="50">
        <f t="shared" ref="DE20" si="590">SUM(DE21+DE27+DE30+DE32)</f>
        <v>0</v>
      </c>
      <c r="DF20" s="50">
        <f t="shared" ref="DF20" si="591">SUM(DF21+DF27+DF30+DF32)</f>
        <v>0</v>
      </c>
      <c r="DG20" s="92"/>
      <c r="DH20" s="50">
        <f>SUM(DH21+DH27+DH30+DH32)</f>
        <v>0</v>
      </c>
      <c r="DI20" s="50">
        <f t="shared" ref="DI20" si="592">SUM(DI21+DI27+DI30+DI32)</f>
        <v>0</v>
      </c>
      <c r="DJ20" s="50">
        <f t="shared" ref="DJ20" si="593">SUM(DJ21+DJ27+DJ30+DJ32)</f>
        <v>0</v>
      </c>
      <c r="DK20" s="50">
        <f t="shared" ref="DK20" si="594">SUM(DK21+DK27+DK30+DK32)</f>
        <v>0</v>
      </c>
      <c r="DL20" s="50">
        <f t="shared" ref="DL20" si="595">SUM(DL21+DL27+DL30+DL32)</f>
        <v>0</v>
      </c>
      <c r="DM20" s="50">
        <f t="shared" ref="DM20" si="596">SUM(DM21+DM27+DM30+DM32)</f>
        <v>0</v>
      </c>
      <c r="DN20" s="50">
        <f t="shared" ref="DN20" si="597">SUM(DN21+DN27+DN30+DN32)</f>
        <v>0</v>
      </c>
      <c r="DO20" s="50">
        <f t="shared" ref="DO20" si="598">SUM(DO21+DO27+DO30+DO32)</f>
        <v>0</v>
      </c>
      <c r="DP20" s="50">
        <f t="shared" ref="DP20" si="599">SUM(DP21+DP27+DP30+DP32)</f>
        <v>0</v>
      </c>
      <c r="DQ20" s="50">
        <f t="shared" ref="DQ20" si="600">SUM(DQ21+DQ27+DQ30+DQ32)</f>
        <v>0</v>
      </c>
      <c r="DR20" s="50">
        <f t="shared" ref="DR20" si="601">SUM(DR21+DR27+DR30+DR32)</f>
        <v>0</v>
      </c>
      <c r="DS20" s="50">
        <f t="shared" ref="DS20" si="602">SUM(DS21+DS27+DS30+DS32)</f>
        <v>0</v>
      </c>
      <c r="DT20" s="92"/>
      <c r="DU20" s="50">
        <f>SUM(DU21+DU27+DU30+DU32)</f>
        <v>0</v>
      </c>
      <c r="DV20" s="50">
        <f t="shared" ref="DV20" si="603">SUM(DV21+DV27+DV30+DV32)</f>
        <v>0</v>
      </c>
      <c r="DW20" s="50">
        <f t="shared" ref="DW20" si="604">SUM(DW21+DW27+DW30+DW32)</f>
        <v>0</v>
      </c>
      <c r="DX20" s="50">
        <f t="shared" ref="DX20" si="605">SUM(DX21+DX27+DX30+DX32)</f>
        <v>0</v>
      </c>
      <c r="DY20" s="50">
        <f t="shared" ref="DY20" si="606">SUM(DY21+DY27+DY30+DY32)</f>
        <v>0</v>
      </c>
      <c r="DZ20" s="50">
        <f t="shared" ref="DZ20" si="607">SUM(DZ21+DZ27+DZ30+DZ32)</f>
        <v>0</v>
      </c>
      <c r="EA20" s="50">
        <f t="shared" ref="EA20" si="608">SUM(EA21+EA27+EA30+EA32)</f>
        <v>0</v>
      </c>
      <c r="EB20" s="50">
        <f t="shared" ref="EB20" si="609">SUM(EB21+EB27+EB30+EB32)</f>
        <v>0</v>
      </c>
      <c r="EC20" s="50">
        <f t="shared" ref="EC20" si="610">SUM(EC21+EC27+EC30+EC32)</f>
        <v>0</v>
      </c>
      <c r="ED20" s="50">
        <f t="shared" ref="ED20" si="611">SUM(ED21+ED27+ED30+ED32)</f>
        <v>0</v>
      </c>
      <c r="EE20" s="50">
        <f t="shared" ref="EE20" si="612">SUM(EE21+EE27+EE30+EE32)</f>
        <v>0</v>
      </c>
      <c r="EF20" s="50">
        <f t="shared" ref="EF20" si="613">SUM(EF21+EF27+EF30+EF32)</f>
        <v>0</v>
      </c>
      <c r="EG20" s="92"/>
      <c r="EH20" s="50">
        <f>SUM(EH21+EH27+EH30+EH32)</f>
        <v>290916433.57285714</v>
      </c>
      <c r="EI20" s="50">
        <f t="shared" ref="EI20" si="614">SUM(EI21+EI27+EI30+EI32)</f>
        <v>882513941</v>
      </c>
      <c r="EJ20" s="50">
        <f t="shared" ref="EJ20" si="615">SUM(EJ21+EJ27+EJ30+EJ32)</f>
        <v>5750000</v>
      </c>
      <c r="EK20" s="50">
        <f t="shared" ref="EK20" si="616">SUM(EK21+EK27+EK30+EK32)</f>
        <v>1179180374.5728571</v>
      </c>
      <c r="EL20" s="50">
        <f t="shared" ref="EL20" si="617">SUM(EL21+EL27+EL30+EL32)</f>
        <v>738437555.10285699</v>
      </c>
      <c r="EM20" s="50">
        <f t="shared" ref="EM20" si="618">SUM(EM21+EM27+EM30+EM32)</f>
        <v>0</v>
      </c>
      <c r="EN20" s="50">
        <f t="shared" ref="EN20" si="619">SUM(EN21+EN27+EN30+EN32)</f>
        <v>122250.69</v>
      </c>
      <c r="EO20" s="50">
        <f t="shared" ref="EO20" si="620">SUM(EO21+EO27+EO30+EO32)</f>
        <v>36471450.689999998</v>
      </c>
      <c r="EP20" s="50">
        <f t="shared" ref="EP20" si="621">SUM(EP21+EP27+EP30+EP32)</f>
        <v>0</v>
      </c>
      <c r="EQ20" s="50">
        <f t="shared" ref="EQ20" si="622">SUM(EQ21+EQ27+EQ30+EQ32)</f>
        <v>218215410.44999999</v>
      </c>
      <c r="ER20" s="50">
        <f t="shared" ref="ER20" si="623">SUM(ER21+ER27+ER30+ER32)</f>
        <v>0</v>
      </c>
      <c r="ES20" s="50">
        <f t="shared" ref="ES20" si="624">SUM(ES21+ES27+ES30+ES32)</f>
        <v>-185933707.64000005</v>
      </c>
    </row>
    <row r="21" spans="1:149" ht="15" customHeight="1">
      <c r="A21" s="24"/>
      <c r="B21" s="32"/>
      <c r="C21" s="314" t="s">
        <v>221</v>
      </c>
      <c r="D21" s="314"/>
      <c r="E21" s="315"/>
      <c r="F21" s="84"/>
      <c r="G21" s="84"/>
      <c r="H21" s="51">
        <f>SUM(H22:H26)</f>
        <v>3656327.7</v>
      </c>
      <c r="I21" s="51">
        <f t="shared" ref="I21:S21" si="625">SUM(I22:I26)</f>
        <v>9736600</v>
      </c>
      <c r="J21" s="51">
        <f t="shared" si="625"/>
        <v>0</v>
      </c>
      <c r="K21" s="51">
        <f t="shared" si="625"/>
        <v>13392927.699999999</v>
      </c>
      <c r="L21" s="51">
        <f t="shared" si="625"/>
        <v>2902445.7</v>
      </c>
      <c r="M21" s="51">
        <f t="shared" si="625"/>
        <v>0</v>
      </c>
      <c r="N21" s="51">
        <f t="shared" si="625"/>
        <v>0</v>
      </c>
      <c r="O21" s="51">
        <f t="shared" si="625"/>
        <v>8602000</v>
      </c>
      <c r="P21" s="51">
        <f t="shared" si="625"/>
        <v>0</v>
      </c>
      <c r="Q21" s="51">
        <f t="shared" si="625"/>
        <v>600000</v>
      </c>
      <c r="R21" s="51">
        <f t="shared" si="625"/>
        <v>0</v>
      </c>
      <c r="S21" s="51">
        <f t="shared" si="625"/>
        <v>-1288482</v>
      </c>
      <c r="T21" s="90"/>
      <c r="U21" s="51">
        <f>SUM(U22:U26)</f>
        <v>16987692.240000002</v>
      </c>
      <c r="V21" s="51">
        <f t="shared" ref="V21" si="626">SUM(V22:V26)</f>
        <v>53051000</v>
      </c>
      <c r="W21" s="51">
        <f t="shared" ref="W21" si="627">SUM(W22:W26)</f>
        <v>1150000</v>
      </c>
      <c r="X21" s="51">
        <f t="shared" ref="X21" si="628">SUM(X22:X26)</f>
        <v>71188692.24000001</v>
      </c>
      <c r="Y21" s="51">
        <f t="shared" ref="Y21" si="629">SUM(Y22:Y26)</f>
        <v>25027599.039999999</v>
      </c>
      <c r="Z21" s="51">
        <f t="shared" ref="Z21" si="630">SUM(Z22:Z26)</f>
        <v>0</v>
      </c>
      <c r="AA21" s="51">
        <f t="shared" ref="AA21" si="631">SUM(AA22:AA26)</f>
        <v>0</v>
      </c>
      <c r="AB21" s="51">
        <f t="shared" ref="AB21" si="632">SUM(AB22:AB26)</f>
        <v>4190000</v>
      </c>
      <c r="AC21" s="51">
        <f t="shared" ref="AC21" si="633">SUM(AC22:AC26)</f>
        <v>0</v>
      </c>
      <c r="AD21" s="51">
        <f t="shared" ref="AD21" si="634">SUM(AD22:AD26)</f>
        <v>34863458.700000003</v>
      </c>
      <c r="AE21" s="51">
        <f t="shared" ref="AE21" si="635">SUM(AE22:AE26)</f>
        <v>0</v>
      </c>
      <c r="AF21" s="51">
        <f t="shared" ref="AF21" si="636">SUM(AF22:AF26)</f>
        <v>-7107634.4999999981</v>
      </c>
      <c r="AG21" s="90"/>
      <c r="AH21" s="51">
        <f>SUM(AH22:AH26)</f>
        <v>16271504.34</v>
      </c>
      <c r="AI21" s="51">
        <f t="shared" ref="AI21" si="637">SUM(AI22:AI26)</f>
        <v>37939700</v>
      </c>
      <c r="AJ21" s="51">
        <f t="shared" ref="AJ21" si="638">SUM(AJ22:AJ26)</f>
        <v>1150000</v>
      </c>
      <c r="AK21" s="51">
        <f t="shared" ref="AK21" si="639">SUM(AK22:AK26)</f>
        <v>55361204.340000004</v>
      </c>
      <c r="AL21" s="51">
        <f t="shared" ref="AL21" si="640">SUM(AL22:AL26)</f>
        <v>25703181.84</v>
      </c>
      <c r="AM21" s="51">
        <f t="shared" ref="AM21" si="641">SUM(AM22:AM26)</f>
        <v>0</v>
      </c>
      <c r="AN21" s="51">
        <f t="shared" ref="AN21" si="642">SUM(AN22:AN26)</f>
        <v>0</v>
      </c>
      <c r="AO21" s="51">
        <f t="shared" ref="AO21" si="643">SUM(AO22:AO26)</f>
        <v>2892000</v>
      </c>
      <c r="AP21" s="51">
        <f t="shared" ref="AP21" si="644">SUM(AP22:AP26)</f>
        <v>0</v>
      </c>
      <c r="AQ21" s="51">
        <f t="shared" ref="AQ21" si="645">SUM(AQ22:AQ26)</f>
        <v>18292900</v>
      </c>
      <c r="AR21" s="51">
        <f t="shared" ref="AR21" si="646">SUM(AR22:AR26)</f>
        <v>0</v>
      </c>
      <c r="AS21" s="51">
        <f t="shared" ref="AS21" si="647">SUM(AS22:AS26)</f>
        <v>-8473122.4999999981</v>
      </c>
      <c r="AT21" s="92"/>
      <c r="AU21" s="51">
        <f>SUM(AU22:AU26)</f>
        <v>6141010.7400000002</v>
      </c>
      <c r="AV21" s="51">
        <f t="shared" ref="AV21" si="648">SUM(AV22:AV26)</f>
        <v>30370500</v>
      </c>
      <c r="AW21" s="51">
        <f t="shared" ref="AW21" si="649">SUM(AW22:AW26)</f>
        <v>1150000</v>
      </c>
      <c r="AX21" s="51">
        <f t="shared" ref="AX21" si="650">SUM(AX22:AX26)</f>
        <v>37661510.739999995</v>
      </c>
      <c r="AY21" s="51">
        <f t="shared" ref="AY21" si="651">SUM(AY22:AY26)</f>
        <v>16703511.240000002</v>
      </c>
      <c r="AZ21" s="51">
        <f t="shared" ref="AZ21" si="652">SUM(AZ22:AZ26)</f>
        <v>0</v>
      </c>
      <c r="BA21" s="51">
        <f t="shared" ref="BA21" si="653">SUM(BA22:BA26)</f>
        <v>0</v>
      </c>
      <c r="BB21" s="51">
        <f t="shared" ref="BB21" si="654">SUM(BB22:BB26)</f>
        <v>0</v>
      </c>
      <c r="BC21" s="51">
        <f t="shared" ref="BC21" si="655">SUM(BC22:BC26)</f>
        <v>0</v>
      </c>
      <c r="BD21" s="51">
        <f t="shared" ref="BD21" si="656">SUM(BD22:BD26)</f>
        <v>15868000</v>
      </c>
      <c r="BE21" s="51">
        <f t="shared" ref="BE21" si="657">SUM(BE22:BE26)</f>
        <v>0</v>
      </c>
      <c r="BF21" s="51">
        <f t="shared" ref="BF21" si="658">SUM(BF22:BF26)</f>
        <v>-5089999.5</v>
      </c>
      <c r="BG21" s="92"/>
      <c r="BH21" s="51">
        <f>SUM(BH22:BH26)</f>
        <v>5104422.99</v>
      </c>
      <c r="BI21" s="51">
        <f t="shared" ref="BI21" si="659">SUM(BI22:BI26)</f>
        <v>28946300</v>
      </c>
      <c r="BJ21" s="51">
        <f t="shared" ref="BJ21" si="660">SUM(BJ22:BJ26)</f>
        <v>1150000</v>
      </c>
      <c r="BK21" s="51">
        <f t="shared" ref="BK21" si="661">SUM(BK22:BK26)</f>
        <v>35200722.989999995</v>
      </c>
      <c r="BL21" s="51">
        <f t="shared" ref="BL21" si="662">SUM(BL22:BL26)</f>
        <v>15666923.490000002</v>
      </c>
      <c r="BM21" s="51">
        <f t="shared" ref="BM21" si="663">SUM(BM22:BM26)</f>
        <v>0</v>
      </c>
      <c r="BN21" s="51">
        <f t="shared" ref="BN21" si="664">SUM(BN22:BN26)</f>
        <v>0</v>
      </c>
      <c r="BO21" s="51">
        <f t="shared" ref="BO21" si="665">SUM(BO22:BO26)</f>
        <v>0</v>
      </c>
      <c r="BP21" s="51">
        <f t="shared" ref="BP21" si="666">SUM(BP22:BP26)</f>
        <v>0</v>
      </c>
      <c r="BQ21" s="51">
        <f t="shared" ref="BQ21" si="667">SUM(BQ22:BQ26)</f>
        <v>14443800</v>
      </c>
      <c r="BR21" s="51">
        <f t="shared" ref="BR21" si="668">SUM(BR22:BR26)</f>
        <v>0</v>
      </c>
      <c r="BS21" s="51">
        <f t="shared" ref="BS21" si="669">SUM(BS22:BS26)</f>
        <v>-5089999.5</v>
      </c>
      <c r="BT21" s="92"/>
      <c r="BU21" s="51">
        <f>SUM(BU22:BU26)</f>
        <v>4915952.49</v>
      </c>
      <c r="BV21" s="51">
        <f t="shared" ref="BV21" si="670">SUM(BV22:BV26)</f>
        <v>28079800</v>
      </c>
      <c r="BW21" s="51">
        <f t="shared" ref="BW21" si="671">SUM(BW22:BW26)</f>
        <v>1150000</v>
      </c>
      <c r="BX21" s="51">
        <f t="shared" ref="BX21" si="672">SUM(BX22:BX26)</f>
        <v>34145752.489999995</v>
      </c>
      <c r="BY21" s="51">
        <f t="shared" ref="BY21" si="673">SUM(BY22:BY26)</f>
        <v>14915952.490000002</v>
      </c>
      <c r="BZ21" s="51">
        <f t="shared" ref="BZ21" si="674">SUM(BZ22:BZ26)</f>
        <v>0</v>
      </c>
      <c r="CA21" s="51">
        <f t="shared" ref="CA21" si="675">SUM(CA22:CA26)</f>
        <v>0</v>
      </c>
      <c r="CB21" s="51">
        <f t="shared" ref="CB21" si="676">SUM(CB22:CB26)</f>
        <v>0</v>
      </c>
      <c r="CC21" s="51">
        <f t="shared" ref="CC21" si="677">SUM(CC22:CC26)</f>
        <v>0</v>
      </c>
      <c r="CD21" s="51">
        <f t="shared" ref="CD21" si="678">SUM(CD22:CD26)</f>
        <v>14443800</v>
      </c>
      <c r="CE21" s="51">
        <f t="shared" ref="CE21" si="679">SUM(CE22:CE26)</f>
        <v>0</v>
      </c>
      <c r="CF21" s="51">
        <f t="shared" ref="CF21" si="680">SUM(CF22:CF26)</f>
        <v>-4786000</v>
      </c>
      <c r="CG21" s="92"/>
      <c r="CH21" s="51">
        <f>SUM(CH22:CH26)</f>
        <v>0</v>
      </c>
      <c r="CI21" s="51">
        <f t="shared" ref="CI21" si="681">SUM(CI22:CI26)</f>
        <v>0</v>
      </c>
      <c r="CJ21" s="51">
        <f t="shared" ref="CJ21" si="682">SUM(CJ22:CJ26)</f>
        <v>0</v>
      </c>
      <c r="CK21" s="51">
        <f t="shared" ref="CK21" si="683">SUM(CK22:CK26)</f>
        <v>0</v>
      </c>
      <c r="CL21" s="51">
        <f t="shared" ref="CL21" si="684">SUM(CL22:CL26)</f>
        <v>0</v>
      </c>
      <c r="CM21" s="51">
        <f t="shared" ref="CM21" si="685">SUM(CM22:CM26)</f>
        <v>0</v>
      </c>
      <c r="CN21" s="51">
        <f t="shared" ref="CN21" si="686">SUM(CN22:CN26)</f>
        <v>0</v>
      </c>
      <c r="CO21" s="51">
        <f t="shared" ref="CO21" si="687">SUM(CO22:CO26)</f>
        <v>0</v>
      </c>
      <c r="CP21" s="51">
        <f t="shared" ref="CP21" si="688">SUM(CP22:CP26)</f>
        <v>0</v>
      </c>
      <c r="CQ21" s="51">
        <f t="shared" ref="CQ21" si="689">SUM(CQ22:CQ26)</f>
        <v>0</v>
      </c>
      <c r="CR21" s="51">
        <f t="shared" ref="CR21" si="690">SUM(CR22:CR26)</f>
        <v>0</v>
      </c>
      <c r="CS21" s="51">
        <f t="shared" ref="CS21" si="691">SUM(CS22:CS26)</f>
        <v>0</v>
      </c>
      <c r="CT21" s="92"/>
      <c r="CU21" s="51">
        <f>SUM(CU22:CU26)</f>
        <v>0</v>
      </c>
      <c r="CV21" s="51">
        <f t="shared" ref="CV21" si="692">SUM(CV22:CV26)</f>
        <v>0</v>
      </c>
      <c r="CW21" s="51">
        <f t="shared" ref="CW21" si="693">SUM(CW22:CW26)</f>
        <v>0</v>
      </c>
      <c r="CX21" s="51">
        <f t="shared" ref="CX21" si="694">SUM(CX22:CX26)</f>
        <v>0</v>
      </c>
      <c r="CY21" s="51">
        <f t="shared" ref="CY21" si="695">SUM(CY22:CY26)</f>
        <v>0</v>
      </c>
      <c r="CZ21" s="51">
        <f t="shared" ref="CZ21" si="696">SUM(CZ22:CZ26)</f>
        <v>0</v>
      </c>
      <c r="DA21" s="51">
        <f t="shared" ref="DA21" si="697">SUM(DA22:DA26)</f>
        <v>0</v>
      </c>
      <c r="DB21" s="51">
        <f t="shared" ref="DB21" si="698">SUM(DB22:DB26)</f>
        <v>0</v>
      </c>
      <c r="DC21" s="51">
        <f t="shared" ref="DC21" si="699">SUM(DC22:DC26)</f>
        <v>0</v>
      </c>
      <c r="DD21" s="51">
        <f t="shared" ref="DD21" si="700">SUM(DD22:DD26)</f>
        <v>0</v>
      </c>
      <c r="DE21" s="51">
        <f t="shared" ref="DE21" si="701">SUM(DE22:DE26)</f>
        <v>0</v>
      </c>
      <c r="DF21" s="51">
        <f t="shared" ref="DF21" si="702">SUM(DF22:DF26)</f>
        <v>0</v>
      </c>
      <c r="DG21" s="92"/>
      <c r="DH21" s="51">
        <f>SUM(DH22:DH26)</f>
        <v>0</v>
      </c>
      <c r="DI21" s="51">
        <f t="shared" ref="DI21" si="703">SUM(DI22:DI26)</f>
        <v>0</v>
      </c>
      <c r="DJ21" s="51">
        <f t="shared" ref="DJ21" si="704">SUM(DJ22:DJ26)</f>
        <v>0</v>
      </c>
      <c r="DK21" s="51">
        <f t="shared" ref="DK21" si="705">SUM(DK22:DK26)</f>
        <v>0</v>
      </c>
      <c r="DL21" s="51">
        <f t="shared" ref="DL21" si="706">SUM(DL22:DL26)</f>
        <v>0</v>
      </c>
      <c r="DM21" s="51">
        <f t="shared" ref="DM21" si="707">SUM(DM22:DM26)</f>
        <v>0</v>
      </c>
      <c r="DN21" s="51">
        <f t="shared" ref="DN21" si="708">SUM(DN22:DN26)</f>
        <v>0</v>
      </c>
      <c r="DO21" s="51">
        <f t="shared" ref="DO21" si="709">SUM(DO22:DO26)</f>
        <v>0</v>
      </c>
      <c r="DP21" s="51">
        <f t="shared" ref="DP21" si="710">SUM(DP22:DP26)</f>
        <v>0</v>
      </c>
      <c r="DQ21" s="51">
        <f t="shared" ref="DQ21" si="711">SUM(DQ22:DQ26)</f>
        <v>0</v>
      </c>
      <c r="DR21" s="51">
        <f t="shared" ref="DR21" si="712">SUM(DR22:DR26)</f>
        <v>0</v>
      </c>
      <c r="DS21" s="51">
        <f t="shared" ref="DS21" si="713">SUM(DS22:DS26)</f>
        <v>0</v>
      </c>
      <c r="DT21" s="92"/>
      <c r="DU21" s="51">
        <f>SUM(DU22:DU26)</f>
        <v>0</v>
      </c>
      <c r="DV21" s="51">
        <f t="shared" ref="DV21" si="714">SUM(DV22:DV26)</f>
        <v>0</v>
      </c>
      <c r="DW21" s="51">
        <f t="shared" ref="DW21" si="715">SUM(DW22:DW26)</f>
        <v>0</v>
      </c>
      <c r="DX21" s="51">
        <f t="shared" ref="DX21" si="716">SUM(DX22:DX26)</f>
        <v>0</v>
      </c>
      <c r="DY21" s="51">
        <f t="shared" ref="DY21" si="717">SUM(DY22:DY26)</f>
        <v>0</v>
      </c>
      <c r="DZ21" s="51">
        <f t="shared" ref="DZ21" si="718">SUM(DZ22:DZ26)</f>
        <v>0</v>
      </c>
      <c r="EA21" s="51">
        <f t="shared" ref="EA21" si="719">SUM(EA22:EA26)</f>
        <v>0</v>
      </c>
      <c r="EB21" s="51">
        <f t="shared" ref="EB21" si="720">SUM(EB22:EB26)</f>
        <v>0</v>
      </c>
      <c r="EC21" s="51">
        <f t="shared" ref="EC21" si="721">SUM(EC22:EC26)</f>
        <v>0</v>
      </c>
      <c r="ED21" s="51">
        <f t="shared" ref="ED21" si="722">SUM(ED22:ED26)</f>
        <v>0</v>
      </c>
      <c r="EE21" s="51">
        <f t="shared" ref="EE21" si="723">SUM(EE22:EE26)</f>
        <v>0</v>
      </c>
      <c r="EF21" s="51">
        <f t="shared" ref="EF21" si="724">SUM(EF22:EF26)</f>
        <v>0</v>
      </c>
      <c r="EG21" s="92"/>
      <c r="EH21" s="51">
        <f>SUM(EH22:EH26)</f>
        <v>53076910.5</v>
      </c>
      <c r="EI21" s="51">
        <f t="shared" ref="EI21" si="725">SUM(EI22:EI26)</f>
        <v>188123900</v>
      </c>
      <c r="EJ21" s="51">
        <f t="shared" ref="EJ21" si="726">SUM(EJ22:EJ26)</f>
        <v>5750000</v>
      </c>
      <c r="EK21" s="51">
        <f t="shared" ref="EK21" si="727">SUM(EK22:EK26)</f>
        <v>246950810.5</v>
      </c>
      <c r="EL21" s="51">
        <f t="shared" ref="EL21" si="728">SUM(EL22:EL26)</f>
        <v>100919613.80000001</v>
      </c>
      <c r="EM21" s="51">
        <f t="shared" ref="EM21" si="729">SUM(EM22:EM26)</f>
        <v>0</v>
      </c>
      <c r="EN21" s="51">
        <f t="shared" ref="EN21" si="730">SUM(EN22:EN26)</f>
        <v>0</v>
      </c>
      <c r="EO21" s="51">
        <f t="shared" ref="EO21" si="731">SUM(EO22:EO26)</f>
        <v>15684000</v>
      </c>
      <c r="EP21" s="51">
        <f t="shared" ref="EP21" si="732">SUM(EP22:EP26)</f>
        <v>0</v>
      </c>
      <c r="EQ21" s="51">
        <f t="shared" ref="EQ21" si="733">SUM(EQ22:EQ26)</f>
        <v>98511958.700000003</v>
      </c>
      <c r="ER21" s="51">
        <f t="shared" ref="ER21" si="734">SUM(ER22:ER26)</f>
        <v>0</v>
      </c>
      <c r="ES21" s="51">
        <f t="shared" ref="ES21" si="735">SUM(ES22:ES26)</f>
        <v>-31835237.999999996</v>
      </c>
    </row>
    <row r="22" spans="1:149" ht="41.4">
      <c r="B22" s="26"/>
      <c r="C22" s="159"/>
      <c r="D22" s="31" t="s">
        <v>632</v>
      </c>
      <c r="E22" s="56" t="s">
        <v>563</v>
      </c>
      <c r="F22" s="31">
        <v>2021</v>
      </c>
      <c r="G22" s="31">
        <v>2023</v>
      </c>
      <c r="H22" s="49">
        <f>'Incremental_Cost Year 1'!AQ101</f>
        <v>0</v>
      </c>
      <c r="I22" s="49">
        <f>'Incremental_Cost Year 1'!AR101</f>
        <v>0</v>
      </c>
      <c r="J22" s="49">
        <f>'Incremental_Cost Year 1'!AS101</f>
        <v>0</v>
      </c>
      <c r="K22" s="49">
        <f>'Incremental_Cost Year 1'!AT101</f>
        <v>0</v>
      </c>
      <c r="L22" s="49">
        <f>'Incremental_Cost Year 1'!AU101</f>
        <v>0</v>
      </c>
      <c r="M22" s="49">
        <f>'Incremental_Cost Year 1'!AV101</f>
        <v>0</v>
      </c>
      <c r="N22" s="49">
        <f>'Incremental_Cost Year 1'!AW101</f>
        <v>0</v>
      </c>
      <c r="O22" s="49">
        <f>'Incremental_Cost Year 1'!AX101</f>
        <v>0</v>
      </c>
      <c r="P22" s="49">
        <f>'Incremental_Cost Year 1'!AY101</f>
        <v>0</v>
      </c>
      <c r="Q22" s="49">
        <f>'Incremental_Cost Year 1'!AZ101</f>
        <v>0</v>
      </c>
      <c r="R22" s="49">
        <f>'Incremental_Cost Year 1'!BA101</f>
        <v>0</v>
      </c>
      <c r="S22" s="49">
        <f t="shared" ref="S22:S33" si="736">L22+M22+N22+O22+P22+Q22+R22-K22</f>
        <v>0</v>
      </c>
      <c r="T22" s="89"/>
      <c r="U22" s="49">
        <f>'Incremental_Cost Year 2'!AQ101</f>
        <v>4787150.7</v>
      </c>
      <c r="V22" s="49">
        <f>'Incremental_Cost Year 2'!AR101</f>
        <v>7883600</v>
      </c>
      <c r="W22" s="49">
        <f>'Incremental_Cost Year 2'!AS101</f>
        <v>0</v>
      </c>
      <c r="X22" s="49">
        <f>'Incremental_Cost Year 2'!AT101</f>
        <v>12670750.699999999</v>
      </c>
      <c r="Y22" s="49">
        <f>'Incremental_Cost Year 2'!AU101</f>
        <v>9787150.6999999993</v>
      </c>
      <c r="Z22" s="49">
        <f>'Incremental_Cost Year 2'!AV101</f>
        <v>0</v>
      </c>
      <c r="AA22" s="49">
        <f>'Incremental_Cost Year 2'!AW101</f>
        <v>0</v>
      </c>
      <c r="AB22" s="49">
        <f>'Incremental_Cost Year 2'!AX101</f>
        <v>0</v>
      </c>
      <c r="AC22" s="49">
        <f>'Incremental_Cost Year 2'!AY101</f>
        <v>0</v>
      </c>
      <c r="AD22" s="49">
        <f>'Incremental_Cost Year 2'!AZ101</f>
        <v>0</v>
      </c>
      <c r="AE22" s="49">
        <f>'Incremental_Cost Year 2'!BA101</f>
        <v>0</v>
      </c>
      <c r="AF22" s="49">
        <f t="shared" ref="AF22:AF26" si="737">Y22+Z22+AA22+AB22+AC22+AD22+AE22-X22</f>
        <v>-2883600</v>
      </c>
      <c r="AG22" s="96"/>
      <c r="AH22" s="49">
        <f>'Incremental_Cost Year 3'!AQ101</f>
        <v>4787150.7</v>
      </c>
      <c r="AI22" s="49">
        <f>'Incremental_Cost Year 3'!AR101</f>
        <v>9224400</v>
      </c>
      <c r="AJ22" s="49">
        <f>'Incremental_Cost Year 3'!AS101</f>
        <v>0</v>
      </c>
      <c r="AK22" s="49">
        <f>'Incremental_Cost Year 3'!AT101</f>
        <v>14011550.699999999</v>
      </c>
      <c r="AL22" s="49">
        <f>'Incremental_Cost Year 3'!AU101</f>
        <v>9787150.6999999993</v>
      </c>
      <c r="AM22" s="49">
        <f>'Incremental_Cost Year 3'!AV101</f>
        <v>0</v>
      </c>
      <c r="AN22" s="49">
        <f>'Incremental_Cost Year 3'!AW101</f>
        <v>0</v>
      </c>
      <c r="AO22" s="49">
        <f>'Incremental_Cost Year 3'!AX101</f>
        <v>0</v>
      </c>
      <c r="AP22" s="49">
        <f>'Incremental_Cost Year 3'!AY101</f>
        <v>0</v>
      </c>
      <c r="AQ22" s="49">
        <f>'Incremental_Cost Year 3'!AZ101</f>
        <v>0</v>
      </c>
      <c r="AR22" s="49">
        <f>'Incremental_Cost Year 3'!BA101</f>
        <v>0</v>
      </c>
      <c r="AS22" s="49">
        <f t="shared" ref="AS22:AS26" si="738">AL22+AM22+AN22+AO22+AP22+AQ22+AR22-AK22</f>
        <v>-4224400</v>
      </c>
      <c r="AT22" s="92"/>
      <c r="AU22" s="49">
        <f>'Incremental_Cost Year 4'!AQ101</f>
        <v>75388.2</v>
      </c>
      <c r="AV22" s="49">
        <f>'Incremental_Cost Year 4'!AR101</f>
        <v>8040000</v>
      </c>
      <c r="AW22" s="49">
        <f>'Incremental_Cost Year 4'!AS101</f>
        <v>0</v>
      </c>
      <c r="AX22" s="49">
        <f>'Incremental_Cost Year 4'!AT101</f>
        <v>8115388.2000000002</v>
      </c>
      <c r="AY22" s="49">
        <f>'Incremental_Cost Year 4'!AU101</f>
        <v>5075388.2</v>
      </c>
      <c r="AZ22" s="49">
        <f>'Incremental_Cost Year 4'!AV101</f>
        <v>0</v>
      </c>
      <c r="BA22" s="49">
        <f>'Incremental_Cost Year 4'!AW101</f>
        <v>0</v>
      </c>
      <c r="BB22" s="49">
        <f>'Incremental_Cost Year 4'!AX101</f>
        <v>0</v>
      </c>
      <c r="BC22" s="49">
        <f>'Incremental_Cost Year 4'!AY101</f>
        <v>0</v>
      </c>
      <c r="BD22" s="49">
        <f>'Incremental_Cost Year 4'!AZ101</f>
        <v>0</v>
      </c>
      <c r="BE22" s="49">
        <f>'Incremental_Cost Year 4'!BA101</f>
        <v>0</v>
      </c>
      <c r="BF22" s="49">
        <f t="shared" ref="BF22:BF26" si="739">AY22+AZ22+BA22+BB22+BC22+BD22+BE22-AX22</f>
        <v>-3040000</v>
      </c>
      <c r="BG22" s="92"/>
      <c r="BH22" s="49">
        <f>'Incremental_Cost Year 5'!AQ101</f>
        <v>75388.2</v>
      </c>
      <c r="BI22" s="49">
        <f>'Incremental_Cost Year 5'!AR101</f>
        <v>8040000</v>
      </c>
      <c r="BJ22" s="49">
        <f>'Incremental_Cost Year 5'!AS101</f>
        <v>0</v>
      </c>
      <c r="BK22" s="49">
        <f>'Incremental_Cost Year 5'!AT101</f>
        <v>8115388.2000000002</v>
      </c>
      <c r="BL22" s="49">
        <f>'Incremental_Cost Year 5'!AU101</f>
        <v>5075388.2</v>
      </c>
      <c r="BM22" s="49">
        <f>'Incremental_Cost Year 5'!AV101</f>
        <v>0</v>
      </c>
      <c r="BN22" s="49">
        <f>'Incremental_Cost Year 5'!AW101</f>
        <v>0</v>
      </c>
      <c r="BO22" s="49">
        <f>'Incremental_Cost Year 5'!AX101</f>
        <v>0</v>
      </c>
      <c r="BP22" s="49">
        <f>'Incremental_Cost Year 5'!AY101</f>
        <v>0</v>
      </c>
      <c r="BQ22" s="49">
        <f>'Incremental_Cost Year 5'!AZ101</f>
        <v>0</v>
      </c>
      <c r="BR22" s="49">
        <f>'Incremental_Cost Year 5'!BA101</f>
        <v>0</v>
      </c>
      <c r="BS22" s="49">
        <f t="shared" ref="BS22:BS26" si="740">BL22+BM22+BN22+BO22+BP22+BQ22+BR22-BK22</f>
        <v>-3040000</v>
      </c>
      <c r="BT22" s="92"/>
      <c r="BU22" s="49">
        <f>'Incremental_Cost Year 6'!AQ101</f>
        <v>75388.2</v>
      </c>
      <c r="BV22" s="49">
        <f>'Incremental_Cost Year 6'!AR101</f>
        <v>8040000</v>
      </c>
      <c r="BW22" s="49">
        <f>'Incremental_Cost Year 6'!AS101</f>
        <v>0</v>
      </c>
      <c r="BX22" s="49">
        <f>'Incremental_Cost Year 6'!AT101</f>
        <v>8115388.2000000002</v>
      </c>
      <c r="BY22" s="49">
        <f>'Incremental_Cost Year 6'!AU101</f>
        <v>5075388.2</v>
      </c>
      <c r="BZ22" s="49">
        <f>'Incremental_Cost Year 6'!AV101</f>
        <v>0</v>
      </c>
      <c r="CA22" s="49">
        <f>'Incremental_Cost Year 6'!AW101</f>
        <v>0</v>
      </c>
      <c r="CB22" s="49">
        <f>'Incremental_Cost Year 6'!AX101</f>
        <v>0</v>
      </c>
      <c r="CC22" s="49">
        <f>'Incremental_Cost Year 6'!AY101</f>
        <v>0</v>
      </c>
      <c r="CD22" s="49">
        <f>'Incremental_Cost Year 6'!AZ101</f>
        <v>0</v>
      </c>
      <c r="CE22" s="49">
        <f>'Incremental_Cost Year 6'!BA101</f>
        <v>0</v>
      </c>
      <c r="CF22" s="49">
        <f t="shared" ref="CF22:CF26" si="741">BY22+BZ22+CA22+CB22+CC22+CD22+CE22-BX22</f>
        <v>-3040000</v>
      </c>
      <c r="CG22" s="92"/>
      <c r="CH22" s="49"/>
      <c r="CI22" s="49"/>
      <c r="CJ22" s="49"/>
      <c r="CK22" s="49"/>
      <c r="CL22" s="49"/>
      <c r="CM22" s="49"/>
      <c r="CN22" s="49"/>
      <c r="CO22" s="49"/>
      <c r="CP22" s="49"/>
      <c r="CQ22" s="49"/>
      <c r="CR22" s="49"/>
      <c r="CS22" s="49"/>
      <c r="CT22" s="92"/>
      <c r="CU22" s="49"/>
      <c r="CV22" s="49"/>
      <c r="CW22" s="49"/>
      <c r="CX22" s="49"/>
      <c r="CY22" s="49"/>
      <c r="CZ22" s="49"/>
      <c r="DA22" s="49"/>
      <c r="DB22" s="49"/>
      <c r="DC22" s="49"/>
      <c r="DD22" s="49"/>
      <c r="DE22" s="49"/>
      <c r="DF22" s="49">
        <f t="shared" ref="DF22:DF24" si="742">SUM(CY22:DE22)-CX22</f>
        <v>0</v>
      </c>
      <c r="DG22" s="92"/>
      <c r="DH22" s="49"/>
      <c r="DI22" s="49"/>
      <c r="DJ22" s="49"/>
      <c r="DK22" s="49"/>
      <c r="DL22" s="49"/>
      <c r="DM22" s="49"/>
      <c r="DN22" s="49"/>
      <c r="DO22" s="49"/>
      <c r="DP22" s="49"/>
      <c r="DQ22" s="49"/>
      <c r="DR22" s="49"/>
      <c r="DS22" s="49">
        <f t="shared" ref="DS22:DS24" si="743">SUM(DL22:DR22)-DK22</f>
        <v>0</v>
      </c>
      <c r="DT22" s="92"/>
      <c r="DU22" s="49"/>
      <c r="DV22" s="49"/>
      <c r="DW22" s="49"/>
      <c r="DX22" s="49"/>
      <c r="DY22" s="49"/>
      <c r="DZ22" s="49"/>
      <c r="EA22" s="49"/>
      <c r="EB22" s="49"/>
      <c r="EC22" s="49"/>
      <c r="ED22" s="49"/>
      <c r="EE22" s="49"/>
      <c r="EF22" s="49">
        <f t="shared" ref="EF22:EF24" si="744">SUM(DY22:EE22)-DX22</f>
        <v>0</v>
      </c>
      <c r="EG22" s="92"/>
      <c r="EH22" s="49">
        <f>H22+U22+AH22+AU22+BH22+BU22+CH22+CU22+DH22+DU22</f>
        <v>9800465.9999999981</v>
      </c>
      <c r="EI22" s="49">
        <f t="shared" ref="EI22:EI24" si="745">I22+V22+AI22+AV22+BI22+BV22+CI22+CV22+DI22+DV22</f>
        <v>41228000</v>
      </c>
      <c r="EJ22" s="49">
        <f t="shared" ref="EJ22:EJ24" si="746">J22+W22+AJ22+AW22+BJ22+BW22+CJ22+CW22+DJ22+DW22</f>
        <v>0</v>
      </c>
      <c r="EK22" s="49">
        <f t="shared" ref="EK22:EK24" si="747">K22+X22+AK22+AX22+BK22+BX22+CK22+CX22+DK22+DX22</f>
        <v>51028466.000000007</v>
      </c>
      <c r="EL22" s="49">
        <f t="shared" ref="EL22:EL24" si="748">L22+Y22+AL22+AY22+BL22+BY22+CL22+CY22+DL22+DY22</f>
        <v>34800466</v>
      </c>
      <c r="EM22" s="49">
        <f t="shared" ref="EM22:EM24" si="749">M22+Z22+AM22+AZ22+BM22+BZ22+CM22+CZ22+DM22+DZ22</f>
        <v>0</v>
      </c>
      <c r="EN22" s="49">
        <f t="shared" ref="EN22:EN24" si="750">N22+AA22+AN22+BA22+BN22+CA22+CN22+DA22+DN22+EA22</f>
        <v>0</v>
      </c>
      <c r="EO22" s="49">
        <f t="shared" ref="EO22:EO24" si="751">O22+AB22+AO22+BB22+BO22+CB22+CO22+DB22+DO22+EB22</f>
        <v>0</v>
      </c>
      <c r="EP22" s="49">
        <f t="shared" ref="EP22:EP24" si="752">P22+AC22+AP22+BC22+BP22+CC22+CP22+DC22+DP22+EC22</f>
        <v>0</v>
      </c>
      <c r="EQ22" s="49">
        <f t="shared" ref="EQ22:EQ24" si="753">Q22+AD22+AQ22+BD22+BQ22+CD22+CQ22+DD22+DQ22+ED22</f>
        <v>0</v>
      </c>
      <c r="ER22" s="49">
        <f t="shared" ref="ER22:ER24" si="754">R22+AE22+AR22+BE22+BR22+CE22+CR22+DE22+DR22+EE22</f>
        <v>0</v>
      </c>
      <c r="ES22" s="49">
        <f t="shared" ref="ES22:ES24" si="755">S22+AF22+AS22+BF22+BS22+CF22+CS22+DF22+DS22+EF22</f>
        <v>-16228000</v>
      </c>
    </row>
    <row r="23" spans="1:149" ht="27.6">
      <c r="B23" s="26"/>
      <c r="C23" s="159"/>
      <c r="D23" s="31" t="s">
        <v>633</v>
      </c>
      <c r="E23" s="56" t="s">
        <v>569</v>
      </c>
      <c r="F23" s="31">
        <v>2021</v>
      </c>
      <c r="G23" s="31">
        <v>2023</v>
      </c>
      <c r="H23" s="49">
        <f>'Incremental_Cost Year 1'!AQ113</f>
        <v>0</v>
      </c>
      <c r="I23" s="49">
        <f>'Incremental_Cost Year 1'!AR113</f>
        <v>0</v>
      </c>
      <c r="J23" s="49">
        <f>'Incremental_Cost Year 1'!AS113</f>
        <v>0</v>
      </c>
      <c r="K23" s="49">
        <f>'Incremental_Cost Year 1'!AT113</f>
        <v>0</v>
      </c>
      <c r="L23" s="49">
        <f>'Incremental_Cost Year 1'!AU113</f>
        <v>0</v>
      </c>
      <c r="M23" s="49">
        <f>'Incremental_Cost Year 1'!AV113</f>
        <v>0</v>
      </c>
      <c r="N23" s="49">
        <f>'Incremental_Cost Year 1'!AW113</f>
        <v>0</v>
      </c>
      <c r="O23" s="49">
        <f>'Incremental_Cost Year 1'!AX113</f>
        <v>0</v>
      </c>
      <c r="P23" s="49">
        <f>'Incremental_Cost Year 1'!AY113</f>
        <v>0</v>
      </c>
      <c r="Q23" s="49">
        <f>'Incremental_Cost Year 1'!AZ113</f>
        <v>0</v>
      </c>
      <c r="R23" s="49">
        <f>'Incremental_Cost Year 1'!BA113</f>
        <v>0</v>
      </c>
      <c r="S23" s="49">
        <f t="shared" si="736"/>
        <v>0</v>
      </c>
      <c r="T23" s="89"/>
      <c r="U23" s="49">
        <f>'Incremental_Cost Year 2'!AQ113</f>
        <v>3566141.94</v>
      </c>
      <c r="V23" s="49">
        <f>'Incremental_Cost Year 2'!AR113</f>
        <v>13144000</v>
      </c>
      <c r="W23" s="49">
        <f>'Incremental_Cost Year 2'!AS113</f>
        <v>0</v>
      </c>
      <c r="X23" s="49">
        <f>'Incremental_Cost Year 2'!AT113</f>
        <v>16710141.939999999</v>
      </c>
      <c r="Y23" s="49">
        <f>'Incremental_Cost Year 2'!AU113</f>
        <v>8566141.9400000013</v>
      </c>
      <c r="Z23" s="49">
        <f>'Incremental_Cost Year 2'!AV113</f>
        <v>0</v>
      </c>
      <c r="AA23" s="49">
        <f>'Incremental_Cost Year 2'!AW113</f>
        <v>0</v>
      </c>
      <c r="AB23" s="49">
        <f>'Incremental_Cost Year 2'!AX113</f>
        <v>1000000</v>
      </c>
      <c r="AC23" s="49">
        <f>'Incremental_Cost Year 2'!AY113</f>
        <v>0</v>
      </c>
      <c r="AD23" s="49">
        <f>'Incremental_Cost Year 2'!AZ113</f>
        <v>6501270.5</v>
      </c>
      <c r="AE23" s="49">
        <f>'Incremental_Cost Year 2'!BA113</f>
        <v>0</v>
      </c>
      <c r="AF23" s="49">
        <f t="shared" si="737"/>
        <v>-642729.49999999814</v>
      </c>
      <c r="AG23" s="96"/>
      <c r="AH23" s="49">
        <f>'Incremental_Cost Year 3'!AQ113</f>
        <v>3566141.94</v>
      </c>
      <c r="AI23" s="49">
        <f>'Incremental_Cost Year 3'!AR113</f>
        <v>12958000</v>
      </c>
      <c r="AJ23" s="49">
        <f>'Incremental_Cost Year 3'!AS113</f>
        <v>0</v>
      </c>
      <c r="AK23" s="49">
        <f>'Incremental_Cost Year 3'!AT113</f>
        <v>16524141.939999999</v>
      </c>
      <c r="AL23" s="49">
        <f>'Incremental_Cost Year 3'!AU113</f>
        <v>8566141.9400000013</v>
      </c>
      <c r="AM23" s="49">
        <f>'Incremental_Cost Year 3'!AV113</f>
        <v>0</v>
      </c>
      <c r="AN23" s="49">
        <f>'Incremental_Cost Year 3'!AW113</f>
        <v>0</v>
      </c>
      <c r="AO23" s="49">
        <f>'Incremental_Cost Year 3'!AX113</f>
        <v>2052000</v>
      </c>
      <c r="AP23" s="49">
        <f>'Incremental_Cost Year 3'!AY113</f>
        <v>0</v>
      </c>
      <c r="AQ23" s="49">
        <f>'Incremental_Cost Year 3'!AZ113</f>
        <v>4242100</v>
      </c>
      <c r="AR23" s="49">
        <f>'Incremental_Cost Year 3'!BA113</f>
        <v>0</v>
      </c>
      <c r="AS23" s="49">
        <f t="shared" si="738"/>
        <v>-1663899.9999999981</v>
      </c>
      <c r="AT23" s="92"/>
      <c r="AU23" s="49">
        <f>'Incremental_Cost Year 4'!AQ113</f>
        <v>1539879.84</v>
      </c>
      <c r="AV23" s="49">
        <f>'Incremental_Cost Year 4'!AR113</f>
        <v>10457000</v>
      </c>
      <c r="AW23" s="49">
        <f>'Incremental_Cost Year 4'!AS113</f>
        <v>0</v>
      </c>
      <c r="AX23" s="49">
        <f>'Incremental_Cost Year 4'!AT113</f>
        <v>11996879.84</v>
      </c>
      <c r="AY23" s="49">
        <f>'Incremental_Cost Year 4'!AU113</f>
        <v>6539879.8400000008</v>
      </c>
      <c r="AZ23" s="49">
        <f>'Incremental_Cost Year 4'!AV113</f>
        <v>0</v>
      </c>
      <c r="BA23" s="49">
        <f>'Incremental_Cost Year 4'!AW113</f>
        <v>0</v>
      </c>
      <c r="BB23" s="49">
        <f>'Incremental_Cost Year 4'!AX113</f>
        <v>0</v>
      </c>
      <c r="BC23" s="49">
        <f>'Incremental_Cost Year 4'!AY113</f>
        <v>0</v>
      </c>
      <c r="BD23" s="49">
        <f>'Incremental_Cost Year 4'!AZ113</f>
        <v>4861000</v>
      </c>
      <c r="BE23" s="49">
        <f>'Incremental_Cost Year 4'!BA113</f>
        <v>0</v>
      </c>
      <c r="BF23" s="49">
        <f t="shared" si="739"/>
        <v>-596000</v>
      </c>
      <c r="BG23" s="92"/>
      <c r="BH23" s="49">
        <f>'Incremental_Cost Year 5'!AQ113</f>
        <v>503292.09</v>
      </c>
      <c r="BI23" s="49">
        <f>'Incremental_Cost Year 5'!AR113</f>
        <v>9032800</v>
      </c>
      <c r="BJ23" s="49">
        <f>'Incremental_Cost Year 5'!AS113</f>
        <v>0</v>
      </c>
      <c r="BK23" s="49">
        <f>'Incremental_Cost Year 5'!AT113</f>
        <v>9536092.0899999999</v>
      </c>
      <c r="BL23" s="49">
        <f>'Incremental_Cost Year 5'!AU113</f>
        <v>5503292.0900000008</v>
      </c>
      <c r="BM23" s="49">
        <f>'Incremental_Cost Year 5'!AV113</f>
        <v>0</v>
      </c>
      <c r="BN23" s="49">
        <f>'Incremental_Cost Year 5'!AW113</f>
        <v>0</v>
      </c>
      <c r="BO23" s="49">
        <f>'Incremental_Cost Year 5'!AX113</f>
        <v>0</v>
      </c>
      <c r="BP23" s="49">
        <f>'Incremental_Cost Year 5'!AY113</f>
        <v>0</v>
      </c>
      <c r="BQ23" s="49">
        <f>'Incremental_Cost Year 5'!AZ113</f>
        <v>3436800</v>
      </c>
      <c r="BR23" s="49">
        <f>'Incremental_Cost Year 5'!BA113</f>
        <v>0</v>
      </c>
      <c r="BS23" s="49">
        <f t="shared" si="740"/>
        <v>-596000</v>
      </c>
      <c r="BT23" s="92"/>
      <c r="BU23" s="49">
        <f>'Incremental_Cost Year 6'!AQ113</f>
        <v>503292.09</v>
      </c>
      <c r="BV23" s="49">
        <f>'Incremental_Cost Year 6'!AR113</f>
        <v>9032800</v>
      </c>
      <c r="BW23" s="49">
        <f>'Incremental_Cost Year 6'!AS113</f>
        <v>0</v>
      </c>
      <c r="BX23" s="49">
        <f>'Incremental_Cost Year 6'!AT113</f>
        <v>9536092.0899999999</v>
      </c>
      <c r="BY23" s="49">
        <f>'Incremental_Cost Year 6'!AU113</f>
        <v>5503292.0900000008</v>
      </c>
      <c r="BZ23" s="49">
        <f>'Incremental_Cost Year 6'!AV113</f>
        <v>0</v>
      </c>
      <c r="CA23" s="49">
        <f>'Incremental_Cost Year 6'!AW113</f>
        <v>0</v>
      </c>
      <c r="CB23" s="49">
        <f>'Incremental_Cost Year 6'!AX113</f>
        <v>0</v>
      </c>
      <c r="CC23" s="49">
        <f>'Incremental_Cost Year 6'!AY113</f>
        <v>0</v>
      </c>
      <c r="CD23" s="49">
        <f>'Incremental_Cost Year 6'!AZ113</f>
        <v>3436800</v>
      </c>
      <c r="CE23" s="49">
        <f>'Incremental_Cost Year 6'!BA113</f>
        <v>0</v>
      </c>
      <c r="CF23" s="49">
        <f t="shared" si="741"/>
        <v>-596000</v>
      </c>
      <c r="CG23" s="92"/>
      <c r="CH23" s="49"/>
      <c r="CI23" s="49"/>
      <c r="CJ23" s="49"/>
      <c r="CK23" s="49"/>
      <c r="CL23" s="49"/>
      <c r="CM23" s="49"/>
      <c r="CN23" s="49"/>
      <c r="CO23" s="49"/>
      <c r="CP23" s="49"/>
      <c r="CQ23" s="49"/>
      <c r="CR23" s="49"/>
      <c r="CS23" s="49"/>
      <c r="CT23" s="92"/>
      <c r="CU23" s="49"/>
      <c r="CV23" s="49"/>
      <c r="CW23" s="49"/>
      <c r="CX23" s="49"/>
      <c r="CY23" s="49"/>
      <c r="CZ23" s="49"/>
      <c r="DA23" s="49"/>
      <c r="DB23" s="49"/>
      <c r="DC23" s="49"/>
      <c r="DD23" s="49"/>
      <c r="DE23" s="49"/>
      <c r="DF23" s="49">
        <f t="shared" ref="DF23" si="756">SUM(CY23:DE23)-CX23</f>
        <v>0</v>
      </c>
      <c r="DG23" s="92"/>
      <c r="DH23" s="49"/>
      <c r="DI23" s="49"/>
      <c r="DJ23" s="49"/>
      <c r="DK23" s="49"/>
      <c r="DL23" s="49"/>
      <c r="DM23" s="49"/>
      <c r="DN23" s="49"/>
      <c r="DO23" s="49"/>
      <c r="DP23" s="49"/>
      <c r="DQ23" s="49"/>
      <c r="DR23" s="49"/>
      <c r="DS23" s="49">
        <f t="shared" ref="DS23" si="757">SUM(DL23:DR23)-DK23</f>
        <v>0</v>
      </c>
      <c r="DT23" s="92"/>
      <c r="DU23" s="49"/>
      <c r="DV23" s="49"/>
      <c r="DW23" s="49"/>
      <c r="DX23" s="49"/>
      <c r="DY23" s="49"/>
      <c r="DZ23" s="49"/>
      <c r="EA23" s="49"/>
      <c r="EB23" s="49"/>
      <c r="EC23" s="49"/>
      <c r="ED23" s="49"/>
      <c r="EE23" s="49"/>
      <c r="EF23" s="49">
        <f t="shared" ref="EF23" si="758">SUM(DY23:EE23)-DX23</f>
        <v>0</v>
      </c>
      <c r="EG23" s="92"/>
      <c r="EH23" s="49">
        <f>H23+U23+AH23+AU23+BH23+BU23+CH23+CU23+DH23+DU23</f>
        <v>9678747.9000000004</v>
      </c>
      <c r="EI23" s="49">
        <f t="shared" ref="EI23" si="759">I23+V23+AI23+AV23+BI23+BV23+CI23+CV23+DI23+DV23</f>
        <v>54624600</v>
      </c>
      <c r="EJ23" s="49">
        <f t="shared" ref="EJ23" si="760">J23+W23+AJ23+AW23+BJ23+BW23+CJ23+CW23+DJ23+DW23</f>
        <v>0</v>
      </c>
      <c r="EK23" s="49">
        <f t="shared" ref="EK23" si="761">K23+X23+AK23+AX23+BK23+BX23+CK23+CX23+DK23+DX23</f>
        <v>64303347.900000006</v>
      </c>
      <c r="EL23" s="49">
        <f t="shared" ref="EL23" si="762">L23+Y23+AL23+AY23+BL23+BY23+CL23+CY23+DL23+DY23</f>
        <v>34678747.900000006</v>
      </c>
      <c r="EM23" s="49">
        <f t="shared" ref="EM23" si="763">M23+Z23+AM23+AZ23+BM23+BZ23+CM23+CZ23+DM23+DZ23</f>
        <v>0</v>
      </c>
      <c r="EN23" s="49">
        <f t="shared" ref="EN23" si="764">N23+AA23+AN23+BA23+BN23+CA23+CN23+DA23+DN23+EA23</f>
        <v>0</v>
      </c>
      <c r="EO23" s="49">
        <f t="shared" ref="EO23" si="765">O23+AB23+AO23+BB23+BO23+CB23+CO23+DB23+DO23+EB23</f>
        <v>3052000</v>
      </c>
      <c r="EP23" s="49">
        <f t="shared" ref="EP23" si="766">P23+AC23+AP23+BC23+BP23+CC23+CP23+DC23+DP23+EC23</f>
        <v>0</v>
      </c>
      <c r="EQ23" s="49">
        <f t="shared" ref="EQ23" si="767">Q23+AD23+AQ23+BD23+BQ23+CD23+CQ23+DD23+DQ23+ED23</f>
        <v>22477970.5</v>
      </c>
      <c r="ER23" s="49">
        <f t="shared" ref="ER23" si="768">R23+AE23+AR23+BE23+BR23+CE23+CR23+DE23+DR23+EE23</f>
        <v>0</v>
      </c>
      <c r="ES23" s="49">
        <f t="shared" ref="ES23" si="769">S23+AF23+AS23+BF23+BS23+CF23+CS23+DF23+DS23+EF23</f>
        <v>-4094629.4999999963</v>
      </c>
    </row>
    <row r="24" spans="1:149" ht="96.6">
      <c r="B24" s="26"/>
      <c r="C24" s="159"/>
      <c r="D24" s="31" t="s">
        <v>634</v>
      </c>
      <c r="E24" s="56" t="s">
        <v>570</v>
      </c>
      <c r="F24" s="31">
        <v>2021</v>
      </c>
      <c r="G24" s="31">
        <v>2026</v>
      </c>
      <c r="H24" s="49">
        <f>'Incremental_Cost Year 1'!AQ136</f>
        <v>3656327.7</v>
      </c>
      <c r="I24" s="49">
        <f>'Incremental_Cost Year 1'!AR136</f>
        <v>4136600</v>
      </c>
      <c r="J24" s="49">
        <f>'Incremental_Cost Year 1'!AS136</f>
        <v>0</v>
      </c>
      <c r="K24" s="49">
        <f>'Incremental_Cost Year 1'!AT136</f>
        <v>7792927.7000000002</v>
      </c>
      <c r="L24" s="49">
        <f>'Incremental_Cost Year 1'!AU136</f>
        <v>2902445.7</v>
      </c>
      <c r="M24" s="49">
        <f>'Incremental_Cost Year 1'!AV136</f>
        <v>0</v>
      </c>
      <c r="N24" s="49">
        <f>'Incremental_Cost Year 1'!AW136</f>
        <v>0</v>
      </c>
      <c r="O24" s="49">
        <f>'Incremental_Cost Year 1'!AX136</f>
        <v>3002000</v>
      </c>
      <c r="P24" s="49">
        <f>'Incremental_Cost Year 1'!AY136</f>
        <v>0</v>
      </c>
      <c r="Q24" s="49">
        <f>'Incremental_Cost Year 1'!AZ136</f>
        <v>600000</v>
      </c>
      <c r="R24" s="49">
        <f>'Incremental_Cost Year 1'!BA136</f>
        <v>0</v>
      </c>
      <c r="S24" s="49">
        <f t="shared" si="736"/>
        <v>-1288482</v>
      </c>
      <c r="T24" s="89"/>
      <c r="U24" s="49">
        <f>'Incremental_Cost Year 2'!AQ136</f>
        <v>8445929.1000000015</v>
      </c>
      <c r="V24" s="49">
        <f>'Incremental_Cost Year 2'!AR136</f>
        <v>31567400</v>
      </c>
      <c r="W24" s="49">
        <f>'Incremental_Cost Year 2'!AS136</f>
        <v>1150000</v>
      </c>
      <c r="X24" s="49">
        <f>'Incremental_Cost Year 2'!AT136</f>
        <v>41163329.100000001</v>
      </c>
      <c r="Y24" s="49">
        <f>'Incremental_Cost Year 2'!AU136</f>
        <v>6485835.9000000004</v>
      </c>
      <c r="Z24" s="49">
        <f>'Incremental_Cost Year 2'!AV136</f>
        <v>0</v>
      </c>
      <c r="AA24" s="49">
        <f>'Incremental_Cost Year 2'!AW136</f>
        <v>0</v>
      </c>
      <c r="AB24" s="49">
        <f>'Incremental_Cost Year 2'!AX136</f>
        <v>3190000</v>
      </c>
      <c r="AC24" s="49">
        <f>'Incremental_Cost Year 2'!AY136</f>
        <v>0</v>
      </c>
      <c r="AD24" s="49">
        <f>'Incremental_Cost Year 2'!AZ136</f>
        <v>27906188.199999999</v>
      </c>
      <c r="AE24" s="49">
        <f>'Incremental_Cost Year 2'!BA136</f>
        <v>0</v>
      </c>
      <c r="AF24" s="49">
        <f t="shared" si="737"/>
        <v>-3581305</v>
      </c>
      <c r="AG24" s="96"/>
      <c r="AH24" s="49">
        <f>'Incremental_Cost Year 3'!AQ136</f>
        <v>7541270.7000000002</v>
      </c>
      <c r="AI24" s="49">
        <f>'Incremental_Cost Year 3'!AR136</f>
        <v>14134800</v>
      </c>
      <c r="AJ24" s="49">
        <f>'Incremental_Cost Year 3'!AS136</f>
        <v>1150000</v>
      </c>
      <c r="AK24" s="49">
        <f>'Incremental_Cost Year 3'!AT136</f>
        <v>22826070.699999999</v>
      </c>
      <c r="AL24" s="49">
        <f>'Incremental_Cost Year 3'!AU136</f>
        <v>6410447.7000000002</v>
      </c>
      <c r="AM24" s="49">
        <f>'Incremental_Cost Year 3'!AV136</f>
        <v>0</v>
      </c>
      <c r="AN24" s="49">
        <f>'Incremental_Cost Year 3'!AW136</f>
        <v>0</v>
      </c>
      <c r="AO24" s="49">
        <f>'Incremental_Cost Year 3'!AX136</f>
        <v>840000</v>
      </c>
      <c r="AP24" s="49">
        <f>'Incremental_Cost Year 3'!AY136</f>
        <v>0</v>
      </c>
      <c r="AQ24" s="49">
        <f>'Incremental_Cost Year 3'!AZ136</f>
        <v>13294800</v>
      </c>
      <c r="AR24" s="49">
        <f>'Incremental_Cost Year 3'!BA136</f>
        <v>0</v>
      </c>
      <c r="AS24" s="49">
        <f t="shared" si="738"/>
        <v>-2280823</v>
      </c>
      <c r="AT24" s="92"/>
      <c r="AU24" s="49">
        <f>'Incremental_Cost Year 4'!AQ136</f>
        <v>4337272.2</v>
      </c>
      <c r="AV24" s="49">
        <f>'Incremental_Cost Year 4'!AR136</f>
        <v>11007000</v>
      </c>
      <c r="AW24" s="49">
        <f>'Incremental_Cost Year 4'!AS136</f>
        <v>1150000</v>
      </c>
      <c r="AX24" s="49">
        <f>'Incremental_Cost Year 4'!AT136</f>
        <v>16494272.199999999</v>
      </c>
      <c r="AY24" s="49">
        <f>'Incremental_Cost Year 4'!AU136</f>
        <v>4337272.2</v>
      </c>
      <c r="AZ24" s="49">
        <f>'Incremental_Cost Year 4'!AV136</f>
        <v>0</v>
      </c>
      <c r="BA24" s="49">
        <f>'Incremental_Cost Year 4'!AW136</f>
        <v>0</v>
      </c>
      <c r="BB24" s="49">
        <f>'Incremental_Cost Year 4'!AX136</f>
        <v>0</v>
      </c>
      <c r="BC24" s="49">
        <f>'Incremental_Cost Year 4'!AY136</f>
        <v>0</v>
      </c>
      <c r="BD24" s="49">
        <f>'Incremental_Cost Year 4'!AZ136</f>
        <v>11007000</v>
      </c>
      <c r="BE24" s="49">
        <f>'Incremental_Cost Year 4'!BA136</f>
        <v>0</v>
      </c>
      <c r="BF24" s="49">
        <f t="shared" si="739"/>
        <v>-1150000</v>
      </c>
      <c r="BG24" s="92"/>
      <c r="BH24" s="49">
        <f>'Incremental_Cost Year 5'!AQ136</f>
        <v>4337272.2</v>
      </c>
      <c r="BI24" s="49">
        <f>'Incremental_Cost Year 5'!AR136</f>
        <v>11007000</v>
      </c>
      <c r="BJ24" s="49">
        <f>'Incremental_Cost Year 5'!AS136</f>
        <v>1150000</v>
      </c>
      <c r="BK24" s="49">
        <f>'Incremental_Cost Year 5'!AT136</f>
        <v>16494272.199999999</v>
      </c>
      <c r="BL24" s="49">
        <f>'Incremental_Cost Year 5'!AU136</f>
        <v>4337272.2</v>
      </c>
      <c r="BM24" s="49">
        <f>'Incremental_Cost Year 5'!AV136</f>
        <v>0</v>
      </c>
      <c r="BN24" s="49">
        <f>'Incremental_Cost Year 5'!AW136</f>
        <v>0</v>
      </c>
      <c r="BO24" s="49">
        <f>'Incremental_Cost Year 5'!AX136</f>
        <v>0</v>
      </c>
      <c r="BP24" s="49">
        <f>'Incremental_Cost Year 5'!AY136</f>
        <v>0</v>
      </c>
      <c r="BQ24" s="49">
        <f>'Incremental_Cost Year 5'!AZ136</f>
        <v>11007000</v>
      </c>
      <c r="BR24" s="49">
        <f>'Incremental_Cost Year 5'!BA136</f>
        <v>0</v>
      </c>
      <c r="BS24" s="49">
        <f t="shared" si="740"/>
        <v>-1150000</v>
      </c>
      <c r="BT24" s="92"/>
      <c r="BU24" s="49">
        <f>'Incremental_Cost Year 6'!AQ136</f>
        <v>4337272.2</v>
      </c>
      <c r="BV24" s="49">
        <f>'Incremental_Cost Year 6'!AR136</f>
        <v>11007000</v>
      </c>
      <c r="BW24" s="49">
        <f>'Incremental_Cost Year 6'!AS136</f>
        <v>1150000</v>
      </c>
      <c r="BX24" s="49">
        <f>'Incremental_Cost Year 6'!AT136</f>
        <v>16494272.199999999</v>
      </c>
      <c r="BY24" s="49">
        <f>'Incremental_Cost Year 6'!AU136</f>
        <v>4337272.2</v>
      </c>
      <c r="BZ24" s="49">
        <f>'Incremental_Cost Year 6'!AV136</f>
        <v>0</v>
      </c>
      <c r="CA24" s="49">
        <f>'Incremental_Cost Year 6'!AW136</f>
        <v>0</v>
      </c>
      <c r="CB24" s="49">
        <f>'Incremental_Cost Year 6'!AX136</f>
        <v>0</v>
      </c>
      <c r="CC24" s="49">
        <f>'Incremental_Cost Year 6'!AY136</f>
        <v>0</v>
      </c>
      <c r="CD24" s="49">
        <f>'Incremental_Cost Year 6'!AZ136</f>
        <v>11007000</v>
      </c>
      <c r="CE24" s="49">
        <f>'Incremental_Cost Year 6'!BA136</f>
        <v>0</v>
      </c>
      <c r="CF24" s="49">
        <f t="shared" si="741"/>
        <v>-1150000</v>
      </c>
      <c r="CG24" s="92"/>
      <c r="CH24" s="49"/>
      <c r="CI24" s="49"/>
      <c r="CJ24" s="49"/>
      <c r="CK24" s="49"/>
      <c r="CL24" s="49"/>
      <c r="CM24" s="49"/>
      <c r="CN24" s="49"/>
      <c r="CO24" s="49"/>
      <c r="CP24" s="49"/>
      <c r="CQ24" s="49"/>
      <c r="CR24" s="49"/>
      <c r="CS24" s="49"/>
      <c r="CT24" s="92"/>
      <c r="CU24" s="49"/>
      <c r="CV24" s="49"/>
      <c r="CW24" s="49"/>
      <c r="CX24" s="49"/>
      <c r="CY24" s="49"/>
      <c r="CZ24" s="49"/>
      <c r="DA24" s="49"/>
      <c r="DB24" s="49"/>
      <c r="DC24" s="49"/>
      <c r="DD24" s="49"/>
      <c r="DE24" s="49"/>
      <c r="DF24" s="49">
        <f t="shared" si="742"/>
        <v>0</v>
      </c>
      <c r="DG24" s="92"/>
      <c r="DH24" s="49"/>
      <c r="DI24" s="49"/>
      <c r="DJ24" s="49"/>
      <c r="DK24" s="49"/>
      <c r="DL24" s="49"/>
      <c r="DM24" s="49"/>
      <c r="DN24" s="49"/>
      <c r="DO24" s="49"/>
      <c r="DP24" s="49"/>
      <c r="DQ24" s="49"/>
      <c r="DR24" s="49"/>
      <c r="DS24" s="49">
        <f t="shared" si="743"/>
        <v>0</v>
      </c>
      <c r="DT24" s="92"/>
      <c r="DU24" s="49"/>
      <c r="DV24" s="49"/>
      <c r="DW24" s="49"/>
      <c r="DX24" s="49"/>
      <c r="DY24" s="49"/>
      <c r="DZ24" s="49"/>
      <c r="EA24" s="49"/>
      <c r="EB24" s="49"/>
      <c r="EC24" s="49"/>
      <c r="ED24" s="49"/>
      <c r="EE24" s="49"/>
      <c r="EF24" s="49">
        <f t="shared" si="744"/>
        <v>0</v>
      </c>
      <c r="EG24" s="92"/>
      <c r="EH24" s="49">
        <f>H24+U24+AH24+AU24+BH24+BU24+CH24+CU24+DH24+DU24</f>
        <v>32655344.099999998</v>
      </c>
      <c r="EI24" s="49">
        <f t="shared" si="745"/>
        <v>82859800</v>
      </c>
      <c r="EJ24" s="49">
        <f t="shared" si="746"/>
        <v>5750000</v>
      </c>
      <c r="EK24" s="49">
        <f t="shared" si="747"/>
        <v>121265144.10000001</v>
      </c>
      <c r="EL24" s="49">
        <f t="shared" si="748"/>
        <v>28810545.899999999</v>
      </c>
      <c r="EM24" s="49">
        <f t="shared" si="749"/>
        <v>0</v>
      </c>
      <c r="EN24" s="49">
        <f t="shared" si="750"/>
        <v>0</v>
      </c>
      <c r="EO24" s="49">
        <f t="shared" si="751"/>
        <v>7032000</v>
      </c>
      <c r="EP24" s="49">
        <f t="shared" si="752"/>
        <v>0</v>
      </c>
      <c r="EQ24" s="49">
        <f t="shared" si="753"/>
        <v>74821988.200000003</v>
      </c>
      <c r="ER24" s="49">
        <f t="shared" si="754"/>
        <v>0</v>
      </c>
      <c r="ES24" s="49">
        <f t="shared" si="755"/>
        <v>-10600610</v>
      </c>
    </row>
    <row r="25" spans="1:149" ht="82.8">
      <c r="B25" s="26"/>
      <c r="C25" s="86"/>
      <c r="D25" s="31" t="s">
        <v>635</v>
      </c>
      <c r="E25" s="56" t="s">
        <v>571</v>
      </c>
      <c r="F25" s="31">
        <v>2022</v>
      </c>
      <c r="G25" s="31">
        <v>2023</v>
      </c>
      <c r="H25" s="49">
        <f>'Incremental_Cost Year 1'!AQ139</f>
        <v>0</v>
      </c>
      <c r="I25" s="49">
        <f>'Incremental_Cost Year 1'!AR139</f>
        <v>5600000</v>
      </c>
      <c r="J25" s="49">
        <f>'Incremental_Cost Year 1'!AS139</f>
        <v>0</v>
      </c>
      <c r="K25" s="49">
        <f>'Incremental_Cost Year 1'!AT139</f>
        <v>5600000</v>
      </c>
      <c r="L25" s="49">
        <f>'Incremental_Cost Year 1'!AU139</f>
        <v>0</v>
      </c>
      <c r="M25" s="49">
        <f>'Incremental_Cost Year 1'!AV139</f>
        <v>0</v>
      </c>
      <c r="N25" s="49">
        <f>'Incremental_Cost Year 1'!AW139</f>
        <v>0</v>
      </c>
      <c r="O25" s="49">
        <f>'Incremental_Cost Year 1'!AX139</f>
        <v>5600000</v>
      </c>
      <c r="P25" s="49">
        <f>'Incremental_Cost Year 1'!AY139</f>
        <v>0</v>
      </c>
      <c r="Q25" s="49">
        <f>'Incremental_Cost Year 1'!AZ139</f>
        <v>0</v>
      </c>
      <c r="R25" s="49">
        <f>'Incremental_Cost Year 1'!BA139</f>
        <v>0</v>
      </c>
      <c r="S25" s="49">
        <f t="shared" si="736"/>
        <v>0</v>
      </c>
      <c r="T25" s="89"/>
      <c r="U25" s="49">
        <f>'Incremental_Cost Year 2'!AQ139</f>
        <v>0</v>
      </c>
      <c r="V25" s="49">
        <f>'Incremental_Cost Year 2'!AR139</f>
        <v>0</v>
      </c>
      <c r="W25" s="49">
        <f>'Incremental_Cost Year 2'!AS139</f>
        <v>0</v>
      </c>
      <c r="X25" s="49">
        <f>'Incremental_Cost Year 2'!AT139</f>
        <v>0</v>
      </c>
      <c r="Y25" s="49">
        <f>'Incremental_Cost Year 2'!AU139</f>
        <v>0</v>
      </c>
      <c r="Z25" s="49">
        <f>'Incremental_Cost Year 2'!AV139</f>
        <v>0</v>
      </c>
      <c r="AA25" s="49">
        <f>'Incremental_Cost Year 2'!AW139</f>
        <v>0</v>
      </c>
      <c r="AB25" s="49">
        <f>'Incremental_Cost Year 2'!AX139</f>
        <v>0</v>
      </c>
      <c r="AC25" s="49">
        <f>'Incremental_Cost Year 2'!AY139</f>
        <v>0</v>
      </c>
      <c r="AD25" s="49">
        <f>'Incremental_Cost Year 2'!AZ139</f>
        <v>0</v>
      </c>
      <c r="AE25" s="49">
        <f>'Incremental_Cost Year 2'!BA139</f>
        <v>0</v>
      </c>
      <c r="AF25" s="49">
        <f t="shared" si="737"/>
        <v>0</v>
      </c>
      <c r="AG25" s="96"/>
      <c r="AH25" s="49">
        <f>'Incremental_Cost Year 3'!AQ139</f>
        <v>0</v>
      </c>
      <c r="AI25" s="49">
        <f>'Incremental_Cost Year 3'!AR139</f>
        <v>0</v>
      </c>
      <c r="AJ25" s="49">
        <f>'Incremental_Cost Year 3'!AS139</f>
        <v>0</v>
      </c>
      <c r="AK25" s="49">
        <f>'Incremental_Cost Year 3'!AT139</f>
        <v>0</v>
      </c>
      <c r="AL25" s="49">
        <f>'Incremental_Cost Year 3'!AU139</f>
        <v>0</v>
      </c>
      <c r="AM25" s="49">
        <f>'Incremental_Cost Year 3'!AV139</f>
        <v>0</v>
      </c>
      <c r="AN25" s="49">
        <f>'Incremental_Cost Year 3'!AW139</f>
        <v>0</v>
      </c>
      <c r="AO25" s="49">
        <f>'Incremental_Cost Year 3'!AX139</f>
        <v>0</v>
      </c>
      <c r="AP25" s="49">
        <f>'Incremental_Cost Year 3'!AY139</f>
        <v>0</v>
      </c>
      <c r="AQ25" s="49">
        <f>'Incremental_Cost Year 3'!AZ139</f>
        <v>0</v>
      </c>
      <c r="AR25" s="49">
        <f>'Incremental_Cost Year 3'!BA139</f>
        <v>0</v>
      </c>
      <c r="AS25" s="49">
        <f t="shared" si="738"/>
        <v>0</v>
      </c>
      <c r="AT25" s="92"/>
      <c r="AU25" s="49">
        <f>'Incremental_Cost Year 4'!AQ139</f>
        <v>0</v>
      </c>
      <c r="AV25" s="49">
        <f>'Incremental_Cost Year 4'!AR139</f>
        <v>0</v>
      </c>
      <c r="AW25" s="49">
        <f>'Incremental_Cost Year 4'!AS139</f>
        <v>0</v>
      </c>
      <c r="AX25" s="49">
        <f>'Incremental_Cost Year 4'!AT139</f>
        <v>0</v>
      </c>
      <c r="AY25" s="49">
        <f>'Incremental_Cost Year 4'!AU139</f>
        <v>0</v>
      </c>
      <c r="AZ25" s="49">
        <f>'Incremental_Cost Year 4'!AV139</f>
        <v>0</v>
      </c>
      <c r="BA25" s="49">
        <f>'Incremental_Cost Year 4'!AW139</f>
        <v>0</v>
      </c>
      <c r="BB25" s="49">
        <f>'Incremental_Cost Year 4'!AX139</f>
        <v>0</v>
      </c>
      <c r="BC25" s="49">
        <f>'Incremental_Cost Year 4'!AY139</f>
        <v>0</v>
      </c>
      <c r="BD25" s="49">
        <f>'Incremental_Cost Year 4'!AZ139</f>
        <v>0</v>
      </c>
      <c r="BE25" s="49">
        <f>'Incremental_Cost Year 4'!BA139</f>
        <v>0</v>
      </c>
      <c r="BF25" s="49">
        <f t="shared" si="739"/>
        <v>0</v>
      </c>
      <c r="BG25" s="92"/>
      <c r="BH25" s="49">
        <f>'Incremental_Cost Year 5'!AQ139</f>
        <v>0</v>
      </c>
      <c r="BI25" s="49">
        <f>'Incremental_Cost Year 5'!AR139</f>
        <v>0</v>
      </c>
      <c r="BJ25" s="49">
        <f>'Incremental_Cost Year 5'!AS139</f>
        <v>0</v>
      </c>
      <c r="BK25" s="49">
        <f>'Incremental_Cost Year 5'!AT139</f>
        <v>0</v>
      </c>
      <c r="BL25" s="49">
        <f>'Incremental_Cost Year 5'!AU139</f>
        <v>0</v>
      </c>
      <c r="BM25" s="49">
        <f>'Incremental_Cost Year 5'!AV139</f>
        <v>0</v>
      </c>
      <c r="BN25" s="49">
        <f>'Incremental_Cost Year 5'!AW139</f>
        <v>0</v>
      </c>
      <c r="BO25" s="49">
        <f>'Incremental_Cost Year 5'!AX139</f>
        <v>0</v>
      </c>
      <c r="BP25" s="49">
        <f>'Incremental_Cost Year 5'!AY139</f>
        <v>0</v>
      </c>
      <c r="BQ25" s="49">
        <f>'Incremental_Cost Year 5'!AZ139</f>
        <v>0</v>
      </c>
      <c r="BR25" s="49">
        <f>'Incremental_Cost Year 5'!BA139</f>
        <v>0</v>
      </c>
      <c r="BS25" s="49">
        <f t="shared" si="740"/>
        <v>0</v>
      </c>
      <c r="BT25" s="92"/>
      <c r="BU25" s="49">
        <f>'Incremental_Cost Year 6'!AQ139</f>
        <v>0</v>
      </c>
      <c r="BV25" s="49">
        <f>'Incremental_Cost Year 6'!AR139</f>
        <v>0</v>
      </c>
      <c r="BW25" s="49">
        <f>'Incremental_Cost Year 6'!AS139</f>
        <v>0</v>
      </c>
      <c r="BX25" s="49">
        <f>'Incremental_Cost Year 6'!AT139</f>
        <v>0</v>
      </c>
      <c r="BY25" s="49">
        <f>'Incremental_Cost Year 6'!AU139</f>
        <v>0</v>
      </c>
      <c r="BZ25" s="49">
        <f>'Incremental_Cost Year 6'!AV139</f>
        <v>0</v>
      </c>
      <c r="CA25" s="49">
        <f>'Incremental_Cost Year 6'!AW139</f>
        <v>0</v>
      </c>
      <c r="CB25" s="49">
        <f>'Incremental_Cost Year 6'!AX139</f>
        <v>0</v>
      </c>
      <c r="CC25" s="49">
        <f>'Incremental_Cost Year 6'!AY139</f>
        <v>0</v>
      </c>
      <c r="CD25" s="49">
        <f>'Incremental_Cost Year 6'!AZ139</f>
        <v>0</v>
      </c>
      <c r="CE25" s="49">
        <f>'Incremental_Cost Year 6'!BA139</f>
        <v>0</v>
      </c>
      <c r="CF25" s="49">
        <f t="shared" si="741"/>
        <v>0</v>
      </c>
      <c r="CG25" s="92"/>
      <c r="CH25" s="49"/>
      <c r="CI25" s="49"/>
      <c r="CJ25" s="49"/>
      <c r="CK25" s="49"/>
      <c r="CL25" s="49"/>
      <c r="CM25" s="49"/>
      <c r="CN25" s="49"/>
      <c r="CO25" s="49"/>
      <c r="CP25" s="49"/>
      <c r="CQ25" s="49"/>
      <c r="CR25" s="49"/>
      <c r="CS25" s="49"/>
      <c r="CT25" s="92"/>
      <c r="CU25" s="49"/>
      <c r="CV25" s="49"/>
      <c r="CW25" s="49"/>
      <c r="CX25" s="49"/>
      <c r="CY25" s="49"/>
      <c r="CZ25" s="49"/>
      <c r="DA25" s="49"/>
      <c r="DB25" s="49"/>
      <c r="DC25" s="49"/>
      <c r="DD25" s="49"/>
      <c r="DE25" s="49"/>
      <c r="DF25" s="49">
        <f t="shared" ref="DF25" si="770">SUM(CY25:DE25)-CX25</f>
        <v>0</v>
      </c>
      <c r="DG25" s="92"/>
      <c r="DH25" s="49"/>
      <c r="DI25" s="49"/>
      <c r="DJ25" s="49"/>
      <c r="DK25" s="49"/>
      <c r="DL25" s="49"/>
      <c r="DM25" s="49"/>
      <c r="DN25" s="49"/>
      <c r="DO25" s="49"/>
      <c r="DP25" s="49"/>
      <c r="DQ25" s="49"/>
      <c r="DR25" s="49"/>
      <c r="DS25" s="49">
        <f t="shared" ref="DS25" si="771">SUM(DL25:DR25)-DK25</f>
        <v>0</v>
      </c>
      <c r="DT25" s="92"/>
      <c r="DU25" s="49"/>
      <c r="DV25" s="49"/>
      <c r="DW25" s="49"/>
      <c r="DX25" s="49"/>
      <c r="DY25" s="49"/>
      <c r="DZ25" s="49"/>
      <c r="EA25" s="49"/>
      <c r="EB25" s="49"/>
      <c r="EC25" s="49"/>
      <c r="ED25" s="49"/>
      <c r="EE25" s="49"/>
      <c r="EF25" s="49">
        <f t="shared" ref="EF25" si="772">SUM(DY25:EE25)-DX25</f>
        <v>0</v>
      </c>
      <c r="EG25" s="92"/>
      <c r="EH25" s="49">
        <f>H25+U25+AH25+AU25+BH25+BU25+CH25+CU25+DH25+DU25</f>
        <v>0</v>
      </c>
      <c r="EI25" s="49">
        <f t="shared" ref="EI25:ES25" si="773">I25+V25+AI25+AV25+BI25+BV25+CI25+CV25+DI25+DV25</f>
        <v>5600000</v>
      </c>
      <c r="EJ25" s="49">
        <f t="shared" si="773"/>
        <v>0</v>
      </c>
      <c r="EK25" s="49">
        <f t="shared" si="773"/>
        <v>5600000</v>
      </c>
      <c r="EL25" s="49">
        <f t="shared" si="773"/>
        <v>0</v>
      </c>
      <c r="EM25" s="49">
        <f t="shared" si="773"/>
        <v>0</v>
      </c>
      <c r="EN25" s="49">
        <f t="shared" si="773"/>
        <v>0</v>
      </c>
      <c r="EO25" s="49">
        <f t="shared" si="773"/>
        <v>5600000</v>
      </c>
      <c r="EP25" s="49">
        <f t="shared" si="773"/>
        <v>0</v>
      </c>
      <c r="EQ25" s="49">
        <f t="shared" si="773"/>
        <v>0</v>
      </c>
      <c r="ER25" s="49">
        <f t="shared" si="773"/>
        <v>0</v>
      </c>
      <c r="ES25" s="49">
        <f t="shared" si="773"/>
        <v>0</v>
      </c>
    </row>
    <row r="26" spans="1:149" ht="27.6">
      <c r="B26" s="26"/>
      <c r="C26" s="159"/>
      <c r="D26" s="31" t="s">
        <v>636</v>
      </c>
      <c r="E26" s="56" t="s">
        <v>572</v>
      </c>
      <c r="F26" s="31">
        <v>2022</v>
      </c>
      <c r="G26" s="31">
        <v>2023</v>
      </c>
      <c r="H26" s="49">
        <f>'Incremental_Cost Year 1'!AQ142</f>
        <v>0</v>
      </c>
      <c r="I26" s="49">
        <f>'Incremental_Cost Year 1'!AR142</f>
        <v>0</v>
      </c>
      <c r="J26" s="49">
        <f>'Incremental_Cost Year 1'!AS142</f>
        <v>0</v>
      </c>
      <c r="K26" s="49">
        <f>'Incremental_Cost Year 1'!AT142</f>
        <v>0</v>
      </c>
      <c r="L26" s="49">
        <f>'Incremental_Cost Year 1'!AU142</f>
        <v>0</v>
      </c>
      <c r="M26" s="49">
        <f>'Incremental_Cost Year 1'!AV142</f>
        <v>0</v>
      </c>
      <c r="N26" s="49">
        <f>'Incremental_Cost Year 1'!AW142</f>
        <v>0</v>
      </c>
      <c r="O26" s="49">
        <f>'Incremental_Cost Year 1'!AX142</f>
        <v>0</v>
      </c>
      <c r="P26" s="49">
        <f>'Incremental_Cost Year 1'!AY142</f>
        <v>0</v>
      </c>
      <c r="Q26" s="49">
        <f>'Incremental_Cost Year 1'!AZ142</f>
        <v>0</v>
      </c>
      <c r="R26" s="49">
        <f>'Incremental_Cost Year 1'!BA142</f>
        <v>0</v>
      </c>
      <c r="S26" s="49">
        <f t="shared" si="736"/>
        <v>0</v>
      </c>
      <c r="T26" s="89"/>
      <c r="U26" s="49">
        <f>'Incremental_Cost Year 2'!AQ142</f>
        <v>188470.5</v>
      </c>
      <c r="V26" s="49">
        <f>'Incremental_Cost Year 2'!AR142</f>
        <v>456000</v>
      </c>
      <c r="W26" s="49">
        <f>'Incremental_Cost Year 2'!AS142</f>
        <v>0</v>
      </c>
      <c r="X26" s="49">
        <f>'Incremental_Cost Year 2'!AT142</f>
        <v>644470.5</v>
      </c>
      <c r="Y26" s="49">
        <f>'Incremental_Cost Year 2'!AU142</f>
        <v>188470.5</v>
      </c>
      <c r="Z26" s="49">
        <f>'Incremental_Cost Year 2'!AV142</f>
        <v>0</v>
      </c>
      <c r="AA26" s="49">
        <f>'Incremental_Cost Year 2'!AW142</f>
        <v>0</v>
      </c>
      <c r="AB26" s="49">
        <f>'Incremental_Cost Year 2'!AX142</f>
        <v>0</v>
      </c>
      <c r="AC26" s="49">
        <f>'Incremental_Cost Year 2'!AY142</f>
        <v>0</v>
      </c>
      <c r="AD26" s="49">
        <f>'Incremental_Cost Year 2'!AZ142</f>
        <v>456000</v>
      </c>
      <c r="AE26" s="49">
        <f>'Incremental_Cost Year 2'!BA142</f>
        <v>0</v>
      </c>
      <c r="AF26" s="49">
        <f t="shared" si="737"/>
        <v>0</v>
      </c>
      <c r="AG26" s="96"/>
      <c r="AH26" s="49">
        <f>'Incremental_Cost Year 3'!AQ142</f>
        <v>376941</v>
      </c>
      <c r="AI26" s="49">
        <f>'Incremental_Cost Year 3'!AR142</f>
        <v>1622500</v>
      </c>
      <c r="AJ26" s="49">
        <f>'Incremental_Cost Year 3'!AS142</f>
        <v>0</v>
      </c>
      <c r="AK26" s="49">
        <f>'Incremental_Cost Year 3'!AT142</f>
        <v>1999441</v>
      </c>
      <c r="AL26" s="49">
        <f>'Incremental_Cost Year 3'!AU142</f>
        <v>939441.5</v>
      </c>
      <c r="AM26" s="49">
        <f>'Incremental_Cost Year 3'!AV142</f>
        <v>0</v>
      </c>
      <c r="AN26" s="49">
        <f>'Incremental_Cost Year 3'!AW142</f>
        <v>0</v>
      </c>
      <c r="AO26" s="49">
        <f>'Incremental_Cost Year 3'!AX142</f>
        <v>0</v>
      </c>
      <c r="AP26" s="49">
        <f>'Incremental_Cost Year 3'!AY142</f>
        <v>0</v>
      </c>
      <c r="AQ26" s="49">
        <f>'Incremental_Cost Year 3'!AZ142</f>
        <v>756000</v>
      </c>
      <c r="AR26" s="49">
        <f>'Incremental_Cost Year 3'!BA142</f>
        <v>0</v>
      </c>
      <c r="AS26" s="49">
        <f t="shared" si="738"/>
        <v>-303999.5</v>
      </c>
      <c r="AT26" s="92"/>
      <c r="AU26" s="49">
        <f>'Incremental_Cost Year 4'!AQ142</f>
        <v>188470.5</v>
      </c>
      <c r="AV26" s="49">
        <f>'Incremental_Cost Year 4'!AR142</f>
        <v>866500</v>
      </c>
      <c r="AW26" s="49">
        <f>'Incremental_Cost Year 4'!AS142</f>
        <v>0</v>
      </c>
      <c r="AX26" s="49">
        <f>'Incremental_Cost Year 4'!AT142</f>
        <v>1054970.5</v>
      </c>
      <c r="AY26" s="49">
        <f>'Incremental_Cost Year 4'!AU142</f>
        <v>750971</v>
      </c>
      <c r="AZ26" s="49">
        <f>'Incremental_Cost Year 4'!AV142</f>
        <v>0</v>
      </c>
      <c r="BA26" s="49">
        <f>'Incremental_Cost Year 4'!AW142</f>
        <v>0</v>
      </c>
      <c r="BB26" s="49">
        <f>'Incremental_Cost Year 4'!AX142</f>
        <v>0</v>
      </c>
      <c r="BC26" s="49">
        <f>'Incremental_Cost Year 4'!AY142</f>
        <v>0</v>
      </c>
      <c r="BD26" s="49">
        <f>'Incremental_Cost Year 4'!AZ142</f>
        <v>0</v>
      </c>
      <c r="BE26" s="49">
        <f>'Incremental_Cost Year 4'!BA142</f>
        <v>0</v>
      </c>
      <c r="BF26" s="49">
        <f t="shared" si="739"/>
        <v>-303999.5</v>
      </c>
      <c r="BG26" s="92"/>
      <c r="BH26" s="49">
        <f>'Incremental_Cost Year 5'!AQ142</f>
        <v>188470.5</v>
      </c>
      <c r="BI26" s="49">
        <f>'Incremental_Cost Year 5'!AR142</f>
        <v>866500</v>
      </c>
      <c r="BJ26" s="49">
        <f>'Incremental_Cost Year 5'!AS142</f>
        <v>0</v>
      </c>
      <c r="BK26" s="49">
        <f>'Incremental_Cost Year 5'!AT142</f>
        <v>1054970.5</v>
      </c>
      <c r="BL26" s="49">
        <f>'Incremental_Cost Year 5'!AU142</f>
        <v>750971</v>
      </c>
      <c r="BM26" s="49">
        <f>'Incremental_Cost Year 5'!AV142</f>
        <v>0</v>
      </c>
      <c r="BN26" s="49">
        <f>'Incremental_Cost Year 5'!AW142</f>
        <v>0</v>
      </c>
      <c r="BO26" s="49">
        <f>'Incremental_Cost Year 5'!AX142</f>
        <v>0</v>
      </c>
      <c r="BP26" s="49">
        <f>'Incremental_Cost Year 5'!AY142</f>
        <v>0</v>
      </c>
      <c r="BQ26" s="49">
        <f>'Incremental_Cost Year 5'!AZ142</f>
        <v>0</v>
      </c>
      <c r="BR26" s="49">
        <f>'Incremental_Cost Year 5'!BA142</f>
        <v>0</v>
      </c>
      <c r="BS26" s="49">
        <f t="shared" si="740"/>
        <v>-303999.5</v>
      </c>
      <c r="BT26" s="92"/>
      <c r="BU26" s="49">
        <f>'Incremental_Cost Year 6'!AQ142</f>
        <v>0</v>
      </c>
      <c r="BV26" s="49">
        <f>'Incremental_Cost Year 6'!AR142</f>
        <v>0</v>
      </c>
      <c r="BW26" s="49">
        <f>'Incremental_Cost Year 6'!AS142</f>
        <v>0</v>
      </c>
      <c r="BX26" s="49">
        <f>'Incremental_Cost Year 6'!AT142</f>
        <v>0</v>
      </c>
      <c r="BY26" s="49">
        <f>'Incremental_Cost Year 6'!AU142</f>
        <v>0</v>
      </c>
      <c r="BZ26" s="49">
        <f>'Incremental_Cost Year 6'!AV142</f>
        <v>0</v>
      </c>
      <c r="CA26" s="49">
        <f>'Incremental_Cost Year 6'!AW142</f>
        <v>0</v>
      </c>
      <c r="CB26" s="49">
        <f>'Incremental_Cost Year 6'!AX142</f>
        <v>0</v>
      </c>
      <c r="CC26" s="49">
        <f>'Incremental_Cost Year 6'!AY142</f>
        <v>0</v>
      </c>
      <c r="CD26" s="49">
        <f>'Incremental_Cost Year 6'!AZ142</f>
        <v>0</v>
      </c>
      <c r="CE26" s="49">
        <f>'Incremental_Cost Year 6'!BA142</f>
        <v>0</v>
      </c>
      <c r="CF26" s="49">
        <f t="shared" si="741"/>
        <v>0</v>
      </c>
      <c r="CG26" s="92"/>
      <c r="CH26" s="49"/>
      <c r="CI26" s="49"/>
      <c r="CJ26" s="49"/>
      <c r="CK26" s="49"/>
      <c r="CL26" s="49"/>
      <c r="CM26" s="49"/>
      <c r="CN26" s="49"/>
      <c r="CO26" s="49"/>
      <c r="CP26" s="49"/>
      <c r="CQ26" s="49"/>
      <c r="CR26" s="49"/>
      <c r="CS26" s="49"/>
      <c r="CT26" s="92"/>
      <c r="CU26" s="49"/>
      <c r="CV26" s="49"/>
      <c r="CW26" s="49"/>
      <c r="CX26" s="49"/>
      <c r="CY26" s="49"/>
      <c r="CZ26" s="49"/>
      <c r="DA26" s="49"/>
      <c r="DB26" s="49"/>
      <c r="DC26" s="49"/>
      <c r="DD26" s="49"/>
      <c r="DE26" s="49"/>
      <c r="DF26" s="49">
        <f t="shared" ref="DF26" si="774">SUM(CY26:DE26)-CX26</f>
        <v>0</v>
      </c>
      <c r="DG26" s="92"/>
      <c r="DH26" s="49"/>
      <c r="DI26" s="49"/>
      <c r="DJ26" s="49"/>
      <c r="DK26" s="49"/>
      <c r="DL26" s="49"/>
      <c r="DM26" s="49"/>
      <c r="DN26" s="49"/>
      <c r="DO26" s="49"/>
      <c r="DP26" s="49"/>
      <c r="DQ26" s="49"/>
      <c r="DR26" s="49"/>
      <c r="DS26" s="49">
        <f t="shared" ref="DS26" si="775">SUM(DL26:DR26)-DK26</f>
        <v>0</v>
      </c>
      <c r="DT26" s="92"/>
      <c r="DU26" s="49"/>
      <c r="DV26" s="49"/>
      <c r="DW26" s="49"/>
      <c r="DX26" s="49"/>
      <c r="DY26" s="49"/>
      <c r="DZ26" s="49"/>
      <c r="EA26" s="49"/>
      <c r="EB26" s="49"/>
      <c r="EC26" s="49"/>
      <c r="ED26" s="49"/>
      <c r="EE26" s="49"/>
      <c r="EF26" s="49">
        <f t="shared" ref="EF26" si="776">SUM(DY26:EE26)-DX26</f>
        <v>0</v>
      </c>
      <c r="EG26" s="92"/>
      <c r="EH26" s="49">
        <f>H26+U26+AH26+AU26+BH26+BU26+CH26+CU26+DH26+DU26</f>
        <v>942352.5</v>
      </c>
      <c r="EI26" s="49">
        <f t="shared" ref="EI26" si="777">I26+V26+AI26+AV26+BI26+BV26+CI26+CV26+DI26+DV26</f>
        <v>3811500</v>
      </c>
      <c r="EJ26" s="49">
        <f t="shared" ref="EJ26" si="778">J26+W26+AJ26+AW26+BJ26+BW26+CJ26+CW26+DJ26+DW26</f>
        <v>0</v>
      </c>
      <c r="EK26" s="49">
        <f t="shared" ref="EK26" si="779">K26+X26+AK26+AX26+BK26+BX26+CK26+CX26+DK26+DX26</f>
        <v>4753852.5</v>
      </c>
      <c r="EL26" s="49">
        <f t="shared" ref="EL26" si="780">L26+Y26+AL26+AY26+BL26+BY26+CL26+CY26+DL26+DY26</f>
        <v>2629854</v>
      </c>
      <c r="EM26" s="49">
        <f t="shared" ref="EM26" si="781">M26+Z26+AM26+AZ26+BM26+BZ26+CM26+CZ26+DM26+DZ26</f>
        <v>0</v>
      </c>
      <c r="EN26" s="49">
        <f t="shared" ref="EN26" si="782">N26+AA26+AN26+BA26+BN26+CA26+CN26+DA26+DN26+EA26</f>
        <v>0</v>
      </c>
      <c r="EO26" s="49">
        <f t="shared" ref="EO26" si="783">O26+AB26+AO26+BB26+BO26+CB26+CO26+DB26+DO26+EB26</f>
        <v>0</v>
      </c>
      <c r="EP26" s="49">
        <f t="shared" ref="EP26" si="784">P26+AC26+AP26+BC26+BP26+CC26+CP26+DC26+DP26+EC26</f>
        <v>0</v>
      </c>
      <c r="EQ26" s="49">
        <f t="shared" ref="EQ26" si="785">Q26+AD26+AQ26+BD26+BQ26+CD26+CQ26+DD26+DQ26+ED26</f>
        <v>1212000</v>
      </c>
      <c r="ER26" s="49">
        <f t="shared" ref="ER26" si="786">R26+AE26+AR26+BE26+BR26+CE26+CR26+DE26+DR26+EE26</f>
        <v>0</v>
      </c>
      <c r="ES26" s="49">
        <f t="shared" ref="ES26" si="787">S26+AF26+AS26+BF26+BS26+CF26+CS26+DF26+DS26+EF26</f>
        <v>-911998.5</v>
      </c>
    </row>
    <row r="27" spans="1:149" ht="15" customHeight="1">
      <c r="A27" s="24"/>
      <c r="B27" s="32"/>
      <c r="C27" s="314" t="s">
        <v>233</v>
      </c>
      <c r="D27" s="314"/>
      <c r="E27" s="315"/>
      <c r="F27" s="84"/>
      <c r="G27" s="84"/>
      <c r="H27" s="51">
        <f>SUM(H28:H29)</f>
        <v>13089258.719999999</v>
      </c>
      <c r="I27" s="51">
        <f t="shared" ref="I27:S27" si="788">SUM(I28:I29)</f>
        <v>88122400</v>
      </c>
      <c r="J27" s="51">
        <f t="shared" si="788"/>
        <v>0</v>
      </c>
      <c r="K27" s="51">
        <f t="shared" si="788"/>
        <v>101211658.72000001</v>
      </c>
      <c r="L27" s="51">
        <f t="shared" si="788"/>
        <v>14097606.449999999</v>
      </c>
      <c r="M27" s="51">
        <f t="shared" si="788"/>
        <v>0</v>
      </c>
      <c r="N27" s="51">
        <f t="shared" si="788"/>
        <v>0</v>
      </c>
      <c r="O27" s="51">
        <f t="shared" si="788"/>
        <v>2335000</v>
      </c>
      <c r="P27" s="51">
        <f t="shared" si="788"/>
        <v>0</v>
      </c>
      <c r="Q27" s="51">
        <f t="shared" si="788"/>
        <v>14236000</v>
      </c>
      <c r="R27" s="51">
        <f t="shared" si="788"/>
        <v>0</v>
      </c>
      <c r="S27" s="51">
        <f t="shared" si="788"/>
        <v>-70543052.270000011</v>
      </c>
      <c r="T27" s="90"/>
      <c r="U27" s="51">
        <f>SUM(U28:U29)</f>
        <v>14615869.77</v>
      </c>
      <c r="V27" s="51">
        <f t="shared" ref="V27" si="789">SUM(V28:V29)</f>
        <v>148718000</v>
      </c>
      <c r="W27" s="51">
        <f t="shared" ref="W27" si="790">SUM(W28:W29)</f>
        <v>0</v>
      </c>
      <c r="X27" s="51">
        <f t="shared" ref="X27" si="791">SUM(X28:X29)</f>
        <v>163333869.76999998</v>
      </c>
      <c r="Y27" s="51">
        <f t="shared" ref="Y27" si="792">SUM(Y28:Y29)</f>
        <v>86909869.769999996</v>
      </c>
      <c r="Z27" s="51">
        <f t="shared" ref="Z27" si="793">SUM(Z28:Z29)</f>
        <v>0</v>
      </c>
      <c r="AA27" s="51">
        <f t="shared" ref="AA27" si="794">SUM(AA28:AA29)</f>
        <v>0</v>
      </c>
      <c r="AB27" s="51">
        <f t="shared" ref="AB27" si="795">SUM(AB28:AB29)</f>
        <v>2852800</v>
      </c>
      <c r="AC27" s="51">
        <f t="shared" ref="AC27" si="796">SUM(AC28:AC29)</f>
        <v>0</v>
      </c>
      <c r="AD27" s="51">
        <f t="shared" ref="AD27" si="797">SUM(AD28:AD29)</f>
        <v>65935000</v>
      </c>
      <c r="AE27" s="51">
        <f t="shared" ref="AE27" si="798">SUM(AE28:AE29)</f>
        <v>0</v>
      </c>
      <c r="AF27" s="51">
        <f t="shared" ref="AF27" si="799">SUM(AF28:AF29)</f>
        <v>-7636200</v>
      </c>
      <c r="AG27" s="90"/>
      <c r="AH27" s="51">
        <f>SUM(AH28:AH29)</f>
        <v>13764623.292857142</v>
      </c>
      <c r="AI27" s="51">
        <f t="shared" ref="AI27" si="800">SUM(AI28:AI29)</f>
        <v>86562400</v>
      </c>
      <c r="AJ27" s="51">
        <f t="shared" ref="AJ27" si="801">SUM(AJ28:AJ29)</f>
        <v>0</v>
      </c>
      <c r="AK27" s="51">
        <f t="shared" ref="AK27" si="802">SUM(AK28:AK29)</f>
        <v>100327023.29285716</v>
      </c>
      <c r="AL27" s="51">
        <f t="shared" ref="AL27" si="803">SUM(AL28:AL29)</f>
        <v>89586623.29285714</v>
      </c>
      <c r="AM27" s="51">
        <f t="shared" ref="AM27" si="804">SUM(AM28:AM29)</f>
        <v>0</v>
      </c>
      <c r="AN27" s="51">
        <f t="shared" ref="AN27" si="805">SUM(AN28:AN29)</f>
        <v>0</v>
      </c>
      <c r="AO27" s="51">
        <f t="shared" ref="AO27" si="806">SUM(AO28:AO29)</f>
        <v>2995000</v>
      </c>
      <c r="AP27" s="51">
        <f t="shared" ref="AP27" si="807">SUM(AP28:AP29)</f>
        <v>0</v>
      </c>
      <c r="AQ27" s="51">
        <f t="shared" ref="AQ27" si="808">SUM(AQ28:AQ29)</f>
        <v>2968000</v>
      </c>
      <c r="AR27" s="51">
        <f t="shared" ref="AR27" si="809">SUM(AR28:AR29)</f>
        <v>0</v>
      </c>
      <c r="AS27" s="51">
        <f t="shared" ref="AS27" si="810">SUM(AS28:AS29)</f>
        <v>-4777400.0000000149</v>
      </c>
      <c r="AT27" s="92"/>
      <c r="AU27" s="51">
        <f>SUM(AU28:AU29)</f>
        <v>10855842.449999999</v>
      </c>
      <c r="AV27" s="51">
        <f t="shared" ref="AV27" si="811">SUM(AV28:AV29)</f>
        <v>86486000</v>
      </c>
      <c r="AW27" s="51">
        <f t="shared" ref="AW27" si="812">SUM(AW28:AW29)</f>
        <v>0</v>
      </c>
      <c r="AX27" s="51">
        <f t="shared" ref="AX27" si="813">SUM(AX28:AX29)</f>
        <v>97341842.450000003</v>
      </c>
      <c r="AY27" s="51">
        <f t="shared" ref="AY27" si="814">SUM(AY28:AY29)</f>
        <v>90382242.450000003</v>
      </c>
      <c r="AZ27" s="51">
        <f t="shared" ref="AZ27" si="815">SUM(AZ28:AZ29)</f>
        <v>0</v>
      </c>
      <c r="BA27" s="51">
        <f t="shared" ref="BA27" si="816">SUM(BA28:BA29)</f>
        <v>0</v>
      </c>
      <c r="BB27" s="51">
        <f t="shared" ref="BB27" si="817">SUM(BB28:BB29)</f>
        <v>0</v>
      </c>
      <c r="BC27" s="51">
        <f t="shared" ref="BC27" si="818">SUM(BC28:BC29)</f>
        <v>0</v>
      </c>
      <c r="BD27" s="51">
        <f t="shared" ref="BD27" si="819">SUM(BD28:BD29)</f>
        <v>1668000</v>
      </c>
      <c r="BE27" s="51">
        <f t="shared" ref="BE27" si="820">SUM(BE28:BE29)</f>
        <v>0</v>
      </c>
      <c r="BF27" s="51">
        <f t="shared" ref="BF27" si="821">SUM(BF28:BF29)</f>
        <v>-5291600</v>
      </c>
      <c r="BG27" s="92"/>
      <c r="BH27" s="51">
        <f>SUM(BH28:BH29)</f>
        <v>10667371.949999999</v>
      </c>
      <c r="BI27" s="51">
        <f t="shared" ref="BI27" si="822">SUM(BI28:BI29)</f>
        <v>90375620</v>
      </c>
      <c r="BJ27" s="51">
        <f t="shared" ref="BJ27" si="823">SUM(BJ28:BJ29)</f>
        <v>0</v>
      </c>
      <c r="BK27" s="51">
        <f t="shared" ref="BK27" si="824">SUM(BK28:BK29)</f>
        <v>101042991.95</v>
      </c>
      <c r="BL27" s="51">
        <f t="shared" ref="BL27" si="825">SUM(BL28:BL29)</f>
        <v>94083391.950000003</v>
      </c>
      <c r="BM27" s="51">
        <f t="shared" ref="BM27" si="826">SUM(BM28:BM29)</f>
        <v>0</v>
      </c>
      <c r="BN27" s="51">
        <f t="shared" ref="BN27" si="827">SUM(BN28:BN29)</f>
        <v>0</v>
      </c>
      <c r="BO27" s="51">
        <f t="shared" ref="BO27" si="828">SUM(BO28:BO29)</f>
        <v>0</v>
      </c>
      <c r="BP27" s="51">
        <f t="shared" ref="BP27" si="829">SUM(BP28:BP29)</f>
        <v>0</v>
      </c>
      <c r="BQ27" s="51">
        <f t="shared" ref="BQ27" si="830">SUM(BQ28:BQ29)</f>
        <v>1668000</v>
      </c>
      <c r="BR27" s="51">
        <f t="shared" ref="BR27" si="831">SUM(BR28:BR29)</f>
        <v>0</v>
      </c>
      <c r="BS27" s="51">
        <f t="shared" ref="BS27" si="832">SUM(BS28:BS29)</f>
        <v>-5291600</v>
      </c>
      <c r="BT27" s="92"/>
      <c r="BU27" s="51">
        <f>SUM(BU28:BU29)</f>
        <v>10667371.949999999</v>
      </c>
      <c r="BV27" s="51">
        <f t="shared" ref="BV27" si="833">SUM(BV28:BV29)</f>
        <v>94459721</v>
      </c>
      <c r="BW27" s="51">
        <f t="shared" ref="BW27" si="834">SUM(BW28:BW29)</f>
        <v>0</v>
      </c>
      <c r="BX27" s="51">
        <f t="shared" ref="BX27" si="835">SUM(BX28:BX29)</f>
        <v>105127092.95</v>
      </c>
      <c r="BY27" s="51">
        <f t="shared" ref="BY27" si="836">SUM(BY28:BY29)</f>
        <v>98167492.950000003</v>
      </c>
      <c r="BZ27" s="51">
        <f t="shared" ref="BZ27" si="837">SUM(BZ28:BZ29)</f>
        <v>0</v>
      </c>
      <c r="CA27" s="51">
        <f t="shared" ref="CA27" si="838">SUM(CA28:CA29)</f>
        <v>0</v>
      </c>
      <c r="CB27" s="51">
        <f t="shared" ref="CB27" si="839">SUM(CB28:CB29)</f>
        <v>0</v>
      </c>
      <c r="CC27" s="51">
        <f t="shared" ref="CC27" si="840">SUM(CC28:CC29)</f>
        <v>0</v>
      </c>
      <c r="CD27" s="51">
        <f t="shared" ref="CD27" si="841">SUM(CD28:CD29)</f>
        <v>1668000</v>
      </c>
      <c r="CE27" s="51">
        <f t="shared" ref="CE27" si="842">SUM(CE28:CE29)</f>
        <v>0</v>
      </c>
      <c r="CF27" s="51">
        <f t="shared" ref="CF27" si="843">SUM(CF28:CF29)</f>
        <v>-5291600</v>
      </c>
      <c r="CG27" s="92"/>
      <c r="CH27" s="51">
        <f>SUM(CH28:CH29)</f>
        <v>0</v>
      </c>
      <c r="CI27" s="51">
        <f t="shared" ref="CI27" si="844">SUM(CI28:CI29)</f>
        <v>0</v>
      </c>
      <c r="CJ27" s="51">
        <f t="shared" ref="CJ27" si="845">SUM(CJ28:CJ29)</f>
        <v>0</v>
      </c>
      <c r="CK27" s="51">
        <f t="shared" ref="CK27" si="846">SUM(CK28:CK29)</f>
        <v>0</v>
      </c>
      <c r="CL27" s="51">
        <f t="shared" ref="CL27" si="847">SUM(CL28:CL29)</f>
        <v>0</v>
      </c>
      <c r="CM27" s="51">
        <f t="shared" ref="CM27" si="848">SUM(CM28:CM29)</f>
        <v>0</v>
      </c>
      <c r="CN27" s="51">
        <f t="shared" ref="CN27" si="849">SUM(CN28:CN29)</f>
        <v>0</v>
      </c>
      <c r="CO27" s="51">
        <f t="shared" ref="CO27" si="850">SUM(CO28:CO29)</f>
        <v>0</v>
      </c>
      <c r="CP27" s="51">
        <f t="shared" ref="CP27" si="851">SUM(CP28:CP29)</f>
        <v>0</v>
      </c>
      <c r="CQ27" s="51">
        <f t="shared" ref="CQ27" si="852">SUM(CQ28:CQ29)</f>
        <v>0</v>
      </c>
      <c r="CR27" s="51">
        <f t="shared" ref="CR27" si="853">SUM(CR28:CR29)</f>
        <v>0</v>
      </c>
      <c r="CS27" s="51">
        <f t="shared" ref="CS27" si="854">SUM(CS28:CS29)</f>
        <v>0</v>
      </c>
      <c r="CT27" s="92"/>
      <c r="CU27" s="51">
        <f>SUM(CU28:CU29)</f>
        <v>0</v>
      </c>
      <c r="CV27" s="51">
        <f t="shared" ref="CV27" si="855">SUM(CV28:CV29)</f>
        <v>0</v>
      </c>
      <c r="CW27" s="51">
        <f t="shared" ref="CW27" si="856">SUM(CW28:CW29)</f>
        <v>0</v>
      </c>
      <c r="CX27" s="51">
        <f t="shared" ref="CX27" si="857">SUM(CX28:CX29)</f>
        <v>0</v>
      </c>
      <c r="CY27" s="51">
        <f t="shared" ref="CY27" si="858">SUM(CY28:CY29)</f>
        <v>0</v>
      </c>
      <c r="CZ27" s="51">
        <f t="shared" ref="CZ27" si="859">SUM(CZ28:CZ29)</f>
        <v>0</v>
      </c>
      <c r="DA27" s="51">
        <f t="shared" ref="DA27" si="860">SUM(DA28:DA29)</f>
        <v>0</v>
      </c>
      <c r="DB27" s="51">
        <f t="shared" ref="DB27" si="861">SUM(DB28:DB29)</f>
        <v>0</v>
      </c>
      <c r="DC27" s="51">
        <f t="shared" ref="DC27" si="862">SUM(DC28:DC29)</f>
        <v>0</v>
      </c>
      <c r="DD27" s="51">
        <f t="shared" ref="DD27" si="863">SUM(DD28:DD29)</f>
        <v>0</v>
      </c>
      <c r="DE27" s="51">
        <f t="shared" ref="DE27" si="864">SUM(DE28:DE29)</f>
        <v>0</v>
      </c>
      <c r="DF27" s="51">
        <f t="shared" ref="DF27" si="865">SUM(DF28:DF29)</f>
        <v>0</v>
      </c>
      <c r="DG27" s="92"/>
      <c r="DH27" s="51">
        <f>SUM(DH28:DH29)</f>
        <v>0</v>
      </c>
      <c r="DI27" s="51">
        <f t="shared" ref="DI27" si="866">SUM(DI28:DI29)</f>
        <v>0</v>
      </c>
      <c r="DJ27" s="51">
        <f t="shared" ref="DJ27" si="867">SUM(DJ28:DJ29)</f>
        <v>0</v>
      </c>
      <c r="DK27" s="51">
        <f t="shared" ref="DK27" si="868">SUM(DK28:DK29)</f>
        <v>0</v>
      </c>
      <c r="DL27" s="51">
        <f t="shared" ref="DL27" si="869">SUM(DL28:DL29)</f>
        <v>0</v>
      </c>
      <c r="DM27" s="51">
        <f t="shared" ref="DM27" si="870">SUM(DM28:DM29)</f>
        <v>0</v>
      </c>
      <c r="DN27" s="51">
        <f t="shared" ref="DN27" si="871">SUM(DN28:DN29)</f>
        <v>0</v>
      </c>
      <c r="DO27" s="51">
        <f t="shared" ref="DO27" si="872">SUM(DO28:DO29)</f>
        <v>0</v>
      </c>
      <c r="DP27" s="51">
        <f t="shared" ref="DP27" si="873">SUM(DP28:DP29)</f>
        <v>0</v>
      </c>
      <c r="DQ27" s="51">
        <f t="shared" ref="DQ27" si="874">SUM(DQ28:DQ29)</f>
        <v>0</v>
      </c>
      <c r="DR27" s="51">
        <f t="shared" ref="DR27" si="875">SUM(DR28:DR29)</f>
        <v>0</v>
      </c>
      <c r="DS27" s="51">
        <f t="shared" ref="DS27" si="876">SUM(DS28:DS29)</f>
        <v>0</v>
      </c>
      <c r="DT27" s="92"/>
      <c r="DU27" s="51">
        <f>SUM(DU28:DU29)</f>
        <v>0</v>
      </c>
      <c r="DV27" s="51">
        <f t="shared" ref="DV27" si="877">SUM(DV28:DV29)</f>
        <v>0</v>
      </c>
      <c r="DW27" s="51">
        <f t="shared" ref="DW27" si="878">SUM(DW28:DW29)</f>
        <v>0</v>
      </c>
      <c r="DX27" s="51">
        <f t="shared" ref="DX27" si="879">SUM(DX28:DX29)</f>
        <v>0</v>
      </c>
      <c r="DY27" s="51">
        <f t="shared" ref="DY27" si="880">SUM(DY28:DY29)</f>
        <v>0</v>
      </c>
      <c r="DZ27" s="51">
        <f t="shared" ref="DZ27" si="881">SUM(DZ28:DZ29)</f>
        <v>0</v>
      </c>
      <c r="EA27" s="51">
        <f t="shared" ref="EA27" si="882">SUM(EA28:EA29)</f>
        <v>0</v>
      </c>
      <c r="EB27" s="51">
        <f t="shared" ref="EB27" si="883">SUM(EB28:EB29)</f>
        <v>0</v>
      </c>
      <c r="EC27" s="51">
        <f t="shared" ref="EC27" si="884">SUM(EC28:EC29)</f>
        <v>0</v>
      </c>
      <c r="ED27" s="51">
        <f t="shared" ref="ED27" si="885">SUM(ED28:ED29)</f>
        <v>0</v>
      </c>
      <c r="EE27" s="51">
        <f t="shared" ref="EE27" si="886">SUM(EE28:EE29)</f>
        <v>0</v>
      </c>
      <c r="EF27" s="51">
        <f t="shared" ref="EF27" si="887">SUM(EF28:EF29)</f>
        <v>0</v>
      </c>
      <c r="EG27" s="92"/>
      <c r="EH27" s="51">
        <f>SUM(EH28:EH29)</f>
        <v>73660338.132857144</v>
      </c>
      <c r="EI27" s="51">
        <f t="shared" ref="EI27" si="888">SUM(EI28:EI29)</f>
        <v>594724141</v>
      </c>
      <c r="EJ27" s="51">
        <f t="shared" ref="EJ27" si="889">SUM(EJ28:EJ29)</f>
        <v>0</v>
      </c>
      <c r="EK27" s="51">
        <f t="shared" ref="EK27" si="890">SUM(EK28:EK29)</f>
        <v>668384479.1328572</v>
      </c>
      <c r="EL27" s="51">
        <f t="shared" ref="EL27" si="891">SUM(EL28:EL29)</f>
        <v>473227226.8628571</v>
      </c>
      <c r="EM27" s="51">
        <f t="shared" ref="EM27" si="892">SUM(EM28:EM29)</f>
        <v>0</v>
      </c>
      <c r="EN27" s="51">
        <f t="shared" ref="EN27" si="893">SUM(EN28:EN29)</f>
        <v>0</v>
      </c>
      <c r="EO27" s="51">
        <f t="shared" ref="EO27" si="894">SUM(EO28:EO29)</f>
        <v>8182800</v>
      </c>
      <c r="EP27" s="51">
        <f t="shared" ref="EP27" si="895">SUM(EP28:EP29)</f>
        <v>0</v>
      </c>
      <c r="EQ27" s="51">
        <f t="shared" ref="EQ27" si="896">SUM(EQ28:EQ29)</f>
        <v>88143000</v>
      </c>
      <c r="ER27" s="51">
        <f t="shared" ref="ER27" si="897">SUM(ER28:ER29)</f>
        <v>0</v>
      </c>
      <c r="ES27" s="51">
        <f t="shared" ref="ES27" si="898">SUM(ES28:ES29)</f>
        <v>-98831452.270000026</v>
      </c>
    </row>
    <row r="28" spans="1:149" ht="96.6">
      <c r="B28" s="26"/>
      <c r="C28" s="141"/>
      <c r="D28" s="31" t="s">
        <v>637</v>
      </c>
      <c r="E28" s="56" t="s">
        <v>573</v>
      </c>
      <c r="F28" s="31">
        <v>2021</v>
      </c>
      <c r="G28" s="31">
        <v>2026</v>
      </c>
      <c r="H28" s="49">
        <f>'Incremental_Cost Year 1'!AQ168</f>
        <v>12825400.02</v>
      </c>
      <c r="I28" s="49">
        <f>'Incremental_Cost Year 1'!AR168</f>
        <v>87210400</v>
      </c>
      <c r="J28" s="49">
        <f>'Incremental_Cost Year 1'!AS168</f>
        <v>0</v>
      </c>
      <c r="K28" s="49">
        <f>'Incremental_Cost Year 1'!AT168</f>
        <v>100035800.02000001</v>
      </c>
      <c r="L28" s="49">
        <f>'Incremental_Cost Year 1'!AU168</f>
        <v>13833747.75</v>
      </c>
      <c r="M28" s="49">
        <f>'Incremental_Cost Year 1'!AV168</f>
        <v>0</v>
      </c>
      <c r="N28" s="49">
        <f>'Incremental_Cost Year 1'!AW168</f>
        <v>0</v>
      </c>
      <c r="O28" s="49">
        <f>'Incremental_Cost Year 1'!AX168</f>
        <v>2335000</v>
      </c>
      <c r="P28" s="49">
        <f>'Incremental_Cost Year 1'!AY168</f>
        <v>0</v>
      </c>
      <c r="Q28" s="49">
        <f>'Incremental_Cost Year 1'!AZ168</f>
        <v>14236000</v>
      </c>
      <c r="R28" s="49">
        <f>'Incremental_Cost Year 1'!BA168</f>
        <v>0</v>
      </c>
      <c r="S28" s="49">
        <f t="shared" si="736"/>
        <v>-69631052.270000011</v>
      </c>
      <c r="T28" s="89"/>
      <c r="U28" s="49">
        <f>'Incremental_Cost Year 2'!AQ168</f>
        <v>14163540.57</v>
      </c>
      <c r="V28" s="49">
        <f>'Incremental_Cost Year 2'!AR168</f>
        <v>143894000</v>
      </c>
      <c r="W28" s="49">
        <f>'Incremental_Cost Year 2'!AS168</f>
        <v>0</v>
      </c>
      <c r="X28" s="49">
        <f>'Incremental_Cost Year 2'!AT168</f>
        <v>158057540.56999999</v>
      </c>
      <c r="Y28" s="49">
        <f>'Incremental_Cost Year 2'!AU168</f>
        <v>86457540.569999993</v>
      </c>
      <c r="Z28" s="49">
        <f>'Incremental_Cost Year 2'!AV168</f>
        <v>0</v>
      </c>
      <c r="AA28" s="49">
        <f>'Incremental_Cost Year 2'!AW168</f>
        <v>0</v>
      </c>
      <c r="AB28" s="49">
        <f>'Incremental_Cost Year 2'!AX168</f>
        <v>2852800</v>
      </c>
      <c r="AC28" s="49">
        <f>'Incremental_Cost Year 2'!AY168</f>
        <v>0</v>
      </c>
      <c r="AD28" s="49">
        <f>'Incremental_Cost Year 2'!AZ168</f>
        <v>64127000</v>
      </c>
      <c r="AE28" s="49">
        <f>'Incremental_Cost Year 2'!BA168</f>
        <v>0</v>
      </c>
      <c r="AF28" s="49">
        <f t="shared" ref="AF28:AF29" si="899">Y28+Z28+AA28+AB28+AC28+AD28+AE28-X28</f>
        <v>-4620200</v>
      </c>
      <c r="AG28" s="96"/>
      <c r="AH28" s="49">
        <f>'Incremental_Cost Year 3'!AQ168</f>
        <v>13500764.592857143</v>
      </c>
      <c r="AI28" s="49">
        <f>'Incremental_Cost Year 3'!AR168</f>
        <v>84202800</v>
      </c>
      <c r="AJ28" s="49">
        <f>'Incremental_Cost Year 3'!AS168</f>
        <v>0</v>
      </c>
      <c r="AK28" s="49">
        <f>'Incremental_Cost Year 3'!AT168</f>
        <v>97703564.592857152</v>
      </c>
      <c r="AL28" s="49">
        <f>'Incremental_Cost Year 3'!AU168</f>
        <v>89322764.592857137</v>
      </c>
      <c r="AM28" s="49">
        <f>'Incremental_Cost Year 3'!AV168</f>
        <v>0</v>
      </c>
      <c r="AN28" s="49">
        <f>'Incremental_Cost Year 3'!AW168</f>
        <v>0</v>
      </c>
      <c r="AO28" s="49">
        <f>'Incremental_Cost Year 3'!AX168</f>
        <v>2995000</v>
      </c>
      <c r="AP28" s="49">
        <f>'Incremental_Cost Year 3'!AY168</f>
        <v>0</v>
      </c>
      <c r="AQ28" s="49">
        <f>'Incremental_Cost Year 3'!AZ168</f>
        <v>1300000</v>
      </c>
      <c r="AR28" s="49">
        <f>'Incremental_Cost Year 3'!BA168</f>
        <v>0</v>
      </c>
      <c r="AS28" s="49">
        <f t="shared" ref="AS28:AS29" si="900">AL28+AM28+AN28+AO28+AP28+AQ28+AR28-AK28</f>
        <v>-4085800.0000000149</v>
      </c>
      <c r="AT28" s="92"/>
      <c r="AU28" s="49">
        <f>'Incremental_Cost Year 4'!AQ168</f>
        <v>10780454.25</v>
      </c>
      <c r="AV28" s="49">
        <f>'Incremental_Cost Year 4'!AR168</f>
        <v>82900000</v>
      </c>
      <c r="AW28" s="49">
        <f>'Incremental_Cost Year 4'!AS168</f>
        <v>0</v>
      </c>
      <c r="AX28" s="49">
        <f>'Incremental_Cost Year 4'!AT168</f>
        <v>93680454.25</v>
      </c>
      <c r="AY28" s="49">
        <f>'Incremental_Cost Year 4'!AU168</f>
        <v>90306854.25</v>
      </c>
      <c r="AZ28" s="49">
        <f>'Incremental_Cost Year 4'!AV168</f>
        <v>0</v>
      </c>
      <c r="BA28" s="49">
        <f>'Incremental_Cost Year 4'!AW168</f>
        <v>0</v>
      </c>
      <c r="BB28" s="49">
        <f>'Incremental_Cost Year 4'!AX168</f>
        <v>0</v>
      </c>
      <c r="BC28" s="49">
        <f>'Incremental_Cost Year 4'!AY168</f>
        <v>0</v>
      </c>
      <c r="BD28" s="49">
        <f>'Incremental_Cost Year 4'!AZ168</f>
        <v>0</v>
      </c>
      <c r="BE28" s="49">
        <f>'Incremental_Cost Year 4'!BA168</f>
        <v>0</v>
      </c>
      <c r="BF28" s="49">
        <f t="shared" ref="BF28:BF29" si="901">AY28+AZ28+BA28+BB28+BC28+BD28+BE28-AX28</f>
        <v>-3373600</v>
      </c>
      <c r="BG28" s="92"/>
      <c r="BH28" s="49">
        <f>'Incremental_Cost Year 5'!AQ168</f>
        <v>10591983.75</v>
      </c>
      <c r="BI28" s="49">
        <f>'Incremental_Cost Year 5'!AR168</f>
        <v>86789620</v>
      </c>
      <c r="BJ28" s="49">
        <f>'Incremental_Cost Year 5'!AS168</f>
        <v>0</v>
      </c>
      <c r="BK28" s="49">
        <f>'Incremental_Cost Year 5'!AT168</f>
        <v>97381603.75</v>
      </c>
      <c r="BL28" s="49">
        <f>'Incremental_Cost Year 5'!AU168</f>
        <v>94008003.75</v>
      </c>
      <c r="BM28" s="49">
        <f>'Incremental_Cost Year 5'!AV168</f>
        <v>0</v>
      </c>
      <c r="BN28" s="49">
        <f>'Incremental_Cost Year 5'!AW168</f>
        <v>0</v>
      </c>
      <c r="BO28" s="49">
        <f>'Incremental_Cost Year 5'!AX168</f>
        <v>0</v>
      </c>
      <c r="BP28" s="49">
        <f>'Incremental_Cost Year 5'!AY168</f>
        <v>0</v>
      </c>
      <c r="BQ28" s="49">
        <f>'Incremental_Cost Year 5'!AZ168</f>
        <v>0</v>
      </c>
      <c r="BR28" s="49">
        <f>'Incremental_Cost Year 5'!BA168</f>
        <v>0</v>
      </c>
      <c r="BS28" s="49">
        <f t="shared" ref="BS28:BS29" si="902">BL28+BM28+BN28+BO28+BP28+BQ28+BR28-BK28</f>
        <v>-3373600</v>
      </c>
      <c r="BT28" s="92"/>
      <c r="BU28" s="49">
        <f>'Incremental_Cost Year 6'!AQ168</f>
        <v>10591983.75</v>
      </c>
      <c r="BV28" s="49">
        <f>'Incremental_Cost Year 6'!AR168</f>
        <v>90873721</v>
      </c>
      <c r="BW28" s="49">
        <f>'Incremental_Cost Year 6'!AS168</f>
        <v>0</v>
      </c>
      <c r="BX28" s="49">
        <f>'Incremental_Cost Year 6'!AT168</f>
        <v>101465704.75</v>
      </c>
      <c r="BY28" s="49">
        <f>'Incremental_Cost Year 6'!AU168</f>
        <v>98092104.75</v>
      </c>
      <c r="BZ28" s="49">
        <f>'Incremental_Cost Year 6'!AV168</f>
        <v>0</v>
      </c>
      <c r="CA28" s="49">
        <f>'Incremental_Cost Year 6'!AW168</f>
        <v>0</v>
      </c>
      <c r="CB28" s="49">
        <f>'Incremental_Cost Year 6'!AX168</f>
        <v>0</v>
      </c>
      <c r="CC28" s="49">
        <f>'Incremental_Cost Year 6'!AY168</f>
        <v>0</v>
      </c>
      <c r="CD28" s="49">
        <f>'Incremental_Cost Year 6'!AZ168</f>
        <v>0</v>
      </c>
      <c r="CE28" s="49">
        <f>'Incremental_Cost Year 6'!BA168</f>
        <v>0</v>
      </c>
      <c r="CF28" s="49">
        <f t="shared" ref="CF28:CF29" si="903">BY28+BZ28+CA28+CB28+CC28+CD28+CE28-BX28</f>
        <v>-3373600</v>
      </c>
      <c r="CG28" s="92"/>
      <c r="CH28" s="49"/>
      <c r="CI28" s="49"/>
      <c r="CJ28" s="49"/>
      <c r="CK28" s="49"/>
      <c r="CL28" s="49"/>
      <c r="CM28" s="49"/>
      <c r="CN28" s="49"/>
      <c r="CO28" s="49"/>
      <c r="CP28" s="49"/>
      <c r="CQ28" s="49"/>
      <c r="CR28" s="49"/>
      <c r="CS28" s="49"/>
      <c r="CT28" s="92"/>
      <c r="CU28" s="49"/>
      <c r="CV28" s="49"/>
      <c r="CW28" s="49"/>
      <c r="CX28" s="49"/>
      <c r="CY28" s="49"/>
      <c r="CZ28" s="49"/>
      <c r="DA28" s="49"/>
      <c r="DB28" s="49"/>
      <c r="DC28" s="49"/>
      <c r="DD28" s="49"/>
      <c r="DE28" s="49"/>
      <c r="DF28" s="49">
        <f t="shared" ref="DF28" si="904">SUM(CY28:DE28)-CX28</f>
        <v>0</v>
      </c>
      <c r="DG28" s="92"/>
      <c r="DH28" s="49"/>
      <c r="DI28" s="49"/>
      <c r="DJ28" s="49"/>
      <c r="DK28" s="49"/>
      <c r="DL28" s="49"/>
      <c r="DM28" s="49"/>
      <c r="DN28" s="49"/>
      <c r="DO28" s="49"/>
      <c r="DP28" s="49"/>
      <c r="DQ28" s="49"/>
      <c r="DR28" s="49"/>
      <c r="DS28" s="49">
        <f t="shared" ref="DS28" si="905">SUM(DL28:DR28)-DK28</f>
        <v>0</v>
      </c>
      <c r="DT28" s="92"/>
      <c r="DU28" s="49"/>
      <c r="DV28" s="49"/>
      <c r="DW28" s="49"/>
      <c r="DX28" s="49"/>
      <c r="DY28" s="49"/>
      <c r="DZ28" s="49"/>
      <c r="EA28" s="49"/>
      <c r="EB28" s="49"/>
      <c r="EC28" s="49"/>
      <c r="ED28" s="49"/>
      <c r="EE28" s="49"/>
      <c r="EF28" s="49">
        <f t="shared" ref="EF28" si="906">SUM(DY28:EE28)-DX28</f>
        <v>0</v>
      </c>
      <c r="EG28" s="92"/>
      <c r="EH28" s="49">
        <f>H28+U28+AH28+AU28+BH28+BU28+CH28+CU28+DH28+DU28</f>
        <v>72454126.932857141</v>
      </c>
      <c r="EI28" s="49">
        <f t="shared" ref="EI28:ES28" si="907">I28+V28+AI28+AV28+BI28+BV28+CI28+CV28+DI28+DV28</f>
        <v>575870541</v>
      </c>
      <c r="EJ28" s="49">
        <f t="shared" si="907"/>
        <v>0</v>
      </c>
      <c r="EK28" s="49">
        <f t="shared" si="907"/>
        <v>648324667.93285716</v>
      </c>
      <c r="EL28" s="49">
        <f t="shared" si="907"/>
        <v>472021015.66285712</v>
      </c>
      <c r="EM28" s="49">
        <f t="shared" si="907"/>
        <v>0</v>
      </c>
      <c r="EN28" s="49">
        <f t="shared" si="907"/>
        <v>0</v>
      </c>
      <c r="EO28" s="49">
        <f t="shared" si="907"/>
        <v>8182800</v>
      </c>
      <c r="EP28" s="49">
        <f t="shared" si="907"/>
        <v>0</v>
      </c>
      <c r="EQ28" s="49">
        <f t="shared" si="907"/>
        <v>79663000</v>
      </c>
      <c r="ER28" s="49">
        <f t="shared" si="907"/>
        <v>0</v>
      </c>
      <c r="ES28" s="49">
        <f t="shared" si="907"/>
        <v>-88457852.270000026</v>
      </c>
    </row>
    <row r="29" spans="1:149" ht="27.6">
      <c r="B29" s="26"/>
      <c r="C29" s="159"/>
      <c r="D29" s="31" t="s">
        <v>638</v>
      </c>
      <c r="E29" s="56" t="s">
        <v>239</v>
      </c>
      <c r="F29" s="31">
        <v>2021</v>
      </c>
      <c r="G29" s="31">
        <v>2026</v>
      </c>
      <c r="H29" s="49">
        <f>'Incremental_Cost Year 1'!AQ178</f>
        <v>263858.7</v>
      </c>
      <c r="I29" s="49">
        <f>'Incremental_Cost Year 1'!AR178</f>
        <v>912000</v>
      </c>
      <c r="J29" s="49">
        <f>'Incremental_Cost Year 1'!AS178</f>
        <v>0</v>
      </c>
      <c r="K29" s="49">
        <f>'Incremental_Cost Year 1'!AT178</f>
        <v>1175858.7</v>
      </c>
      <c r="L29" s="49">
        <f>'Incremental_Cost Year 1'!AU178</f>
        <v>263858.7</v>
      </c>
      <c r="M29" s="49">
        <f>'Incremental_Cost Year 1'!AV178</f>
        <v>0</v>
      </c>
      <c r="N29" s="49">
        <f>'Incremental_Cost Year 1'!AW178</f>
        <v>0</v>
      </c>
      <c r="O29" s="49">
        <f>'Incremental_Cost Year 1'!AX178</f>
        <v>0</v>
      </c>
      <c r="P29" s="49">
        <f>'Incremental_Cost Year 1'!AY178</f>
        <v>0</v>
      </c>
      <c r="Q29" s="49">
        <f>'Incremental_Cost Year 1'!AZ178</f>
        <v>0</v>
      </c>
      <c r="R29" s="49">
        <f>'Incremental_Cost Year 1'!BA178</f>
        <v>0</v>
      </c>
      <c r="S29" s="49">
        <f t="shared" si="736"/>
        <v>-912000</v>
      </c>
      <c r="T29" s="89"/>
      <c r="U29" s="49">
        <f>'Incremental_Cost Year 2'!AQ178</f>
        <v>452329.19999999995</v>
      </c>
      <c r="V29" s="49">
        <f>'Incremental_Cost Year 2'!AR178</f>
        <v>4824000</v>
      </c>
      <c r="W29" s="49">
        <f>'Incremental_Cost Year 2'!AS178</f>
        <v>0</v>
      </c>
      <c r="X29" s="49">
        <f>'Incremental_Cost Year 2'!AT178</f>
        <v>5276329.2</v>
      </c>
      <c r="Y29" s="49">
        <f>'Incremental_Cost Year 2'!AU178</f>
        <v>452329.19999999995</v>
      </c>
      <c r="Z29" s="49">
        <f>'Incremental_Cost Year 2'!AV178</f>
        <v>0</v>
      </c>
      <c r="AA29" s="49">
        <f>'Incremental_Cost Year 2'!AW178</f>
        <v>0</v>
      </c>
      <c r="AB29" s="49">
        <f>'Incremental_Cost Year 2'!AX178</f>
        <v>0</v>
      </c>
      <c r="AC29" s="49">
        <f>'Incremental_Cost Year 2'!AY178</f>
        <v>0</v>
      </c>
      <c r="AD29" s="49">
        <f>'Incremental_Cost Year 2'!AZ178</f>
        <v>1808000</v>
      </c>
      <c r="AE29" s="49">
        <f>'Incremental_Cost Year 2'!BA178</f>
        <v>0</v>
      </c>
      <c r="AF29" s="49">
        <f t="shared" si="899"/>
        <v>-3016000</v>
      </c>
      <c r="AG29" s="96"/>
      <c r="AH29" s="49">
        <f>'Incremental_Cost Year 3'!AQ178</f>
        <v>263858.7</v>
      </c>
      <c r="AI29" s="49">
        <f>'Incremental_Cost Year 3'!AR178</f>
        <v>2359600</v>
      </c>
      <c r="AJ29" s="49">
        <f>'Incremental_Cost Year 3'!AS178</f>
        <v>0</v>
      </c>
      <c r="AK29" s="49">
        <f>'Incremental_Cost Year 3'!AT178</f>
        <v>2623458.7000000002</v>
      </c>
      <c r="AL29" s="49">
        <f>'Incremental_Cost Year 3'!AU178</f>
        <v>263858.7</v>
      </c>
      <c r="AM29" s="49">
        <f>'Incremental_Cost Year 3'!AV178</f>
        <v>0</v>
      </c>
      <c r="AN29" s="49">
        <f>'Incremental_Cost Year 3'!AW178</f>
        <v>0</v>
      </c>
      <c r="AO29" s="49">
        <f>'Incremental_Cost Year 3'!AX178</f>
        <v>0</v>
      </c>
      <c r="AP29" s="49">
        <f>'Incremental_Cost Year 3'!AY178</f>
        <v>0</v>
      </c>
      <c r="AQ29" s="49">
        <f>'Incremental_Cost Year 3'!AZ178</f>
        <v>1668000</v>
      </c>
      <c r="AR29" s="49">
        <f>'Incremental_Cost Year 3'!BA178</f>
        <v>0</v>
      </c>
      <c r="AS29" s="49">
        <f t="shared" si="900"/>
        <v>-691600.00000000023</v>
      </c>
      <c r="AT29" s="92"/>
      <c r="AU29" s="49">
        <f>'Incremental_Cost Year 4'!AQ178</f>
        <v>75388.2</v>
      </c>
      <c r="AV29" s="49">
        <f>'Incremental_Cost Year 4'!AR178</f>
        <v>3586000</v>
      </c>
      <c r="AW29" s="49">
        <f>'Incremental_Cost Year 4'!AS178</f>
        <v>0</v>
      </c>
      <c r="AX29" s="49">
        <f>'Incremental_Cost Year 4'!AT178</f>
        <v>3661388.2</v>
      </c>
      <c r="AY29" s="49">
        <f>'Incremental_Cost Year 4'!AU178</f>
        <v>75388.2</v>
      </c>
      <c r="AZ29" s="49">
        <f>'Incremental_Cost Year 4'!AV178</f>
        <v>0</v>
      </c>
      <c r="BA29" s="49">
        <f>'Incremental_Cost Year 4'!AW178</f>
        <v>0</v>
      </c>
      <c r="BB29" s="49">
        <f>'Incremental_Cost Year 4'!AX178</f>
        <v>0</v>
      </c>
      <c r="BC29" s="49">
        <f>'Incremental_Cost Year 4'!AY178</f>
        <v>0</v>
      </c>
      <c r="BD29" s="49">
        <f>'Incremental_Cost Year 4'!AZ178</f>
        <v>1668000</v>
      </c>
      <c r="BE29" s="49">
        <f>'Incremental_Cost Year 4'!BA178</f>
        <v>0</v>
      </c>
      <c r="BF29" s="49">
        <f t="shared" si="901"/>
        <v>-1918000.0000000002</v>
      </c>
      <c r="BG29" s="92"/>
      <c r="BH29" s="49">
        <f>'Incremental_Cost Year 5'!AQ178</f>
        <v>75388.2</v>
      </c>
      <c r="BI29" s="49">
        <f>'Incremental_Cost Year 5'!AR178</f>
        <v>3586000</v>
      </c>
      <c r="BJ29" s="49">
        <f>'Incremental_Cost Year 5'!AS178</f>
        <v>0</v>
      </c>
      <c r="BK29" s="49">
        <f>'Incremental_Cost Year 5'!AT178</f>
        <v>3661388.2</v>
      </c>
      <c r="BL29" s="49">
        <f>'Incremental_Cost Year 5'!AU178</f>
        <v>75388.2</v>
      </c>
      <c r="BM29" s="49">
        <f>'Incremental_Cost Year 5'!AV178</f>
        <v>0</v>
      </c>
      <c r="BN29" s="49">
        <f>'Incremental_Cost Year 5'!AW178</f>
        <v>0</v>
      </c>
      <c r="BO29" s="49">
        <f>'Incremental_Cost Year 5'!AX178</f>
        <v>0</v>
      </c>
      <c r="BP29" s="49">
        <f>'Incremental_Cost Year 5'!AY178</f>
        <v>0</v>
      </c>
      <c r="BQ29" s="49">
        <f>'Incremental_Cost Year 5'!AZ178</f>
        <v>1668000</v>
      </c>
      <c r="BR29" s="49">
        <f>'Incremental_Cost Year 5'!BA178</f>
        <v>0</v>
      </c>
      <c r="BS29" s="49">
        <f t="shared" si="902"/>
        <v>-1918000.0000000002</v>
      </c>
      <c r="BT29" s="92"/>
      <c r="BU29" s="49">
        <f>'Incremental_Cost Year 6'!AQ178</f>
        <v>75388.2</v>
      </c>
      <c r="BV29" s="49">
        <f>'Incremental_Cost Year 6'!AR178</f>
        <v>3586000</v>
      </c>
      <c r="BW29" s="49">
        <f>'Incremental_Cost Year 6'!AS178</f>
        <v>0</v>
      </c>
      <c r="BX29" s="49">
        <f>'Incremental_Cost Year 6'!AT178</f>
        <v>3661388.2</v>
      </c>
      <c r="BY29" s="49">
        <f>'Incremental_Cost Year 6'!AU178</f>
        <v>75388.2</v>
      </c>
      <c r="BZ29" s="49">
        <f>'Incremental_Cost Year 6'!AV178</f>
        <v>0</v>
      </c>
      <c r="CA29" s="49">
        <f>'Incremental_Cost Year 6'!AW178</f>
        <v>0</v>
      </c>
      <c r="CB29" s="49">
        <f>'Incremental_Cost Year 6'!AX178</f>
        <v>0</v>
      </c>
      <c r="CC29" s="49">
        <f>'Incremental_Cost Year 6'!AY178</f>
        <v>0</v>
      </c>
      <c r="CD29" s="49">
        <f>'Incremental_Cost Year 6'!AZ178</f>
        <v>1668000</v>
      </c>
      <c r="CE29" s="49">
        <f>'Incremental_Cost Year 6'!BA178</f>
        <v>0</v>
      </c>
      <c r="CF29" s="49">
        <f t="shared" si="903"/>
        <v>-1918000.0000000002</v>
      </c>
      <c r="CG29" s="92"/>
      <c r="CH29" s="49"/>
      <c r="CI29" s="49"/>
      <c r="CJ29" s="49"/>
      <c r="CK29" s="49"/>
      <c r="CL29" s="49"/>
      <c r="CM29" s="49"/>
      <c r="CN29" s="49"/>
      <c r="CO29" s="49"/>
      <c r="CP29" s="49"/>
      <c r="CQ29" s="49"/>
      <c r="CR29" s="49"/>
      <c r="CS29" s="49"/>
      <c r="CT29" s="92"/>
      <c r="CU29" s="49"/>
      <c r="CV29" s="49"/>
      <c r="CW29" s="49"/>
      <c r="CX29" s="49"/>
      <c r="CY29" s="49"/>
      <c r="CZ29" s="49"/>
      <c r="DA29" s="49"/>
      <c r="DB29" s="49"/>
      <c r="DC29" s="49"/>
      <c r="DD29" s="49"/>
      <c r="DE29" s="49"/>
      <c r="DF29" s="49">
        <f t="shared" ref="DF29" si="908">SUM(CY29:DE29)-CX29</f>
        <v>0</v>
      </c>
      <c r="DG29" s="92"/>
      <c r="DH29" s="49"/>
      <c r="DI29" s="49"/>
      <c r="DJ29" s="49"/>
      <c r="DK29" s="49"/>
      <c r="DL29" s="49"/>
      <c r="DM29" s="49"/>
      <c r="DN29" s="49"/>
      <c r="DO29" s="49"/>
      <c r="DP29" s="49"/>
      <c r="DQ29" s="49"/>
      <c r="DR29" s="49"/>
      <c r="DS29" s="49">
        <f t="shared" ref="DS29" si="909">SUM(DL29:DR29)-DK29</f>
        <v>0</v>
      </c>
      <c r="DT29" s="92"/>
      <c r="DU29" s="49"/>
      <c r="DV29" s="49"/>
      <c r="DW29" s="49"/>
      <c r="DX29" s="49"/>
      <c r="DY29" s="49"/>
      <c r="DZ29" s="49"/>
      <c r="EA29" s="49"/>
      <c r="EB29" s="49"/>
      <c r="EC29" s="49"/>
      <c r="ED29" s="49"/>
      <c r="EE29" s="49"/>
      <c r="EF29" s="49">
        <f t="shared" ref="EF29" si="910">SUM(DY29:EE29)-DX29</f>
        <v>0</v>
      </c>
      <c r="EG29" s="92"/>
      <c r="EH29" s="49">
        <f t="shared" ref="EH29" si="911">H29+U29+AH29+AU29+BH29+BU29+CH29+CU29+DH29+DU29</f>
        <v>1206211.1999999997</v>
      </c>
      <c r="EI29" s="49">
        <f t="shared" ref="EI29" si="912">I29+V29+AI29+AV29+BI29+BV29+CI29+CV29+DI29+DV29</f>
        <v>18853600</v>
      </c>
      <c r="EJ29" s="49">
        <f t="shared" ref="EJ29" si="913">J29+W29+AJ29+AW29+BJ29+BW29+CJ29+CW29+DJ29+DW29</f>
        <v>0</v>
      </c>
      <c r="EK29" s="49">
        <f t="shared" ref="EK29" si="914">K29+X29+AK29+AX29+BK29+BX29+CK29+CX29+DK29+DX29</f>
        <v>20059811.199999999</v>
      </c>
      <c r="EL29" s="49">
        <f t="shared" ref="EL29" si="915">L29+Y29+AL29+AY29+BL29+BY29+CL29+CY29+DL29+DY29</f>
        <v>1206211.1999999997</v>
      </c>
      <c r="EM29" s="49">
        <f t="shared" ref="EM29" si="916">M29+Z29+AM29+AZ29+BM29+BZ29+CM29+CZ29+DM29+DZ29</f>
        <v>0</v>
      </c>
      <c r="EN29" s="49">
        <f t="shared" ref="EN29" si="917">N29+AA29+AN29+BA29+BN29+CA29+CN29+DA29+DN29+EA29</f>
        <v>0</v>
      </c>
      <c r="EO29" s="49">
        <f t="shared" ref="EO29" si="918">O29+AB29+AO29+BB29+BO29+CB29+CO29+DB29+DO29+EB29</f>
        <v>0</v>
      </c>
      <c r="EP29" s="49">
        <f t="shared" ref="EP29" si="919">P29+AC29+AP29+BC29+BP29+CC29+CP29+DC29+DP29+EC29</f>
        <v>0</v>
      </c>
      <c r="EQ29" s="49">
        <f t="shared" ref="EQ29" si="920">Q29+AD29+AQ29+BD29+BQ29+CD29+CQ29+DD29+DQ29+ED29</f>
        <v>8480000</v>
      </c>
      <c r="ER29" s="49">
        <f t="shared" ref="ER29" si="921">R29+AE29+AR29+BE29+BR29+CE29+CR29+DE29+DR29+EE29</f>
        <v>0</v>
      </c>
      <c r="ES29" s="49">
        <f t="shared" ref="ES29" si="922">S29+AF29+AS29+BF29+BS29+CF29+CS29+DF29+DS29+EF29</f>
        <v>-10373600</v>
      </c>
    </row>
    <row r="30" spans="1:149" ht="15" customHeight="1">
      <c r="A30" s="24"/>
      <c r="B30" s="32"/>
      <c r="C30" s="314" t="s">
        <v>241</v>
      </c>
      <c r="D30" s="314"/>
      <c r="E30" s="315"/>
      <c r="F30" s="158"/>
      <c r="G30" s="158"/>
      <c r="H30" s="51">
        <f>SUM(H31)</f>
        <v>22863222.149999999</v>
      </c>
      <c r="I30" s="51">
        <f t="shared" ref="I30:S30" si="923">SUM(I31)</f>
        <v>3340000</v>
      </c>
      <c r="J30" s="51">
        <f t="shared" si="923"/>
        <v>0</v>
      </c>
      <c r="K30" s="51">
        <f t="shared" si="923"/>
        <v>26203222.149999999</v>
      </c>
      <c r="L30" s="51">
        <f t="shared" si="923"/>
        <v>22863222.149999999</v>
      </c>
      <c r="M30" s="51">
        <f t="shared" si="923"/>
        <v>0</v>
      </c>
      <c r="N30" s="51">
        <f t="shared" si="923"/>
        <v>0</v>
      </c>
      <c r="O30" s="51">
        <f t="shared" si="923"/>
        <v>1000000</v>
      </c>
      <c r="P30" s="51">
        <f t="shared" si="923"/>
        <v>0</v>
      </c>
      <c r="Q30" s="51">
        <f t="shared" si="923"/>
        <v>0</v>
      </c>
      <c r="R30" s="51">
        <f t="shared" si="923"/>
        <v>0</v>
      </c>
      <c r="S30" s="51">
        <f t="shared" si="923"/>
        <v>-2340000</v>
      </c>
      <c r="T30" s="90"/>
      <c r="U30" s="51">
        <f>SUM(U31)</f>
        <v>25087815.900000002</v>
      </c>
      <c r="V30" s="51">
        <f t="shared" ref="V30" si="924">SUM(V31)</f>
        <v>28531300</v>
      </c>
      <c r="W30" s="51">
        <f t="shared" ref="W30" si="925">SUM(W31)</f>
        <v>0</v>
      </c>
      <c r="X30" s="51">
        <f t="shared" ref="X30" si="926">SUM(X31)</f>
        <v>53619115.900000006</v>
      </c>
      <c r="Y30" s="51">
        <f t="shared" ref="Y30" si="927">SUM(Y31)</f>
        <v>24899345.400000002</v>
      </c>
      <c r="Z30" s="51">
        <f t="shared" ref="Z30" si="928">SUM(Z31)</f>
        <v>0</v>
      </c>
      <c r="AA30" s="51">
        <f t="shared" ref="AA30" si="929">SUM(AA31)</f>
        <v>0</v>
      </c>
      <c r="AB30" s="51">
        <f t="shared" ref="AB30" si="930">SUM(AB31)</f>
        <v>470400</v>
      </c>
      <c r="AC30" s="51">
        <f t="shared" ref="AC30" si="931">SUM(AC31)</f>
        <v>0</v>
      </c>
      <c r="AD30" s="51">
        <f t="shared" ref="AD30" si="932">SUM(AD31)</f>
        <v>16844146.75</v>
      </c>
      <c r="AE30" s="51">
        <f t="shared" ref="AE30" si="933">SUM(AE31)</f>
        <v>0</v>
      </c>
      <c r="AF30" s="51">
        <f t="shared" ref="AF30" si="934">SUM(AF31)</f>
        <v>-11405223.75</v>
      </c>
      <c r="AG30" s="90"/>
      <c r="AH30" s="51">
        <f>SUM(AH31)</f>
        <v>23372734.350000001</v>
      </c>
      <c r="AI30" s="51">
        <f t="shared" ref="AI30" si="935">SUM(AI31)</f>
        <v>22986400</v>
      </c>
      <c r="AJ30" s="51">
        <f t="shared" ref="AJ30" si="936">SUM(AJ31)</f>
        <v>0</v>
      </c>
      <c r="AK30" s="51">
        <f t="shared" ref="AK30" si="937">SUM(AK31)</f>
        <v>46359134.350000009</v>
      </c>
      <c r="AL30" s="51">
        <f t="shared" ref="AL30" si="938">SUM(AL31)</f>
        <v>23372734.350000001</v>
      </c>
      <c r="AM30" s="51">
        <f t="shared" ref="AM30" si="939">SUM(AM31)</f>
        <v>0</v>
      </c>
      <c r="AN30" s="51">
        <f t="shared" ref="AN30" si="940">SUM(AN31)</f>
        <v>0</v>
      </c>
      <c r="AO30" s="51">
        <f t="shared" ref="AO30" si="941">SUM(AO31)</f>
        <v>0</v>
      </c>
      <c r="AP30" s="51">
        <f t="shared" ref="AP30" si="942">SUM(AP31)</f>
        <v>0</v>
      </c>
      <c r="AQ30" s="51">
        <f t="shared" ref="AQ30" si="943">SUM(AQ31)</f>
        <v>12112776.25</v>
      </c>
      <c r="AR30" s="51">
        <f t="shared" ref="AR30" si="944">SUM(AR31)</f>
        <v>0</v>
      </c>
      <c r="AS30" s="51">
        <f t="shared" ref="AS30" si="945">SUM(AS31)</f>
        <v>-10873623.750000007</v>
      </c>
      <c r="AT30" s="92"/>
      <c r="AU30" s="51">
        <f>SUM(AU31)</f>
        <v>21638805.750000004</v>
      </c>
      <c r="AV30" s="51">
        <f t="shared" ref="AV30" si="946">SUM(AV31)</f>
        <v>10297200</v>
      </c>
      <c r="AW30" s="51">
        <f t="shared" ref="AW30" si="947">SUM(AW31)</f>
        <v>0</v>
      </c>
      <c r="AX30" s="51">
        <f t="shared" ref="AX30" si="948">SUM(AX31)</f>
        <v>31936005.750000004</v>
      </c>
      <c r="AY30" s="51">
        <f t="shared" ref="AY30" si="949">SUM(AY31)</f>
        <v>21638805.750000004</v>
      </c>
      <c r="AZ30" s="51">
        <f t="shared" ref="AZ30" si="950">SUM(AZ31)</f>
        <v>0</v>
      </c>
      <c r="BA30" s="51">
        <f t="shared" ref="BA30" si="951">SUM(BA31)</f>
        <v>0</v>
      </c>
      <c r="BB30" s="51">
        <f t="shared" ref="BB30" si="952">SUM(BB31)</f>
        <v>0</v>
      </c>
      <c r="BC30" s="51">
        <f t="shared" ref="BC30" si="953">SUM(BC31)</f>
        <v>0</v>
      </c>
      <c r="BD30" s="51">
        <f t="shared" ref="BD30" si="954">SUM(BD31)</f>
        <v>1661176.25</v>
      </c>
      <c r="BE30" s="51">
        <f t="shared" ref="BE30" si="955">SUM(BE31)</f>
        <v>0</v>
      </c>
      <c r="BF30" s="51">
        <f t="shared" ref="BF30" si="956">SUM(BF31)</f>
        <v>-8636023.75</v>
      </c>
      <c r="BG30" s="92"/>
      <c r="BH30" s="51">
        <f>SUM(BH31)</f>
        <v>21638805.750000004</v>
      </c>
      <c r="BI30" s="51">
        <f t="shared" ref="BI30" si="957">SUM(BI31)</f>
        <v>9917200</v>
      </c>
      <c r="BJ30" s="51">
        <f t="shared" ref="BJ30" si="958">SUM(BJ31)</f>
        <v>0</v>
      </c>
      <c r="BK30" s="51">
        <f t="shared" ref="BK30" si="959">SUM(BK31)</f>
        <v>31556005.750000004</v>
      </c>
      <c r="BL30" s="51">
        <f t="shared" ref="BL30" si="960">SUM(BL31)</f>
        <v>21638805.750000004</v>
      </c>
      <c r="BM30" s="51">
        <f t="shared" ref="BM30" si="961">SUM(BM31)</f>
        <v>0</v>
      </c>
      <c r="BN30" s="51">
        <f t="shared" ref="BN30" si="962">SUM(BN31)</f>
        <v>0</v>
      </c>
      <c r="BO30" s="51">
        <f t="shared" ref="BO30" si="963">SUM(BO31)</f>
        <v>0</v>
      </c>
      <c r="BP30" s="51">
        <f t="shared" ref="BP30" si="964">SUM(BP31)</f>
        <v>0</v>
      </c>
      <c r="BQ30" s="51">
        <f t="shared" ref="BQ30" si="965">SUM(BQ31)</f>
        <v>471176.25</v>
      </c>
      <c r="BR30" s="51">
        <f t="shared" ref="BR30" si="966">SUM(BR31)</f>
        <v>0</v>
      </c>
      <c r="BS30" s="51">
        <f t="shared" ref="BS30" si="967">SUM(BS31)</f>
        <v>-9446023.75</v>
      </c>
      <c r="BT30" s="92"/>
      <c r="BU30" s="51">
        <f>SUM(BU31)</f>
        <v>21638805.750000004</v>
      </c>
      <c r="BV30" s="51">
        <f t="shared" ref="BV30" si="968">SUM(BV31)</f>
        <v>9917200</v>
      </c>
      <c r="BW30" s="51">
        <f t="shared" ref="BW30" si="969">SUM(BW31)</f>
        <v>0</v>
      </c>
      <c r="BX30" s="51">
        <f t="shared" ref="BX30" si="970">SUM(BX31)</f>
        <v>31556005.750000004</v>
      </c>
      <c r="BY30" s="51">
        <f t="shared" ref="BY30" si="971">SUM(BY31)</f>
        <v>21638805.750000004</v>
      </c>
      <c r="BZ30" s="51">
        <f t="shared" ref="BZ30" si="972">SUM(BZ31)</f>
        <v>0</v>
      </c>
      <c r="CA30" s="51">
        <f t="shared" ref="CA30" si="973">SUM(CA31)</f>
        <v>0</v>
      </c>
      <c r="CB30" s="51">
        <f t="shared" ref="CB30" si="974">SUM(CB31)</f>
        <v>0</v>
      </c>
      <c r="CC30" s="51">
        <f t="shared" ref="CC30" si="975">SUM(CC31)</f>
        <v>0</v>
      </c>
      <c r="CD30" s="51">
        <f t="shared" ref="CD30" si="976">SUM(CD31)</f>
        <v>471176.25</v>
      </c>
      <c r="CE30" s="51">
        <f t="shared" ref="CE30" si="977">SUM(CE31)</f>
        <v>0</v>
      </c>
      <c r="CF30" s="51">
        <f t="shared" ref="CF30" si="978">SUM(CF31)</f>
        <v>-9446023.75</v>
      </c>
      <c r="CG30" s="92"/>
      <c r="CH30" s="51">
        <f>SUM(CH31)</f>
        <v>0</v>
      </c>
      <c r="CI30" s="51">
        <f t="shared" ref="CI30" si="979">SUM(CI31)</f>
        <v>0</v>
      </c>
      <c r="CJ30" s="51">
        <f t="shared" ref="CJ30" si="980">SUM(CJ31)</f>
        <v>0</v>
      </c>
      <c r="CK30" s="51">
        <f t="shared" ref="CK30" si="981">SUM(CK31)</f>
        <v>0</v>
      </c>
      <c r="CL30" s="51">
        <f t="shared" ref="CL30" si="982">SUM(CL31)</f>
        <v>0</v>
      </c>
      <c r="CM30" s="51">
        <f t="shared" ref="CM30" si="983">SUM(CM31)</f>
        <v>0</v>
      </c>
      <c r="CN30" s="51">
        <f t="shared" ref="CN30" si="984">SUM(CN31)</f>
        <v>0</v>
      </c>
      <c r="CO30" s="51">
        <f t="shared" ref="CO30" si="985">SUM(CO31)</f>
        <v>0</v>
      </c>
      <c r="CP30" s="51">
        <f t="shared" ref="CP30" si="986">SUM(CP31)</f>
        <v>0</v>
      </c>
      <c r="CQ30" s="51">
        <f t="shared" ref="CQ30" si="987">SUM(CQ31)</f>
        <v>0</v>
      </c>
      <c r="CR30" s="51">
        <f t="shared" ref="CR30" si="988">SUM(CR31)</f>
        <v>0</v>
      </c>
      <c r="CS30" s="51">
        <f t="shared" ref="CS30" si="989">SUM(CS31)</f>
        <v>0</v>
      </c>
      <c r="CT30" s="92"/>
      <c r="CU30" s="51">
        <f>SUM(CU31)</f>
        <v>0</v>
      </c>
      <c r="CV30" s="51">
        <f t="shared" ref="CV30" si="990">SUM(CV31)</f>
        <v>0</v>
      </c>
      <c r="CW30" s="51">
        <f t="shared" ref="CW30" si="991">SUM(CW31)</f>
        <v>0</v>
      </c>
      <c r="CX30" s="51">
        <f t="shared" ref="CX30" si="992">SUM(CX31)</f>
        <v>0</v>
      </c>
      <c r="CY30" s="51">
        <f t="shared" ref="CY30" si="993">SUM(CY31)</f>
        <v>0</v>
      </c>
      <c r="CZ30" s="51">
        <f t="shared" ref="CZ30" si="994">SUM(CZ31)</f>
        <v>0</v>
      </c>
      <c r="DA30" s="51">
        <f t="shared" ref="DA30" si="995">SUM(DA31)</f>
        <v>0</v>
      </c>
      <c r="DB30" s="51">
        <f t="shared" ref="DB30" si="996">SUM(DB31)</f>
        <v>0</v>
      </c>
      <c r="DC30" s="51">
        <f t="shared" ref="DC30" si="997">SUM(DC31)</f>
        <v>0</v>
      </c>
      <c r="DD30" s="51">
        <f t="shared" ref="DD30" si="998">SUM(DD31)</f>
        <v>0</v>
      </c>
      <c r="DE30" s="51">
        <f t="shared" ref="DE30" si="999">SUM(DE31)</f>
        <v>0</v>
      </c>
      <c r="DF30" s="51">
        <f t="shared" ref="DF30" si="1000">SUM(DF31)</f>
        <v>0</v>
      </c>
      <c r="DG30" s="92"/>
      <c r="DH30" s="51">
        <f>SUM(DH31)</f>
        <v>0</v>
      </c>
      <c r="DI30" s="51">
        <f t="shared" ref="DI30" si="1001">SUM(DI31)</f>
        <v>0</v>
      </c>
      <c r="DJ30" s="51">
        <f t="shared" ref="DJ30" si="1002">SUM(DJ31)</f>
        <v>0</v>
      </c>
      <c r="DK30" s="51">
        <f t="shared" ref="DK30" si="1003">SUM(DK31)</f>
        <v>0</v>
      </c>
      <c r="DL30" s="51">
        <f t="shared" ref="DL30" si="1004">SUM(DL31)</f>
        <v>0</v>
      </c>
      <c r="DM30" s="51">
        <f t="shared" ref="DM30" si="1005">SUM(DM31)</f>
        <v>0</v>
      </c>
      <c r="DN30" s="51">
        <f t="shared" ref="DN30" si="1006">SUM(DN31)</f>
        <v>0</v>
      </c>
      <c r="DO30" s="51">
        <f t="shared" ref="DO30" si="1007">SUM(DO31)</f>
        <v>0</v>
      </c>
      <c r="DP30" s="51">
        <f t="shared" ref="DP30" si="1008">SUM(DP31)</f>
        <v>0</v>
      </c>
      <c r="DQ30" s="51">
        <f t="shared" ref="DQ30" si="1009">SUM(DQ31)</f>
        <v>0</v>
      </c>
      <c r="DR30" s="51">
        <f t="shared" ref="DR30" si="1010">SUM(DR31)</f>
        <v>0</v>
      </c>
      <c r="DS30" s="51">
        <f t="shared" ref="DS30" si="1011">SUM(DS31)</f>
        <v>0</v>
      </c>
      <c r="DT30" s="92"/>
      <c r="DU30" s="51">
        <f>SUM(DU31)</f>
        <v>0</v>
      </c>
      <c r="DV30" s="51">
        <f t="shared" ref="DV30" si="1012">SUM(DV31)</f>
        <v>0</v>
      </c>
      <c r="DW30" s="51">
        <f t="shared" ref="DW30" si="1013">SUM(DW31)</f>
        <v>0</v>
      </c>
      <c r="DX30" s="51">
        <f t="shared" ref="DX30" si="1014">SUM(DX31)</f>
        <v>0</v>
      </c>
      <c r="DY30" s="51">
        <f t="shared" ref="DY30" si="1015">SUM(DY31)</f>
        <v>0</v>
      </c>
      <c r="DZ30" s="51">
        <f t="shared" ref="DZ30" si="1016">SUM(DZ31)</f>
        <v>0</v>
      </c>
      <c r="EA30" s="51">
        <f t="shared" ref="EA30" si="1017">SUM(EA31)</f>
        <v>0</v>
      </c>
      <c r="EB30" s="51">
        <f t="shared" ref="EB30" si="1018">SUM(EB31)</f>
        <v>0</v>
      </c>
      <c r="EC30" s="51">
        <f t="shared" ref="EC30" si="1019">SUM(EC31)</f>
        <v>0</v>
      </c>
      <c r="ED30" s="51">
        <f t="shared" ref="ED30" si="1020">SUM(ED31)</f>
        <v>0</v>
      </c>
      <c r="EE30" s="51">
        <f t="shared" ref="EE30" si="1021">SUM(EE31)</f>
        <v>0</v>
      </c>
      <c r="EF30" s="51">
        <f t="shared" ref="EF30" si="1022">SUM(EF31)</f>
        <v>0</v>
      </c>
      <c r="EG30" s="92"/>
      <c r="EH30" s="51">
        <f>SUM(EH31)</f>
        <v>136240189.65000001</v>
      </c>
      <c r="EI30" s="51">
        <f t="shared" ref="EI30" si="1023">SUM(EI31)</f>
        <v>84989300</v>
      </c>
      <c r="EJ30" s="51">
        <f t="shared" ref="EJ30" si="1024">SUM(EJ31)</f>
        <v>0</v>
      </c>
      <c r="EK30" s="51">
        <f t="shared" ref="EK30" si="1025">SUM(EK31)</f>
        <v>221229489.65000004</v>
      </c>
      <c r="EL30" s="51">
        <f t="shared" ref="EL30" si="1026">SUM(EL31)</f>
        <v>136051719.15000001</v>
      </c>
      <c r="EM30" s="51">
        <f t="shared" ref="EM30" si="1027">SUM(EM31)</f>
        <v>0</v>
      </c>
      <c r="EN30" s="51">
        <f t="shared" ref="EN30" si="1028">SUM(EN31)</f>
        <v>0</v>
      </c>
      <c r="EO30" s="51">
        <f t="shared" ref="EO30" si="1029">SUM(EO31)</f>
        <v>1470400</v>
      </c>
      <c r="EP30" s="51">
        <f t="shared" ref="EP30" si="1030">SUM(EP31)</f>
        <v>0</v>
      </c>
      <c r="EQ30" s="51">
        <f t="shared" ref="EQ30" si="1031">SUM(EQ31)</f>
        <v>31560451.75</v>
      </c>
      <c r="ER30" s="51">
        <f t="shared" ref="ER30" si="1032">SUM(ER31)</f>
        <v>0</v>
      </c>
      <c r="ES30" s="51">
        <f t="shared" ref="ES30" si="1033">SUM(ES31)</f>
        <v>-52146918.750000007</v>
      </c>
    </row>
    <row r="31" spans="1:149" ht="110.4">
      <c r="B31" s="26"/>
      <c r="C31" s="159"/>
      <c r="D31" s="31" t="s">
        <v>639</v>
      </c>
      <c r="E31" s="56" t="s">
        <v>243</v>
      </c>
      <c r="F31" s="31">
        <v>2021</v>
      </c>
      <c r="G31" s="31">
        <v>2026</v>
      </c>
      <c r="H31" s="49">
        <f>'Incremental_Cost Year 1'!AQ201</f>
        <v>22863222.149999999</v>
      </c>
      <c r="I31" s="49">
        <f>'Incremental_Cost Year 1'!AR201</f>
        <v>3340000</v>
      </c>
      <c r="J31" s="49">
        <f>'Incremental_Cost Year 1'!AS201</f>
        <v>0</v>
      </c>
      <c r="K31" s="49">
        <f>'Incremental_Cost Year 1'!AT201</f>
        <v>26203222.149999999</v>
      </c>
      <c r="L31" s="49">
        <f>'Incremental_Cost Year 1'!AU201</f>
        <v>22863222.149999999</v>
      </c>
      <c r="M31" s="49">
        <f>'Incremental_Cost Year 1'!AV201</f>
        <v>0</v>
      </c>
      <c r="N31" s="49">
        <f>'Incremental_Cost Year 1'!AW201</f>
        <v>0</v>
      </c>
      <c r="O31" s="49">
        <f>'Incremental_Cost Year 1'!AX201</f>
        <v>1000000</v>
      </c>
      <c r="P31" s="49">
        <f>'Incremental_Cost Year 1'!AY201</f>
        <v>0</v>
      </c>
      <c r="Q31" s="49">
        <f>'Incremental_Cost Year 1'!AZ201</f>
        <v>0</v>
      </c>
      <c r="R31" s="49">
        <f>'Incremental_Cost Year 1'!BA201</f>
        <v>0</v>
      </c>
      <c r="S31" s="49">
        <f t="shared" si="736"/>
        <v>-2340000</v>
      </c>
      <c r="T31" s="89"/>
      <c r="U31" s="49">
        <f>'Incremental_Cost Year 2'!AQ201</f>
        <v>25087815.900000002</v>
      </c>
      <c r="V31" s="49">
        <f>'Incremental_Cost Year 2'!AR201</f>
        <v>28531300</v>
      </c>
      <c r="W31" s="49">
        <f>'Incremental_Cost Year 2'!AS201</f>
        <v>0</v>
      </c>
      <c r="X31" s="49">
        <f>'Incremental_Cost Year 2'!AT201</f>
        <v>53619115.900000006</v>
      </c>
      <c r="Y31" s="49">
        <f>'Incremental_Cost Year 2'!AU201</f>
        <v>24899345.400000002</v>
      </c>
      <c r="Z31" s="49">
        <f>'Incremental_Cost Year 2'!AV201</f>
        <v>0</v>
      </c>
      <c r="AA31" s="49">
        <f>'Incremental_Cost Year 2'!AW201</f>
        <v>0</v>
      </c>
      <c r="AB31" s="49">
        <f>'Incremental_Cost Year 2'!AX201</f>
        <v>470400</v>
      </c>
      <c r="AC31" s="49">
        <f>'Incremental_Cost Year 2'!AY201</f>
        <v>0</v>
      </c>
      <c r="AD31" s="49">
        <f>'Incremental_Cost Year 2'!AZ201</f>
        <v>16844146.75</v>
      </c>
      <c r="AE31" s="49">
        <f>'Incremental_Cost Year 2'!BA201</f>
        <v>0</v>
      </c>
      <c r="AF31" s="49">
        <f>Y31+Z31+AA31+AB31+AC31+AD31+AE31-X31</f>
        <v>-11405223.75</v>
      </c>
      <c r="AG31" s="96"/>
      <c r="AH31" s="49">
        <f>'Incremental_Cost Year 3'!AQ201</f>
        <v>23372734.350000001</v>
      </c>
      <c r="AI31" s="49">
        <f>'Incremental_Cost Year 3'!AR201</f>
        <v>22986400</v>
      </c>
      <c r="AJ31" s="49">
        <f>'Incremental_Cost Year 3'!AS201</f>
        <v>0</v>
      </c>
      <c r="AK31" s="49">
        <f>'Incremental_Cost Year 3'!AT201</f>
        <v>46359134.350000009</v>
      </c>
      <c r="AL31" s="49">
        <f>'Incremental_Cost Year 3'!AU201</f>
        <v>23372734.350000001</v>
      </c>
      <c r="AM31" s="49">
        <f>'Incremental_Cost Year 3'!AV201</f>
        <v>0</v>
      </c>
      <c r="AN31" s="49">
        <f>'Incremental_Cost Year 3'!AW201</f>
        <v>0</v>
      </c>
      <c r="AO31" s="49">
        <f>'Incremental_Cost Year 3'!AX201</f>
        <v>0</v>
      </c>
      <c r="AP31" s="49">
        <f>'Incremental_Cost Year 3'!AY201</f>
        <v>0</v>
      </c>
      <c r="AQ31" s="49">
        <f>'Incremental_Cost Year 3'!AZ201</f>
        <v>12112776.25</v>
      </c>
      <c r="AR31" s="49">
        <f>'Incremental_Cost Year 3'!BA201</f>
        <v>0</v>
      </c>
      <c r="AS31" s="49">
        <f>AL31+AM31+AN31+AO31+AP31+AQ31+AR31-AK31</f>
        <v>-10873623.750000007</v>
      </c>
      <c r="AT31" s="92"/>
      <c r="AU31" s="49">
        <f>'Incremental_Cost Year 4'!AQ201</f>
        <v>21638805.750000004</v>
      </c>
      <c r="AV31" s="49">
        <f>'Incremental_Cost Year 4'!AR201</f>
        <v>10297200</v>
      </c>
      <c r="AW31" s="49">
        <f>'Incremental_Cost Year 4'!AS201</f>
        <v>0</v>
      </c>
      <c r="AX31" s="49">
        <f>'Incremental_Cost Year 4'!AT201</f>
        <v>31936005.750000004</v>
      </c>
      <c r="AY31" s="49">
        <f>'Incremental_Cost Year 4'!AU201</f>
        <v>21638805.750000004</v>
      </c>
      <c r="AZ31" s="49">
        <f>'Incremental_Cost Year 4'!AV201</f>
        <v>0</v>
      </c>
      <c r="BA31" s="49">
        <f>'Incremental_Cost Year 4'!AW201</f>
        <v>0</v>
      </c>
      <c r="BB31" s="49">
        <f>'Incremental_Cost Year 4'!AX201</f>
        <v>0</v>
      </c>
      <c r="BC31" s="49">
        <f>'Incremental_Cost Year 4'!AY201</f>
        <v>0</v>
      </c>
      <c r="BD31" s="49">
        <f>'Incremental_Cost Year 4'!AZ201</f>
        <v>1661176.25</v>
      </c>
      <c r="BE31" s="49">
        <f>'Incremental_Cost Year 4'!BA201</f>
        <v>0</v>
      </c>
      <c r="BF31" s="49">
        <f t="shared" ref="BF31" si="1034">AY31+AZ31+BA31+BB31+BC31+BD31+BE31-AX31</f>
        <v>-8636023.75</v>
      </c>
      <c r="BG31" s="92"/>
      <c r="BH31" s="49">
        <f>'Incremental_Cost Year 5'!AQ201</f>
        <v>21638805.750000004</v>
      </c>
      <c r="BI31" s="49">
        <f>'Incremental_Cost Year 5'!AR201</f>
        <v>9917200</v>
      </c>
      <c r="BJ31" s="49">
        <f>'Incremental_Cost Year 5'!AS201</f>
        <v>0</v>
      </c>
      <c r="BK31" s="49">
        <f>'Incremental_Cost Year 5'!AT201</f>
        <v>31556005.750000004</v>
      </c>
      <c r="BL31" s="49">
        <f>'Incremental_Cost Year 5'!AU201</f>
        <v>21638805.750000004</v>
      </c>
      <c r="BM31" s="49">
        <f>'Incremental_Cost Year 5'!AV201</f>
        <v>0</v>
      </c>
      <c r="BN31" s="49">
        <f>'Incremental_Cost Year 5'!AW201</f>
        <v>0</v>
      </c>
      <c r="BO31" s="49">
        <f>'Incremental_Cost Year 5'!AX201</f>
        <v>0</v>
      </c>
      <c r="BP31" s="49">
        <f>'Incremental_Cost Year 5'!AY201</f>
        <v>0</v>
      </c>
      <c r="BQ31" s="49">
        <f>'Incremental_Cost Year 5'!AZ201</f>
        <v>471176.25</v>
      </c>
      <c r="BR31" s="49">
        <f>'Incremental_Cost Year 5'!BA201</f>
        <v>0</v>
      </c>
      <c r="BS31" s="49">
        <f t="shared" ref="BS31" si="1035">BL31+BM31+BN31+BO31+BP31+BQ31+BR31-BK31</f>
        <v>-9446023.75</v>
      </c>
      <c r="BT31" s="92"/>
      <c r="BU31" s="49">
        <f>'Incremental_Cost Year 6'!AQ201</f>
        <v>21638805.750000004</v>
      </c>
      <c r="BV31" s="49">
        <f>'Incremental_Cost Year 6'!AR201</f>
        <v>9917200</v>
      </c>
      <c r="BW31" s="49">
        <f>'Incremental_Cost Year 6'!AS201</f>
        <v>0</v>
      </c>
      <c r="BX31" s="49">
        <f>'Incremental_Cost Year 6'!AT201</f>
        <v>31556005.750000004</v>
      </c>
      <c r="BY31" s="49">
        <f>'Incremental_Cost Year 6'!AU201</f>
        <v>21638805.750000004</v>
      </c>
      <c r="BZ31" s="49">
        <f>'Incremental_Cost Year 6'!AV201</f>
        <v>0</v>
      </c>
      <c r="CA31" s="49">
        <f>'Incremental_Cost Year 6'!AW201</f>
        <v>0</v>
      </c>
      <c r="CB31" s="49">
        <f>'Incremental_Cost Year 6'!AX201</f>
        <v>0</v>
      </c>
      <c r="CC31" s="49">
        <f>'Incremental_Cost Year 6'!AY201</f>
        <v>0</v>
      </c>
      <c r="CD31" s="49">
        <f>'Incremental_Cost Year 6'!AZ201</f>
        <v>471176.25</v>
      </c>
      <c r="CE31" s="49">
        <f>'Incremental_Cost Year 6'!BA201</f>
        <v>0</v>
      </c>
      <c r="CF31" s="49">
        <f t="shared" ref="CF31" si="1036">BY31+BZ31+CA31+CB31+CC31+CD31+CE31-BX31</f>
        <v>-9446023.75</v>
      </c>
      <c r="CG31" s="92"/>
      <c r="CH31" s="49"/>
      <c r="CI31" s="49"/>
      <c r="CJ31" s="49"/>
      <c r="CK31" s="49"/>
      <c r="CL31" s="49"/>
      <c r="CM31" s="49"/>
      <c r="CN31" s="49"/>
      <c r="CO31" s="49"/>
      <c r="CP31" s="49"/>
      <c r="CQ31" s="49"/>
      <c r="CR31" s="49"/>
      <c r="CS31" s="49"/>
      <c r="CT31" s="92"/>
      <c r="CU31" s="49"/>
      <c r="CV31" s="49"/>
      <c r="CW31" s="49"/>
      <c r="CX31" s="49"/>
      <c r="CY31" s="49"/>
      <c r="CZ31" s="49"/>
      <c r="DA31" s="49"/>
      <c r="DB31" s="49"/>
      <c r="DC31" s="49"/>
      <c r="DD31" s="49"/>
      <c r="DE31" s="49"/>
      <c r="DF31" s="49">
        <f t="shared" ref="DF31" si="1037">SUM(CY31:DE31)-CX31</f>
        <v>0</v>
      </c>
      <c r="DG31" s="92"/>
      <c r="DH31" s="49"/>
      <c r="DI31" s="49"/>
      <c r="DJ31" s="49"/>
      <c r="DK31" s="49"/>
      <c r="DL31" s="49"/>
      <c r="DM31" s="49"/>
      <c r="DN31" s="49"/>
      <c r="DO31" s="49"/>
      <c r="DP31" s="49"/>
      <c r="DQ31" s="49"/>
      <c r="DR31" s="49"/>
      <c r="DS31" s="49">
        <f t="shared" ref="DS31" si="1038">SUM(DL31:DR31)-DK31</f>
        <v>0</v>
      </c>
      <c r="DT31" s="92"/>
      <c r="DU31" s="49"/>
      <c r="DV31" s="49"/>
      <c r="DW31" s="49"/>
      <c r="DX31" s="49"/>
      <c r="DY31" s="49"/>
      <c r="DZ31" s="49"/>
      <c r="EA31" s="49"/>
      <c r="EB31" s="49"/>
      <c r="EC31" s="49"/>
      <c r="ED31" s="49"/>
      <c r="EE31" s="49"/>
      <c r="EF31" s="49">
        <f t="shared" ref="EF31" si="1039">SUM(DY31:EE31)-DX31</f>
        <v>0</v>
      </c>
      <c r="EG31" s="92"/>
      <c r="EH31" s="49">
        <f>H31+U31+AH31+AU31+BH31+BU31+CH31+CU31+DH31+DU31</f>
        <v>136240189.65000001</v>
      </c>
      <c r="EI31" s="49">
        <f t="shared" ref="EI31" si="1040">I31+V31+AI31+AV31+BI31+BV31+CI31+CV31+DI31+DV31</f>
        <v>84989300</v>
      </c>
      <c r="EJ31" s="49">
        <f t="shared" ref="EJ31" si="1041">J31+W31+AJ31+AW31+BJ31+BW31+CJ31+CW31+DJ31+DW31</f>
        <v>0</v>
      </c>
      <c r="EK31" s="49">
        <f t="shared" ref="EK31" si="1042">K31+X31+AK31+AX31+BK31+BX31+CK31+CX31+DK31+DX31</f>
        <v>221229489.65000004</v>
      </c>
      <c r="EL31" s="49">
        <f t="shared" ref="EL31" si="1043">L31+Y31+AL31+AY31+BL31+BY31+CL31+CY31+DL31+DY31</f>
        <v>136051719.15000001</v>
      </c>
      <c r="EM31" s="49">
        <f t="shared" ref="EM31" si="1044">M31+Z31+AM31+AZ31+BM31+BZ31+CM31+CZ31+DM31+DZ31</f>
        <v>0</v>
      </c>
      <c r="EN31" s="49">
        <f t="shared" ref="EN31" si="1045">N31+AA31+AN31+BA31+BN31+CA31+CN31+DA31+DN31+EA31</f>
        <v>0</v>
      </c>
      <c r="EO31" s="49">
        <f t="shared" ref="EO31" si="1046">O31+AB31+AO31+BB31+BO31+CB31+CO31+DB31+DO31+EB31</f>
        <v>1470400</v>
      </c>
      <c r="EP31" s="49">
        <f t="shared" ref="EP31" si="1047">P31+AC31+AP31+BC31+BP31+CC31+CP31+DC31+DP31+EC31</f>
        <v>0</v>
      </c>
      <c r="EQ31" s="49">
        <f t="shared" ref="EQ31" si="1048">Q31+AD31+AQ31+BD31+BQ31+CD31+CQ31+DD31+DQ31+ED31</f>
        <v>31560451.75</v>
      </c>
      <c r="ER31" s="49">
        <f t="shared" ref="ER31" si="1049">R31+AE31+AR31+BE31+BR31+CE31+CR31+DE31+DR31+EE31</f>
        <v>0</v>
      </c>
      <c r="ES31" s="49">
        <f t="shared" ref="ES31" si="1050">S31+AF31+AS31+BF31+BS31+CF31+CS31+DF31+DS31+EF31</f>
        <v>-52146918.750000007</v>
      </c>
    </row>
    <row r="32" spans="1:149" ht="15" customHeight="1">
      <c r="A32" s="24"/>
      <c r="B32" s="32"/>
      <c r="C32" s="314" t="s">
        <v>246</v>
      </c>
      <c r="D32" s="314"/>
      <c r="E32" s="315"/>
      <c r="F32" s="158"/>
      <c r="G32" s="158"/>
      <c r="H32" s="51">
        <f>SUM(H33)</f>
        <v>4286636.07</v>
      </c>
      <c r="I32" s="51">
        <f t="shared" ref="I32:S32" si="1051">SUM(I33)</f>
        <v>2863600</v>
      </c>
      <c r="J32" s="51">
        <f t="shared" si="1051"/>
        <v>0</v>
      </c>
      <c r="K32" s="51">
        <f t="shared" si="1051"/>
        <v>7150236.0700000003</v>
      </c>
      <c r="L32" s="51">
        <f t="shared" si="1051"/>
        <v>4286636.07</v>
      </c>
      <c r="M32" s="51">
        <f t="shared" si="1051"/>
        <v>0</v>
      </c>
      <c r="N32" s="51">
        <f t="shared" si="1051"/>
        <v>122250.69</v>
      </c>
      <c r="O32" s="51">
        <f t="shared" si="1051"/>
        <v>2483600</v>
      </c>
      <c r="P32" s="51">
        <f t="shared" si="1051"/>
        <v>0</v>
      </c>
      <c r="Q32" s="51">
        <f t="shared" si="1051"/>
        <v>0</v>
      </c>
      <c r="R32" s="51">
        <f t="shared" si="1051"/>
        <v>0</v>
      </c>
      <c r="S32" s="51">
        <f t="shared" si="1051"/>
        <v>-257749.30999999959</v>
      </c>
      <c r="T32" s="90"/>
      <c r="U32" s="51">
        <f>SUM(U33)</f>
        <v>5134753.32</v>
      </c>
      <c r="V32" s="51">
        <f t="shared" ref="V32" si="1052">SUM(V33)</f>
        <v>5403700</v>
      </c>
      <c r="W32" s="51">
        <f t="shared" ref="W32" si="1053">SUM(W33)</f>
        <v>0</v>
      </c>
      <c r="X32" s="51">
        <f t="shared" ref="X32" si="1054">SUM(X33)</f>
        <v>10538453.32</v>
      </c>
      <c r="Y32" s="51">
        <f t="shared" ref="Y32" si="1055">SUM(Y33)</f>
        <v>5134753.32</v>
      </c>
      <c r="Z32" s="51">
        <f t="shared" ref="Z32" si="1056">SUM(Z33)</f>
        <v>0</v>
      </c>
      <c r="AA32" s="51">
        <f t="shared" ref="AA32" si="1057">SUM(AA33)</f>
        <v>0</v>
      </c>
      <c r="AB32" s="51">
        <f t="shared" ref="AB32" si="1058">SUM(AB33)</f>
        <v>4723550.6899999995</v>
      </c>
      <c r="AC32" s="51">
        <f t="shared" ref="AC32" si="1059">SUM(AC33)</f>
        <v>0</v>
      </c>
      <c r="AD32" s="51">
        <f t="shared" ref="AD32" si="1060">SUM(AD33)</f>
        <v>0</v>
      </c>
      <c r="AE32" s="51">
        <f t="shared" ref="AE32" si="1061">SUM(AE33)</f>
        <v>0</v>
      </c>
      <c r="AF32" s="51">
        <f t="shared" ref="AF32" si="1062">SUM(AF33)</f>
        <v>-680149.31000000052</v>
      </c>
      <c r="AG32" s="90"/>
      <c r="AH32" s="51">
        <f>SUM(AH33)</f>
        <v>5147695.3499999996</v>
      </c>
      <c r="AI32" s="51">
        <f t="shared" ref="AI32" si="1063">SUM(AI33)</f>
        <v>2647800</v>
      </c>
      <c r="AJ32" s="51">
        <f t="shared" ref="AJ32" si="1064">SUM(AJ33)</f>
        <v>0</v>
      </c>
      <c r="AK32" s="51">
        <f t="shared" ref="AK32" si="1065">SUM(AK33)</f>
        <v>7795495.3499999996</v>
      </c>
      <c r="AL32" s="51">
        <f t="shared" ref="AL32" si="1066">SUM(AL33)</f>
        <v>5147695.3499999996</v>
      </c>
      <c r="AM32" s="51">
        <f t="shared" ref="AM32" si="1067">SUM(AM33)</f>
        <v>0</v>
      </c>
      <c r="AN32" s="51">
        <f t="shared" ref="AN32" si="1068">SUM(AN33)</f>
        <v>0</v>
      </c>
      <c r="AO32" s="51">
        <f t="shared" ref="AO32" si="1069">SUM(AO33)</f>
        <v>1659400</v>
      </c>
      <c r="AP32" s="51">
        <f t="shared" ref="AP32" si="1070">SUM(AP33)</f>
        <v>0</v>
      </c>
      <c r="AQ32" s="51">
        <f t="shared" ref="AQ32" si="1071">SUM(AQ33)</f>
        <v>0</v>
      </c>
      <c r="AR32" s="51">
        <f t="shared" ref="AR32" si="1072">SUM(AR33)</f>
        <v>0</v>
      </c>
      <c r="AS32" s="51">
        <f t="shared" ref="AS32" si="1073">SUM(AS33)</f>
        <v>-988400</v>
      </c>
      <c r="AT32" s="92"/>
      <c r="AU32" s="51">
        <f>SUM(AU33)</f>
        <v>4601130.8999999994</v>
      </c>
      <c r="AV32" s="51">
        <f t="shared" ref="AV32" si="1074">SUM(AV33)</f>
        <v>1653300</v>
      </c>
      <c r="AW32" s="51">
        <f t="shared" ref="AW32" si="1075">SUM(AW33)</f>
        <v>0</v>
      </c>
      <c r="AX32" s="51">
        <f t="shared" ref="AX32" si="1076">SUM(AX33)</f>
        <v>6254430.8999999994</v>
      </c>
      <c r="AY32" s="51">
        <f t="shared" ref="AY32" si="1077">SUM(AY33)</f>
        <v>4901130.8999999994</v>
      </c>
      <c r="AZ32" s="51">
        <f t="shared" ref="AZ32" si="1078">SUM(AZ33)</f>
        <v>0</v>
      </c>
      <c r="BA32" s="51">
        <f t="shared" ref="BA32" si="1079">SUM(BA33)</f>
        <v>0</v>
      </c>
      <c r="BB32" s="51">
        <f t="shared" ref="BB32" si="1080">SUM(BB33)</f>
        <v>955900</v>
      </c>
      <c r="BC32" s="51">
        <f t="shared" ref="BC32" si="1081">SUM(BC33)</f>
        <v>0</v>
      </c>
      <c r="BD32" s="51">
        <f t="shared" ref="BD32" si="1082">SUM(BD33)</f>
        <v>0</v>
      </c>
      <c r="BE32" s="51">
        <f t="shared" ref="BE32" si="1083">SUM(BE33)</f>
        <v>0</v>
      </c>
      <c r="BF32" s="51">
        <f t="shared" ref="BF32" si="1084">SUM(BF33)</f>
        <v>-397400</v>
      </c>
      <c r="BG32" s="92"/>
      <c r="BH32" s="51">
        <f>SUM(BH33)</f>
        <v>4582283.8499999996</v>
      </c>
      <c r="BI32" s="51">
        <f t="shared" ref="BI32" si="1085">SUM(BI33)</f>
        <v>1163300</v>
      </c>
      <c r="BJ32" s="51">
        <f t="shared" ref="BJ32" si="1086">SUM(BJ33)</f>
        <v>0</v>
      </c>
      <c r="BK32" s="51">
        <f t="shared" ref="BK32" si="1087">SUM(BK33)</f>
        <v>5745583.8499999996</v>
      </c>
      <c r="BL32" s="51">
        <f t="shared" ref="BL32" si="1088">SUM(BL33)</f>
        <v>4582283.8499999996</v>
      </c>
      <c r="BM32" s="51">
        <f t="shared" ref="BM32" si="1089">SUM(BM33)</f>
        <v>0</v>
      </c>
      <c r="BN32" s="51">
        <f t="shared" ref="BN32" si="1090">SUM(BN33)</f>
        <v>0</v>
      </c>
      <c r="BO32" s="51">
        <f t="shared" ref="BO32" si="1091">SUM(BO33)</f>
        <v>655900</v>
      </c>
      <c r="BP32" s="51">
        <f t="shared" ref="BP32" si="1092">SUM(BP33)</f>
        <v>0</v>
      </c>
      <c r="BQ32" s="51">
        <f t="shared" ref="BQ32" si="1093">SUM(BQ33)</f>
        <v>0</v>
      </c>
      <c r="BR32" s="51">
        <f t="shared" ref="BR32" si="1094">SUM(BR33)</f>
        <v>0</v>
      </c>
      <c r="BS32" s="51">
        <f t="shared" ref="BS32" si="1095">SUM(BS33)</f>
        <v>-507400</v>
      </c>
      <c r="BT32" s="92"/>
      <c r="BU32" s="51">
        <f>SUM(BU33)</f>
        <v>4186495.8</v>
      </c>
      <c r="BV32" s="51">
        <f t="shared" ref="BV32" si="1096">SUM(BV33)</f>
        <v>944900</v>
      </c>
      <c r="BW32" s="51">
        <f t="shared" ref="BW32" si="1097">SUM(BW33)</f>
        <v>0</v>
      </c>
      <c r="BX32" s="51">
        <f t="shared" ref="BX32" si="1098">SUM(BX33)</f>
        <v>5131395.8</v>
      </c>
      <c r="BY32" s="51">
        <f t="shared" ref="BY32" si="1099">SUM(BY33)</f>
        <v>4186495.8</v>
      </c>
      <c r="BZ32" s="51">
        <f t="shared" ref="BZ32" si="1100">SUM(BZ33)</f>
        <v>0</v>
      </c>
      <c r="CA32" s="51">
        <f t="shared" ref="CA32" si="1101">SUM(CA33)</f>
        <v>0</v>
      </c>
      <c r="CB32" s="51">
        <f t="shared" ref="CB32" si="1102">SUM(CB33)</f>
        <v>655900</v>
      </c>
      <c r="CC32" s="51">
        <f t="shared" ref="CC32" si="1103">SUM(CC33)</f>
        <v>0</v>
      </c>
      <c r="CD32" s="51">
        <f t="shared" ref="CD32" si="1104">SUM(CD33)</f>
        <v>0</v>
      </c>
      <c r="CE32" s="51">
        <f t="shared" ref="CE32" si="1105">SUM(CE33)</f>
        <v>0</v>
      </c>
      <c r="CF32" s="51">
        <f t="shared" ref="CF32" si="1106">SUM(CF33)</f>
        <v>-289000</v>
      </c>
      <c r="CG32" s="92"/>
      <c r="CH32" s="51">
        <f>SUM(CH33)</f>
        <v>0</v>
      </c>
      <c r="CI32" s="51">
        <f t="shared" ref="CI32" si="1107">SUM(CI33)</f>
        <v>0</v>
      </c>
      <c r="CJ32" s="51">
        <f t="shared" ref="CJ32" si="1108">SUM(CJ33)</f>
        <v>0</v>
      </c>
      <c r="CK32" s="51">
        <f t="shared" ref="CK32" si="1109">SUM(CK33)</f>
        <v>0</v>
      </c>
      <c r="CL32" s="51">
        <f t="shared" ref="CL32" si="1110">SUM(CL33)</f>
        <v>0</v>
      </c>
      <c r="CM32" s="51">
        <f t="shared" ref="CM32" si="1111">SUM(CM33)</f>
        <v>0</v>
      </c>
      <c r="CN32" s="51">
        <f t="shared" ref="CN32" si="1112">SUM(CN33)</f>
        <v>0</v>
      </c>
      <c r="CO32" s="51">
        <f t="shared" ref="CO32" si="1113">SUM(CO33)</f>
        <v>0</v>
      </c>
      <c r="CP32" s="51">
        <f t="shared" ref="CP32" si="1114">SUM(CP33)</f>
        <v>0</v>
      </c>
      <c r="CQ32" s="51">
        <f t="shared" ref="CQ32" si="1115">SUM(CQ33)</f>
        <v>0</v>
      </c>
      <c r="CR32" s="51">
        <f t="shared" ref="CR32" si="1116">SUM(CR33)</f>
        <v>0</v>
      </c>
      <c r="CS32" s="51">
        <f t="shared" ref="CS32" si="1117">SUM(CS33)</f>
        <v>0</v>
      </c>
      <c r="CT32" s="92"/>
      <c r="CU32" s="51">
        <f>SUM(CU33)</f>
        <v>0</v>
      </c>
      <c r="CV32" s="51">
        <f t="shared" ref="CV32" si="1118">SUM(CV33)</f>
        <v>0</v>
      </c>
      <c r="CW32" s="51">
        <f t="shared" ref="CW32" si="1119">SUM(CW33)</f>
        <v>0</v>
      </c>
      <c r="CX32" s="51">
        <f t="shared" ref="CX32" si="1120">SUM(CX33)</f>
        <v>0</v>
      </c>
      <c r="CY32" s="51">
        <f t="shared" ref="CY32" si="1121">SUM(CY33)</f>
        <v>0</v>
      </c>
      <c r="CZ32" s="51">
        <f t="shared" ref="CZ32" si="1122">SUM(CZ33)</f>
        <v>0</v>
      </c>
      <c r="DA32" s="51">
        <f t="shared" ref="DA32" si="1123">SUM(DA33)</f>
        <v>0</v>
      </c>
      <c r="DB32" s="51">
        <f t="shared" ref="DB32" si="1124">SUM(DB33)</f>
        <v>0</v>
      </c>
      <c r="DC32" s="51">
        <f t="shared" ref="DC32" si="1125">SUM(DC33)</f>
        <v>0</v>
      </c>
      <c r="DD32" s="51">
        <f t="shared" ref="DD32" si="1126">SUM(DD33)</f>
        <v>0</v>
      </c>
      <c r="DE32" s="51">
        <f t="shared" ref="DE32" si="1127">SUM(DE33)</f>
        <v>0</v>
      </c>
      <c r="DF32" s="51">
        <f t="shared" ref="DF32" si="1128">SUM(DF33)</f>
        <v>0</v>
      </c>
      <c r="DG32" s="92"/>
      <c r="DH32" s="51">
        <f>SUM(DH33)</f>
        <v>0</v>
      </c>
      <c r="DI32" s="51">
        <f t="shared" ref="DI32" si="1129">SUM(DI33)</f>
        <v>0</v>
      </c>
      <c r="DJ32" s="51">
        <f t="shared" ref="DJ32" si="1130">SUM(DJ33)</f>
        <v>0</v>
      </c>
      <c r="DK32" s="51">
        <f t="shared" ref="DK32" si="1131">SUM(DK33)</f>
        <v>0</v>
      </c>
      <c r="DL32" s="51">
        <f t="shared" ref="DL32" si="1132">SUM(DL33)</f>
        <v>0</v>
      </c>
      <c r="DM32" s="51">
        <f t="shared" ref="DM32" si="1133">SUM(DM33)</f>
        <v>0</v>
      </c>
      <c r="DN32" s="51">
        <f t="shared" ref="DN32" si="1134">SUM(DN33)</f>
        <v>0</v>
      </c>
      <c r="DO32" s="51">
        <f t="shared" ref="DO32" si="1135">SUM(DO33)</f>
        <v>0</v>
      </c>
      <c r="DP32" s="51">
        <f t="shared" ref="DP32" si="1136">SUM(DP33)</f>
        <v>0</v>
      </c>
      <c r="DQ32" s="51">
        <f t="shared" ref="DQ32" si="1137">SUM(DQ33)</f>
        <v>0</v>
      </c>
      <c r="DR32" s="51">
        <f t="shared" ref="DR32" si="1138">SUM(DR33)</f>
        <v>0</v>
      </c>
      <c r="DS32" s="51">
        <f t="shared" ref="DS32" si="1139">SUM(DS33)</f>
        <v>0</v>
      </c>
      <c r="DT32" s="92"/>
      <c r="DU32" s="51">
        <f>SUM(DU33)</f>
        <v>0</v>
      </c>
      <c r="DV32" s="51">
        <f t="shared" ref="DV32" si="1140">SUM(DV33)</f>
        <v>0</v>
      </c>
      <c r="DW32" s="51">
        <f t="shared" ref="DW32" si="1141">SUM(DW33)</f>
        <v>0</v>
      </c>
      <c r="DX32" s="51">
        <f t="shared" ref="DX32" si="1142">SUM(DX33)</f>
        <v>0</v>
      </c>
      <c r="DY32" s="51">
        <f t="shared" ref="DY32" si="1143">SUM(DY33)</f>
        <v>0</v>
      </c>
      <c r="DZ32" s="51">
        <f t="shared" ref="DZ32" si="1144">SUM(DZ33)</f>
        <v>0</v>
      </c>
      <c r="EA32" s="51">
        <f t="shared" ref="EA32" si="1145">SUM(EA33)</f>
        <v>0</v>
      </c>
      <c r="EB32" s="51">
        <f t="shared" ref="EB32" si="1146">SUM(EB33)</f>
        <v>0</v>
      </c>
      <c r="EC32" s="51">
        <f t="shared" ref="EC32" si="1147">SUM(EC33)</f>
        <v>0</v>
      </c>
      <c r="ED32" s="51">
        <f t="shared" ref="ED32" si="1148">SUM(ED33)</f>
        <v>0</v>
      </c>
      <c r="EE32" s="51">
        <f t="shared" ref="EE32" si="1149">SUM(EE33)</f>
        <v>0</v>
      </c>
      <c r="EF32" s="51">
        <f t="shared" ref="EF32" si="1150">SUM(EF33)</f>
        <v>0</v>
      </c>
      <c r="EG32" s="92"/>
      <c r="EH32" s="51">
        <f>SUM(EH33)</f>
        <v>27938995.290000003</v>
      </c>
      <c r="EI32" s="51">
        <f t="shared" ref="EI32" si="1151">SUM(EI33)</f>
        <v>14676600</v>
      </c>
      <c r="EJ32" s="51">
        <f t="shared" ref="EJ32" si="1152">SUM(EJ33)</f>
        <v>0</v>
      </c>
      <c r="EK32" s="51">
        <f t="shared" ref="EK32" si="1153">SUM(EK33)</f>
        <v>42615595.289999999</v>
      </c>
      <c r="EL32" s="51">
        <f t="shared" ref="EL32" si="1154">SUM(EL33)</f>
        <v>28238995.290000003</v>
      </c>
      <c r="EM32" s="51">
        <f t="shared" ref="EM32" si="1155">SUM(EM33)</f>
        <v>0</v>
      </c>
      <c r="EN32" s="51">
        <f t="shared" ref="EN32" si="1156">SUM(EN33)</f>
        <v>122250.69</v>
      </c>
      <c r="EO32" s="51">
        <f t="shared" ref="EO32" si="1157">SUM(EO33)</f>
        <v>11134250.689999999</v>
      </c>
      <c r="EP32" s="51">
        <f t="shared" ref="EP32" si="1158">SUM(EP33)</f>
        <v>0</v>
      </c>
      <c r="EQ32" s="51">
        <f t="shared" ref="EQ32" si="1159">SUM(EQ33)</f>
        <v>0</v>
      </c>
      <c r="ER32" s="51">
        <f t="shared" ref="ER32" si="1160">SUM(ER33)</f>
        <v>0</v>
      </c>
      <c r="ES32" s="51">
        <f t="shared" ref="ES32" si="1161">SUM(ES33)</f>
        <v>-3120098.62</v>
      </c>
    </row>
    <row r="33" spans="1:149" ht="55.2">
      <c r="B33" s="26"/>
      <c r="C33" s="159"/>
      <c r="D33" s="31" t="s">
        <v>712</v>
      </c>
      <c r="E33" s="56" t="s">
        <v>574</v>
      </c>
      <c r="F33" s="31"/>
      <c r="G33" s="31"/>
      <c r="H33" s="49">
        <f>'Incremental_Cost Year 1'!AQ222</f>
        <v>4286636.07</v>
      </c>
      <c r="I33" s="49">
        <f>'Incremental_Cost Year 1'!AR222</f>
        <v>2863600</v>
      </c>
      <c r="J33" s="49">
        <f>'Incremental_Cost Year 1'!AS222</f>
        <v>0</v>
      </c>
      <c r="K33" s="49">
        <f>'Incremental_Cost Year 1'!AT222</f>
        <v>7150236.0700000003</v>
      </c>
      <c r="L33" s="49">
        <f>'Incremental_Cost Year 1'!AU222</f>
        <v>4286636.07</v>
      </c>
      <c r="M33" s="49">
        <f>'Incremental_Cost Year 1'!AV222</f>
        <v>0</v>
      </c>
      <c r="N33" s="49">
        <f>'Incremental_Cost Year 1'!AW222</f>
        <v>122250.69</v>
      </c>
      <c r="O33" s="49">
        <f>'Incremental_Cost Year 1'!AX222</f>
        <v>2483600</v>
      </c>
      <c r="P33" s="49">
        <f>'Incremental_Cost Year 1'!AY222</f>
        <v>0</v>
      </c>
      <c r="Q33" s="49">
        <f>'Incremental_Cost Year 1'!AZ222</f>
        <v>0</v>
      </c>
      <c r="R33" s="49">
        <f>'Incremental_Cost Year 1'!BA222</f>
        <v>0</v>
      </c>
      <c r="S33" s="49">
        <f t="shared" si="736"/>
        <v>-257749.30999999959</v>
      </c>
      <c r="T33" s="89"/>
      <c r="U33" s="49">
        <f>'Incremental_Cost Year 2'!AQ222</f>
        <v>5134753.32</v>
      </c>
      <c r="V33" s="49">
        <f>'Incremental_Cost Year 2'!AR222</f>
        <v>5403700</v>
      </c>
      <c r="W33" s="49">
        <f>'Incremental_Cost Year 2'!AS222</f>
        <v>0</v>
      </c>
      <c r="X33" s="49">
        <f>'Incremental_Cost Year 2'!AT222</f>
        <v>10538453.32</v>
      </c>
      <c r="Y33" s="49">
        <f>'Incremental_Cost Year 2'!AU222</f>
        <v>5134753.32</v>
      </c>
      <c r="Z33" s="49">
        <f>'Incremental_Cost Year 2'!AV222</f>
        <v>0</v>
      </c>
      <c r="AA33" s="49">
        <f>'Incremental_Cost Year 2'!AW222</f>
        <v>0</v>
      </c>
      <c r="AB33" s="49">
        <f>'Incremental_Cost Year 2'!AX222</f>
        <v>4723550.6899999995</v>
      </c>
      <c r="AC33" s="49">
        <f>'Incremental_Cost Year 2'!AY222</f>
        <v>0</v>
      </c>
      <c r="AD33" s="49">
        <f>'Incremental_Cost Year 2'!AZ222</f>
        <v>0</v>
      </c>
      <c r="AE33" s="49">
        <f>'Incremental_Cost Year 2'!BA222</f>
        <v>0</v>
      </c>
      <c r="AF33" s="49">
        <f>Y33+Z33+AA33+AB33+AC33+AD33+AE33-X33</f>
        <v>-680149.31000000052</v>
      </c>
      <c r="AG33" s="96"/>
      <c r="AH33" s="49">
        <f>'Incremental_Cost Year 3'!AQ222</f>
        <v>5147695.3499999996</v>
      </c>
      <c r="AI33" s="49">
        <f>'Incremental_Cost Year 3'!AR222</f>
        <v>2647800</v>
      </c>
      <c r="AJ33" s="49">
        <f>'Incremental_Cost Year 3'!AS222</f>
        <v>0</v>
      </c>
      <c r="AK33" s="49">
        <f>'Incremental_Cost Year 3'!AT222</f>
        <v>7795495.3499999996</v>
      </c>
      <c r="AL33" s="49">
        <f>'Incremental_Cost Year 3'!AU222</f>
        <v>5147695.3499999996</v>
      </c>
      <c r="AM33" s="49">
        <f>'Incremental_Cost Year 3'!AV222</f>
        <v>0</v>
      </c>
      <c r="AN33" s="49">
        <f>'Incremental_Cost Year 3'!AW222</f>
        <v>0</v>
      </c>
      <c r="AO33" s="49">
        <f>'Incremental_Cost Year 3'!AX222</f>
        <v>1659400</v>
      </c>
      <c r="AP33" s="49">
        <f>'Incremental_Cost Year 3'!AY222</f>
        <v>0</v>
      </c>
      <c r="AQ33" s="49">
        <f>'Incremental_Cost Year 3'!AZ222</f>
        <v>0</v>
      </c>
      <c r="AR33" s="49">
        <f>'Incremental_Cost Year 3'!BA222</f>
        <v>0</v>
      </c>
      <c r="AS33" s="49">
        <f>AL33+AM33+AN33+AO33+AP33+AQ33+AR33-AK33</f>
        <v>-988400</v>
      </c>
      <c r="AT33" s="92"/>
      <c r="AU33" s="49">
        <f>'Incremental_Cost Year 4'!AQ222</f>
        <v>4601130.8999999994</v>
      </c>
      <c r="AV33" s="49">
        <f>'Incremental_Cost Year 4'!AR222</f>
        <v>1653300</v>
      </c>
      <c r="AW33" s="49">
        <f>'Incremental_Cost Year 4'!AS222</f>
        <v>0</v>
      </c>
      <c r="AX33" s="49">
        <f>'Incremental_Cost Year 4'!AT222</f>
        <v>6254430.8999999994</v>
      </c>
      <c r="AY33" s="49">
        <f>'Incremental_Cost Year 4'!AU222</f>
        <v>4901130.8999999994</v>
      </c>
      <c r="AZ33" s="49">
        <f>'Incremental_Cost Year 4'!AV222</f>
        <v>0</v>
      </c>
      <c r="BA33" s="49">
        <f>'Incremental_Cost Year 4'!AW222</f>
        <v>0</v>
      </c>
      <c r="BB33" s="49">
        <f>'Incremental_Cost Year 4'!AX222</f>
        <v>955900</v>
      </c>
      <c r="BC33" s="49">
        <f>'Incremental_Cost Year 4'!AY222</f>
        <v>0</v>
      </c>
      <c r="BD33" s="49">
        <f>'Incremental_Cost Year 4'!AZ222</f>
        <v>0</v>
      </c>
      <c r="BE33" s="49">
        <f>'Incremental_Cost Year 4'!BA222</f>
        <v>0</v>
      </c>
      <c r="BF33" s="49">
        <f t="shared" ref="BF33" si="1162">AY33+AZ33+BA33+BB33+BC33+BD33+BE33-AX33</f>
        <v>-397400</v>
      </c>
      <c r="BG33" s="92"/>
      <c r="BH33" s="49">
        <f>'Incremental_Cost Year 5'!AQ222</f>
        <v>4582283.8499999996</v>
      </c>
      <c r="BI33" s="49">
        <f>'Incremental_Cost Year 5'!AR222</f>
        <v>1163300</v>
      </c>
      <c r="BJ33" s="49">
        <f>'Incremental_Cost Year 5'!AS222</f>
        <v>0</v>
      </c>
      <c r="BK33" s="49">
        <f>'Incremental_Cost Year 5'!AT222</f>
        <v>5745583.8499999996</v>
      </c>
      <c r="BL33" s="49">
        <f>'Incremental_Cost Year 5'!AU222</f>
        <v>4582283.8499999996</v>
      </c>
      <c r="BM33" s="49">
        <f>'Incremental_Cost Year 5'!AV222</f>
        <v>0</v>
      </c>
      <c r="BN33" s="49">
        <f>'Incremental_Cost Year 5'!AW222</f>
        <v>0</v>
      </c>
      <c r="BO33" s="49">
        <f>'Incremental_Cost Year 5'!AX222</f>
        <v>655900</v>
      </c>
      <c r="BP33" s="49">
        <f>'Incremental_Cost Year 5'!AY222</f>
        <v>0</v>
      </c>
      <c r="BQ33" s="49">
        <f>'Incremental_Cost Year 5'!AZ222</f>
        <v>0</v>
      </c>
      <c r="BR33" s="49">
        <f>'Incremental_Cost Year 5'!BA222</f>
        <v>0</v>
      </c>
      <c r="BS33" s="49">
        <f t="shared" ref="BS33" si="1163">BL33+BM33+BN33+BO33+BP33+BQ33+BR33-BK33</f>
        <v>-507400</v>
      </c>
      <c r="BT33" s="92"/>
      <c r="BU33" s="49">
        <f>'Incremental_Cost Year 6'!AQ222</f>
        <v>4186495.8</v>
      </c>
      <c r="BV33" s="49">
        <f>'Incremental_Cost Year 6'!AR222</f>
        <v>944900</v>
      </c>
      <c r="BW33" s="49">
        <f>'Incremental_Cost Year 6'!AS222</f>
        <v>0</v>
      </c>
      <c r="BX33" s="49">
        <f>'Incremental_Cost Year 6'!AT222</f>
        <v>5131395.8</v>
      </c>
      <c r="BY33" s="49">
        <f>'Incremental_Cost Year 6'!AU222</f>
        <v>4186495.8</v>
      </c>
      <c r="BZ33" s="49">
        <f>'Incremental_Cost Year 6'!AV222</f>
        <v>0</v>
      </c>
      <c r="CA33" s="49">
        <f>'Incremental_Cost Year 6'!AW222</f>
        <v>0</v>
      </c>
      <c r="CB33" s="49">
        <f>'Incremental_Cost Year 6'!AX222</f>
        <v>655900</v>
      </c>
      <c r="CC33" s="49">
        <f>'Incremental_Cost Year 6'!AY222</f>
        <v>0</v>
      </c>
      <c r="CD33" s="49">
        <f>'Incremental_Cost Year 6'!AZ222</f>
        <v>0</v>
      </c>
      <c r="CE33" s="49">
        <f>'Incremental_Cost Year 6'!BA222</f>
        <v>0</v>
      </c>
      <c r="CF33" s="49">
        <f t="shared" ref="CF33" si="1164">BY33+BZ33+CA33+CB33+CC33+CD33+CE33-BX33</f>
        <v>-289000</v>
      </c>
      <c r="CG33" s="92"/>
      <c r="CH33" s="49"/>
      <c r="CI33" s="49"/>
      <c r="CJ33" s="49"/>
      <c r="CK33" s="49"/>
      <c r="CL33" s="49"/>
      <c r="CM33" s="49"/>
      <c r="CN33" s="49"/>
      <c r="CO33" s="49"/>
      <c r="CP33" s="49"/>
      <c r="CQ33" s="49"/>
      <c r="CR33" s="49"/>
      <c r="CS33" s="49"/>
      <c r="CT33" s="92"/>
      <c r="CU33" s="49"/>
      <c r="CV33" s="49"/>
      <c r="CW33" s="49"/>
      <c r="CX33" s="49"/>
      <c r="CY33" s="49"/>
      <c r="CZ33" s="49"/>
      <c r="DA33" s="49"/>
      <c r="DB33" s="49"/>
      <c r="DC33" s="49"/>
      <c r="DD33" s="49"/>
      <c r="DE33" s="49"/>
      <c r="DF33" s="49">
        <f t="shared" ref="DF33" si="1165">SUM(CY33:DE33)-CX33</f>
        <v>0</v>
      </c>
      <c r="DG33" s="92"/>
      <c r="DH33" s="49"/>
      <c r="DI33" s="49"/>
      <c r="DJ33" s="49"/>
      <c r="DK33" s="49"/>
      <c r="DL33" s="49"/>
      <c r="DM33" s="49"/>
      <c r="DN33" s="49"/>
      <c r="DO33" s="49"/>
      <c r="DP33" s="49"/>
      <c r="DQ33" s="49"/>
      <c r="DR33" s="49"/>
      <c r="DS33" s="49">
        <f t="shared" ref="DS33" si="1166">SUM(DL33:DR33)-DK33</f>
        <v>0</v>
      </c>
      <c r="DT33" s="92"/>
      <c r="DU33" s="49"/>
      <c r="DV33" s="49"/>
      <c r="DW33" s="49"/>
      <c r="DX33" s="49"/>
      <c r="DY33" s="49"/>
      <c r="DZ33" s="49"/>
      <c r="EA33" s="49"/>
      <c r="EB33" s="49"/>
      <c r="EC33" s="49"/>
      <c r="ED33" s="49"/>
      <c r="EE33" s="49"/>
      <c r="EF33" s="49">
        <f t="shared" ref="EF33" si="1167">SUM(DY33:EE33)-DX33</f>
        <v>0</v>
      </c>
      <c r="EG33" s="92"/>
      <c r="EH33" s="49">
        <f>H33+U33+AH33+AU33+BH33+BU33+CH33+CU33+DH33+DU33</f>
        <v>27938995.290000003</v>
      </c>
      <c r="EI33" s="49">
        <f t="shared" ref="EI33" si="1168">I33+V33+AI33+AV33+BI33+BV33+CI33+CV33+DI33+DV33</f>
        <v>14676600</v>
      </c>
      <c r="EJ33" s="49">
        <f t="shared" ref="EJ33" si="1169">J33+W33+AJ33+AW33+BJ33+BW33+CJ33+CW33+DJ33+DW33</f>
        <v>0</v>
      </c>
      <c r="EK33" s="49">
        <f t="shared" ref="EK33" si="1170">K33+X33+AK33+AX33+BK33+BX33+CK33+CX33+DK33+DX33</f>
        <v>42615595.289999999</v>
      </c>
      <c r="EL33" s="49">
        <f t="shared" ref="EL33" si="1171">L33+Y33+AL33+AY33+BL33+BY33+CL33+CY33+DL33+DY33</f>
        <v>28238995.290000003</v>
      </c>
      <c r="EM33" s="49">
        <f t="shared" ref="EM33" si="1172">M33+Z33+AM33+AZ33+BM33+BZ33+CM33+CZ33+DM33+DZ33</f>
        <v>0</v>
      </c>
      <c r="EN33" s="49">
        <f t="shared" ref="EN33" si="1173">N33+AA33+AN33+BA33+BN33+CA33+CN33+DA33+DN33+EA33</f>
        <v>122250.69</v>
      </c>
      <c r="EO33" s="49">
        <f t="shared" ref="EO33" si="1174">O33+AB33+AO33+BB33+BO33+CB33+CO33+DB33+DO33+EB33</f>
        <v>11134250.689999999</v>
      </c>
      <c r="EP33" s="49">
        <f t="shared" ref="EP33" si="1175">P33+AC33+AP33+BC33+BP33+CC33+CP33+DC33+DP33+EC33</f>
        <v>0</v>
      </c>
      <c r="EQ33" s="49">
        <f t="shared" ref="EQ33" si="1176">Q33+AD33+AQ33+BD33+BQ33+CD33+CQ33+DD33+DQ33+ED33</f>
        <v>0</v>
      </c>
      <c r="ER33" s="49">
        <f t="shared" ref="ER33" si="1177">R33+AE33+AR33+BE33+BR33+CE33+CR33+DE33+DR33+EE33</f>
        <v>0</v>
      </c>
      <c r="ES33" s="49">
        <f t="shared" ref="ES33" si="1178">S33+AF33+AS33+BF33+BS33+CF33+CS33+DF33+DS33+EF33</f>
        <v>-3120098.62</v>
      </c>
    </row>
    <row r="34" spans="1:149" ht="15" customHeight="1">
      <c r="B34" s="316" t="s">
        <v>253</v>
      </c>
      <c r="C34" s="317"/>
      <c r="D34" s="317"/>
      <c r="E34" s="318"/>
      <c r="F34" s="39"/>
      <c r="G34" s="39"/>
      <c r="H34" s="50">
        <f>SUM(H35)</f>
        <v>289824.44999999995</v>
      </c>
      <c r="I34" s="50">
        <f t="shared" ref="I34:S34" si="1179">SUM(I35)</f>
        <v>1955400</v>
      </c>
      <c r="J34" s="50">
        <f t="shared" si="1179"/>
        <v>3105000</v>
      </c>
      <c r="K34" s="50">
        <f t="shared" si="1179"/>
        <v>5350224.45</v>
      </c>
      <c r="L34" s="50">
        <f t="shared" si="1179"/>
        <v>56541.149999999994</v>
      </c>
      <c r="M34" s="50">
        <f t="shared" si="1179"/>
        <v>0</v>
      </c>
      <c r="N34" s="50">
        <f t="shared" si="1179"/>
        <v>0</v>
      </c>
      <c r="O34" s="50">
        <f t="shared" si="1179"/>
        <v>4161506.9</v>
      </c>
      <c r="P34" s="50">
        <f t="shared" si="1179"/>
        <v>0</v>
      </c>
      <c r="Q34" s="50">
        <f t="shared" si="1179"/>
        <v>0</v>
      </c>
      <c r="R34" s="50">
        <f t="shared" si="1179"/>
        <v>0</v>
      </c>
      <c r="S34" s="50">
        <f t="shared" si="1179"/>
        <v>-1132176.3999999999</v>
      </c>
      <c r="T34" s="90"/>
      <c r="U34" s="50">
        <f>SUM(U35)</f>
        <v>4212461.55</v>
      </c>
      <c r="V34" s="50">
        <f t="shared" ref="V34" si="1180">SUM(V35)</f>
        <v>1931200</v>
      </c>
      <c r="W34" s="50">
        <f t="shared" ref="W34" si="1181">SUM(W35)</f>
        <v>2967000</v>
      </c>
      <c r="X34" s="50">
        <f t="shared" ref="X34" si="1182">SUM(X35)</f>
        <v>9110661.5500000007</v>
      </c>
      <c r="Y34" s="50">
        <f t="shared" ref="Y34" si="1183">SUM(Y35)</f>
        <v>4212461.55</v>
      </c>
      <c r="Z34" s="50">
        <f t="shared" ref="Z34" si="1184">SUM(Z35)</f>
        <v>0</v>
      </c>
      <c r="AA34" s="50">
        <f t="shared" ref="AA34" si="1185">SUM(AA35)</f>
        <v>0</v>
      </c>
      <c r="AB34" s="50">
        <f t="shared" ref="AB34" si="1186">SUM(AB35)</f>
        <v>4081000</v>
      </c>
      <c r="AC34" s="50">
        <f t="shared" ref="AC34" si="1187">SUM(AC35)</f>
        <v>0</v>
      </c>
      <c r="AD34" s="50">
        <f t="shared" ref="AD34" si="1188">SUM(AD35)</f>
        <v>0</v>
      </c>
      <c r="AE34" s="50">
        <f t="shared" ref="AE34" si="1189">SUM(AE35)</f>
        <v>0</v>
      </c>
      <c r="AF34" s="50">
        <f t="shared" ref="AF34" si="1190">SUM(AF35)</f>
        <v>-817200.00000000012</v>
      </c>
      <c r="AG34" s="90"/>
      <c r="AH34" s="50">
        <f>SUM(AH35)</f>
        <v>4224189.9000000004</v>
      </c>
      <c r="AI34" s="50">
        <f t="shared" ref="AI34" si="1191">SUM(AI35)</f>
        <v>1506800</v>
      </c>
      <c r="AJ34" s="50">
        <f t="shared" ref="AJ34" si="1192">SUM(AJ35)</f>
        <v>1035000</v>
      </c>
      <c r="AK34" s="50">
        <f t="shared" ref="AK34" si="1193">SUM(AK35)</f>
        <v>6765989.9000000004</v>
      </c>
      <c r="AL34" s="50">
        <f t="shared" ref="AL34" si="1194">SUM(AL35)</f>
        <v>4231389.9000000004</v>
      </c>
      <c r="AM34" s="50">
        <f t="shared" ref="AM34" si="1195">SUM(AM35)</f>
        <v>0</v>
      </c>
      <c r="AN34" s="50">
        <f t="shared" ref="AN34" si="1196">SUM(AN35)</f>
        <v>0</v>
      </c>
      <c r="AO34" s="50">
        <f t="shared" ref="AO34" si="1197">SUM(AO35)</f>
        <v>1505000</v>
      </c>
      <c r="AP34" s="50">
        <f t="shared" ref="AP34" si="1198">SUM(AP35)</f>
        <v>0</v>
      </c>
      <c r="AQ34" s="50">
        <f t="shared" ref="AQ34" si="1199">SUM(AQ35)</f>
        <v>0</v>
      </c>
      <c r="AR34" s="50">
        <f t="shared" ref="AR34" si="1200">SUM(AR35)</f>
        <v>0</v>
      </c>
      <c r="AS34" s="50">
        <f t="shared" ref="AS34" si="1201">SUM(AS35)</f>
        <v>-1029600.0000000001</v>
      </c>
      <c r="AT34" s="92"/>
      <c r="AU34" s="50">
        <f>SUM(AU35)</f>
        <v>113082.3</v>
      </c>
      <c r="AV34" s="50">
        <f t="shared" ref="AV34" si="1202">SUM(AV35)</f>
        <v>1029600</v>
      </c>
      <c r="AW34" s="50">
        <f t="shared" ref="AW34" si="1203">SUM(AW35)</f>
        <v>0</v>
      </c>
      <c r="AX34" s="50">
        <f t="shared" ref="AX34" si="1204">SUM(AX35)</f>
        <v>1142682.3</v>
      </c>
      <c r="AY34" s="50">
        <f t="shared" ref="AY34" si="1205">SUM(AY35)</f>
        <v>113082.3</v>
      </c>
      <c r="AZ34" s="50">
        <f t="shared" ref="AZ34" si="1206">SUM(AZ35)</f>
        <v>0</v>
      </c>
      <c r="BA34" s="50">
        <f t="shared" ref="BA34" si="1207">SUM(BA35)</f>
        <v>0</v>
      </c>
      <c r="BB34" s="50">
        <f t="shared" ref="BB34" si="1208">SUM(BB35)</f>
        <v>0</v>
      </c>
      <c r="BC34" s="50">
        <f t="shared" ref="BC34" si="1209">SUM(BC35)</f>
        <v>0</v>
      </c>
      <c r="BD34" s="50">
        <f t="shared" ref="BD34" si="1210">SUM(BD35)</f>
        <v>0</v>
      </c>
      <c r="BE34" s="50">
        <f t="shared" ref="BE34" si="1211">SUM(BE35)</f>
        <v>0</v>
      </c>
      <c r="BF34" s="50">
        <f t="shared" ref="BF34" si="1212">SUM(BF35)</f>
        <v>-1029600</v>
      </c>
      <c r="BG34" s="92"/>
      <c r="BH34" s="50">
        <f>SUM(BH35)</f>
        <v>113082.3</v>
      </c>
      <c r="BI34" s="50">
        <f t="shared" ref="BI34" si="1213">SUM(BI35)</f>
        <v>1029600</v>
      </c>
      <c r="BJ34" s="50">
        <f t="shared" ref="BJ34" si="1214">SUM(BJ35)</f>
        <v>0</v>
      </c>
      <c r="BK34" s="50">
        <f t="shared" ref="BK34" si="1215">SUM(BK35)</f>
        <v>1142682.3</v>
      </c>
      <c r="BL34" s="50">
        <f t="shared" ref="BL34" si="1216">SUM(BL35)</f>
        <v>113082.3</v>
      </c>
      <c r="BM34" s="50">
        <f t="shared" ref="BM34" si="1217">SUM(BM35)</f>
        <v>0</v>
      </c>
      <c r="BN34" s="50">
        <f t="shared" ref="BN34" si="1218">SUM(BN35)</f>
        <v>0</v>
      </c>
      <c r="BO34" s="50">
        <f t="shared" ref="BO34" si="1219">SUM(BO35)</f>
        <v>0</v>
      </c>
      <c r="BP34" s="50">
        <f t="shared" ref="BP34" si="1220">SUM(BP35)</f>
        <v>0</v>
      </c>
      <c r="BQ34" s="50">
        <f t="shared" ref="BQ34" si="1221">SUM(BQ35)</f>
        <v>0</v>
      </c>
      <c r="BR34" s="50">
        <f t="shared" ref="BR34" si="1222">SUM(BR35)</f>
        <v>0</v>
      </c>
      <c r="BS34" s="50">
        <f t="shared" ref="BS34" si="1223">SUM(BS35)</f>
        <v>-1029600</v>
      </c>
      <c r="BT34" s="92"/>
      <c r="BU34" s="50">
        <f>SUM(BU35)</f>
        <v>113082.3</v>
      </c>
      <c r="BV34" s="50">
        <f t="shared" ref="BV34" si="1224">SUM(BV35)</f>
        <v>1029600</v>
      </c>
      <c r="BW34" s="50">
        <f t="shared" ref="BW34" si="1225">SUM(BW35)</f>
        <v>0</v>
      </c>
      <c r="BX34" s="50">
        <f t="shared" ref="BX34" si="1226">SUM(BX35)</f>
        <v>1142682.3</v>
      </c>
      <c r="BY34" s="50">
        <f t="shared" ref="BY34" si="1227">SUM(BY35)</f>
        <v>113082.3</v>
      </c>
      <c r="BZ34" s="50">
        <f t="shared" ref="BZ34" si="1228">SUM(BZ35)</f>
        <v>0</v>
      </c>
      <c r="CA34" s="50">
        <f t="shared" ref="CA34" si="1229">SUM(CA35)</f>
        <v>0</v>
      </c>
      <c r="CB34" s="50">
        <f t="shared" ref="CB34" si="1230">SUM(CB35)</f>
        <v>0</v>
      </c>
      <c r="CC34" s="50">
        <f t="shared" ref="CC34" si="1231">SUM(CC35)</f>
        <v>0</v>
      </c>
      <c r="CD34" s="50">
        <f t="shared" ref="CD34" si="1232">SUM(CD35)</f>
        <v>0</v>
      </c>
      <c r="CE34" s="50">
        <f t="shared" ref="CE34" si="1233">SUM(CE35)</f>
        <v>0</v>
      </c>
      <c r="CF34" s="50">
        <f t="shared" ref="CF34" si="1234">SUM(CF35)</f>
        <v>-1029600</v>
      </c>
      <c r="CG34" s="92"/>
      <c r="CH34" s="50">
        <f>SUM(CH35)</f>
        <v>0</v>
      </c>
      <c r="CI34" s="50">
        <f t="shared" ref="CI34" si="1235">SUM(CI35)</f>
        <v>0</v>
      </c>
      <c r="CJ34" s="50">
        <f t="shared" ref="CJ34" si="1236">SUM(CJ35)</f>
        <v>0</v>
      </c>
      <c r="CK34" s="50">
        <f t="shared" ref="CK34" si="1237">SUM(CK35)</f>
        <v>0</v>
      </c>
      <c r="CL34" s="50">
        <f t="shared" ref="CL34" si="1238">SUM(CL35)</f>
        <v>0</v>
      </c>
      <c r="CM34" s="50">
        <f t="shared" ref="CM34" si="1239">SUM(CM35)</f>
        <v>0</v>
      </c>
      <c r="CN34" s="50">
        <f t="shared" ref="CN34" si="1240">SUM(CN35)</f>
        <v>0</v>
      </c>
      <c r="CO34" s="50">
        <f t="shared" ref="CO34" si="1241">SUM(CO35)</f>
        <v>0</v>
      </c>
      <c r="CP34" s="50">
        <f t="shared" ref="CP34" si="1242">SUM(CP35)</f>
        <v>0</v>
      </c>
      <c r="CQ34" s="50">
        <f t="shared" ref="CQ34" si="1243">SUM(CQ35)</f>
        <v>0</v>
      </c>
      <c r="CR34" s="50">
        <f t="shared" ref="CR34" si="1244">SUM(CR35)</f>
        <v>0</v>
      </c>
      <c r="CS34" s="50">
        <f t="shared" ref="CS34" si="1245">SUM(CS35)</f>
        <v>0</v>
      </c>
      <c r="CT34" s="92"/>
      <c r="CU34" s="50">
        <f>SUM(CU35)</f>
        <v>0</v>
      </c>
      <c r="CV34" s="50">
        <f t="shared" ref="CV34" si="1246">SUM(CV35)</f>
        <v>0</v>
      </c>
      <c r="CW34" s="50">
        <f t="shared" ref="CW34" si="1247">SUM(CW35)</f>
        <v>0</v>
      </c>
      <c r="CX34" s="50">
        <f t="shared" ref="CX34" si="1248">SUM(CX35)</f>
        <v>0</v>
      </c>
      <c r="CY34" s="50">
        <f t="shared" ref="CY34" si="1249">SUM(CY35)</f>
        <v>0</v>
      </c>
      <c r="CZ34" s="50">
        <f t="shared" ref="CZ34" si="1250">SUM(CZ35)</f>
        <v>0</v>
      </c>
      <c r="DA34" s="50">
        <f t="shared" ref="DA34" si="1251">SUM(DA35)</f>
        <v>0</v>
      </c>
      <c r="DB34" s="50">
        <f t="shared" ref="DB34" si="1252">SUM(DB35)</f>
        <v>0</v>
      </c>
      <c r="DC34" s="50">
        <f t="shared" ref="DC34" si="1253">SUM(DC35)</f>
        <v>0</v>
      </c>
      <c r="DD34" s="50">
        <f t="shared" ref="DD34" si="1254">SUM(DD35)</f>
        <v>0</v>
      </c>
      <c r="DE34" s="50">
        <f t="shared" ref="DE34" si="1255">SUM(DE35)</f>
        <v>0</v>
      </c>
      <c r="DF34" s="50">
        <f t="shared" ref="DF34" si="1256">SUM(DF35)</f>
        <v>0</v>
      </c>
      <c r="DG34" s="92"/>
      <c r="DH34" s="50">
        <f>SUM(DH35)</f>
        <v>0</v>
      </c>
      <c r="DI34" s="50">
        <f t="shared" ref="DI34" si="1257">SUM(DI35)</f>
        <v>0</v>
      </c>
      <c r="DJ34" s="50">
        <f t="shared" ref="DJ34" si="1258">SUM(DJ35)</f>
        <v>0</v>
      </c>
      <c r="DK34" s="50">
        <f t="shared" ref="DK34" si="1259">SUM(DK35)</f>
        <v>0</v>
      </c>
      <c r="DL34" s="50">
        <f t="shared" ref="DL34" si="1260">SUM(DL35)</f>
        <v>0</v>
      </c>
      <c r="DM34" s="50">
        <f t="shared" ref="DM34" si="1261">SUM(DM35)</f>
        <v>0</v>
      </c>
      <c r="DN34" s="50">
        <f t="shared" ref="DN34" si="1262">SUM(DN35)</f>
        <v>0</v>
      </c>
      <c r="DO34" s="50">
        <f t="shared" ref="DO34" si="1263">SUM(DO35)</f>
        <v>0</v>
      </c>
      <c r="DP34" s="50">
        <f t="shared" ref="DP34" si="1264">SUM(DP35)</f>
        <v>0</v>
      </c>
      <c r="DQ34" s="50">
        <f t="shared" ref="DQ34" si="1265">SUM(DQ35)</f>
        <v>0</v>
      </c>
      <c r="DR34" s="50">
        <f t="shared" ref="DR34" si="1266">SUM(DR35)</f>
        <v>0</v>
      </c>
      <c r="DS34" s="50">
        <f t="shared" ref="DS34" si="1267">SUM(DS35)</f>
        <v>0</v>
      </c>
      <c r="DT34" s="92"/>
      <c r="DU34" s="50">
        <f>SUM(DU35)</f>
        <v>0</v>
      </c>
      <c r="DV34" s="50">
        <f t="shared" ref="DV34" si="1268">SUM(DV35)</f>
        <v>0</v>
      </c>
      <c r="DW34" s="50">
        <f t="shared" ref="DW34" si="1269">SUM(DW35)</f>
        <v>0</v>
      </c>
      <c r="DX34" s="50">
        <f t="shared" ref="DX34" si="1270">SUM(DX35)</f>
        <v>0</v>
      </c>
      <c r="DY34" s="50">
        <f t="shared" ref="DY34" si="1271">SUM(DY35)</f>
        <v>0</v>
      </c>
      <c r="DZ34" s="50">
        <f t="shared" ref="DZ34" si="1272">SUM(DZ35)</f>
        <v>0</v>
      </c>
      <c r="EA34" s="50">
        <f t="shared" ref="EA34" si="1273">SUM(EA35)</f>
        <v>0</v>
      </c>
      <c r="EB34" s="50">
        <f t="shared" ref="EB34" si="1274">SUM(EB35)</f>
        <v>0</v>
      </c>
      <c r="EC34" s="50">
        <f t="shared" ref="EC34" si="1275">SUM(EC35)</f>
        <v>0</v>
      </c>
      <c r="ED34" s="50">
        <f t="shared" ref="ED34" si="1276">SUM(ED35)</f>
        <v>0</v>
      </c>
      <c r="EE34" s="50">
        <f t="shared" ref="EE34" si="1277">SUM(EE35)</f>
        <v>0</v>
      </c>
      <c r="EF34" s="50">
        <f t="shared" ref="EF34" si="1278">SUM(EF35)</f>
        <v>0</v>
      </c>
      <c r="EG34" s="92"/>
      <c r="EH34" s="50">
        <f>SUM(EH35)</f>
        <v>9065722.7999999989</v>
      </c>
      <c r="EI34" s="50">
        <f t="shared" ref="EI34" si="1279">SUM(EI35)</f>
        <v>8482200</v>
      </c>
      <c r="EJ34" s="50">
        <f t="shared" ref="EJ34" si="1280">SUM(EJ35)</f>
        <v>7107000</v>
      </c>
      <c r="EK34" s="50">
        <f t="shared" ref="EK34" si="1281">SUM(EK35)</f>
        <v>24654922.800000001</v>
      </c>
      <c r="EL34" s="50">
        <f t="shared" ref="EL34" si="1282">SUM(EL35)</f>
        <v>8839639.5</v>
      </c>
      <c r="EM34" s="50">
        <f t="shared" ref="EM34" si="1283">SUM(EM35)</f>
        <v>0</v>
      </c>
      <c r="EN34" s="50">
        <f t="shared" ref="EN34" si="1284">SUM(EN35)</f>
        <v>0</v>
      </c>
      <c r="EO34" s="50">
        <f t="shared" ref="EO34" si="1285">SUM(EO35)</f>
        <v>9747506.9000000004</v>
      </c>
      <c r="EP34" s="50">
        <f t="shared" ref="EP34" si="1286">SUM(EP35)</f>
        <v>0</v>
      </c>
      <c r="EQ34" s="50">
        <f t="shared" ref="EQ34" si="1287">SUM(EQ35)</f>
        <v>0</v>
      </c>
      <c r="ER34" s="50">
        <f t="shared" ref="ER34" si="1288">SUM(ER35)</f>
        <v>0</v>
      </c>
      <c r="ES34" s="50">
        <f t="shared" ref="ES34" si="1289">SUM(ES35)</f>
        <v>-6067776.4000000004</v>
      </c>
    </row>
    <row r="35" spans="1:149" ht="15" customHeight="1">
      <c r="A35" s="24"/>
      <c r="B35" s="32"/>
      <c r="C35" s="314" t="s">
        <v>254</v>
      </c>
      <c r="D35" s="314"/>
      <c r="E35" s="315"/>
      <c r="F35" s="158"/>
      <c r="G35" s="158"/>
      <c r="H35" s="51">
        <f>SUM(H36:H38)</f>
        <v>289824.44999999995</v>
      </c>
      <c r="I35" s="51">
        <f t="shared" ref="I35:S35" si="1290">SUM(I36:I38)</f>
        <v>1955400</v>
      </c>
      <c r="J35" s="51">
        <f t="shared" si="1290"/>
        <v>3105000</v>
      </c>
      <c r="K35" s="51">
        <f t="shared" si="1290"/>
        <v>5350224.45</v>
      </c>
      <c r="L35" s="51">
        <f t="shared" si="1290"/>
        <v>56541.149999999994</v>
      </c>
      <c r="M35" s="51">
        <f t="shared" si="1290"/>
        <v>0</v>
      </c>
      <c r="N35" s="51">
        <f t="shared" si="1290"/>
        <v>0</v>
      </c>
      <c r="O35" s="51">
        <f t="shared" si="1290"/>
        <v>4161506.9</v>
      </c>
      <c r="P35" s="51">
        <f t="shared" si="1290"/>
        <v>0</v>
      </c>
      <c r="Q35" s="51">
        <f t="shared" si="1290"/>
        <v>0</v>
      </c>
      <c r="R35" s="51">
        <f t="shared" si="1290"/>
        <v>0</v>
      </c>
      <c r="S35" s="51">
        <f t="shared" si="1290"/>
        <v>-1132176.3999999999</v>
      </c>
      <c r="T35" s="90"/>
      <c r="U35" s="51">
        <f>SUM(U36:U38)</f>
        <v>4212461.55</v>
      </c>
      <c r="V35" s="51">
        <f t="shared" ref="V35" si="1291">SUM(V36:V38)</f>
        <v>1931200</v>
      </c>
      <c r="W35" s="51">
        <f t="shared" ref="W35" si="1292">SUM(W36:W38)</f>
        <v>2967000</v>
      </c>
      <c r="X35" s="51">
        <f t="shared" ref="X35" si="1293">SUM(X36:X38)</f>
        <v>9110661.5500000007</v>
      </c>
      <c r="Y35" s="51">
        <f t="shared" ref="Y35" si="1294">SUM(Y36:Y38)</f>
        <v>4212461.55</v>
      </c>
      <c r="Z35" s="51">
        <f t="shared" ref="Z35" si="1295">SUM(Z36:Z38)</f>
        <v>0</v>
      </c>
      <c r="AA35" s="51">
        <f t="shared" ref="AA35" si="1296">SUM(AA36:AA38)</f>
        <v>0</v>
      </c>
      <c r="AB35" s="51">
        <f t="shared" ref="AB35" si="1297">SUM(AB36:AB38)</f>
        <v>4081000</v>
      </c>
      <c r="AC35" s="51">
        <f t="shared" ref="AC35" si="1298">SUM(AC36:AC38)</f>
        <v>0</v>
      </c>
      <c r="AD35" s="51">
        <f t="shared" ref="AD35" si="1299">SUM(AD36:AD38)</f>
        <v>0</v>
      </c>
      <c r="AE35" s="51">
        <f t="shared" ref="AE35" si="1300">SUM(AE36:AE38)</f>
        <v>0</v>
      </c>
      <c r="AF35" s="51">
        <f t="shared" ref="AF35" si="1301">SUM(AF36:AF38)</f>
        <v>-817200.00000000012</v>
      </c>
      <c r="AG35" s="90"/>
      <c r="AH35" s="51">
        <f>SUM(AH36:AH38)</f>
        <v>4224189.9000000004</v>
      </c>
      <c r="AI35" s="51">
        <f t="shared" ref="AI35" si="1302">SUM(AI36:AI38)</f>
        <v>1506800</v>
      </c>
      <c r="AJ35" s="51">
        <f t="shared" ref="AJ35" si="1303">SUM(AJ36:AJ38)</f>
        <v>1035000</v>
      </c>
      <c r="AK35" s="51">
        <f t="shared" ref="AK35" si="1304">SUM(AK36:AK38)</f>
        <v>6765989.9000000004</v>
      </c>
      <c r="AL35" s="51">
        <f t="shared" ref="AL35" si="1305">SUM(AL36:AL38)</f>
        <v>4231389.9000000004</v>
      </c>
      <c r="AM35" s="51">
        <f t="shared" ref="AM35" si="1306">SUM(AM36:AM38)</f>
        <v>0</v>
      </c>
      <c r="AN35" s="51">
        <f t="shared" ref="AN35" si="1307">SUM(AN36:AN38)</f>
        <v>0</v>
      </c>
      <c r="AO35" s="51">
        <f t="shared" ref="AO35" si="1308">SUM(AO36:AO38)</f>
        <v>1505000</v>
      </c>
      <c r="AP35" s="51">
        <f t="shared" ref="AP35" si="1309">SUM(AP36:AP38)</f>
        <v>0</v>
      </c>
      <c r="AQ35" s="51">
        <f t="shared" ref="AQ35" si="1310">SUM(AQ36:AQ38)</f>
        <v>0</v>
      </c>
      <c r="AR35" s="51">
        <f t="shared" ref="AR35" si="1311">SUM(AR36:AR38)</f>
        <v>0</v>
      </c>
      <c r="AS35" s="51">
        <f t="shared" ref="AS35" si="1312">SUM(AS36:AS38)</f>
        <v>-1029600.0000000001</v>
      </c>
      <c r="AT35" s="92"/>
      <c r="AU35" s="51">
        <f>SUM(AU36:AU38)</f>
        <v>113082.3</v>
      </c>
      <c r="AV35" s="51">
        <f t="shared" ref="AV35" si="1313">SUM(AV36:AV38)</f>
        <v>1029600</v>
      </c>
      <c r="AW35" s="51">
        <f t="shared" ref="AW35" si="1314">SUM(AW36:AW38)</f>
        <v>0</v>
      </c>
      <c r="AX35" s="51">
        <f t="shared" ref="AX35" si="1315">SUM(AX36:AX38)</f>
        <v>1142682.3</v>
      </c>
      <c r="AY35" s="51">
        <f t="shared" ref="AY35" si="1316">SUM(AY36:AY38)</f>
        <v>113082.3</v>
      </c>
      <c r="AZ35" s="51">
        <f t="shared" ref="AZ35" si="1317">SUM(AZ36:AZ38)</f>
        <v>0</v>
      </c>
      <c r="BA35" s="51">
        <f t="shared" ref="BA35" si="1318">SUM(BA36:BA38)</f>
        <v>0</v>
      </c>
      <c r="BB35" s="51">
        <f t="shared" ref="BB35" si="1319">SUM(BB36:BB38)</f>
        <v>0</v>
      </c>
      <c r="BC35" s="51">
        <f t="shared" ref="BC35" si="1320">SUM(BC36:BC38)</f>
        <v>0</v>
      </c>
      <c r="BD35" s="51">
        <f t="shared" ref="BD35" si="1321">SUM(BD36:BD38)</f>
        <v>0</v>
      </c>
      <c r="BE35" s="51">
        <f t="shared" ref="BE35" si="1322">SUM(BE36:BE38)</f>
        <v>0</v>
      </c>
      <c r="BF35" s="51">
        <f t="shared" ref="BF35" si="1323">SUM(BF36:BF38)</f>
        <v>-1029600</v>
      </c>
      <c r="BG35" s="92"/>
      <c r="BH35" s="51">
        <f>SUM(BH36:BH38)</f>
        <v>113082.3</v>
      </c>
      <c r="BI35" s="51">
        <f t="shared" ref="BI35" si="1324">SUM(BI36:BI38)</f>
        <v>1029600</v>
      </c>
      <c r="BJ35" s="51">
        <f t="shared" ref="BJ35" si="1325">SUM(BJ36:BJ38)</f>
        <v>0</v>
      </c>
      <c r="BK35" s="51">
        <f t="shared" ref="BK35" si="1326">SUM(BK36:BK38)</f>
        <v>1142682.3</v>
      </c>
      <c r="BL35" s="51">
        <f t="shared" ref="BL35" si="1327">SUM(BL36:BL38)</f>
        <v>113082.3</v>
      </c>
      <c r="BM35" s="51">
        <f t="shared" ref="BM35" si="1328">SUM(BM36:BM38)</f>
        <v>0</v>
      </c>
      <c r="BN35" s="51">
        <f t="shared" ref="BN35" si="1329">SUM(BN36:BN38)</f>
        <v>0</v>
      </c>
      <c r="BO35" s="51">
        <f t="shared" ref="BO35" si="1330">SUM(BO36:BO38)</f>
        <v>0</v>
      </c>
      <c r="BP35" s="51">
        <f t="shared" ref="BP35" si="1331">SUM(BP36:BP38)</f>
        <v>0</v>
      </c>
      <c r="BQ35" s="51">
        <f t="shared" ref="BQ35" si="1332">SUM(BQ36:BQ38)</f>
        <v>0</v>
      </c>
      <c r="BR35" s="51">
        <f t="shared" ref="BR35" si="1333">SUM(BR36:BR38)</f>
        <v>0</v>
      </c>
      <c r="BS35" s="51">
        <f t="shared" ref="BS35" si="1334">SUM(BS36:BS38)</f>
        <v>-1029600</v>
      </c>
      <c r="BT35" s="92"/>
      <c r="BU35" s="51">
        <f>SUM(BU36:BU38)</f>
        <v>113082.3</v>
      </c>
      <c r="BV35" s="51">
        <f t="shared" ref="BV35" si="1335">SUM(BV36:BV38)</f>
        <v>1029600</v>
      </c>
      <c r="BW35" s="51">
        <f t="shared" ref="BW35" si="1336">SUM(BW36:BW38)</f>
        <v>0</v>
      </c>
      <c r="BX35" s="51">
        <f t="shared" ref="BX35" si="1337">SUM(BX36:BX38)</f>
        <v>1142682.3</v>
      </c>
      <c r="BY35" s="51">
        <f t="shared" ref="BY35" si="1338">SUM(BY36:BY38)</f>
        <v>113082.3</v>
      </c>
      <c r="BZ35" s="51">
        <f t="shared" ref="BZ35" si="1339">SUM(BZ36:BZ38)</f>
        <v>0</v>
      </c>
      <c r="CA35" s="51">
        <f t="shared" ref="CA35" si="1340">SUM(CA36:CA38)</f>
        <v>0</v>
      </c>
      <c r="CB35" s="51">
        <f t="shared" ref="CB35" si="1341">SUM(CB36:CB38)</f>
        <v>0</v>
      </c>
      <c r="CC35" s="51">
        <f t="shared" ref="CC35" si="1342">SUM(CC36:CC38)</f>
        <v>0</v>
      </c>
      <c r="CD35" s="51">
        <f t="shared" ref="CD35" si="1343">SUM(CD36:CD38)</f>
        <v>0</v>
      </c>
      <c r="CE35" s="51">
        <f t="shared" ref="CE35" si="1344">SUM(CE36:CE38)</f>
        <v>0</v>
      </c>
      <c r="CF35" s="51">
        <f t="shared" ref="CF35" si="1345">SUM(CF36:CF38)</f>
        <v>-1029600</v>
      </c>
      <c r="CG35" s="92"/>
      <c r="CH35" s="51">
        <f>SUM(CH36:CH38)</f>
        <v>0</v>
      </c>
      <c r="CI35" s="51">
        <f t="shared" ref="CI35" si="1346">SUM(CI36:CI38)</f>
        <v>0</v>
      </c>
      <c r="CJ35" s="51">
        <f t="shared" ref="CJ35" si="1347">SUM(CJ36:CJ38)</f>
        <v>0</v>
      </c>
      <c r="CK35" s="51">
        <f t="shared" ref="CK35" si="1348">SUM(CK36:CK38)</f>
        <v>0</v>
      </c>
      <c r="CL35" s="51">
        <f t="shared" ref="CL35" si="1349">SUM(CL36:CL38)</f>
        <v>0</v>
      </c>
      <c r="CM35" s="51">
        <f t="shared" ref="CM35" si="1350">SUM(CM36:CM38)</f>
        <v>0</v>
      </c>
      <c r="CN35" s="51">
        <f t="shared" ref="CN35" si="1351">SUM(CN36:CN38)</f>
        <v>0</v>
      </c>
      <c r="CO35" s="51">
        <f t="shared" ref="CO35" si="1352">SUM(CO36:CO38)</f>
        <v>0</v>
      </c>
      <c r="CP35" s="51">
        <f t="shared" ref="CP35" si="1353">SUM(CP36:CP38)</f>
        <v>0</v>
      </c>
      <c r="CQ35" s="51">
        <f t="shared" ref="CQ35" si="1354">SUM(CQ36:CQ38)</f>
        <v>0</v>
      </c>
      <c r="CR35" s="51">
        <f t="shared" ref="CR35" si="1355">SUM(CR36:CR38)</f>
        <v>0</v>
      </c>
      <c r="CS35" s="51">
        <f t="shared" ref="CS35" si="1356">SUM(CS36:CS38)</f>
        <v>0</v>
      </c>
      <c r="CT35" s="92"/>
      <c r="CU35" s="51">
        <f>SUM(CU36:CU38)</f>
        <v>0</v>
      </c>
      <c r="CV35" s="51">
        <f t="shared" ref="CV35" si="1357">SUM(CV36:CV38)</f>
        <v>0</v>
      </c>
      <c r="CW35" s="51">
        <f t="shared" ref="CW35" si="1358">SUM(CW36:CW38)</f>
        <v>0</v>
      </c>
      <c r="CX35" s="51">
        <f t="shared" ref="CX35" si="1359">SUM(CX36:CX38)</f>
        <v>0</v>
      </c>
      <c r="CY35" s="51">
        <f t="shared" ref="CY35" si="1360">SUM(CY36:CY38)</f>
        <v>0</v>
      </c>
      <c r="CZ35" s="51">
        <f t="shared" ref="CZ35" si="1361">SUM(CZ36:CZ38)</f>
        <v>0</v>
      </c>
      <c r="DA35" s="51">
        <f t="shared" ref="DA35" si="1362">SUM(DA36:DA38)</f>
        <v>0</v>
      </c>
      <c r="DB35" s="51">
        <f t="shared" ref="DB35" si="1363">SUM(DB36:DB38)</f>
        <v>0</v>
      </c>
      <c r="DC35" s="51">
        <f t="shared" ref="DC35" si="1364">SUM(DC36:DC38)</f>
        <v>0</v>
      </c>
      <c r="DD35" s="51">
        <f t="shared" ref="DD35" si="1365">SUM(DD36:DD38)</f>
        <v>0</v>
      </c>
      <c r="DE35" s="51">
        <f t="shared" ref="DE35" si="1366">SUM(DE36:DE38)</f>
        <v>0</v>
      </c>
      <c r="DF35" s="51">
        <f t="shared" ref="DF35" si="1367">SUM(DF36:DF38)</f>
        <v>0</v>
      </c>
      <c r="DG35" s="92"/>
      <c r="DH35" s="51">
        <f>SUM(DH36:DH38)</f>
        <v>0</v>
      </c>
      <c r="DI35" s="51">
        <f t="shared" ref="DI35" si="1368">SUM(DI36:DI38)</f>
        <v>0</v>
      </c>
      <c r="DJ35" s="51">
        <f t="shared" ref="DJ35" si="1369">SUM(DJ36:DJ38)</f>
        <v>0</v>
      </c>
      <c r="DK35" s="51">
        <f t="shared" ref="DK35" si="1370">SUM(DK36:DK38)</f>
        <v>0</v>
      </c>
      <c r="DL35" s="51">
        <f t="shared" ref="DL35" si="1371">SUM(DL36:DL38)</f>
        <v>0</v>
      </c>
      <c r="DM35" s="51">
        <f t="shared" ref="DM35" si="1372">SUM(DM36:DM38)</f>
        <v>0</v>
      </c>
      <c r="DN35" s="51">
        <f t="shared" ref="DN35" si="1373">SUM(DN36:DN38)</f>
        <v>0</v>
      </c>
      <c r="DO35" s="51">
        <f t="shared" ref="DO35" si="1374">SUM(DO36:DO38)</f>
        <v>0</v>
      </c>
      <c r="DP35" s="51">
        <f t="shared" ref="DP35" si="1375">SUM(DP36:DP38)</f>
        <v>0</v>
      </c>
      <c r="DQ35" s="51">
        <f t="shared" ref="DQ35" si="1376">SUM(DQ36:DQ38)</f>
        <v>0</v>
      </c>
      <c r="DR35" s="51">
        <f t="shared" ref="DR35" si="1377">SUM(DR36:DR38)</f>
        <v>0</v>
      </c>
      <c r="DS35" s="51">
        <f t="shared" ref="DS35" si="1378">SUM(DS36:DS38)</f>
        <v>0</v>
      </c>
      <c r="DT35" s="92"/>
      <c r="DU35" s="51">
        <f>SUM(DU36:DU38)</f>
        <v>0</v>
      </c>
      <c r="DV35" s="51">
        <f t="shared" ref="DV35" si="1379">SUM(DV36:DV38)</f>
        <v>0</v>
      </c>
      <c r="DW35" s="51">
        <f t="shared" ref="DW35" si="1380">SUM(DW36:DW38)</f>
        <v>0</v>
      </c>
      <c r="DX35" s="51">
        <f t="shared" ref="DX35" si="1381">SUM(DX36:DX38)</f>
        <v>0</v>
      </c>
      <c r="DY35" s="51">
        <f t="shared" ref="DY35" si="1382">SUM(DY36:DY38)</f>
        <v>0</v>
      </c>
      <c r="DZ35" s="51">
        <f t="shared" ref="DZ35" si="1383">SUM(DZ36:DZ38)</f>
        <v>0</v>
      </c>
      <c r="EA35" s="51">
        <f t="shared" ref="EA35" si="1384">SUM(EA36:EA38)</f>
        <v>0</v>
      </c>
      <c r="EB35" s="51">
        <f t="shared" ref="EB35" si="1385">SUM(EB36:EB38)</f>
        <v>0</v>
      </c>
      <c r="EC35" s="51">
        <f t="shared" ref="EC35" si="1386">SUM(EC36:EC38)</f>
        <v>0</v>
      </c>
      <c r="ED35" s="51">
        <f t="shared" ref="ED35" si="1387">SUM(ED36:ED38)</f>
        <v>0</v>
      </c>
      <c r="EE35" s="51">
        <f t="shared" ref="EE35" si="1388">SUM(EE36:EE38)</f>
        <v>0</v>
      </c>
      <c r="EF35" s="51">
        <f t="shared" ref="EF35" si="1389">SUM(EF36:EF38)</f>
        <v>0</v>
      </c>
      <c r="EG35" s="92"/>
      <c r="EH35" s="51">
        <f>SUM(EH36:EH38)</f>
        <v>9065722.7999999989</v>
      </c>
      <c r="EI35" s="51">
        <f t="shared" ref="EI35" si="1390">SUM(EI36:EI38)</f>
        <v>8482200</v>
      </c>
      <c r="EJ35" s="51">
        <f t="shared" ref="EJ35" si="1391">SUM(EJ36:EJ38)</f>
        <v>7107000</v>
      </c>
      <c r="EK35" s="51">
        <f t="shared" ref="EK35" si="1392">SUM(EK36:EK38)</f>
        <v>24654922.800000001</v>
      </c>
      <c r="EL35" s="51">
        <f t="shared" ref="EL35" si="1393">SUM(EL36:EL38)</f>
        <v>8839639.5</v>
      </c>
      <c r="EM35" s="51">
        <f t="shared" ref="EM35" si="1394">SUM(EM36:EM38)</f>
        <v>0</v>
      </c>
      <c r="EN35" s="51">
        <f t="shared" ref="EN35" si="1395">SUM(EN36:EN38)</f>
        <v>0</v>
      </c>
      <c r="EO35" s="51">
        <f t="shared" ref="EO35" si="1396">SUM(EO36:EO38)</f>
        <v>9747506.9000000004</v>
      </c>
      <c r="EP35" s="51">
        <f t="shared" ref="EP35" si="1397">SUM(EP36:EP38)</f>
        <v>0</v>
      </c>
      <c r="EQ35" s="51">
        <f t="shared" ref="EQ35" si="1398">SUM(EQ36:EQ38)</f>
        <v>0</v>
      </c>
      <c r="ER35" s="51">
        <f t="shared" ref="ER35" si="1399">SUM(ER36:ER38)</f>
        <v>0</v>
      </c>
      <c r="ES35" s="51">
        <f t="shared" ref="ES35" si="1400">SUM(ES36:ES38)</f>
        <v>-6067776.4000000004</v>
      </c>
    </row>
    <row r="36" spans="1:149" ht="55.2">
      <c r="B36" s="26"/>
      <c r="C36" s="159"/>
      <c r="D36" s="31" t="s">
        <v>640</v>
      </c>
      <c r="E36" s="56" t="s">
        <v>575</v>
      </c>
      <c r="F36" s="31">
        <v>2021</v>
      </c>
      <c r="G36" s="31">
        <v>2026</v>
      </c>
      <c r="H36" s="49">
        <f>'Incremental_Cost Year 1'!AQ232</f>
        <v>82506.899999999994</v>
      </c>
      <c r="I36" s="49">
        <f>'Incremental_Cost Year 1'!AR232</f>
        <v>399000</v>
      </c>
      <c r="J36" s="49">
        <f>'Incremental_Cost Year 1'!AS232</f>
        <v>3105000</v>
      </c>
      <c r="K36" s="49">
        <f>'Incremental_Cost Year 1'!AT232</f>
        <v>3586506.9</v>
      </c>
      <c r="L36" s="49">
        <f>'Incremental_Cost Year 1'!AU232</f>
        <v>0</v>
      </c>
      <c r="M36" s="49">
        <f>'Incremental_Cost Year 1'!AV232</f>
        <v>0</v>
      </c>
      <c r="N36" s="49">
        <f>'Incremental_Cost Year 1'!AW232</f>
        <v>0</v>
      </c>
      <c r="O36" s="49">
        <f>'Incremental_Cost Year 1'!AX232</f>
        <v>4161506.9</v>
      </c>
      <c r="P36" s="49">
        <f>'Incremental_Cost Year 1'!AY232</f>
        <v>0</v>
      </c>
      <c r="Q36" s="49">
        <f>'Incremental_Cost Year 1'!AZ232</f>
        <v>0</v>
      </c>
      <c r="R36" s="49">
        <f>'Incremental_Cost Year 1'!BA232</f>
        <v>0</v>
      </c>
      <c r="S36" s="49">
        <f t="shared" ref="S36:S38" si="1401">L36+M36+N36+O36+P36+Q36+R36-K36</f>
        <v>575000</v>
      </c>
      <c r="T36" s="89"/>
      <c r="U36" s="49">
        <f>'Incremental_Cost Year 2'!AQ232</f>
        <v>4042838.1</v>
      </c>
      <c r="V36" s="49">
        <f>'Incremental_Cost Year 2'!AR232</f>
        <v>1114000</v>
      </c>
      <c r="W36" s="49">
        <f>'Incremental_Cost Year 2'!AS232</f>
        <v>2967000</v>
      </c>
      <c r="X36" s="49">
        <f>'Incremental_Cost Year 2'!AT232</f>
        <v>8123838.1000000006</v>
      </c>
      <c r="Y36" s="49">
        <f>'Incremental_Cost Year 2'!AU232</f>
        <v>4042838.1</v>
      </c>
      <c r="Z36" s="49">
        <f>'Incremental_Cost Year 2'!AV232</f>
        <v>0</v>
      </c>
      <c r="AA36" s="49">
        <f>'Incremental_Cost Year 2'!AW232</f>
        <v>0</v>
      </c>
      <c r="AB36" s="49">
        <f>'Incremental_Cost Year 2'!AX232</f>
        <v>4081000</v>
      </c>
      <c r="AC36" s="49">
        <f>'Incremental_Cost Year 2'!AY232</f>
        <v>0</v>
      </c>
      <c r="AD36" s="49">
        <f>'Incremental_Cost Year 2'!AZ232</f>
        <v>0</v>
      </c>
      <c r="AE36" s="49">
        <f>'Incremental_Cost Year 2'!BA232</f>
        <v>0</v>
      </c>
      <c r="AF36" s="49">
        <f t="shared" ref="AF36:AF38" si="1402">Y36+Z36+AA36+AB36+AC36+AD36+AE36-X36</f>
        <v>0</v>
      </c>
      <c r="AG36" s="96"/>
      <c r="AH36" s="49">
        <f>'Incremental_Cost Year 3'!AQ232</f>
        <v>4054566.45</v>
      </c>
      <c r="AI36" s="49">
        <f>'Incremental_Cost Year 3'!AR232</f>
        <v>917600</v>
      </c>
      <c r="AJ36" s="49">
        <f>'Incremental_Cost Year 3'!AS232</f>
        <v>1035000</v>
      </c>
      <c r="AK36" s="49">
        <f>'Incremental_Cost Year 3'!AT232</f>
        <v>6007166.4500000002</v>
      </c>
      <c r="AL36" s="49">
        <f>'Incremental_Cost Year 3'!AU232</f>
        <v>4054566.45</v>
      </c>
      <c r="AM36" s="49">
        <f>'Incremental_Cost Year 3'!AV232</f>
        <v>0</v>
      </c>
      <c r="AN36" s="49">
        <f>'Incremental_Cost Year 3'!AW232</f>
        <v>0</v>
      </c>
      <c r="AO36" s="49">
        <f>'Incremental_Cost Year 3'!AX232</f>
        <v>1505000</v>
      </c>
      <c r="AP36" s="49">
        <f>'Incremental_Cost Year 3'!AY232</f>
        <v>0</v>
      </c>
      <c r="AQ36" s="49">
        <f>'Incremental_Cost Year 3'!AZ232</f>
        <v>0</v>
      </c>
      <c r="AR36" s="49">
        <f>'Incremental_Cost Year 3'!BA232</f>
        <v>0</v>
      </c>
      <c r="AS36" s="49">
        <f t="shared" ref="AS36:AS38" si="1403">AL36+AM36+AN36+AO36+AP36+AQ36+AR36-AK36</f>
        <v>-447600</v>
      </c>
      <c r="AT36" s="92"/>
      <c r="AU36" s="49">
        <f>'Incremental_Cost Year 4'!AQ232</f>
        <v>94235.25</v>
      </c>
      <c r="AV36" s="49">
        <f>'Incremental_Cost Year 4'!AR232</f>
        <v>447600</v>
      </c>
      <c r="AW36" s="49">
        <f>'Incremental_Cost Year 4'!AS232</f>
        <v>0</v>
      </c>
      <c r="AX36" s="49">
        <f>'Incremental_Cost Year 4'!AT232</f>
        <v>541835.25</v>
      </c>
      <c r="AY36" s="49">
        <f>'Incremental_Cost Year 4'!AU232</f>
        <v>94235.25</v>
      </c>
      <c r="AZ36" s="49">
        <f>'Incremental_Cost Year 4'!AV232</f>
        <v>0</v>
      </c>
      <c r="BA36" s="49">
        <f>'Incremental_Cost Year 4'!AW232</f>
        <v>0</v>
      </c>
      <c r="BB36" s="49">
        <f>'Incremental_Cost Year 4'!AX232</f>
        <v>0</v>
      </c>
      <c r="BC36" s="49">
        <f>'Incremental_Cost Year 4'!AY232</f>
        <v>0</v>
      </c>
      <c r="BD36" s="49">
        <f>'Incremental_Cost Year 4'!AZ232</f>
        <v>0</v>
      </c>
      <c r="BE36" s="49">
        <f>'Incremental_Cost Year 4'!BA232</f>
        <v>0</v>
      </c>
      <c r="BF36" s="49">
        <f t="shared" ref="BF36:BF38" si="1404">AY36+AZ36+BA36+BB36+BC36+BD36+BE36-AX36</f>
        <v>-447600</v>
      </c>
      <c r="BG36" s="92"/>
      <c r="BH36" s="49">
        <f>'Incremental_Cost Year 5'!AQ232</f>
        <v>94235.25</v>
      </c>
      <c r="BI36" s="49">
        <f>'Incremental_Cost Year 5'!AR232</f>
        <v>447600</v>
      </c>
      <c r="BJ36" s="49">
        <f>'Incremental_Cost Year 5'!AS232</f>
        <v>0</v>
      </c>
      <c r="BK36" s="49">
        <f>'Incremental_Cost Year 5'!AT232</f>
        <v>541835.25</v>
      </c>
      <c r="BL36" s="49">
        <f>'Incremental_Cost Year 5'!AU232</f>
        <v>94235.25</v>
      </c>
      <c r="BM36" s="49">
        <f>'Incremental_Cost Year 5'!AV232</f>
        <v>0</v>
      </c>
      <c r="BN36" s="49">
        <f>'Incremental_Cost Year 5'!AW232</f>
        <v>0</v>
      </c>
      <c r="BO36" s="49">
        <f>'Incremental_Cost Year 5'!AX232</f>
        <v>0</v>
      </c>
      <c r="BP36" s="49">
        <f>'Incremental_Cost Year 5'!AY232</f>
        <v>0</v>
      </c>
      <c r="BQ36" s="49">
        <f>'Incremental_Cost Year 5'!AZ232</f>
        <v>0</v>
      </c>
      <c r="BR36" s="49">
        <f>'Incremental_Cost Year 5'!BA232</f>
        <v>0</v>
      </c>
      <c r="BS36" s="49">
        <f t="shared" ref="BS36:BS38" si="1405">BL36+BM36+BN36+BO36+BP36+BQ36+BR36-BK36</f>
        <v>-447600</v>
      </c>
      <c r="BT36" s="92"/>
      <c r="BU36" s="49">
        <f>'Incremental_Cost Year 6'!AQ232</f>
        <v>94235.25</v>
      </c>
      <c r="BV36" s="49">
        <f>'Incremental_Cost Year 6'!AR232</f>
        <v>447600</v>
      </c>
      <c r="BW36" s="49">
        <f>'Incremental_Cost Year 6'!AS232</f>
        <v>0</v>
      </c>
      <c r="BX36" s="49">
        <f>'Incremental_Cost Year 6'!AT232</f>
        <v>541835.25</v>
      </c>
      <c r="BY36" s="49">
        <f>'Incremental_Cost Year 6'!AU232</f>
        <v>94235.25</v>
      </c>
      <c r="BZ36" s="49">
        <f>'Incremental_Cost Year 6'!AV232</f>
        <v>0</v>
      </c>
      <c r="CA36" s="49">
        <f>'Incremental_Cost Year 6'!AW232</f>
        <v>0</v>
      </c>
      <c r="CB36" s="49">
        <f>'Incremental_Cost Year 6'!AX232</f>
        <v>0</v>
      </c>
      <c r="CC36" s="49">
        <f>'Incremental_Cost Year 6'!AY232</f>
        <v>0</v>
      </c>
      <c r="CD36" s="49">
        <f>'Incremental_Cost Year 6'!AZ232</f>
        <v>0</v>
      </c>
      <c r="CE36" s="49">
        <f>'Incremental_Cost Year 6'!BA232</f>
        <v>0</v>
      </c>
      <c r="CF36" s="49">
        <f t="shared" ref="CF36:CF38" si="1406">BY36+BZ36+CA36+CB36+CC36+CD36+CE36-BX36</f>
        <v>-447600</v>
      </c>
      <c r="CG36" s="92"/>
      <c r="CH36" s="49"/>
      <c r="CI36" s="49"/>
      <c r="CJ36" s="49"/>
      <c r="CK36" s="49"/>
      <c r="CL36" s="49"/>
      <c r="CM36" s="49"/>
      <c r="CN36" s="49"/>
      <c r="CO36" s="49"/>
      <c r="CP36" s="49"/>
      <c r="CQ36" s="49"/>
      <c r="CR36" s="49"/>
      <c r="CS36" s="49"/>
      <c r="CT36" s="92"/>
      <c r="CU36" s="49"/>
      <c r="CV36" s="49"/>
      <c r="CW36" s="49"/>
      <c r="CX36" s="49"/>
      <c r="CY36" s="49"/>
      <c r="CZ36" s="49"/>
      <c r="DA36" s="49"/>
      <c r="DB36" s="49"/>
      <c r="DC36" s="49"/>
      <c r="DD36" s="49"/>
      <c r="DE36" s="49"/>
      <c r="DF36" s="49">
        <f t="shared" ref="DF36:DF37" si="1407">SUM(CY36:DE36)-CX36</f>
        <v>0</v>
      </c>
      <c r="DG36" s="92"/>
      <c r="DH36" s="49"/>
      <c r="DI36" s="49"/>
      <c r="DJ36" s="49"/>
      <c r="DK36" s="49"/>
      <c r="DL36" s="49"/>
      <c r="DM36" s="49"/>
      <c r="DN36" s="49"/>
      <c r="DO36" s="49"/>
      <c r="DP36" s="49"/>
      <c r="DQ36" s="49"/>
      <c r="DR36" s="49"/>
      <c r="DS36" s="49">
        <f t="shared" ref="DS36:DS37" si="1408">SUM(DL36:DR36)-DK36</f>
        <v>0</v>
      </c>
      <c r="DT36" s="92"/>
      <c r="DU36" s="49"/>
      <c r="DV36" s="49"/>
      <c r="DW36" s="49"/>
      <c r="DX36" s="49"/>
      <c r="DY36" s="49"/>
      <c r="DZ36" s="49"/>
      <c r="EA36" s="49"/>
      <c r="EB36" s="49"/>
      <c r="EC36" s="49"/>
      <c r="ED36" s="49"/>
      <c r="EE36" s="49"/>
      <c r="EF36" s="49">
        <f t="shared" ref="EF36:EF37" si="1409">SUM(DY36:EE36)-DX36</f>
        <v>0</v>
      </c>
      <c r="EG36" s="92"/>
      <c r="EH36" s="49">
        <f>H36+U36+AH36+AU36+BH36+BU36+CH36+CU36+DH36+DU36</f>
        <v>8462617.1999999993</v>
      </c>
      <c r="EI36" s="49">
        <f t="shared" ref="EI36:EI37" si="1410">I36+V36+AI36+AV36+BI36+BV36+CI36+CV36+DI36+DV36</f>
        <v>3773400</v>
      </c>
      <c r="EJ36" s="49">
        <f t="shared" ref="EJ36:EJ37" si="1411">J36+W36+AJ36+AW36+BJ36+BW36+CJ36+CW36+DJ36+DW36</f>
        <v>7107000</v>
      </c>
      <c r="EK36" s="49">
        <f t="shared" ref="EK36:EK37" si="1412">K36+X36+AK36+AX36+BK36+BX36+CK36+CX36+DK36+DX36</f>
        <v>19343017.199999999</v>
      </c>
      <c r="EL36" s="49">
        <f t="shared" ref="EL36:EL37" si="1413">L36+Y36+AL36+AY36+BL36+BY36+CL36+CY36+DL36+DY36</f>
        <v>8380110.3000000007</v>
      </c>
      <c r="EM36" s="49">
        <f t="shared" ref="EM36:EM37" si="1414">M36+Z36+AM36+AZ36+BM36+BZ36+CM36+CZ36+DM36+DZ36</f>
        <v>0</v>
      </c>
      <c r="EN36" s="49">
        <f t="shared" ref="EN36:EN37" si="1415">N36+AA36+AN36+BA36+BN36+CA36+CN36+DA36+DN36+EA36</f>
        <v>0</v>
      </c>
      <c r="EO36" s="49">
        <f t="shared" ref="EO36:EO37" si="1416">O36+AB36+AO36+BB36+BO36+CB36+CO36+DB36+DO36+EB36</f>
        <v>9747506.9000000004</v>
      </c>
      <c r="EP36" s="49">
        <f t="shared" ref="EP36:EP37" si="1417">P36+AC36+AP36+BC36+BP36+CC36+CP36+DC36+DP36+EC36</f>
        <v>0</v>
      </c>
      <c r="EQ36" s="49">
        <f t="shared" ref="EQ36:EQ37" si="1418">Q36+AD36+AQ36+BD36+BQ36+CD36+CQ36+DD36+DQ36+ED36</f>
        <v>0</v>
      </c>
      <c r="ER36" s="49">
        <f t="shared" ref="ER36:ER37" si="1419">R36+AE36+AR36+BE36+BR36+CE36+CR36+DE36+DR36+EE36</f>
        <v>0</v>
      </c>
      <c r="ES36" s="49">
        <f t="shared" ref="ES36:ES37" si="1420">S36+AF36+AS36+BF36+BS36+CF36+CS36+DF36+DS36+EF36</f>
        <v>-1215400</v>
      </c>
    </row>
    <row r="37" spans="1:149" ht="69">
      <c r="B37" s="26"/>
      <c r="C37" s="159"/>
      <c r="D37" s="31" t="s">
        <v>641</v>
      </c>
      <c r="E37" s="56" t="s">
        <v>261</v>
      </c>
      <c r="F37" s="31"/>
      <c r="G37" s="31"/>
      <c r="H37" s="49">
        <f>'Incremental_Cost Year 1'!AQ236</f>
        <v>37694.1</v>
      </c>
      <c r="I37" s="49">
        <f>'Incremental_Cost Year 1'!AR236</f>
        <v>1321200</v>
      </c>
      <c r="J37" s="49">
        <f>'Incremental_Cost Year 1'!AS236</f>
        <v>0</v>
      </c>
      <c r="K37" s="49">
        <f>'Incremental_Cost Year 1'!AT236</f>
        <v>1358894.1</v>
      </c>
      <c r="L37" s="49">
        <f>'Incremental_Cost Year 1'!AU236</f>
        <v>37694.1</v>
      </c>
      <c r="M37" s="49">
        <f>'Incremental_Cost Year 1'!AV236</f>
        <v>0</v>
      </c>
      <c r="N37" s="49">
        <f>'Incremental_Cost Year 1'!AW236</f>
        <v>0</v>
      </c>
      <c r="O37" s="49">
        <f>'Incremental_Cost Year 1'!AX236</f>
        <v>0</v>
      </c>
      <c r="P37" s="49">
        <f>'Incremental_Cost Year 1'!AY236</f>
        <v>0</v>
      </c>
      <c r="Q37" s="49">
        <f>'Incremental_Cost Year 1'!AZ236</f>
        <v>0</v>
      </c>
      <c r="R37" s="49">
        <f>'Incremental_Cost Year 1'!BA236</f>
        <v>0</v>
      </c>
      <c r="S37" s="49">
        <f t="shared" si="1401"/>
        <v>-1321200</v>
      </c>
      <c r="T37" s="89"/>
      <c r="U37" s="49">
        <f>'Incremental_Cost Year 2'!AQ236</f>
        <v>0</v>
      </c>
      <c r="V37" s="49">
        <f>'Incremental_Cost Year 2'!AR236</f>
        <v>0</v>
      </c>
      <c r="W37" s="49">
        <f>'Incremental_Cost Year 2'!AS236</f>
        <v>0</v>
      </c>
      <c r="X37" s="49">
        <f>'Incremental_Cost Year 2'!AT236</f>
        <v>0</v>
      </c>
      <c r="Y37" s="49">
        <f>'Incremental_Cost Year 2'!AU236</f>
        <v>0</v>
      </c>
      <c r="Z37" s="49">
        <f>'Incremental_Cost Year 2'!AV236</f>
        <v>0</v>
      </c>
      <c r="AA37" s="49">
        <f>'Incremental_Cost Year 2'!AW236</f>
        <v>0</v>
      </c>
      <c r="AB37" s="49">
        <f>'Incremental_Cost Year 2'!AX236</f>
        <v>0</v>
      </c>
      <c r="AC37" s="49">
        <f>'Incremental_Cost Year 2'!AY236</f>
        <v>0</v>
      </c>
      <c r="AD37" s="49">
        <f>'Incremental_Cost Year 2'!AZ236</f>
        <v>0</v>
      </c>
      <c r="AE37" s="49">
        <f>'Incremental_Cost Year 2'!BA236</f>
        <v>0</v>
      </c>
      <c r="AF37" s="49">
        <f t="shared" si="1402"/>
        <v>0</v>
      </c>
      <c r="AG37" s="96"/>
      <c r="AH37" s="49">
        <f>'Incremental_Cost Year 3'!AQ236</f>
        <v>0</v>
      </c>
      <c r="AI37" s="49">
        <f>'Incremental_Cost Year 3'!AR236</f>
        <v>0</v>
      </c>
      <c r="AJ37" s="49">
        <f>'Incremental_Cost Year 3'!AS236</f>
        <v>0</v>
      </c>
      <c r="AK37" s="49">
        <f>'Incremental_Cost Year 3'!AT236</f>
        <v>0</v>
      </c>
      <c r="AL37" s="49">
        <f>'Incremental_Cost Year 3'!AU236</f>
        <v>0</v>
      </c>
      <c r="AM37" s="49">
        <f>'Incremental_Cost Year 3'!AV236</f>
        <v>0</v>
      </c>
      <c r="AN37" s="49">
        <f>'Incremental_Cost Year 3'!AW236</f>
        <v>0</v>
      </c>
      <c r="AO37" s="49">
        <f>'Incremental_Cost Year 3'!AX236</f>
        <v>0</v>
      </c>
      <c r="AP37" s="49">
        <f>'Incremental_Cost Year 3'!AY236</f>
        <v>0</v>
      </c>
      <c r="AQ37" s="49">
        <f>'Incremental_Cost Year 3'!AZ236</f>
        <v>0</v>
      </c>
      <c r="AR37" s="49">
        <f>'Incremental_Cost Year 3'!BA236</f>
        <v>0</v>
      </c>
      <c r="AS37" s="49">
        <f t="shared" si="1403"/>
        <v>0</v>
      </c>
      <c r="AT37" s="92"/>
      <c r="AU37" s="49">
        <f>'Incremental_Cost Year 4'!AQ236</f>
        <v>0</v>
      </c>
      <c r="AV37" s="49">
        <f>'Incremental_Cost Year 4'!AR236</f>
        <v>0</v>
      </c>
      <c r="AW37" s="49">
        <f>'Incremental_Cost Year 4'!AS236</f>
        <v>0</v>
      </c>
      <c r="AX37" s="49">
        <f>'Incremental_Cost Year 4'!AT236</f>
        <v>0</v>
      </c>
      <c r="AY37" s="49">
        <f>'Incremental_Cost Year 4'!AU236</f>
        <v>0</v>
      </c>
      <c r="AZ37" s="49">
        <f>'Incremental_Cost Year 4'!AV236</f>
        <v>0</v>
      </c>
      <c r="BA37" s="49">
        <f>'Incremental_Cost Year 4'!AW236</f>
        <v>0</v>
      </c>
      <c r="BB37" s="49">
        <f>'Incremental_Cost Year 4'!AX236</f>
        <v>0</v>
      </c>
      <c r="BC37" s="49">
        <f>'Incremental_Cost Year 4'!AY236</f>
        <v>0</v>
      </c>
      <c r="BD37" s="49">
        <f>'Incremental_Cost Year 4'!AZ236</f>
        <v>0</v>
      </c>
      <c r="BE37" s="49">
        <f>'Incremental_Cost Year 4'!BA236</f>
        <v>0</v>
      </c>
      <c r="BF37" s="49">
        <f t="shared" si="1404"/>
        <v>0</v>
      </c>
      <c r="BG37" s="92"/>
      <c r="BH37" s="49">
        <f>'Incremental_Cost Year 5'!AQ236</f>
        <v>0</v>
      </c>
      <c r="BI37" s="49">
        <f>'Incremental_Cost Year 5'!AR236</f>
        <v>0</v>
      </c>
      <c r="BJ37" s="49">
        <f>'Incremental_Cost Year 5'!AS236</f>
        <v>0</v>
      </c>
      <c r="BK37" s="49">
        <f>'Incremental_Cost Year 5'!AT236</f>
        <v>0</v>
      </c>
      <c r="BL37" s="49">
        <f>'Incremental_Cost Year 5'!AU236</f>
        <v>0</v>
      </c>
      <c r="BM37" s="49">
        <f>'Incremental_Cost Year 5'!AV236</f>
        <v>0</v>
      </c>
      <c r="BN37" s="49">
        <f>'Incremental_Cost Year 5'!AW236</f>
        <v>0</v>
      </c>
      <c r="BO37" s="49">
        <f>'Incremental_Cost Year 5'!AX236</f>
        <v>0</v>
      </c>
      <c r="BP37" s="49">
        <f>'Incremental_Cost Year 5'!AY236</f>
        <v>0</v>
      </c>
      <c r="BQ37" s="49">
        <f>'Incremental_Cost Year 5'!AZ236</f>
        <v>0</v>
      </c>
      <c r="BR37" s="49">
        <f>'Incremental_Cost Year 5'!BA236</f>
        <v>0</v>
      </c>
      <c r="BS37" s="49">
        <f t="shared" si="1405"/>
        <v>0</v>
      </c>
      <c r="BT37" s="92"/>
      <c r="BU37" s="49">
        <f>'Incremental_Cost Year 6'!AQ236</f>
        <v>0</v>
      </c>
      <c r="BV37" s="49">
        <f>'Incremental_Cost Year 6'!AR236</f>
        <v>0</v>
      </c>
      <c r="BW37" s="49">
        <f>'Incremental_Cost Year 6'!AS236</f>
        <v>0</v>
      </c>
      <c r="BX37" s="49">
        <f>'Incremental_Cost Year 6'!AT236</f>
        <v>0</v>
      </c>
      <c r="BY37" s="49">
        <f>'Incremental_Cost Year 6'!AU236</f>
        <v>0</v>
      </c>
      <c r="BZ37" s="49">
        <f>'Incremental_Cost Year 6'!AV236</f>
        <v>0</v>
      </c>
      <c r="CA37" s="49">
        <f>'Incremental_Cost Year 6'!AW236</f>
        <v>0</v>
      </c>
      <c r="CB37" s="49">
        <f>'Incremental_Cost Year 6'!AX236</f>
        <v>0</v>
      </c>
      <c r="CC37" s="49">
        <f>'Incremental_Cost Year 6'!AY236</f>
        <v>0</v>
      </c>
      <c r="CD37" s="49">
        <f>'Incremental_Cost Year 6'!AZ236</f>
        <v>0</v>
      </c>
      <c r="CE37" s="49">
        <f>'Incremental_Cost Year 6'!BA236</f>
        <v>0</v>
      </c>
      <c r="CF37" s="49">
        <f t="shared" si="1406"/>
        <v>0</v>
      </c>
      <c r="CG37" s="92"/>
      <c r="CH37" s="49"/>
      <c r="CI37" s="49"/>
      <c r="CJ37" s="49"/>
      <c r="CK37" s="49"/>
      <c r="CL37" s="49"/>
      <c r="CM37" s="49"/>
      <c r="CN37" s="49"/>
      <c r="CO37" s="49"/>
      <c r="CP37" s="49"/>
      <c r="CQ37" s="49"/>
      <c r="CR37" s="49"/>
      <c r="CS37" s="49"/>
      <c r="CT37" s="92"/>
      <c r="CU37" s="49"/>
      <c r="CV37" s="49"/>
      <c r="CW37" s="49"/>
      <c r="CX37" s="49"/>
      <c r="CY37" s="49"/>
      <c r="CZ37" s="49"/>
      <c r="DA37" s="49"/>
      <c r="DB37" s="49"/>
      <c r="DC37" s="49"/>
      <c r="DD37" s="49"/>
      <c r="DE37" s="49"/>
      <c r="DF37" s="49">
        <f t="shared" si="1407"/>
        <v>0</v>
      </c>
      <c r="DG37" s="92"/>
      <c r="DH37" s="49"/>
      <c r="DI37" s="49"/>
      <c r="DJ37" s="49"/>
      <c r="DK37" s="49"/>
      <c r="DL37" s="49"/>
      <c r="DM37" s="49"/>
      <c r="DN37" s="49"/>
      <c r="DO37" s="49"/>
      <c r="DP37" s="49"/>
      <c r="DQ37" s="49"/>
      <c r="DR37" s="49"/>
      <c r="DS37" s="49">
        <f t="shared" si="1408"/>
        <v>0</v>
      </c>
      <c r="DT37" s="92"/>
      <c r="DU37" s="49"/>
      <c r="DV37" s="49"/>
      <c r="DW37" s="49"/>
      <c r="DX37" s="49"/>
      <c r="DY37" s="49"/>
      <c r="DZ37" s="49"/>
      <c r="EA37" s="49"/>
      <c r="EB37" s="49"/>
      <c r="EC37" s="49"/>
      <c r="ED37" s="49"/>
      <c r="EE37" s="49"/>
      <c r="EF37" s="49">
        <f t="shared" si="1409"/>
        <v>0</v>
      </c>
      <c r="EG37" s="92"/>
      <c r="EH37" s="49">
        <f>H37+U37+AH37+AU37+BH37+BU37+CH37+CU37+DH37+DU37</f>
        <v>37694.1</v>
      </c>
      <c r="EI37" s="49">
        <f t="shared" si="1410"/>
        <v>1321200</v>
      </c>
      <c r="EJ37" s="49">
        <f t="shared" si="1411"/>
        <v>0</v>
      </c>
      <c r="EK37" s="49">
        <f t="shared" si="1412"/>
        <v>1358894.1</v>
      </c>
      <c r="EL37" s="49">
        <f t="shared" si="1413"/>
        <v>37694.1</v>
      </c>
      <c r="EM37" s="49">
        <f t="shared" si="1414"/>
        <v>0</v>
      </c>
      <c r="EN37" s="49">
        <f t="shared" si="1415"/>
        <v>0</v>
      </c>
      <c r="EO37" s="49">
        <f t="shared" si="1416"/>
        <v>0</v>
      </c>
      <c r="EP37" s="49">
        <f t="shared" si="1417"/>
        <v>0</v>
      </c>
      <c r="EQ37" s="49">
        <f t="shared" si="1418"/>
        <v>0</v>
      </c>
      <c r="ER37" s="49">
        <f t="shared" si="1419"/>
        <v>0</v>
      </c>
      <c r="ES37" s="49">
        <f t="shared" si="1420"/>
        <v>-1321200</v>
      </c>
    </row>
    <row r="38" spans="1:149" ht="55.2">
      <c r="B38" s="26"/>
      <c r="C38" s="348"/>
      <c r="D38" s="346" t="s">
        <v>713</v>
      </c>
      <c r="E38" s="56" t="s">
        <v>576</v>
      </c>
      <c r="F38" s="31"/>
      <c r="G38" s="31"/>
      <c r="H38" s="49">
        <f>'Incremental_Cost Year 1'!AQ242</f>
        <v>169623.44999999998</v>
      </c>
      <c r="I38" s="49">
        <f>'Incremental_Cost Year 1'!AR242</f>
        <v>235200</v>
      </c>
      <c r="J38" s="49">
        <f>'Incremental_Cost Year 1'!AS242</f>
        <v>0</v>
      </c>
      <c r="K38" s="49">
        <f>'Incremental_Cost Year 1'!AT242</f>
        <v>404823.45</v>
      </c>
      <c r="L38" s="49">
        <f>'Incremental_Cost Year 1'!AU242</f>
        <v>18847.05</v>
      </c>
      <c r="M38" s="49">
        <f>'Incremental_Cost Year 1'!AV242</f>
        <v>0</v>
      </c>
      <c r="N38" s="49">
        <f>'Incremental_Cost Year 1'!AW242</f>
        <v>0</v>
      </c>
      <c r="O38" s="49">
        <f>'Incremental_Cost Year 1'!AX242</f>
        <v>0</v>
      </c>
      <c r="P38" s="49">
        <f>'Incremental_Cost Year 1'!AY242</f>
        <v>0</v>
      </c>
      <c r="Q38" s="49">
        <f>'Incremental_Cost Year 1'!AZ242</f>
        <v>0</v>
      </c>
      <c r="R38" s="49">
        <f>'Incremental_Cost Year 1'!BA242</f>
        <v>0</v>
      </c>
      <c r="S38" s="49">
        <f t="shared" si="1401"/>
        <v>-385976.4</v>
      </c>
      <c r="T38" s="89"/>
      <c r="U38" s="49">
        <f>'Incremental_Cost Year 2'!AQ242</f>
        <v>169623.44999999998</v>
      </c>
      <c r="V38" s="49">
        <f>'Incremental_Cost Year 2'!AR242</f>
        <v>817200</v>
      </c>
      <c r="W38" s="49">
        <f>'Incremental_Cost Year 2'!AS242</f>
        <v>0</v>
      </c>
      <c r="X38" s="49">
        <f>'Incremental_Cost Year 2'!AT242</f>
        <v>986823.45000000007</v>
      </c>
      <c r="Y38" s="49">
        <f>'Incremental_Cost Year 2'!AU242</f>
        <v>169623.44999999998</v>
      </c>
      <c r="Z38" s="49">
        <f>'Incremental_Cost Year 2'!AV242</f>
        <v>0</v>
      </c>
      <c r="AA38" s="49">
        <f>'Incremental_Cost Year 2'!AW242</f>
        <v>0</v>
      </c>
      <c r="AB38" s="49">
        <f>'Incremental_Cost Year 2'!AX242</f>
        <v>0</v>
      </c>
      <c r="AC38" s="49">
        <f>'Incremental_Cost Year 2'!AY242</f>
        <v>0</v>
      </c>
      <c r="AD38" s="49">
        <f>'Incremental_Cost Year 2'!AZ242</f>
        <v>0</v>
      </c>
      <c r="AE38" s="49">
        <f>'Incremental_Cost Year 2'!BA242</f>
        <v>0</v>
      </c>
      <c r="AF38" s="49">
        <f t="shared" si="1402"/>
        <v>-817200.00000000012</v>
      </c>
      <c r="AG38" s="96"/>
      <c r="AH38" s="49">
        <f>'Incremental_Cost Year 3'!AQ242</f>
        <v>169623.44999999998</v>
      </c>
      <c r="AI38" s="49">
        <f>'Incremental_Cost Year 3'!AR242</f>
        <v>589200</v>
      </c>
      <c r="AJ38" s="49">
        <f>'Incremental_Cost Year 3'!AS242</f>
        <v>0</v>
      </c>
      <c r="AK38" s="49">
        <f>'Incremental_Cost Year 3'!AT242</f>
        <v>758823.45000000007</v>
      </c>
      <c r="AL38" s="49">
        <f>'Incremental_Cost Year 3'!AU242</f>
        <v>176823.44999999998</v>
      </c>
      <c r="AM38" s="49">
        <f>'Incremental_Cost Year 3'!AV242</f>
        <v>0</v>
      </c>
      <c r="AN38" s="49">
        <f>'Incremental_Cost Year 3'!AW242</f>
        <v>0</v>
      </c>
      <c r="AO38" s="49">
        <f>'Incremental_Cost Year 3'!AX242</f>
        <v>0</v>
      </c>
      <c r="AP38" s="49">
        <f>'Incremental_Cost Year 3'!AY242</f>
        <v>0</v>
      </c>
      <c r="AQ38" s="49">
        <f>'Incremental_Cost Year 3'!AZ242</f>
        <v>0</v>
      </c>
      <c r="AR38" s="49">
        <f>'Incremental_Cost Year 3'!BA242</f>
        <v>0</v>
      </c>
      <c r="AS38" s="49">
        <f t="shared" si="1403"/>
        <v>-582000.00000000012</v>
      </c>
      <c r="AT38" s="92"/>
      <c r="AU38" s="49">
        <f>'Incremental_Cost Year 4'!AQ242</f>
        <v>18847.05</v>
      </c>
      <c r="AV38" s="49">
        <f>'Incremental_Cost Year 4'!AR242</f>
        <v>582000</v>
      </c>
      <c r="AW38" s="49">
        <f>'Incremental_Cost Year 4'!AS242</f>
        <v>0</v>
      </c>
      <c r="AX38" s="49">
        <f>'Incremental_Cost Year 4'!AT242</f>
        <v>600847.05000000005</v>
      </c>
      <c r="AY38" s="49">
        <f>'Incremental_Cost Year 4'!AU242</f>
        <v>18847.05</v>
      </c>
      <c r="AZ38" s="49">
        <f>'Incremental_Cost Year 4'!AV242</f>
        <v>0</v>
      </c>
      <c r="BA38" s="49">
        <f>'Incremental_Cost Year 4'!AW242</f>
        <v>0</v>
      </c>
      <c r="BB38" s="49">
        <f>'Incremental_Cost Year 4'!AX242</f>
        <v>0</v>
      </c>
      <c r="BC38" s="49">
        <f>'Incremental_Cost Year 4'!AY242</f>
        <v>0</v>
      </c>
      <c r="BD38" s="49">
        <f>'Incremental_Cost Year 4'!AZ242</f>
        <v>0</v>
      </c>
      <c r="BE38" s="49">
        <f>'Incremental_Cost Year 4'!BA242</f>
        <v>0</v>
      </c>
      <c r="BF38" s="49">
        <f t="shared" si="1404"/>
        <v>-582000</v>
      </c>
      <c r="BG38" s="92"/>
      <c r="BH38" s="49">
        <f>'Incremental_Cost Year 5'!AQ242</f>
        <v>18847.05</v>
      </c>
      <c r="BI38" s="49">
        <f>'Incremental_Cost Year 5'!AR242</f>
        <v>582000</v>
      </c>
      <c r="BJ38" s="49">
        <f>'Incremental_Cost Year 5'!AS242</f>
        <v>0</v>
      </c>
      <c r="BK38" s="49">
        <f>'Incremental_Cost Year 5'!AT242</f>
        <v>600847.05000000005</v>
      </c>
      <c r="BL38" s="49">
        <f>'Incremental_Cost Year 5'!AU242</f>
        <v>18847.05</v>
      </c>
      <c r="BM38" s="49">
        <f>'Incremental_Cost Year 5'!AV242</f>
        <v>0</v>
      </c>
      <c r="BN38" s="49">
        <f>'Incremental_Cost Year 5'!AW242</f>
        <v>0</v>
      </c>
      <c r="BO38" s="49">
        <f>'Incremental_Cost Year 5'!AX242</f>
        <v>0</v>
      </c>
      <c r="BP38" s="49">
        <f>'Incremental_Cost Year 5'!AY242</f>
        <v>0</v>
      </c>
      <c r="BQ38" s="49">
        <f>'Incremental_Cost Year 5'!AZ242</f>
        <v>0</v>
      </c>
      <c r="BR38" s="49">
        <f>'Incremental_Cost Year 5'!BA242</f>
        <v>0</v>
      </c>
      <c r="BS38" s="49">
        <f t="shared" si="1405"/>
        <v>-582000</v>
      </c>
      <c r="BT38" s="92"/>
      <c r="BU38" s="49">
        <f>'Incremental_Cost Year 6'!AQ242</f>
        <v>18847.05</v>
      </c>
      <c r="BV38" s="49">
        <f>'Incremental_Cost Year 6'!AR242</f>
        <v>582000</v>
      </c>
      <c r="BW38" s="49">
        <f>'Incremental_Cost Year 6'!AS242</f>
        <v>0</v>
      </c>
      <c r="BX38" s="49">
        <f>'Incremental_Cost Year 6'!AT242</f>
        <v>600847.05000000005</v>
      </c>
      <c r="BY38" s="49">
        <f>'Incremental_Cost Year 6'!AU242</f>
        <v>18847.05</v>
      </c>
      <c r="BZ38" s="49">
        <f>'Incremental_Cost Year 6'!AV242</f>
        <v>0</v>
      </c>
      <c r="CA38" s="49">
        <f>'Incremental_Cost Year 6'!AW242</f>
        <v>0</v>
      </c>
      <c r="CB38" s="49">
        <f>'Incremental_Cost Year 6'!AX242</f>
        <v>0</v>
      </c>
      <c r="CC38" s="49">
        <f>'Incremental_Cost Year 6'!AY242</f>
        <v>0</v>
      </c>
      <c r="CD38" s="49">
        <f>'Incremental_Cost Year 6'!AZ242</f>
        <v>0</v>
      </c>
      <c r="CE38" s="49">
        <f>'Incremental_Cost Year 6'!BA242</f>
        <v>0</v>
      </c>
      <c r="CF38" s="49">
        <f t="shared" si="1406"/>
        <v>-582000</v>
      </c>
      <c r="CG38" s="92"/>
      <c r="CH38" s="49"/>
      <c r="CI38" s="49"/>
      <c r="CJ38" s="49"/>
      <c r="CK38" s="49"/>
      <c r="CL38" s="49"/>
      <c r="CM38" s="49"/>
      <c r="CN38" s="49"/>
      <c r="CO38" s="49"/>
      <c r="CP38" s="49"/>
      <c r="CQ38" s="49"/>
      <c r="CR38" s="49"/>
      <c r="CS38" s="49"/>
      <c r="CT38" s="92"/>
      <c r="CU38" s="49"/>
      <c r="CV38" s="49"/>
      <c r="CW38" s="49"/>
      <c r="CX38" s="49"/>
      <c r="CY38" s="49"/>
      <c r="CZ38" s="49"/>
      <c r="DA38" s="49"/>
      <c r="DB38" s="49"/>
      <c r="DC38" s="49"/>
      <c r="DD38" s="49"/>
      <c r="DE38" s="49"/>
      <c r="DF38" s="49">
        <f t="shared" ref="DF38" si="1421">SUM(CY38:DE38)-CX38</f>
        <v>0</v>
      </c>
      <c r="DG38" s="92"/>
      <c r="DH38" s="49"/>
      <c r="DI38" s="49"/>
      <c r="DJ38" s="49"/>
      <c r="DK38" s="49"/>
      <c r="DL38" s="49"/>
      <c r="DM38" s="49"/>
      <c r="DN38" s="49"/>
      <c r="DO38" s="49"/>
      <c r="DP38" s="49"/>
      <c r="DQ38" s="49"/>
      <c r="DR38" s="49"/>
      <c r="DS38" s="49">
        <f t="shared" ref="DS38" si="1422">SUM(DL38:DR38)-DK38</f>
        <v>0</v>
      </c>
      <c r="DT38" s="92"/>
      <c r="DU38" s="49"/>
      <c r="DV38" s="49"/>
      <c r="DW38" s="49"/>
      <c r="DX38" s="49"/>
      <c r="DY38" s="49"/>
      <c r="DZ38" s="49"/>
      <c r="EA38" s="49"/>
      <c r="EB38" s="49"/>
      <c r="EC38" s="49"/>
      <c r="ED38" s="49"/>
      <c r="EE38" s="49"/>
      <c r="EF38" s="49">
        <f t="shared" ref="EF38" si="1423">SUM(DY38:EE38)-DX38</f>
        <v>0</v>
      </c>
      <c r="EG38" s="92"/>
      <c r="EH38" s="49">
        <f>H38+U38+AH38+AU38+BH38+BU38+CH38+CU38+DH38+DU38</f>
        <v>565411.50000000012</v>
      </c>
      <c r="EI38" s="49">
        <f t="shared" ref="EI38" si="1424">I38+V38+AI38+AV38+BI38+BV38+CI38+CV38+DI38+DV38</f>
        <v>3387600</v>
      </c>
      <c r="EJ38" s="49">
        <f t="shared" ref="EJ38" si="1425">J38+W38+AJ38+AW38+BJ38+BW38+CJ38+CW38+DJ38+DW38</f>
        <v>0</v>
      </c>
      <c r="EK38" s="49">
        <f t="shared" ref="EK38" si="1426">K38+X38+AK38+AX38+BK38+BX38+CK38+CX38+DK38+DX38</f>
        <v>3953011.5</v>
      </c>
      <c r="EL38" s="49">
        <f t="shared" ref="EL38" si="1427">L38+Y38+AL38+AY38+BL38+BY38+CL38+CY38+DL38+DY38</f>
        <v>421835.09999999992</v>
      </c>
      <c r="EM38" s="49">
        <f t="shared" ref="EM38" si="1428">M38+Z38+AM38+AZ38+BM38+BZ38+CM38+CZ38+DM38+DZ38</f>
        <v>0</v>
      </c>
      <c r="EN38" s="49">
        <f t="shared" ref="EN38" si="1429">N38+AA38+AN38+BA38+BN38+CA38+CN38+DA38+DN38+EA38</f>
        <v>0</v>
      </c>
      <c r="EO38" s="49">
        <f t="shared" ref="EO38" si="1430">O38+AB38+AO38+BB38+BO38+CB38+CO38+DB38+DO38+EB38</f>
        <v>0</v>
      </c>
      <c r="EP38" s="49">
        <f t="shared" ref="EP38" si="1431">P38+AC38+AP38+BC38+BP38+CC38+CP38+DC38+DP38+EC38</f>
        <v>0</v>
      </c>
      <c r="EQ38" s="49">
        <f t="shared" ref="EQ38" si="1432">Q38+AD38+AQ38+BD38+BQ38+CD38+CQ38+DD38+DQ38+ED38</f>
        <v>0</v>
      </c>
      <c r="ER38" s="49">
        <f t="shared" ref="ER38" si="1433">R38+AE38+AR38+BE38+BR38+CE38+CR38+DE38+DR38+EE38</f>
        <v>0</v>
      </c>
      <c r="ES38" s="49">
        <f t="shared" ref="ES38" si="1434">S38+AF38+AS38+BF38+BS38+CF38+CS38+DF38+DS38+EF38</f>
        <v>-3531176.4000000004</v>
      </c>
    </row>
    <row r="40" spans="1:149">
      <c r="EH40" s="284">
        <f>EH6+EH12+EH20+EH34</f>
        <v>393127504.22785717</v>
      </c>
      <c r="EI40" s="284">
        <f t="shared" ref="EI40:ES40" si="1435">EI6+EI12+EI20+EI34</f>
        <v>1168501802.5232</v>
      </c>
      <c r="EJ40" s="284">
        <f t="shared" si="1435"/>
        <v>65784600</v>
      </c>
      <c r="EK40" s="284">
        <f t="shared" si="1435"/>
        <v>1627413906.7510571</v>
      </c>
      <c r="EL40" s="284">
        <f t="shared" si="1435"/>
        <v>943858063.28285694</v>
      </c>
      <c r="EM40" s="284">
        <f t="shared" si="1435"/>
        <v>0</v>
      </c>
      <c r="EN40" s="284">
        <f t="shared" si="1435"/>
        <v>122250.69</v>
      </c>
      <c r="EO40" s="284">
        <f t="shared" si="1435"/>
        <v>98682357.590000004</v>
      </c>
      <c r="EP40" s="284">
        <f t="shared" si="1435"/>
        <v>0</v>
      </c>
      <c r="EQ40" s="284">
        <f t="shared" si="1435"/>
        <v>238069127.44999999</v>
      </c>
      <c r="ER40" s="284">
        <f t="shared" si="1435"/>
        <v>38597561</v>
      </c>
      <c r="ES40" s="284">
        <f t="shared" si="1435"/>
        <v>-308084546.73820001</v>
      </c>
    </row>
    <row r="42" spans="1:149">
      <c r="EK42" s="203"/>
    </row>
    <row r="43" spans="1:149">
      <c r="EK43" s="203"/>
    </row>
    <row r="44" spans="1:149">
      <c r="EK44" s="203"/>
    </row>
  </sheetData>
  <mergeCells count="27">
    <mergeCell ref="B3:E3"/>
    <mergeCell ref="B4:E4"/>
    <mergeCell ref="B6:E6"/>
    <mergeCell ref="C7:E7"/>
    <mergeCell ref="EH2:ES2"/>
    <mergeCell ref="H2:S2"/>
    <mergeCell ref="U2:AF2"/>
    <mergeCell ref="AH2:AS2"/>
    <mergeCell ref="AU2:BF2"/>
    <mergeCell ref="BH2:BS2"/>
    <mergeCell ref="BU2:CF2"/>
    <mergeCell ref="CH2:CS2"/>
    <mergeCell ref="CU2:DF2"/>
    <mergeCell ref="DH2:DS2"/>
    <mergeCell ref="DU2:EF2"/>
    <mergeCell ref="C18:E18"/>
    <mergeCell ref="C15:E15"/>
    <mergeCell ref="C16:C17"/>
    <mergeCell ref="B12:E12"/>
    <mergeCell ref="C13:E13"/>
    <mergeCell ref="C30:E30"/>
    <mergeCell ref="C32:E32"/>
    <mergeCell ref="B34:E34"/>
    <mergeCell ref="C35:E35"/>
    <mergeCell ref="B20:E20"/>
    <mergeCell ref="C21:E21"/>
    <mergeCell ref="C27:E2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BB242"/>
  <sheetViews>
    <sheetView topLeftCell="C1" zoomScale="80" zoomScaleNormal="80" workbookViewId="0">
      <selection activeCell="AO1" sqref="AO1:AO1048576"/>
    </sheetView>
  </sheetViews>
  <sheetFormatPr defaultColWidth="8.88671875" defaultRowHeight="13.8" outlineLevelRow="2" outlineLevelCol="2"/>
  <cols>
    <col min="1" max="1" width="4.109375" style="2" bestFit="1" customWidth="1"/>
    <col min="2" max="2" width="2.44140625" style="2" customWidth="1"/>
    <col min="3" max="3" width="2.44140625" style="18" customWidth="1"/>
    <col min="4" max="4" width="17" style="18" customWidth="1"/>
    <col min="5" max="5" width="56" style="124" bestFit="1" customWidth="1" outlineLevel="1"/>
    <col min="6" max="6" width="9.5546875" style="18" bestFit="1" customWidth="1" outlineLevel="1"/>
    <col min="7" max="7" width="11.6640625" style="18"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9" style="5" customWidth="1" outlineLevel="2"/>
    <col min="37" max="37" width="13.33203125" style="5" customWidth="1" outlineLevel="2"/>
    <col min="38" max="38" width="11.44140625" style="5"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6" width="14.88671875" style="5" customWidth="1"/>
    <col min="47" max="53" width="15" style="4"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 r="A2" s="98" t="s">
        <v>58</v>
      </c>
      <c r="B2" s="329" t="s">
        <v>124</v>
      </c>
      <c r="C2" s="330"/>
      <c r="D2" s="330"/>
      <c r="E2" s="331"/>
      <c r="F2" s="97" t="s">
        <v>141</v>
      </c>
      <c r="G2" s="97"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126</v>
      </c>
      <c r="AR2" s="327"/>
      <c r="AS2" s="327"/>
      <c r="AT2" s="327"/>
      <c r="AU2" s="327"/>
      <c r="AV2" s="327"/>
      <c r="AW2" s="327"/>
      <c r="AX2" s="327"/>
      <c r="AY2" s="327"/>
      <c r="AZ2" s="327"/>
      <c r="BA2" s="327"/>
      <c r="BB2" s="328"/>
    </row>
    <row r="3" spans="1:54" s="10" customFormat="1" ht="69">
      <c r="A3" s="6" t="s">
        <v>59</v>
      </c>
      <c r="B3" s="329" t="s">
        <v>125</v>
      </c>
      <c r="C3" s="330"/>
      <c r="D3" s="330"/>
      <c r="E3" s="331"/>
      <c r="F3" s="97" t="s">
        <v>143</v>
      </c>
      <c r="G3" s="97"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30"/>
      <c r="F4" s="30" t="s">
        <v>139</v>
      </c>
      <c r="G4" s="30"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38"/>
      <c r="G5" s="38"/>
      <c r="H5" s="241" t="s">
        <v>61</v>
      </c>
      <c r="I5" s="40"/>
      <c r="J5" s="40"/>
      <c r="K5" s="40"/>
      <c r="L5" s="41">
        <f>SUM(L6)</f>
        <v>1245950</v>
      </c>
      <c r="M5" s="41">
        <f>SUM(M6)</f>
        <v>208073.64999999997</v>
      </c>
      <c r="N5" s="40"/>
      <c r="O5" s="40"/>
      <c r="P5" s="40"/>
      <c r="Q5" s="40"/>
      <c r="R5" s="41">
        <f t="shared" ref="R5:U5" si="0">SUM(R6)</f>
        <v>894000</v>
      </c>
      <c r="S5" s="41">
        <f t="shared" si="0"/>
        <v>1723500</v>
      </c>
      <c r="T5" s="41">
        <f t="shared" si="0"/>
        <v>0</v>
      </c>
      <c r="U5" s="41">
        <f t="shared" si="0"/>
        <v>1400000</v>
      </c>
      <c r="V5" s="40"/>
      <c r="W5" s="40"/>
      <c r="X5" s="40"/>
      <c r="Y5" s="41">
        <f t="shared" ref="Y5:AF5" si="1">SUM(Y6)</f>
        <v>0</v>
      </c>
      <c r="Z5" s="41">
        <f t="shared" si="1"/>
        <v>0</v>
      </c>
      <c r="AA5" s="41">
        <f t="shared" si="1"/>
        <v>0</v>
      </c>
      <c r="AB5" s="41">
        <f t="shared" si="1"/>
        <v>1121000</v>
      </c>
      <c r="AC5" s="41">
        <f t="shared" si="1"/>
        <v>1100241.3999999999</v>
      </c>
      <c r="AD5" s="41">
        <f t="shared" si="1"/>
        <v>0</v>
      </c>
      <c r="AE5" s="41">
        <f t="shared" si="1"/>
        <v>1247748.28</v>
      </c>
      <c r="AF5" s="41">
        <f t="shared" si="1"/>
        <v>7486489.6799999997</v>
      </c>
      <c r="AG5" s="40"/>
      <c r="AH5" s="40"/>
      <c r="AI5" s="40"/>
      <c r="AJ5" s="41">
        <f t="shared" ref="AJ5:AN5" si="2">SUM(AJ6)</f>
        <v>0</v>
      </c>
      <c r="AK5" s="41">
        <f t="shared" si="2"/>
        <v>0</v>
      </c>
      <c r="AL5" s="41">
        <f t="shared" si="2"/>
        <v>0</v>
      </c>
      <c r="AM5" s="41">
        <f t="shared" si="2"/>
        <v>0</v>
      </c>
      <c r="AN5" s="41">
        <f t="shared" si="2"/>
        <v>0</v>
      </c>
      <c r="AO5" s="129"/>
      <c r="AQ5" s="41">
        <f t="shared" ref="AQ5:BB5" si="3">SUM(AQ6)</f>
        <v>1454023.6500000001</v>
      </c>
      <c r="AR5" s="41">
        <f t="shared" si="3"/>
        <v>7486489.6799999997</v>
      </c>
      <c r="AS5" s="41">
        <f t="shared" si="3"/>
        <v>0</v>
      </c>
      <c r="AT5" s="41">
        <f t="shared" si="3"/>
        <v>8940513.3300000001</v>
      </c>
      <c r="AU5" s="41">
        <f t="shared" si="3"/>
        <v>1624454.68</v>
      </c>
      <c r="AV5" s="41">
        <f t="shared" si="3"/>
        <v>0</v>
      </c>
      <c r="AW5" s="41">
        <f t="shared" si="3"/>
        <v>0</v>
      </c>
      <c r="AX5" s="41">
        <f t="shared" si="3"/>
        <v>2421000</v>
      </c>
      <c r="AY5" s="41">
        <f t="shared" si="3"/>
        <v>0</v>
      </c>
      <c r="AZ5" s="41">
        <f t="shared" si="3"/>
        <v>4384800</v>
      </c>
      <c r="BA5" s="41">
        <f t="shared" si="3"/>
        <v>41253</v>
      </c>
      <c r="BB5" s="41">
        <f t="shared" si="3"/>
        <v>-469005.64999999979</v>
      </c>
    </row>
    <row r="6" spans="1:54" s="13" customFormat="1">
      <c r="A6" s="101"/>
      <c r="B6" s="27"/>
      <c r="C6" s="324" t="s">
        <v>204</v>
      </c>
      <c r="D6" s="324"/>
      <c r="E6" s="325"/>
      <c r="F6" s="48"/>
      <c r="G6" s="142"/>
      <c r="H6" s="239" t="s">
        <v>62</v>
      </c>
      <c r="I6" s="37"/>
      <c r="J6" s="37"/>
      <c r="K6" s="37"/>
      <c r="L6" s="42">
        <f>SUM(L15+L17+L25+L30)</f>
        <v>1245950</v>
      </c>
      <c r="M6" s="42">
        <f>SUM(M15+M17+M25+M30)</f>
        <v>208073.64999999997</v>
      </c>
      <c r="N6" s="42"/>
      <c r="O6" s="43"/>
      <c r="P6" s="43"/>
      <c r="Q6" s="43"/>
      <c r="R6" s="42">
        <f t="shared" ref="R6:U6" si="4">SUM(R15+R17+R25+R30)</f>
        <v>894000</v>
      </c>
      <c r="S6" s="42">
        <f t="shared" si="4"/>
        <v>1723500</v>
      </c>
      <c r="T6" s="42">
        <f t="shared" si="4"/>
        <v>0</v>
      </c>
      <c r="U6" s="42">
        <f t="shared" si="4"/>
        <v>1400000</v>
      </c>
      <c r="V6" s="42"/>
      <c r="W6" s="43"/>
      <c r="X6" s="43"/>
      <c r="Y6" s="42">
        <f t="shared" ref="Y6:AF6" si="5">SUM(Y15+Y17+Y25+Y30)</f>
        <v>0</v>
      </c>
      <c r="Z6" s="42">
        <f t="shared" si="5"/>
        <v>0</v>
      </c>
      <c r="AA6" s="42">
        <f t="shared" si="5"/>
        <v>0</v>
      </c>
      <c r="AB6" s="42">
        <f t="shared" si="5"/>
        <v>1121000</v>
      </c>
      <c r="AC6" s="42">
        <f t="shared" si="5"/>
        <v>1100241.3999999999</v>
      </c>
      <c r="AD6" s="42">
        <f t="shared" si="5"/>
        <v>0</v>
      </c>
      <c r="AE6" s="42">
        <f t="shared" si="5"/>
        <v>1247748.28</v>
      </c>
      <c r="AF6" s="42">
        <f t="shared" si="5"/>
        <v>7486489.6799999997</v>
      </c>
      <c r="AG6" s="43"/>
      <c r="AH6" s="43"/>
      <c r="AI6" s="43"/>
      <c r="AJ6" s="42">
        <f t="shared" ref="AJ6:AN6" si="6">SUM(AJ15+AJ17+AJ25+AJ30)</f>
        <v>0</v>
      </c>
      <c r="AK6" s="42">
        <f t="shared" si="6"/>
        <v>0</v>
      </c>
      <c r="AL6" s="42">
        <f t="shared" si="6"/>
        <v>0</v>
      </c>
      <c r="AM6" s="42">
        <f t="shared" si="6"/>
        <v>0</v>
      </c>
      <c r="AN6" s="42">
        <f t="shared" si="6"/>
        <v>0</v>
      </c>
      <c r="AO6" s="130"/>
      <c r="AQ6" s="42">
        <f t="shared" ref="AQ6:BB6" si="7">SUM(AQ15+AQ17+AQ25+AQ30)</f>
        <v>1454023.6500000001</v>
      </c>
      <c r="AR6" s="42">
        <f t="shared" si="7"/>
        <v>7486489.6799999997</v>
      </c>
      <c r="AS6" s="42">
        <f t="shared" si="7"/>
        <v>0</v>
      </c>
      <c r="AT6" s="42">
        <f t="shared" si="7"/>
        <v>8940513.3300000001</v>
      </c>
      <c r="AU6" s="42">
        <f t="shared" si="7"/>
        <v>1624454.68</v>
      </c>
      <c r="AV6" s="42">
        <f t="shared" si="7"/>
        <v>0</v>
      </c>
      <c r="AW6" s="42">
        <f t="shared" si="7"/>
        <v>0</v>
      </c>
      <c r="AX6" s="42">
        <f t="shared" si="7"/>
        <v>2421000</v>
      </c>
      <c r="AY6" s="42">
        <f t="shared" si="7"/>
        <v>0</v>
      </c>
      <c r="AZ6" s="42">
        <f t="shared" si="7"/>
        <v>4384800</v>
      </c>
      <c r="BA6" s="42">
        <f t="shared" si="7"/>
        <v>41253</v>
      </c>
      <c r="BB6" s="42">
        <f t="shared" si="7"/>
        <v>-469005.64999999979</v>
      </c>
    </row>
    <row r="7" spans="1:54" ht="93.6" outlineLevel="2">
      <c r="A7" s="98"/>
      <c r="B7" s="102"/>
      <c r="C7" s="23"/>
      <c r="D7" s="103"/>
      <c r="E7" s="123"/>
      <c r="F7" s="120"/>
      <c r="G7" s="54"/>
      <c r="H7" s="302" t="s">
        <v>659</v>
      </c>
      <c r="I7" s="178" t="s">
        <v>2</v>
      </c>
      <c r="J7" s="179">
        <v>0.25</v>
      </c>
      <c r="K7" s="179">
        <v>4</v>
      </c>
      <c r="L7" s="106">
        <f>IF(I7&lt;&gt;0,((VLOOKUP(I7,'1. Standard_Cost'!$B$4:$D$11,2)+VLOOKUP(I7,'1. Standard_Cost'!$B$4:$D$11,3))*J7*K7),"0")</f>
        <v>121000</v>
      </c>
      <c r="M7" s="106">
        <f>L7*'1. Standard_Cost'!$F$4</f>
        <v>20207</v>
      </c>
      <c r="N7" s="180"/>
      <c r="O7" s="180"/>
      <c r="P7" s="180"/>
      <c r="Q7" s="180"/>
      <c r="R7" s="108">
        <f>'1. Standard_Cost'!$B$15*N7*P7</f>
        <v>0</v>
      </c>
      <c r="S7" s="108">
        <f>N7*O7*P7*'1. Standard_Cost'!$C$15</f>
        <v>0</v>
      </c>
      <c r="T7" s="108">
        <f>N7*P7*Q7*'1. Standard_Cost'!$D$15</f>
        <v>0</v>
      </c>
      <c r="U7" s="108">
        <f>N7*O7*'1. Standard_Cost'!$E$15</f>
        <v>0</v>
      </c>
      <c r="V7" s="107"/>
      <c r="W7" s="107"/>
      <c r="X7" s="107"/>
      <c r="Y7" s="108">
        <f>+V7*((X7*'1. Standard_Cost'!$B$19)+(W7*X7*'1. Standard_Cost'!$C$19))</f>
        <v>0</v>
      </c>
      <c r="Z7" s="181"/>
      <c r="AA7" s="181">
        <v>2</v>
      </c>
      <c r="AB7" s="108">
        <f>+Z7*'1. Standard_Cost'!$B$23+AA7*'1. Standard_Cost'!$C$23</f>
        <v>38000</v>
      </c>
      <c r="AC7" s="182">
        <v>28241.4</v>
      </c>
      <c r="AD7" s="183"/>
      <c r="AE7" s="108">
        <f>SUM(AD7,AC7,AB7,Y7,U7,T7,S7,R7)*'1. Standard_Cost'!$B$31</f>
        <v>13248.279999999999</v>
      </c>
      <c r="AF7" s="108">
        <f>SUM(AE7,AD7,AC7,AB7,Y7,U7,T7,S7,R7)</f>
        <v>79489.679999999993</v>
      </c>
      <c r="AG7" s="107"/>
      <c r="AH7" s="107"/>
      <c r="AI7" s="107"/>
      <c r="AJ7" s="111"/>
      <c r="AK7" s="111"/>
      <c r="AL7" s="111"/>
      <c r="AM7" s="108">
        <f>AG7*'1. Standard_Cost'!$B$27+'Incremental_Cost Year 1'!AH7*'1. Standard_Cost'!$C$27+'Incremental_Cost Year 1'!AI7*'1. Standard_Cost'!$D$27+'Incremental_Cost Year 1'!AJ7+'Incremental_Cost Year 1'!AL7+AK7</f>
        <v>0</v>
      </c>
      <c r="AN7" s="108">
        <f>AM7*'1. Standard_Cost'!$C$31</f>
        <v>0</v>
      </c>
      <c r="AO7" s="134" t="s">
        <v>270</v>
      </c>
      <c r="AQ7" s="14">
        <f>L7+M7</f>
        <v>141207</v>
      </c>
      <c r="AR7" s="14">
        <f>AF7</f>
        <v>79489.679999999993</v>
      </c>
      <c r="AS7" s="14">
        <f>AM7+AN7</f>
        <v>0</v>
      </c>
      <c r="AT7" s="14">
        <f>SUM(AQ7,AR7,AS7)</f>
        <v>220696.68</v>
      </c>
      <c r="AU7" s="184">
        <v>175096.68</v>
      </c>
      <c r="AV7" s="184"/>
      <c r="AW7" s="184"/>
      <c r="AX7" s="184"/>
      <c r="AY7" s="184"/>
      <c r="AZ7" s="184">
        <v>45600</v>
      </c>
      <c r="BA7" s="184"/>
      <c r="BB7" s="16">
        <f>SUM(AU7:BA7)-AT7</f>
        <v>0</v>
      </c>
    </row>
    <row r="8" spans="1:54" ht="13.5" customHeight="1" outlineLevel="2">
      <c r="A8" s="98"/>
      <c r="B8" s="102"/>
      <c r="C8" s="23"/>
      <c r="D8" s="119"/>
      <c r="E8" s="121"/>
      <c r="F8" s="120"/>
      <c r="G8" s="54"/>
      <c r="H8" s="302" t="s">
        <v>580</v>
      </c>
      <c r="I8" s="178"/>
      <c r="J8" s="179"/>
      <c r="K8" s="179"/>
      <c r="L8" s="106" t="str">
        <f>IF(I8&lt;&gt;0,((VLOOKUP(I8,'1. Standard_Cost'!$B$4:$D$11,2)+VLOOKUP(I8,'1. Standard_Cost'!$B$4:$D$11,3))*J8*K8),"0")</f>
        <v>0</v>
      </c>
      <c r="M8" s="106">
        <f>L8*'1. Standard_Cost'!$F$4</f>
        <v>0</v>
      </c>
      <c r="N8" s="180"/>
      <c r="O8" s="180"/>
      <c r="P8" s="180"/>
      <c r="Q8" s="180"/>
      <c r="R8" s="108">
        <f>'1. Standard_Cost'!$B$15*N8*P8</f>
        <v>0</v>
      </c>
      <c r="S8" s="108">
        <f>N8*O8*P8*'1. Standard_Cost'!$C$15</f>
        <v>0</v>
      </c>
      <c r="T8" s="108">
        <f>N8*P8*Q8*'1. Standard_Cost'!$D$15</f>
        <v>0</v>
      </c>
      <c r="U8" s="108">
        <f>N8*O8*'1. Standard_Cost'!$E$15</f>
        <v>0</v>
      </c>
      <c r="V8" s="107"/>
      <c r="W8" s="107"/>
      <c r="X8" s="107"/>
      <c r="Y8" s="108">
        <f>+V8*((X8*'1. Standard_Cost'!$B$19)+(W8*X8*'1. Standard_Cost'!$C$19))</f>
        <v>0</v>
      </c>
      <c r="Z8" s="181"/>
      <c r="AA8" s="181"/>
      <c r="AB8" s="108">
        <f>+Z8*'1. Standard_Cost'!$B$23+AA8*'1. Standard_Cost'!$C$23</f>
        <v>0</v>
      </c>
      <c r="AC8" s="182"/>
      <c r="AD8" s="183"/>
      <c r="AE8" s="108">
        <f>SUM(AD8,AC8,AB8,Y8,U8,T8,S8,R8)*'1. Standard_Cost'!$B$31</f>
        <v>0</v>
      </c>
      <c r="AF8" s="108">
        <f t="shared" ref="AF8:AF11" si="8">SUM(AE8,AD8,AC8,AB8,Y8,U8,T8,S8,R8)</f>
        <v>0</v>
      </c>
      <c r="AG8" s="107"/>
      <c r="AH8" s="107"/>
      <c r="AI8" s="107"/>
      <c r="AJ8" s="111"/>
      <c r="AK8" s="111"/>
      <c r="AL8" s="111"/>
      <c r="AM8" s="108">
        <f>AG8*'1. Standard_Cost'!$B$27+'Incremental_Cost Year 1'!AH8*'1. Standard_Cost'!$C$27+'Incremental_Cost Year 1'!AI8*'1. Standard_Cost'!$D$27+'Incremental_Cost Year 1'!AJ8+'Incremental_Cost Year 1'!AL8+AK8</f>
        <v>0</v>
      </c>
      <c r="AN8" s="108">
        <f>AM8*'1. Standard_Cost'!$C$31</f>
        <v>0</v>
      </c>
      <c r="AO8" s="125" t="s">
        <v>271</v>
      </c>
      <c r="AQ8" s="14">
        <f t="shared" ref="AQ8:AQ11" si="9">L8+M8</f>
        <v>0</v>
      </c>
      <c r="AR8" s="14">
        <f t="shared" ref="AR8:AR11" si="10">AF8</f>
        <v>0</v>
      </c>
      <c r="AS8" s="14">
        <f t="shared" ref="AS8:AS11" si="11">AM8+AN8</f>
        <v>0</v>
      </c>
      <c r="AT8" s="14">
        <f t="shared" ref="AT8:AT11" si="12">SUM(AQ8,AR8,AS8)</f>
        <v>0</v>
      </c>
      <c r="AU8" s="184"/>
      <c r="AV8" s="184"/>
      <c r="AW8" s="184"/>
      <c r="AX8" s="184"/>
      <c r="AY8" s="184"/>
      <c r="AZ8" s="184"/>
      <c r="BA8" s="184"/>
      <c r="BB8" s="16">
        <f t="shared" ref="BB8:BB11" si="13">SUM(AU8:BA8)-AT8</f>
        <v>0</v>
      </c>
    </row>
    <row r="9" spans="1:54" ht="93.6" outlineLevel="2">
      <c r="A9" s="98"/>
      <c r="B9" s="102"/>
      <c r="C9" s="23"/>
      <c r="D9" s="55"/>
      <c r="E9" s="54"/>
      <c r="F9" s="120"/>
      <c r="G9" s="54"/>
      <c r="H9" s="302" t="s">
        <v>660</v>
      </c>
      <c r="I9" s="178"/>
      <c r="J9" s="179"/>
      <c r="K9" s="179"/>
      <c r="L9" s="106" t="str">
        <f>IF(I9&lt;&gt;0,((VLOOKUP(I9,'1. Standard_Cost'!$B$4:$D$11,2)+VLOOKUP(I9,'1. Standard_Cost'!$B$4:$D$11,3))*J9*K9),"0")</f>
        <v>0</v>
      </c>
      <c r="M9" s="106">
        <f>L9*'1. Standard_Cost'!$F$4</f>
        <v>0</v>
      </c>
      <c r="N9" s="180">
        <v>10</v>
      </c>
      <c r="O9" s="180">
        <v>2</v>
      </c>
      <c r="P9" s="180">
        <v>15</v>
      </c>
      <c r="Q9" s="180"/>
      <c r="R9" s="108">
        <f>'1. Standard_Cost'!$B$15*N9*P9</f>
        <v>300000</v>
      </c>
      <c r="S9" s="108">
        <f>N9*O9*P9*'1. Standard_Cost'!$C$15</f>
        <v>450000</v>
      </c>
      <c r="T9" s="108">
        <f>N9*P9*Q9*'1. Standard_Cost'!$D$15</f>
        <v>0</v>
      </c>
      <c r="U9" s="108">
        <f>N9*O9*'1. Standard_Cost'!$E$15</f>
        <v>800000</v>
      </c>
      <c r="V9" s="107"/>
      <c r="W9" s="107"/>
      <c r="X9" s="107"/>
      <c r="Y9" s="108">
        <f>+V9*((X9*'1. Standard_Cost'!$B$19)+(W9*X9*'1. Standard_Cost'!$C$19))</f>
        <v>0</v>
      </c>
      <c r="Z9" s="181"/>
      <c r="AA9" s="181">
        <v>28</v>
      </c>
      <c r="AB9" s="108">
        <f>+Z9*'1. Standard_Cost'!$B$23+AA9*'1. Standard_Cost'!$C$23</f>
        <v>532000</v>
      </c>
      <c r="AC9" s="182">
        <v>5000</v>
      </c>
      <c r="AD9" s="183"/>
      <c r="AE9" s="108">
        <f>SUM(AD9,AC9,AB9,Y9,U9,T9,S9,R9)*'1. Standard_Cost'!$B$31</f>
        <v>417400</v>
      </c>
      <c r="AF9" s="108">
        <f t="shared" si="8"/>
        <v>2504400</v>
      </c>
      <c r="AG9" s="107"/>
      <c r="AH9" s="107"/>
      <c r="AI9" s="107"/>
      <c r="AJ9" s="111"/>
      <c r="AK9" s="111"/>
      <c r="AL9" s="111"/>
      <c r="AM9" s="108">
        <f>AG9*'1. Standard_Cost'!$B$27+'Incremental_Cost Year 1'!AH9*'1. Standard_Cost'!$C$27+'Incremental_Cost Year 1'!AI9*'1. Standard_Cost'!$D$27+'Incremental_Cost Year 1'!AJ9+'Incremental_Cost Year 1'!AL9+AK9</f>
        <v>0</v>
      </c>
      <c r="AN9" s="108">
        <f>AM9*'1. Standard_Cost'!$C$31</f>
        <v>0</v>
      </c>
      <c r="AO9" s="125" t="s">
        <v>272</v>
      </c>
      <c r="AQ9" s="14">
        <f t="shared" si="9"/>
        <v>0</v>
      </c>
      <c r="AR9" s="14">
        <f t="shared" si="10"/>
        <v>2504400</v>
      </c>
      <c r="AS9" s="14">
        <f t="shared" si="11"/>
        <v>0</v>
      </c>
      <c r="AT9" s="14">
        <f t="shared" si="12"/>
        <v>2504400</v>
      </c>
      <c r="AU9" s="184"/>
      <c r="AV9" s="184"/>
      <c r="AW9" s="184"/>
      <c r="AX9" s="184"/>
      <c r="AY9" s="184"/>
      <c r="AZ9" s="184">
        <v>2504400</v>
      </c>
      <c r="BA9" s="184"/>
      <c r="BB9" s="16">
        <f t="shared" si="13"/>
        <v>0</v>
      </c>
    </row>
    <row r="10" spans="1:54" ht="78" outlineLevel="2">
      <c r="A10" s="98"/>
      <c r="B10" s="102"/>
      <c r="C10" s="23"/>
      <c r="D10" s="55"/>
      <c r="E10" s="54"/>
      <c r="F10" s="120"/>
      <c r="G10" s="54"/>
      <c r="H10" s="302" t="s">
        <v>581</v>
      </c>
      <c r="I10" s="178"/>
      <c r="J10" s="179"/>
      <c r="K10" s="179"/>
      <c r="L10" s="106" t="str">
        <f>IF(I10&lt;&gt;0,((VLOOKUP(I10,'1. Standard_Cost'!$B$4:$D$11,2)+VLOOKUP(I10,'1. Standard_Cost'!$B$4:$D$11,3))*J10*K10),"0")</f>
        <v>0</v>
      </c>
      <c r="M10" s="106">
        <f>L10*'1. Standard_Cost'!$F$4</f>
        <v>0</v>
      </c>
      <c r="N10" s="180">
        <v>1</v>
      </c>
      <c r="O10" s="180">
        <v>2</v>
      </c>
      <c r="P10" s="180">
        <v>10</v>
      </c>
      <c r="Q10" s="180"/>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181"/>
      <c r="AA10" s="181">
        <v>10</v>
      </c>
      <c r="AB10" s="108">
        <f>+Z10*'1. Standard_Cost'!$B$23+AA10*'1. Standard_Cost'!$C$23</f>
        <v>190000</v>
      </c>
      <c r="AC10" s="182">
        <v>5000</v>
      </c>
      <c r="AD10" s="183"/>
      <c r="AE10" s="108">
        <f>SUM(AD10,AC10,AB10,Y10,U10,T10,S10,R10)*'1. Standard_Cost'!$B$31</f>
        <v>65000</v>
      </c>
      <c r="AF10" s="108">
        <f t="shared" si="8"/>
        <v>390000</v>
      </c>
      <c r="AG10" s="107"/>
      <c r="AH10" s="107"/>
      <c r="AI10" s="107"/>
      <c r="AJ10" s="111"/>
      <c r="AK10" s="111"/>
      <c r="AL10" s="111"/>
      <c r="AM10" s="108">
        <f>AG10*'1. Standard_Cost'!$B$27+'Incremental_Cost Year 1'!AH10*'1. Standard_Cost'!$C$27+'Incremental_Cost Year 1'!AI10*'1. Standard_Cost'!$D$27+'Incremental_Cost Year 1'!AJ10+'Incremental_Cost Year 1'!AL10+AK10</f>
        <v>0</v>
      </c>
      <c r="AN10" s="108">
        <f>AM10*'1. Standard_Cost'!$C$31</f>
        <v>0</v>
      </c>
      <c r="AO10" s="134" t="s">
        <v>273</v>
      </c>
      <c r="AQ10" s="14">
        <f t="shared" si="9"/>
        <v>0</v>
      </c>
      <c r="AR10" s="14">
        <f t="shared" si="10"/>
        <v>390000</v>
      </c>
      <c r="AS10" s="14">
        <f t="shared" si="11"/>
        <v>0</v>
      </c>
      <c r="AT10" s="14">
        <f t="shared" si="12"/>
        <v>390000</v>
      </c>
      <c r="AU10" s="184"/>
      <c r="AV10" s="184"/>
      <c r="AW10" s="184"/>
      <c r="AX10" s="184"/>
      <c r="AY10" s="184"/>
      <c r="AZ10" s="184"/>
      <c r="BA10" s="184"/>
      <c r="BB10" s="16">
        <f t="shared" si="13"/>
        <v>-390000</v>
      </c>
    </row>
    <row r="11" spans="1:54" ht="124.8" outlineLevel="2">
      <c r="A11" s="98"/>
      <c r="B11" s="102"/>
      <c r="C11" s="23"/>
      <c r="D11" s="55"/>
      <c r="E11" s="54"/>
      <c r="F11" s="120"/>
      <c r="G11" s="54"/>
      <c r="H11" s="302" t="s">
        <v>661</v>
      </c>
      <c r="I11" s="178" t="s">
        <v>3</v>
      </c>
      <c r="J11" s="179">
        <v>1</v>
      </c>
      <c r="K11" s="179">
        <v>3</v>
      </c>
      <c r="L11" s="106">
        <f>IF(I11&lt;&gt;0,((VLOOKUP(I11,'1. Standard_Cost'!$B$4:$D$11,2)+VLOOKUP(I11,'1. Standard_Cost'!$B$4:$D$11,3))*J11*K11),"0")</f>
        <v>302400</v>
      </c>
      <c r="M11" s="106">
        <f>L11*'1. Standard_Cost'!$F$4</f>
        <v>50500.800000000003</v>
      </c>
      <c r="N11" s="180"/>
      <c r="O11" s="180"/>
      <c r="P11" s="180"/>
      <c r="Q11" s="180"/>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181"/>
      <c r="AA11" s="181"/>
      <c r="AB11" s="108">
        <f>+Z11*'1. Standard_Cost'!$B$23+AA11*'1. Standard_Cost'!$C$23</f>
        <v>0</v>
      </c>
      <c r="AC11" s="182"/>
      <c r="AD11" s="183"/>
      <c r="AE11" s="108">
        <f>SUM(AD11,AC11,AB11,Y11,U11,T11,S11,R11)*'1. Standard_Cost'!$B$31</f>
        <v>0</v>
      </c>
      <c r="AF11" s="108">
        <f t="shared" si="8"/>
        <v>0</v>
      </c>
      <c r="AG11" s="107"/>
      <c r="AH11" s="107"/>
      <c r="AI11" s="107"/>
      <c r="AJ11" s="111"/>
      <c r="AK11" s="111"/>
      <c r="AL11" s="111"/>
      <c r="AM11" s="108">
        <f>AG11*'1. Standard_Cost'!$B$27+'Incremental_Cost Year 1'!AH11*'1. Standard_Cost'!$C$27+'Incremental_Cost Year 1'!AI11*'1. Standard_Cost'!$D$27+'Incremental_Cost Year 1'!AJ11+'Incremental_Cost Year 1'!AL11+AK11</f>
        <v>0</v>
      </c>
      <c r="AN11" s="108">
        <f>AM11*'1. Standard_Cost'!$C$31</f>
        <v>0</v>
      </c>
      <c r="AO11" s="134" t="s">
        <v>275</v>
      </c>
      <c r="AQ11" s="14">
        <f t="shared" si="9"/>
        <v>352900.8</v>
      </c>
      <c r="AR11" s="14">
        <f t="shared" si="10"/>
        <v>0</v>
      </c>
      <c r="AS11" s="14">
        <f t="shared" si="11"/>
        <v>0</v>
      </c>
      <c r="AT11" s="14">
        <f t="shared" si="12"/>
        <v>352900.8</v>
      </c>
      <c r="AU11" s="184">
        <v>352901</v>
      </c>
      <c r="AV11" s="184"/>
      <c r="AW11" s="184"/>
      <c r="AX11" s="184"/>
      <c r="AY11" s="184"/>
      <c r="AZ11" s="184"/>
      <c r="BA11" s="184"/>
      <c r="BB11" s="16">
        <f t="shared" si="13"/>
        <v>0.20000000001164153</v>
      </c>
    </row>
    <row r="12" spans="1:54" ht="46.8" outlineLevel="2">
      <c r="A12" s="98"/>
      <c r="B12" s="102"/>
      <c r="C12" s="23"/>
      <c r="D12" s="55"/>
      <c r="E12" s="54"/>
      <c r="F12" s="120"/>
      <c r="G12" s="54"/>
      <c r="H12" s="302" t="s">
        <v>662</v>
      </c>
      <c r="I12" s="258"/>
      <c r="J12" s="259"/>
      <c r="K12" s="259"/>
      <c r="L12" s="106" t="str">
        <f>IF(I12&lt;&gt;0,((VLOOKUP(I12,'1. Standard_Cost'!$B$4:$D$11,2)+VLOOKUP(I12,'1. Standard_Cost'!$B$4:$D$11,3))*J12*K12),"0")</f>
        <v>0</v>
      </c>
      <c r="M12" s="106">
        <f>L12*'1. Standard_Cost'!$F$4</f>
        <v>0</v>
      </c>
      <c r="N12" s="260"/>
      <c r="O12" s="260"/>
      <c r="P12" s="260"/>
      <c r="Q12" s="260"/>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260"/>
      <c r="AA12" s="260"/>
      <c r="AB12" s="108">
        <f>+Z12*'1. Standard_Cost'!$B$23+AA12*'1. Standard_Cost'!$C$23</f>
        <v>0</v>
      </c>
      <c r="AC12" s="261"/>
      <c r="AD12" s="262"/>
      <c r="AE12" s="108">
        <f>SUM(AD12,AC12,AB12,Y12,U12,T12,S12,R12)*'1. Standard_Cost'!$B$31</f>
        <v>0</v>
      </c>
      <c r="AF12" s="108">
        <f t="shared" ref="AF12:AF13" si="14">SUM(AE12,AD12,AC12,AB12,Y12,U12,T12,S12,R12)</f>
        <v>0</v>
      </c>
      <c r="AG12" s="107"/>
      <c r="AH12" s="107"/>
      <c r="AI12" s="107"/>
      <c r="AJ12" s="111"/>
      <c r="AK12" s="111"/>
      <c r="AL12" s="111"/>
      <c r="AM12" s="108">
        <f>AG12*'1. Standard_Cost'!$B$27+'Incremental_Cost Year 1'!AH12*'1. Standard_Cost'!$C$27+'Incremental_Cost Year 1'!AI12*'1. Standard_Cost'!$D$27+'Incremental_Cost Year 1'!AJ12+'Incremental_Cost Year 1'!AL12+AK12</f>
        <v>0</v>
      </c>
      <c r="AN12" s="108">
        <f>AM12*'1. Standard_Cost'!$C$31</f>
        <v>0</v>
      </c>
      <c r="AO12" s="134" t="s">
        <v>274</v>
      </c>
      <c r="AQ12" s="14">
        <f t="shared" ref="AQ12:AQ13" si="15">L12+M12</f>
        <v>0</v>
      </c>
      <c r="AR12" s="14">
        <f t="shared" ref="AR12:AR13" si="16">AF12</f>
        <v>0</v>
      </c>
      <c r="AS12" s="14">
        <f t="shared" ref="AS12:AS13" si="17">AM12+AN12</f>
        <v>0</v>
      </c>
      <c r="AT12" s="14">
        <f t="shared" ref="AT12:AT13" si="18">SUM(AQ12,AR12,AS12)</f>
        <v>0</v>
      </c>
      <c r="AU12" s="234"/>
      <c r="AV12" s="234"/>
      <c r="AW12" s="234"/>
      <c r="AX12" s="234"/>
      <c r="AY12" s="234"/>
      <c r="AZ12" s="234"/>
      <c r="BA12" s="234"/>
      <c r="BB12" s="16">
        <f t="shared" ref="BB12:BB13" si="19">SUM(AU12:BA12)-AT12</f>
        <v>0</v>
      </c>
    </row>
    <row r="13" spans="1:54" ht="62.4" outlineLevel="2">
      <c r="A13" s="98"/>
      <c r="B13" s="102"/>
      <c r="C13" s="23"/>
      <c r="D13" s="55"/>
      <c r="E13" s="54"/>
      <c r="F13" s="120"/>
      <c r="G13" s="54"/>
      <c r="H13" s="302" t="s">
        <v>663</v>
      </c>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14"/>
        <v>0</v>
      </c>
      <c r="AG13" s="107"/>
      <c r="AH13" s="107"/>
      <c r="AI13" s="107"/>
      <c r="AJ13" s="111"/>
      <c r="AK13" s="111"/>
      <c r="AL13" s="111"/>
      <c r="AM13" s="108">
        <f>AG13*'1. Standard_Cost'!$B$27+'Incremental_Cost Year 1'!AH13*'1. Standard_Cost'!$C$27+'Incremental_Cost Year 1'!AI13*'1. Standard_Cost'!$D$27+'Incremental_Cost Year 1'!AJ13+'Incremental_Cost Year 1'!AL13+AK13</f>
        <v>0</v>
      </c>
      <c r="AN13" s="108">
        <f>AM13*'1. Standard_Cost'!$C$31</f>
        <v>0</v>
      </c>
      <c r="AO13" s="134"/>
      <c r="AQ13" s="14">
        <f t="shared" si="15"/>
        <v>0</v>
      </c>
      <c r="AR13" s="14">
        <f t="shared" si="16"/>
        <v>0</v>
      </c>
      <c r="AS13" s="14">
        <f t="shared" si="17"/>
        <v>0</v>
      </c>
      <c r="AT13" s="14">
        <f t="shared" si="18"/>
        <v>0</v>
      </c>
      <c r="AU13" s="234"/>
      <c r="AV13" s="234"/>
      <c r="AW13" s="234"/>
      <c r="AX13" s="234"/>
      <c r="AY13" s="234"/>
      <c r="AZ13" s="234"/>
      <c r="BA13" s="234"/>
      <c r="BB13" s="16">
        <f t="shared" si="19"/>
        <v>0</v>
      </c>
    </row>
    <row r="14" spans="1:54" ht="78" outlineLevel="2">
      <c r="A14" s="98"/>
      <c r="B14" s="102"/>
      <c r="C14" s="23"/>
      <c r="D14" s="55"/>
      <c r="E14" s="54"/>
      <c r="F14" s="120"/>
      <c r="G14" s="54"/>
      <c r="H14" s="302" t="s">
        <v>664</v>
      </c>
      <c r="I14" s="178" t="s">
        <v>3</v>
      </c>
      <c r="J14" s="179">
        <v>1</v>
      </c>
      <c r="K14" s="179">
        <v>2</v>
      </c>
      <c r="L14" s="106">
        <f>IF(I14&lt;&gt;0,((VLOOKUP(I14,'1. Standard_Cost'!$B$4:$D$11,2)+VLOOKUP(I14,'1. Standard_Cost'!$B$4:$D$11,3))*J14*K14),"0")</f>
        <v>201600</v>
      </c>
      <c r="M14" s="106">
        <f>L14*'1. Standard_Cost'!$F$4</f>
        <v>33667.200000000004</v>
      </c>
      <c r="N14" s="180"/>
      <c r="O14" s="180"/>
      <c r="P14" s="180"/>
      <c r="Q14" s="180"/>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181"/>
      <c r="AA14" s="181"/>
      <c r="AB14" s="108">
        <f>+Z14*'1. Standard_Cost'!$B$23+AA14*'1. Standard_Cost'!$C$23</f>
        <v>0</v>
      </c>
      <c r="AC14" s="182">
        <v>24000</v>
      </c>
      <c r="AD14" s="183"/>
      <c r="AE14" s="108">
        <f>SUM(AD14,AC14,AB14,Y14,U14,T14,S14,R14)*'1. Standard_Cost'!$B$31</f>
        <v>4800</v>
      </c>
      <c r="AF14" s="108">
        <f t="shared" ref="AF14" si="20">SUM(AE14,AD14,AC14,AB14,Y14,U14,T14,S14,R14)</f>
        <v>28800</v>
      </c>
      <c r="AG14" s="107"/>
      <c r="AH14" s="107"/>
      <c r="AI14" s="107"/>
      <c r="AJ14" s="111"/>
      <c r="AK14" s="111"/>
      <c r="AL14" s="111"/>
      <c r="AM14" s="108">
        <f>AG14*'1. Standard_Cost'!$B$27+'Incremental_Cost Year 1'!AH14*'1. Standard_Cost'!$C$27+'Incremental_Cost Year 1'!AI14*'1. Standard_Cost'!$D$27+'Incremental_Cost Year 1'!AJ14+'Incremental_Cost Year 1'!AL14+AK14</f>
        <v>0</v>
      </c>
      <c r="AN14" s="108">
        <f>AM14*'1. Standard_Cost'!$C$31</f>
        <v>0</v>
      </c>
      <c r="AO14" s="125" t="s">
        <v>276</v>
      </c>
      <c r="AQ14" s="14">
        <f t="shared" ref="AQ14" si="21">L14+M14</f>
        <v>235267.20000000001</v>
      </c>
      <c r="AR14" s="14">
        <f t="shared" ref="AR14" si="22">AF14</f>
        <v>28800</v>
      </c>
      <c r="AS14" s="14">
        <f t="shared" ref="AS14" si="23">AM14+AN14</f>
        <v>0</v>
      </c>
      <c r="AT14" s="14">
        <f t="shared" ref="AT14" si="24">SUM(AQ14,AR14,AS14)</f>
        <v>264067.20000000001</v>
      </c>
      <c r="AU14" s="184">
        <v>264067</v>
      </c>
      <c r="AV14" s="184"/>
      <c r="AW14" s="184"/>
      <c r="AX14" s="184"/>
      <c r="AY14" s="184"/>
      <c r="AZ14" s="184"/>
      <c r="BA14" s="184"/>
      <c r="BB14" s="16">
        <f t="shared" ref="BB14" si="25">SUM(AU14:BA14)-AT14</f>
        <v>-0.20000000001164153</v>
      </c>
    </row>
    <row r="15" spans="1:54" ht="262.2" outlineLevel="1">
      <c r="A15" s="98"/>
      <c r="B15" s="102"/>
      <c r="C15" s="23"/>
      <c r="D15" s="301" t="s">
        <v>624</v>
      </c>
      <c r="E15" s="122" t="s">
        <v>206</v>
      </c>
      <c r="F15" s="118">
        <v>2021</v>
      </c>
      <c r="G15" s="59">
        <v>2026</v>
      </c>
      <c r="H15" s="276" t="s">
        <v>48</v>
      </c>
      <c r="I15" s="112"/>
      <c r="J15" s="112"/>
      <c r="K15" s="112"/>
      <c r="L15" s="113">
        <f>SUM(L7:L14)</f>
        <v>625000</v>
      </c>
      <c r="M15" s="113">
        <f>SUM(M7:M14)</f>
        <v>104375</v>
      </c>
      <c r="N15" s="113"/>
      <c r="O15" s="112"/>
      <c r="P15" s="112"/>
      <c r="Q15" s="112"/>
      <c r="R15" s="113">
        <f>SUM(R7:R14)</f>
        <v>320000</v>
      </c>
      <c r="S15" s="113">
        <f>SUM(S7:S14)</f>
        <v>480000</v>
      </c>
      <c r="T15" s="113">
        <f>SUM(T7:T14)</f>
        <v>0</v>
      </c>
      <c r="U15" s="113">
        <f>SUM(U7:U14)</f>
        <v>880000</v>
      </c>
      <c r="V15" s="112"/>
      <c r="W15" s="112"/>
      <c r="X15" s="112"/>
      <c r="Y15" s="113">
        <f>SUM(Y7:Y14)</f>
        <v>0</v>
      </c>
      <c r="Z15" s="112"/>
      <c r="AA15" s="112"/>
      <c r="AB15" s="113">
        <f>SUM(AB7:AB14)</f>
        <v>760000</v>
      </c>
      <c r="AC15" s="113">
        <f>SUM(AC7:AC14)</f>
        <v>62241.4</v>
      </c>
      <c r="AD15" s="113">
        <f>SUM(AD7:AD14)</f>
        <v>0</v>
      </c>
      <c r="AE15" s="113">
        <f>SUM(AE7:AE14)</f>
        <v>500448.28</v>
      </c>
      <c r="AF15" s="113">
        <f>SUM(AF7:AF14)</f>
        <v>3002689.68</v>
      </c>
      <c r="AG15" s="112"/>
      <c r="AH15" s="112"/>
      <c r="AI15" s="112"/>
      <c r="AJ15" s="113">
        <f>SUM(AJ7:AJ14)</f>
        <v>0</v>
      </c>
      <c r="AK15" s="113">
        <f>SUM(AK7:AK14)</f>
        <v>0</v>
      </c>
      <c r="AL15" s="113">
        <f>SUM(AL7:AL14)</f>
        <v>0</v>
      </c>
      <c r="AM15" s="113">
        <f>SUM(AM7:AM14)</f>
        <v>0</v>
      </c>
      <c r="AN15" s="113">
        <f>SUM(AN7:AN14)</f>
        <v>0</v>
      </c>
      <c r="AO15" s="131"/>
      <c r="AP15" s="17"/>
      <c r="AQ15" s="113">
        <f t="shared" ref="AQ15:BB15" si="26">SUM(AQ7:AQ14)</f>
        <v>729375</v>
      </c>
      <c r="AR15" s="113">
        <f t="shared" si="26"/>
        <v>3002689.68</v>
      </c>
      <c r="AS15" s="113">
        <f t="shared" si="26"/>
        <v>0</v>
      </c>
      <c r="AT15" s="113">
        <f t="shared" si="26"/>
        <v>3732064.68</v>
      </c>
      <c r="AU15" s="113">
        <f t="shared" si="26"/>
        <v>792064.67999999993</v>
      </c>
      <c r="AV15" s="113">
        <f t="shared" si="26"/>
        <v>0</v>
      </c>
      <c r="AW15" s="113">
        <f t="shared" si="26"/>
        <v>0</v>
      </c>
      <c r="AX15" s="113">
        <f t="shared" si="26"/>
        <v>0</v>
      </c>
      <c r="AY15" s="113">
        <f t="shared" si="26"/>
        <v>0</v>
      </c>
      <c r="AZ15" s="113">
        <f t="shared" si="26"/>
        <v>2550000</v>
      </c>
      <c r="BA15" s="113">
        <f t="shared" si="26"/>
        <v>0</v>
      </c>
      <c r="BB15" s="113">
        <f t="shared" si="26"/>
        <v>-390000</v>
      </c>
    </row>
    <row r="16" spans="1:54" ht="78" outlineLevel="2">
      <c r="A16" s="98"/>
      <c r="B16" s="102"/>
      <c r="C16" s="23"/>
      <c r="D16" s="55"/>
      <c r="E16" s="54"/>
      <c r="F16" s="120"/>
      <c r="G16" s="54"/>
      <c r="H16" s="302" t="s">
        <v>665</v>
      </c>
      <c r="I16" s="185" t="s">
        <v>5</v>
      </c>
      <c r="J16" s="186">
        <v>1</v>
      </c>
      <c r="K16" s="186">
        <v>1</v>
      </c>
      <c r="L16" s="106">
        <f>IF(I16&lt;&gt;0,((VLOOKUP(I16,'1. Standard_Cost'!$B$4:$D$11,2)+VLOOKUP(I16,'1. Standard_Cost'!$B$4:$D$11,3))*J16*K16),"0")</f>
        <v>70700</v>
      </c>
      <c r="M16" s="106">
        <f>L16*'1. Standard_Cost'!$F$4</f>
        <v>11806.900000000001</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107"/>
      <c r="AA16" s="107"/>
      <c r="AB16" s="108">
        <f>+Z16*'1. Standard_Cost'!$B$23+AA16*'1. Standard_Cost'!$C$23</f>
        <v>0</v>
      </c>
      <c r="AC16" s="109"/>
      <c r="AD16" s="110"/>
      <c r="AE16" s="108">
        <f>SUM(AD16,AC16,AB16,Y16,U16,T16,S16,R16)*'1. Standard_Cost'!$B$31</f>
        <v>0</v>
      </c>
      <c r="AF16" s="108">
        <f t="shared" ref="AF16" si="27">SUM(AE16,AD16,AC16,AB16,Y16,U16,T16,S16,R16)</f>
        <v>0</v>
      </c>
      <c r="AG16" s="107"/>
      <c r="AH16" s="107"/>
      <c r="AI16" s="107"/>
      <c r="AJ16" s="111"/>
      <c r="AK16" s="111"/>
      <c r="AL16" s="111"/>
      <c r="AM16" s="108">
        <f>AG16*'1. Standard_Cost'!$B$27+'Incremental_Cost Year 1'!AH16*'1. Standard_Cost'!$C$27+'Incremental_Cost Year 1'!AI16*'1. Standard_Cost'!$D$27+'Incremental_Cost Year 1'!AJ16+'Incremental_Cost Year 1'!AL16+AK16</f>
        <v>0</v>
      </c>
      <c r="AN16" s="108">
        <f>AM16*'1. Standard_Cost'!$C$31</f>
        <v>0</v>
      </c>
      <c r="AO16" s="125"/>
      <c r="AQ16" s="14">
        <f>L16+M16</f>
        <v>82506.899999999994</v>
      </c>
      <c r="AR16" s="14">
        <f>AF16</f>
        <v>0</v>
      </c>
      <c r="AS16" s="14">
        <f>AM16+AN16</f>
        <v>0</v>
      </c>
      <c r="AT16" s="14">
        <f>SUM(AQ16,AR16,AS16)</f>
        <v>82506.899999999994</v>
      </c>
      <c r="AU16" s="15"/>
      <c r="AV16" s="15"/>
      <c r="AW16" s="15"/>
      <c r="AX16" s="15"/>
      <c r="AY16" s="15"/>
      <c r="AZ16" s="15"/>
      <c r="BA16" s="15"/>
      <c r="BB16" s="16">
        <f t="shared" ref="BB16:BB24" si="28">SUM(AU16:BA16)-AT16</f>
        <v>-82506.899999999994</v>
      </c>
    </row>
    <row r="17" spans="1:54" ht="15.6" outlineLevel="1">
      <c r="A17" s="98"/>
      <c r="B17" s="143"/>
      <c r="C17" s="144"/>
      <c r="D17" s="287" t="s">
        <v>625</v>
      </c>
      <c r="E17" s="148" t="s">
        <v>207</v>
      </c>
      <c r="F17" s="148"/>
      <c r="G17" s="148"/>
      <c r="H17" s="287" t="s">
        <v>49</v>
      </c>
      <c r="I17" s="112"/>
      <c r="J17" s="112"/>
      <c r="K17" s="112"/>
      <c r="L17" s="113">
        <f>SUM(L16:L16)</f>
        <v>70700</v>
      </c>
      <c r="M17" s="113">
        <f>SUM(M16:M16)</f>
        <v>11806.900000000001</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0</v>
      </c>
      <c r="AC17" s="113">
        <f>SUM(AC16:AC16)</f>
        <v>0</v>
      </c>
      <c r="AD17" s="113">
        <f>SUM(AD16:AD16)</f>
        <v>0</v>
      </c>
      <c r="AE17" s="113">
        <f>SUM(AE16:AE16)</f>
        <v>0</v>
      </c>
      <c r="AF17" s="113">
        <f>SUM(AF16:AF16)</f>
        <v>0</v>
      </c>
      <c r="AG17" s="112"/>
      <c r="AH17" s="112"/>
      <c r="AI17" s="112"/>
      <c r="AJ17" s="113">
        <f>SUM(AJ16:AJ16)</f>
        <v>0</v>
      </c>
      <c r="AK17" s="113">
        <f>SUM(AK16:AK16)</f>
        <v>0</v>
      </c>
      <c r="AL17" s="113">
        <f>SUM(AL16:AL16)</f>
        <v>0</v>
      </c>
      <c r="AM17" s="113">
        <f>SUM(AM16:AM16)</f>
        <v>0</v>
      </c>
      <c r="AN17" s="113">
        <f>SUM(AN16:AN16)</f>
        <v>0</v>
      </c>
      <c r="AO17" s="131"/>
      <c r="AP17" s="17"/>
      <c r="AQ17" s="113">
        <f t="shared" ref="AQ17:BA17" si="29">SUM(AQ16:AQ16)</f>
        <v>82506.899999999994</v>
      </c>
      <c r="AR17" s="113">
        <f t="shared" si="29"/>
        <v>0</v>
      </c>
      <c r="AS17" s="113">
        <f t="shared" si="29"/>
        <v>0</v>
      </c>
      <c r="AT17" s="113">
        <f t="shared" si="29"/>
        <v>82506.899999999994</v>
      </c>
      <c r="AU17" s="113">
        <f t="shared" si="29"/>
        <v>0</v>
      </c>
      <c r="AV17" s="113">
        <f t="shared" si="29"/>
        <v>0</v>
      </c>
      <c r="AW17" s="113">
        <f t="shared" si="29"/>
        <v>0</v>
      </c>
      <c r="AX17" s="113">
        <f t="shared" si="29"/>
        <v>0</v>
      </c>
      <c r="AY17" s="113">
        <f t="shared" si="29"/>
        <v>0</v>
      </c>
      <c r="AZ17" s="113">
        <f t="shared" si="29"/>
        <v>0</v>
      </c>
      <c r="BA17" s="113">
        <f t="shared" si="29"/>
        <v>0</v>
      </c>
      <c r="BB17" s="16">
        <f t="shared" si="28"/>
        <v>-82506.899999999994</v>
      </c>
    </row>
    <row r="18" spans="1:54" ht="31.2" outlineLevel="2">
      <c r="A18" s="98"/>
      <c r="B18" s="143"/>
      <c r="C18" s="144"/>
      <c r="D18" s="149"/>
      <c r="E18" s="149"/>
      <c r="F18" s="150"/>
      <c r="G18" s="151"/>
      <c r="H18" s="302" t="s">
        <v>666</v>
      </c>
      <c r="I18" s="187"/>
      <c r="J18" s="188"/>
      <c r="K18" s="188"/>
      <c r="L18" s="106" t="str">
        <f>IF(I18&lt;&gt;0,((VLOOKUP(I18,'1. Standard_Cost'!$B$4:$D$11,2)+VLOOKUP(I18,'1. Standard_Cost'!$B$4:$D$11,3))*J18*K18),"0")</f>
        <v>0</v>
      </c>
      <c r="M18" s="106">
        <f>L18*'1. Standard_Cost'!$F$4</f>
        <v>0</v>
      </c>
      <c r="N18" s="189">
        <v>0</v>
      </c>
      <c r="O18" s="189">
        <v>0</v>
      </c>
      <c r="P18" s="189">
        <v>0</v>
      </c>
      <c r="Q18" s="189"/>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190"/>
      <c r="AA18" s="190"/>
      <c r="AB18" s="108">
        <f>+Z18*'1. Standard_Cost'!$B$23+AA18*'1. Standard_Cost'!$C$23</f>
        <v>0</v>
      </c>
      <c r="AC18" s="191"/>
      <c r="AD18" s="192"/>
      <c r="AE18" s="108">
        <f>SUM(AD18,AC18,AB18,Y18,U18,T18,S18,R18)*'1. Standard_Cost'!$B$31</f>
        <v>0</v>
      </c>
      <c r="AF18" s="108">
        <f t="shared" ref="AF18" si="30">SUM(AE18,AD18,AC18,AB18,Y18,U18,T18,S18,R18)</f>
        <v>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31">L18+M18</f>
        <v>0</v>
      </c>
      <c r="AR18" s="14">
        <f t="shared" ref="AR18" si="32">AF18</f>
        <v>0</v>
      </c>
      <c r="AS18" s="14">
        <f t="shared" ref="AS18" si="33">AM18+AN18</f>
        <v>0</v>
      </c>
      <c r="AT18" s="14">
        <f>SUM(AQ18,AR18,AS18)</f>
        <v>0</v>
      </c>
      <c r="AU18" s="193"/>
      <c r="AV18" s="193"/>
      <c r="AW18" s="193"/>
      <c r="AX18" s="193"/>
      <c r="AY18" s="193"/>
      <c r="AZ18" s="193"/>
      <c r="BA18" s="193"/>
      <c r="BB18" s="16">
        <f t="shared" si="28"/>
        <v>0</v>
      </c>
    </row>
    <row r="19" spans="1:54" ht="62.4" outlineLevel="2">
      <c r="A19" s="98"/>
      <c r="B19" s="143"/>
      <c r="C19" s="144"/>
      <c r="D19" s="152"/>
      <c r="E19" s="152"/>
      <c r="F19" s="152"/>
      <c r="G19" s="153"/>
      <c r="H19" s="302" t="s">
        <v>667</v>
      </c>
      <c r="I19" s="187"/>
      <c r="J19" s="188"/>
      <c r="K19" s="188"/>
      <c r="L19" s="106" t="str">
        <f>IF(I19&lt;&gt;0,((VLOOKUP(I19,'1. Standard_Cost'!$B$4:$D$11,2)+VLOOKUP(I19,'1. Standard_Cost'!$B$4:$D$11,3))*J19*K19),"0")</f>
        <v>0</v>
      </c>
      <c r="M19" s="106">
        <f>L19*'1. Standard_Cost'!$F$4</f>
        <v>0</v>
      </c>
      <c r="N19" s="189"/>
      <c r="O19" s="189"/>
      <c r="P19" s="189"/>
      <c r="Q19" s="189"/>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190"/>
      <c r="AA19" s="190"/>
      <c r="AB19" s="108">
        <f>+Z19*'1. Standard_Cost'!$B$23+AA19*'1. Standard_Cost'!$C$23</f>
        <v>0</v>
      </c>
      <c r="AC19" s="191"/>
      <c r="AD19" s="192"/>
      <c r="AE19" s="108">
        <f>SUM(AD19,AC19,AB19,Y19,U19,T19,S19,R19)*'1. Standard_Cost'!$B$31</f>
        <v>0</v>
      </c>
      <c r="AF19" s="108">
        <f t="shared" ref="AF19:AF24" si="34">SUM(AE19,AD19,AC19,AB19,Y19,U19,T19,S19,R19)</f>
        <v>0</v>
      </c>
      <c r="AG19" s="107"/>
      <c r="AH19" s="107"/>
      <c r="AI19" s="107"/>
      <c r="AJ19" s="111"/>
      <c r="AK19" s="111"/>
      <c r="AL19" s="111"/>
      <c r="AM19" s="108">
        <f>AG19*'1. Standard_Cost'!$B$27+'Incremental_Cost Year 1'!AH19*'1. Standard_Cost'!$C$27+'Incremental_Cost Year 1'!AI19*'1. Standard_Cost'!$D$27+'Incremental_Cost Year 1'!AJ19+'Incremental_Cost Year 1'!AL19+AK19</f>
        <v>0</v>
      </c>
      <c r="AN19" s="108">
        <f>AM19*'1. Standard_Cost'!$C$31</f>
        <v>0</v>
      </c>
      <c r="AO19" s="125" t="s">
        <v>278</v>
      </c>
      <c r="AQ19" s="14">
        <f t="shared" ref="AQ19:AQ24" si="35">L19+M19</f>
        <v>0</v>
      </c>
      <c r="AR19" s="14">
        <f t="shared" ref="AR19:AR24" si="36">AF19</f>
        <v>0</v>
      </c>
      <c r="AS19" s="14">
        <f t="shared" ref="AS19:AS24" si="37">AM19+AN19</f>
        <v>0</v>
      </c>
      <c r="AT19" s="14">
        <f t="shared" ref="AT19:AT24" si="38">SUM(AQ19,AR19,AS19)</f>
        <v>0</v>
      </c>
      <c r="AU19" s="193"/>
      <c r="AV19" s="193"/>
      <c r="AW19" s="193"/>
      <c r="AX19" s="193"/>
      <c r="AY19" s="193"/>
      <c r="AZ19" s="193"/>
      <c r="BA19" s="193"/>
      <c r="BB19" s="16">
        <f t="shared" si="28"/>
        <v>0</v>
      </c>
    </row>
    <row r="20" spans="1:54" ht="62.4" outlineLevel="2">
      <c r="A20" s="98"/>
      <c r="B20" s="143"/>
      <c r="C20" s="144"/>
      <c r="D20" s="152"/>
      <c r="E20" s="152"/>
      <c r="F20" s="171"/>
      <c r="G20" s="153"/>
      <c r="H20" s="302" t="s">
        <v>668</v>
      </c>
      <c r="I20" s="187"/>
      <c r="J20" s="188"/>
      <c r="K20" s="188"/>
      <c r="L20" s="106" t="str">
        <f>IF(I20&lt;&gt;0,((VLOOKUP(I20,'1. Standard_Cost'!$B$4:$D$11,2)+VLOOKUP(I20,'1. Standard_Cost'!$B$4:$D$11,3))*J20*K20),"0")</f>
        <v>0</v>
      </c>
      <c r="M20" s="106">
        <f>L20*'1. Standard_Cost'!$F$4</f>
        <v>0</v>
      </c>
      <c r="N20" s="189"/>
      <c r="O20" s="189"/>
      <c r="P20" s="189"/>
      <c r="Q20" s="189"/>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190"/>
      <c r="AA20" s="190"/>
      <c r="AB20" s="108">
        <f>+Z20*'1. Standard_Cost'!$B$23+AA20*'1. Standard_Cost'!$C$23</f>
        <v>0</v>
      </c>
      <c r="AC20" s="191"/>
      <c r="AD20" s="192"/>
      <c r="AE20" s="108">
        <f>SUM(AD20,AC20,AB20,Y20,U20,T20,S20,R20)*'1. Standard_Cost'!$B$31</f>
        <v>0</v>
      </c>
      <c r="AF20" s="108">
        <f t="shared" si="34"/>
        <v>0</v>
      </c>
      <c r="AG20" s="107"/>
      <c r="AH20" s="107"/>
      <c r="AI20" s="107"/>
      <c r="AJ20" s="111"/>
      <c r="AK20" s="111"/>
      <c r="AL20" s="111"/>
      <c r="AM20" s="108">
        <f>AG20*'1. Standard_Cost'!$B$27+'Incremental_Cost Year 1'!AH20*'1. Standard_Cost'!$C$27+'Incremental_Cost Year 1'!AI20*'1. Standard_Cost'!$D$27+'Incremental_Cost Year 1'!AJ20+'Incremental_Cost Year 1'!AL20+AK20</f>
        <v>0</v>
      </c>
      <c r="AN20" s="108">
        <f>AM20*'1. Standard_Cost'!$C$31</f>
        <v>0</v>
      </c>
      <c r="AO20" s="125" t="s">
        <v>278</v>
      </c>
      <c r="AQ20" s="14">
        <f t="shared" si="35"/>
        <v>0</v>
      </c>
      <c r="AR20" s="14">
        <f t="shared" si="36"/>
        <v>0</v>
      </c>
      <c r="AS20" s="14">
        <f t="shared" si="37"/>
        <v>0</v>
      </c>
      <c r="AT20" s="14">
        <f t="shared" si="38"/>
        <v>0</v>
      </c>
      <c r="AU20" s="193"/>
      <c r="AV20" s="193"/>
      <c r="AW20" s="193"/>
      <c r="AX20" s="193"/>
      <c r="AY20" s="193"/>
      <c r="AZ20" s="193"/>
      <c r="BA20" s="193"/>
      <c r="BB20" s="16">
        <f t="shared" si="28"/>
        <v>0</v>
      </c>
    </row>
    <row r="21" spans="1:54" ht="62.4" outlineLevel="2">
      <c r="A21" s="98"/>
      <c r="B21" s="143"/>
      <c r="C21" s="144"/>
      <c r="D21" s="152"/>
      <c r="E21" s="152"/>
      <c r="F21" s="152"/>
      <c r="G21" s="153"/>
      <c r="H21" s="302" t="s">
        <v>669</v>
      </c>
      <c r="I21" s="187" t="s">
        <v>4</v>
      </c>
      <c r="J21" s="188">
        <v>1</v>
      </c>
      <c r="K21" s="188">
        <v>3</v>
      </c>
      <c r="L21" s="106">
        <f>IF(I21&lt;&gt;0,((VLOOKUP(I21,'1. Standard_Cost'!$B$4:$D$11,2)+VLOOKUP(I21,'1. Standard_Cost'!$B$4:$D$11,3))*J21*K21),"0")</f>
        <v>242250</v>
      </c>
      <c r="M21" s="106">
        <f>L21*'1. Standard_Cost'!$F$4</f>
        <v>40455.75</v>
      </c>
      <c r="N21" s="189"/>
      <c r="O21" s="189"/>
      <c r="P21" s="189"/>
      <c r="Q21" s="189"/>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190"/>
      <c r="AA21" s="190"/>
      <c r="AB21" s="108">
        <f>+Z21*'1. Standard_Cost'!$B$23+AA21*'1. Standard_Cost'!$C$23</f>
        <v>0</v>
      </c>
      <c r="AC21" s="191">
        <v>180000</v>
      </c>
      <c r="AD21" s="192"/>
      <c r="AE21" s="108">
        <f>SUM(AD21,AC21,AB21,Y21,U21,T21,S21,R21)*'1. Standard_Cost'!$B$31</f>
        <v>36000</v>
      </c>
      <c r="AF21" s="108">
        <f t="shared" ref="AF21:AF23" si="39">SUM(AE21,AD21,AC21,AB21,Y21,U21,T21,S21,R21)</f>
        <v>216000</v>
      </c>
      <c r="AG21" s="107"/>
      <c r="AH21" s="107"/>
      <c r="AI21" s="107"/>
      <c r="AJ21" s="111"/>
      <c r="AK21" s="111"/>
      <c r="AL21" s="111"/>
      <c r="AM21" s="108">
        <f>AG21*'1. Standard_Cost'!$B$27+'Incremental_Cost Year 1'!AH21*'1. Standard_Cost'!$C$27+'Incremental_Cost Year 1'!AI21*'1. Standard_Cost'!$D$27+'Incremental_Cost Year 1'!AJ21+'Incremental_Cost Year 1'!AL21+AK21</f>
        <v>0</v>
      </c>
      <c r="AN21" s="108">
        <f>AM21*'1. Standard_Cost'!$C$31</f>
        <v>0</v>
      </c>
      <c r="AO21" s="125" t="s">
        <v>279</v>
      </c>
      <c r="AQ21" s="14">
        <f t="shared" ref="AQ21:AQ23" si="40">L21+M21</f>
        <v>282705.75</v>
      </c>
      <c r="AR21" s="14">
        <f t="shared" ref="AR21:AR23" si="41">AF21</f>
        <v>216000</v>
      </c>
      <c r="AS21" s="14">
        <f t="shared" ref="AS21:AS23" si="42">AM21+AN21</f>
        <v>0</v>
      </c>
      <c r="AT21" s="14">
        <f t="shared" ref="AT21:AT23" si="43">SUM(AQ21,AR21,AS21)</f>
        <v>498705.75</v>
      </c>
      <c r="AU21" s="193">
        <v>498706</v>
      </c>
      <c r="AV21" s="193"/>
      <c r="AW21" s="193"/>
      <c r="AX21" s="193"/>
      <c r="AY21" s="193"/>
      <c r="AZ21" s="193"/>
      <c r="BA21" s="193"/>
      <c r="BB21" s="16">
        <f t="shared" ref="BB21:BB23" si="44">SUM(AU21:BA21)-AT21</f>
        <v>0.25</v>
      </c>
    </row>
    <row r="22" spans="1:54" ht="78" outlineLevel="2">
      <c r="A22" s="98"/>
      <c r="B22" s="143"/>
      <c r="C22" s="144"/>
      <c r="D22" s="152"/>
      <c r="E22" s="152"/>
      <c r="F22" s="152"/>
      <c r="G22" s="153"/>
      <c r="H22" s="302" t="s">
        <v>670</v>
      </c>
      <c r="I22" s="187"/>
      <c r="J22" s="188"/>
      <c r="K22" s="188"/>
      <c r="L22" s="106" t="str">
        <f>IF(I22&lt;&gt;0,((VLOOKUP(I22,'1. Standard_Cost'!$B$4:$D$11,2)+VLOOKUP(I22,'1. Standard_Cost'!$B$4:$D$11,3))*J22*K22),"0")</f>
        <v>0</v>
      </c>
      <c r="M22" s="106">
        <f>L22*'1. Standard_Cost'!$F$4</f>
        <v>0</v>
      </c>
      <c r="N22" s="189"/>
      <c r="O22" s="189"/>
      <c r="P22" s="189"/>
      <c r="Q22" s="189"/>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190"/>
      <c r="AA22" s="190"/>
      <c r="AB22" s="108">
        <f>+Z22*'1. Standard_Cost'!$B$23+AA22*'1. Standard_Cost'!$C$23</f>
        <v>0</v>
      </c>
      <c r="AC22" s="191"/>
      <c r="AD22" s="192"/>
      <c r="AE22" s="108">
        <f>SUM(AD22,AC22,AB22,Y22,U22,T22,S22,R22)*'1. Standard_Cost'!$B$31</f>
        <v>0</v>
      </c>
      <c r="AF22" s="108">
        <f t="shared" ref="AF22" si="45">SUM(AE22,AD22,AC22,AB22,Y22,U22,T22,S22,R22)</f>
        <v>0</v>
      </c>
      <c r="AG22" s="107"/>
      <c r="AH22" s="107"/>
      <c r="AI22" s="107"/>
      <c r="AJ22" s="111"/>
      <c r="AK22" s="111"/>
      <c r="AL22" s="111"/>
      <c r="AM22" s="108">
        <f>AG22*'1. Standard_Cost'!$B$27+'Incremental_Cost Year 1'!AH22*'1. Standard_Cost'!$C$27+'Incremental_Cost Year 1'!AI22*'1. Standard_Cost'!$D$27+'Incremental_Cost Year 1'!AJ22+'Incremental_Cost Year 1'!AL22+AK22</f>
        <v>0</v>
      </c>
      <c r="AN22" s="108">
        <f>AM22*'1. Standard_Cost'!$C$31</f>
        <v>0</v>
      </c>
      <c r="AO22" s="125" t="s">
        <v>280</v>
      </c>
      <c r="AQ22" s="14">
        <f t="shared" ref="AQ22" si="46">L22+M22</f>
        <v>0</v>
      </c>
      <c r="AR22" s="14">
        <f t="shared" ref="AR22" si="47">AF22</f>
        <v>0</v>
      </c>
      <c r="AS22" s="14">
        <f t="shared" ref="AS22" si="48">AM22+AN22</f>
        <v>0</v>
      </c>
      <c r="AT22" s="14">
        <f t="shared" ref="AT22" si="49">SUM(AQ22,AR22,AS22)</f>
        <v>0</v>
      </c>
      <c r="AU22" s="193"/>
      <c r="AV22" s="193"/>
      <c r="AW22" s="193"/>
      <c r="AX22" s="193"/>
      <c r="AY22" s="193"/>
      <c r="AZ22" s="193"/>
      <c r="BA22" s="193"/>
      <c r="BB22" s="16">
        <f t="shared" ref="BB22" si="50">SUM(AU22:BA22)-AT22</f>
        <v>0</v>
      </c>
    </row>
    <row r="23" spans="1:54" ht="46.8" outlineLevel="2">
      <c r="A23" s="98"/>
      <c r="B23" s="143"/>
      <c r="C23" s="144"/>
      <c r="D23" s="152"/>
      <c r="E23" s="152"/>
      <c r="F23" s="152"/>
      <c r="G23" s="153"/>
      <c r="H23" s="302" t="s">
        <v>671</v>
      </c>
      <c r="I23" s="187" t="s">
        <v>4</v>
      </c>
      <c r="J23" s="188">
        <v>1</v>
      </c>
      <c r="K23" s="188">
        <v>1</v>
      </c>
      <c r="L23" s="106">
        <f>IF(I23&lt;&gt;0,((VLOOKUP(I23,'1. Standard_Cost'!$B$4:$D$11,2)+VLOOKUP(I23,'1. Standard_Cost'!$B$4:$D$11,3))*J23*K23),"0")</f>
        <v>80750</v>
      </c>
      <c r="M23" s="106">
        <f>L23*'1. Standard_Cost'!$F$4</f>
        <v>13485.25</v>
      </c>
      <c r="N23" s="189"/>
      <c r="O23" s="189"/>
      <c r="P23" s="189"/>
      <c r="Q23" s="189"/>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190"/>
      <c r="AA23" s="190"/>
      <c r="AB23" s="108">
        <f>+Z23*'1. Standard_Cost'!$B$23+AA23*'1. Standard_Cost'!$C$23</f>
        <v>0</v>
      </c>
      <c r="AC23" s="191">
        <v>10000</v>
      </c>
      <c r="AD23" s="192"/>
      <c r="AE23" s="108">
        <f>SUM(AD23,AC23,AB23,Y23,U23,T23,S23,R23)*'1. Standard_Cost'!$B$31</f>
        <v>2000</v>
      </c>
      <c r="AF23" s="108">
        <f t="shared" si="39"/>
        <v>12000</v>
      </c>
      <c r="AG23" s="107"/>
      <c r="AH23" s="107"/>
      <c r="AI23" s="107"/>
      <c r="AJ23" s="111"/>
      <c r="AK23" s="111"/>
      <c r="AL23" s="111"/>
      <c r="AM23" s="108">
        <f>AG23*'1. Standard_Cost'!$B$27+'Incremental_Cost Year 1'!AH23*'1. Standard_Cost'!$C$27+'Incremental_Cost Year 1'!AI23*'1. Standard_Cost'!$D$27+'Incremental_Cost Year 1'!AJ23+'Incremental_Cost Year 1'!AL23+AK23</f>
        <v>0</v>
      </c>
      <c r="AN23" s="108">
        <f>AM23*'1. Standard_Cost'!$C$31</f>
        <v>0</v>
      </c>
      <c r="AO23" s="125" t="s">
        <v>281</v>
      </c>
      <c r="AQ23" s="14">
        <f t="shared" si="40"/>
        <v>94235.25</v>
      </c>
      <c r="AR23" s="14">
        <f t="shared" si="41"/>
        <v>12000</v>
      </c>
      <c r="AS23" s="14">
        <f t="shared" si="42"/>
        <v>0</v>
      </c>
      <c r="AT23" s="14">
        <f t="shared" si="43"/>
        <v>106235.25</v>
      </c>
      <c r="AU23" s="193">
        <v>106235</v>
      </c>
      <c r="AV23" s="193"/>
      <c r="AW23" s="193"/>
      <c r="AX23" s="193"/>
      <c r="AY23" s="193"/>
      <c r="AZ23" s="193"/>
      <c r="BA23" s="193"/>
      <c r="BB23" s="16">
        <f t="shared" si="44"/>
        <v>-0.25</v>
      </c>
    </row>
    <row r="24" spans="1:54" ht="93.6" outlineLevel="2">
      <c r="A24" s="98"/>
      <c r="B24" s="143"/>
      <c r="C24" s="144"/>
      <c r="D24" s="152"/>
      <c r="E24" s="152"/>
      <c r="F24" s="152"/>
      <c r="G24" s="153"/>
      <c r="H24" s="302" t="s">
        <v>586</v>
      </c>
      <c r="I24" s="187" t="s">
        <v>5</v>
      </c>
      <c r="J24" s="188">
        <v>0.5</v>
      </c>
      <c r="K24" s="188">
        <v>1</v>
      </c>
      <c r="L24" s="106">
        <f>IF(I24&lt;&gt;0,((VLOOKUP(I24,'1. Standard_Cost'!$B$4:$D$11,2)+VLOOKUP(I24,'1. Standard_Cost'!$B$4:$D$11,3))*J24*K24),"0")</f>
        <v>35350</v>
      </c>
      <c r="M24" s="106">
        <f>L24*'1. Standard_Cost'!$F$4</f>
        <v>5903.4500000000007</v>
      </c>
      <c r="N24" s="189">
        <v>1</v>
      </c>
      <c r="O24" s="189">
        <v>2</v>
      </c>
      <c r="P24" s="189">
        <v>16</v>
      </c>
      <c r="Q24" s="189"/>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190"/>
      <c r="AA24" s="190">
        <v>15</v>
      </c>
      <c r="AB24" s="108">
        <f>+Z24*'1. Standard_Cost'!$B$23+AA24*'1. Standard_Cost'!$C$23</f>
        <v>285000</v>
      </c>
      <c r="AC24" s="191">
        <v>8000</v>
      </c>
      <c r="AD24" s="192"/>
      <c r="AE24" s="108">
        <f>SUM(AD24,AC24,AB24,Y24,U24,T24,S24,R24)*'1. Standard_Cost'!$B$31</f>
        <v>90600</v>
      </c>
      <c r="AF24" s="108">
        <f t="shared" si="34"/>
        <v>543600</v>
      </c>
      <c r="AG24" s="107"/>
      <c r="AH24" s="107"/>
      <c r="AI24" s="107"/>
      <c r="AJ24" s="111"/>
      <c r="AK24" s="111"/>
      <c r="AL24" s="111"/>
      <c r="AM24" s="108">
        <f>AG24*'1. Standard_Cost'!$B$27+'Incremental_Cost Year 1'!AH24*'1. Standard_Cost'!$C$27+'Incremental_Cost Year 1'!AI24*'1. Standard_Cost'!$D$27+'Incremental_Cost Year 1'!AJ24+'Incremental_Cost Year 1'!AL24+AK24</f>
        <v>0</v>
      </c>
      <c r="AN24" s="108">
        <f>AM24*'1. Standard_Cost'!$C$31</f>
        <v>0</v>
      </c>
      <c r="AO24" s="125" t="s">
        <v>282</v>
      </c>
      <c r="AQ24" s="14">
        <f t="shared" si="35"/>
        <v>41253.449999999997</v>
      </c>
      <c r="AR24" s="14">
        <f t="shared" si="36"/>
        <v>543600</v>
      </c>
      <c r="AS24" s="14">
        <f t="shared" si="37"/>
        <v>0</v>
      </c>
      <c r="AT24" s="14">
        <f t="shared" si="38"/>
        <v>584853.44999999995</v>
      </c>
      <c r="AU24" s="193"/>
      <c r="AV24" s="193"/>
      <c r="AW24" s="193"/>
      <c r="AX24" s="193"/>
      <c r="AY24" s="193"/>
      <c r="AZ24" s="193">
        <v>543600</v>
      </c>
      <c r="BA24" s="193">
        <v>41253</v>
      </c>
      <c r="BB24" s="16">
        <f t="shared" si="28"/>
        <v>-0.44999999995343387</v>
      </c>
    </row>
    <row r="25" spans="1:54" ht="52.8" customHeight="1" outlineLevel="1">
      <c r="A25" s="98"/>
      <c r="B25" s="143"/>
      <c r="C25" s="144"/>
      <c r="D25" s="287" t="s">
        <v>626</v>
      </c>
      <c r="E25" s="148" t="s">
        <v>208</v>
      </c>
      <c r="F25" s="148"/>
      <c r="G25" s="148"/>
      <c r="H25" s="287" t="s">
        <v>50</v>
      </c>
      <c r="I25" s="112"/>
      <c r="J25" s="112"/>
      <c r="K25" s="112"/>
      <c r="L25" s="113">
        <f>SUM(L18:L24)</f>
        <v>358350</v>
      </c>
      <c r="M25" s="113">
        <f>SUM(M18:M24)</f>
        <v>59844.45</v>
      </c>
      <c r="N25" s="112"/>
      <c r="O25" s="112"/>
      <c r="P25" s="112"/>
      <c r="Q25" s="112"/>
      <c r="R25" s="113">
        <f t="shared" ref="R25:U25" si="51">SUM(R18:R24)</f>
        <v>32000</v>
      </c>
      <c r="S25" s="113">
        <f t="shared" si="51"/>
        <v>48000</v>
      </c>
      <c r="T25" s="113">
        <f t="shared" si="51"/>
        <v>0</v>
      </c>
      <c r="U25" s="113">
        <f t="shared" si="51"/>
        <v>80000</v>
      </c>
      <c r="V25" s="112"/>
      <c r="W25" s="112"/>
      <c r="X25" s="112"/>
      <c r="Y25" s="113">
        <f>SUM(Y18:Y24)</f>
        <v>0</v>
      </c>
      <c r="Z25" s="112"/>
      <c r="AA25" s="112"/>
      <c r="AB25" s="113">
        <f t="shared" ref="AB25:AF25" si="52">SUM(AB18:AB24)</f>
        <v>285000</v>
      </c>
      <c r="AC25" s="113">
        <f t="shared" si="52"/>
        <v>198000</v>
      </c>
      <c r="AD25" s="113">
        <f t="shared" si="52"/>
        <v>0</v>
      </c>
      <c r="AE25" s="113">
        <f t="shared" si="52"/>
        <v>128600</v>
      </c>
      <c r="AF25" s="113">
        <f t="shared" si="52"/>
        <v>771600</v>
      </c>
      <c r="AG25" s="112"/>
      <c r="AH25" s="112"/>
      <c r="AI25" s="112"/>
      <c r="AJ25" s="113">
        <f t="shared" ref="AJ25:AN25" si="53">SUM(AJ18:AJ24)</f>
        <v>0</v>
      </c>
      <c r="AK25" s="113">
        <f t="shared" si="53"/>
        <v>0</v>
      </c>
      <c r="AL25" s="113">
        <f t="shared" si="53"/>
        <v>0</v>
      </c>
      <c r="AM25" s="113">
        <f t="shared" si="53"/>
        <v>0</v>
      </c>
      <c r="AN25" s="113">
        <f t="shared" si="53"/>
        <v>0</v>
      </c>
      <c r="AO25" s="131"/>
      <c r="AP25" s="17"/>
      <c r="AQ25" s="113">
        <f t="shared" ref="AQ25:BB25" si="54">SUM(AQ18:AQ24)</f>
        <v>418194.45</v>
      </c>
      <c r="AR25" s="113">
        <f t="shared" si="54"/>
        <v>771600</v>
      </c>
      <c r="AS25" s="113">
        <f t="shared" si="54"/>
        <v>0</v>
      </c>
      <c r="AT25" s="113">
        <f t="shared" si="54"/>
        <v>1189794.45</v>
      </c>
      <c r="AU25" s="113">
        <f t="shared" si="54"/>
        <v>604941</v>
      </c>
      <c r="AV25" s="113">
        <f t="shared" si="54"/>
        <v>0</v>
      </c>
      <c r="AW25" s="113">
        <f t="shared" si="54"/>
        <v>0</v>
      </c>
      <c r="AX25" s="113">
        <f t="shared" si="54"/>
        <v>0</v>
      </c>
      <c r="AY25" s="113">
        <f t="shared" si="54"/>
        <v>0</v>
      </c>
      <c r="AZ25" s="113">
        <f t="shared" si="54"/>
        <v>543600</v>
      </c>
      <c r="BA25" s="113">
        <f t="shared" si="54"/>
        <v>41253</v>
      </c>
      <c r="BB25" s="113">
        <f t="shared" si="54"/>
        <v>-0.44999999995343387</v>
      </c>
    </row>
    <row r="26" spans="1:54" ht="93.6" outlineLevel="2">
      <c r="A26" s="98"/>
      <c r="B26" s="143"/>
      <c r="C26" s="144"/>
      <c r="D26" s="149"/>
      <c r="E26" s="149"/>
      <c r="F26" s="150"/>
      <c r="G26" s="151"/>
      <c r="H26" s="302" t="s">
        <v>657</v>
      </c>
      <c r="I26" s="194"/>
      <c r="J26" s="195"/>
      <c r="K26" s="195"/>
      <c r="L26" s="106" t="str">
        <f>IF(I26&lt;&gt;0,((VLOOKUP(I26,'1. Standard_Cost'!$B$4:$D$11,2)+VLOOKUP(I26,'1. Standard_Cost'!$B$4:$D$11,3))*J26*K26),"0")</f>
        <v>0</v>
      </c>
      <c r="M26" s="106">
        <f>L26*'1. Standard_Cost'!$F$4</f>
        <v>0</v>
      </c>
      <c r="N26" s="196">
        <v>0</v>
      </c>
      <c r="O26" s="196">
        <v>0</v>
      </c>
      <c r="P26" s="196">
        <v>0</v>
      </c>
      <c r="Q26" s="196"/>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197"/>
      <c r="AA26" s="197"/>
      <c r="AB26" s="108">
        <f>+Z26*'1. Standard_Cost'!$B$23+AA26*'1. Standard_Cost'!$C$23</f>
        <v>0</v>
      </c>
      <c r="AC26" s="198">
        <v>840000</v>
      </c>
      <c r="AD26" s="199"/>
      <c r="AE26" s="108">
        <f>SUM(AD26,AC26,AB26,Y26,U26,T26,S26,R26)*'1. Standard_Cost'!$B$31</f>
        <v>168000</v>
      </c>
      <c r="AF26" s="108">
        <f t="shared" ref="AF26:AF29" si="55">SUM(AE26,AD26,AC26,AB26,Y26,U26,T26,S26,R26)</f>
        <v>1008000</v>
      </c>
      <c r="AG26" s="107"/>
      <c r="AH26" s="107"/>
      <c r="AI26" s="107"/>
      <c r="AJ26" s="111"/>
      <c r="AK26" s="111"/>
      <c r="AL26" s="111"/>
      <c r="AM26" s="108">
        <f>AG26*'1. Standard_Cost'!$B$27+'Incremental_Cost Year 1'!AH26*'1. Standard_Cost'!$C$27+'Incremental_Cost Year 1'!AI26*'1. Standard_Cost'!$D$27+'Incremental_Cost Year 1'!AJ26+'Incremental_Cost Year 1'!AL26+AK26</f>
        <v>0</v>
      </c>
      <c r="AN26" s="108">
        <f>AM26*'1. Standard_Cost'!$C$31</f>
        <v>0</v>
      </c>
      <c r="AO26" s="125" t="s">
        <v>283</v>
      </c>
      <c r="AQ26" s="14">
        <f>L26+M26</f>
        <v>0</v>
      </c>
      <c r="AR26" s="14">
        <f t="shared" ref="AR26:AR29" si="56">AF26</f>
        <v>1008000</v>
      </c>
      <c r="AS26" s="14">
        <f t="shared" ref="AS26:AS29" si="57">AM26+AN26</f>
        <v>0</v>
      </c>
      <c r="AT26" s="14">
        <f>SUM(AQ26,AR26,AS26)</f>
        <v>1008000</v>
      </c>
      <c r="AU26" s="200"/>
      <c r="AV26" s="200"/>
      <c r="AW26" s="200"/>
      <c r="AX26" s="200"/>
      <c r="AY26" s="200"/>
      <c r="AZ26" s="200">
        <v>1008000</v>
      </c>
      <c r="BA26" s="200"/>
      <c r="BB26" s="16">
        <f>SUM(AU26:BA26)-AT26</f>
        <v>0</v>
      </c>
    </row>
    <row r="27" spans="1:54" ht="218.4" outlineLevel="2">
      <c r="A27" s="98"/>
      <c r="B27" s="143"/>
      <c r="C27" s="144"/>
      <c r="D27" s="152"/>
      <c r="E27" s="152"/>
      <c r="F27" s="152"/>
      <c r="G27" s="153"/>
      <c r="H27" s="302" t="s">
        <v>587</v>
      </c>
      <c r="I27" s="194" t="s">
        <v>193</v>
      </c>
      <c r="J27" s="195">
        <v>0.5</v>
      </c>
      <c r="K27" s="195">
        <v>2</v>
      </c>
      <c r="L27" s="106">
        <f>IF(I27&lt;&gt;0,((VLOOKUP(I27,'1. Standard_Cost'!$B$4:$D$11,2)+VLOOKUP(I27,'1. Standard_Cost'!$B$4:$D$11,3))*J27*K27),"0")</f>
        <v>50500</v>
      </c>
      <c r="M27" s="106">
        <f>L27*'1. Standard_Cost'!$F$4</f>
        <v>8433.5</v>
      </c>
      <c r="N27" s="196">
        <v>1</v>
      </c>
      <c r="O27" s="196">
        <v>2</v>
      </c>
      <c r="P27" s="196">
        <v>16</v>
      </c>
      <c r="Q27" s="196"/>
      <c r="R27" s="108">
        <f>'1. Standard_Cost'!$B$15*N27*P27</f>
        <v>32000</v>
      </c>
      <c r="S27" s="108">
        <f>N27*O27*P27*'1. Standard_Cost'!$C$15</f>
        <v>48000</v>
      </c>
      <c r="T27" s="108">
        <f>N27*P27*Q27*'1. Standard_Cost'!$D$15</f>
        <v>0</v>
      </c>
      <c r="U27" s="108">
        <f>N27*O27*'1. Standard_Cost'!$E$15</f>
        <v>80000</v>
      </c>
      <c r="V27" s="107"/>
      <c r="W27" s="107"/>
      <c r="X27" s="107"/>
      <c r="Y27" s="108">
        <f>+V27*((X27*'1. Standard_Cost'!$B$19)+(W27*X27*'1. Standard_Cost'!$C$19))</f>
        <v>0</v>
      </c>
      <c r="Z27" s="197"/>
      <c r="AA27" s="197">
        <v>4</v>
      </c>
      <c r="AB27" s="108">
        <f>+Z27*'1. Standard_Cost'!$B$23+AA27*'1. Standard_Cost'!$C$23</f>
        <v>76000</v>
      </c>
      <c r="AC27" s="198"/>
      <c r="AD27" s="199"/>
      <c r="AE27" s="108">
        <f>SUM(AD27,AC27,AB27,Y27,U27,T27,S27,R27)*'1. Standard_Cost'!$B$31</f>
        <v>47200</v>
      </c>
      <c r="AF27" s="108">
        <f t="shared" si="55"/>
        <v>283200</v>
      </c>
      <c r="AG27" s="107"/>
      <c r="AH27" s="107"/>
      <c r="AI27" s="107"/>
      <c r="AJ27" s="111"/>
      <c r="AK27" s="111"/>
      <c r="AL27" s="111"/>
      <c r="AM27" s="108">
        <f>AG27*'1. Standard_Cost'!$B$27+'Incremental_Cost Year 1'!AH27*'1. Standard_Cost'!$C$27+'Incremental_Cost Year 1'!AI27*'1. Standard_Cost'!$D$27+'Incremental_Cost Year 1'!AJ27+'Incremental_Cost Year 1'!AL27+AK27</f>
        <v>0</v>
      </c>
      <c r="AN27" s="108">
        <f>AM27*'1. Standard_Cost'!$C$31</f>
        <v>0</v>
      </c>
      <c r="AO27" s="125" t="s">
        <v>284</v>
      </c>
      <c r="AQ27" s="14">
        <f t="shared" ref="AQ27:AQ29" si="58">L27+M27</f>
        <v>58933.5</v>
      </c>
      <c r="AR27" s="14">
        <f t="shared" si="56"/>
        <v>283200</v>
      </c>
      <c r="AS27" s="14">
        <f t="shared" si="57"/>
        <v>0</v>
      </c>
      <c r="AT27" s="14">
        <f t="shared" ref="AT27:AT29" si="59">SUM(AQ27,AR27,AS27)</f>
        <v>342133.5</v>
      </c>
      <c r="AU27" s="200">
        <v>62435</v>
      </c>
      <c r="AV27" s="200"/>
      <c r="AW27" s="200"/>
      <c r="AX27" s="200"/>
      <c r="AY27" s="200"/>
      <c r="AZ27" s="200">
        <v>283200</v>
      </c>
      <c r="BA27" s="200"/>
      <c r="BB27" s="16">
        <f t="shared" ref="BB27:BB29" si="60">SUM(AU27:BA27)-AT27</f>
        <v>3501.5</v>
      </c>
    </row>
    <row r="28" spans="1:54" ht="187.2" outlineLevel="2">
      <c r="A28" s="98"/>
      <c r="B28" s="143"/>
      <c r="C28" s="144"/>
      <c r="D28" s="152"/>
      <c r="E28" s="152"/>
      <c r="F28" s="152"/>
      <c r="G28" s="153"/>
      <c r="H28" s="302" t="s">
        <v>658</v>
      </c>
      <c r="I28" s="194" t="s">
        <v>5</v>
      </c>
      <c r="J28" s="195">
        <v>0.5</v>
      </c>
      <c r="K28" s="195">
        <v>4</v>
      </c>
      <c r="L28" s="106">
        <f>IF(I28&lt;&gt;0,((VLOOKUP(I28,'1. Standard_Cost'!$B$4:$D$11,2)+VLOOKUP(I28,'1. Standard_Cost'!$B$4:$D$11,3))*J28*K28),"0")</f>
        <v>141400</v>
      </c>
      <c r="M28" s="106">
        <f>L28*'1. Standard_Cost'!$F$4</f>
        <v>23613.800000000003</v>
      </c>
      <c r="N28" s="196">
        <v>3</v>
      </c>
      <c r="O28" s="196">
        <v>3</v>
      </c>
      <c r="P28" s="196">
        <v>85</v>
      </c>
      <c r="Q28" s="196"/>
      <c r="R28" s="108">
        <f>'1. Standard_Cost'!$B$15*N28*P28</f>
        <v>510000</v>
      </c>
      <c r="S28" s="108">
        <f>N28*O28*P28*'1. Standard_Cost'!$C$15</f>
        <v>1147500</v>
      </c>
      <c r="T28" s="108">
        <f>N28*P28*Q28*'1. Standard_Cost'!$D$15</f>
        <v>0</v>
      </c>
      <c r="U28" s="108">
        <f>N28*O28*'1. Standard_Cost'!$E$15</f>
        <v>360000</v>
      </c>
      <c r="V28" s="107"/>
      <c r="W28" s="107"/>
      <c r="X28" s="107"/>
      <c r="Y28" s="108">
        <f>+V28*((X28*'1. Standard_Cost'!$B$19)+(W28*X28*'1. Standard_Cost'!$C$19))</f>
        <v>0</v>
      </c>
      <c r="Z28" s="197"/>
      <c r="AA28" s="197"/>
      <c r="AB28" s="108">
        <f>+Z28*'1. Standard_Cost'!$B$23+AA28*'1. Standard_Cost'!$C$23</f>
        <v>0</v>
      </c>
      <c r="AC28" s="198"/>
      <c r="AD28" s="199"/>
      <c r="AE28" s="108">
        <f>SUM(AD28,AC28,AB28,Y28,U28,T28,S28,R28)*'1. Standard_Cost'!$B$31</f>
        <v>403500</v>
      </c>
      <c r="AF28" s="108">
        <f t="shared" si="55"/>
        <v>2421000</v>
      </c>
      <c r="AG28" s="107"/>
      <c r="AH28" s="107"/>
      <c r="AI28" s="107"/>
      <c r="AJ28" s="111"/>
      <c r="AK28" s="111"/>
      <c r="AL28" s="111"/>
      <c r="AM28" s="108">
        <f>AG28*'1. Standard_Cost'!$B$27+'Incremental_Cost Year 1'!AH28*'1. Standard_Cost'!$C$27+'Incremental_Cost Year 1'!AI28*'1. Standard_Cost'!$D$27+'Incremental_Cost Year 1'!AJ28+'Incremental_Cost Year 1'!AL28+AK28</f>
        <v>0</v>
      </c>
      <c r="AN28" s="108">
        <f>AM28*'1. Standard_Cost'!$C$31</f>
        <v>0</v>
      </c>
      <c r="AO28" s="125" t="s">
        <v>285</v>
      </c>
      <c r="AQ28" s="14">
        <f t="shared" si="58"/>
        <v>165013.79999999999</v>
      </c>
      <c r="AR28" s="14">
        <f t="shared" si="56"/>
        <v>2421000</v>
      </c>
      <c r="AS28" s="14">
        <f t="shared" si="57"/>
        <v>0</v>
      </c>
      <c r="AT28" s="14">
        <f t="shared" si="59"/>
        <v>2586013.7999999998</v>
      </c>
      <c r="AU28" s="200">
        <v>165014</v>
      </c>
      <c r="AV28" s="200"/>
      <c r="AW28" s="200"/>
      <c r="AX28" s="200">
        <v>2421000</v>
      </c>
      <c r="AY28" s="200"/>
      <c r="AZ28" s="200"/>
      <c r="BA28" s="200"/>
      <c r="BB28" s="16">
        <f t="shared" si="60"/>
        <v>0.20000000018626451</v>
      </c>
    </row>
    <row r="29" spans="1:54" ht="93.6" outlineLevel="2">
      <c r="A29" s="98"/>
      <c r="B29" s="143"/>
      <c r="C29" s="144"/>
      <c r="D29" s="152"/>
      <c r="E29" s="152"/>
      <c r="F29" s="152"/>
      <c r="G29" s="153"/>
      <c r="H29" s="302" t="s">
        <v>588</v>
      </c>
      <c r="I29" s="194"/>
      <c r="J29" s="195"/>
      <c r="K29" s="195"/>
      <c r="L29" s="106" t="str">
        <f>IF(I29&lt;&gt;0,((VLOOKUP(I29,'1. Standard_Cost'!$B$4:$D$11,2)+VLOOKUP(I29,'1. Standard_Cost'!$B$4:$D$11,3))*J29*K29),"0")</f>
        <v>0</v>
      </c>
      <c r="M29" s="106">
        <f>L29*'1. Standard_Cost'!$F$4</f>
        <v>0</v>
      </c>
      <c r="N29" s="196"/>
      <c r="O29" s="196"/>
      <c r="P29" s="196"/>
      <c r="Q29" s="196"/>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197"/>
      <c r="AA29" s="197"/>
      <c r="AB29" s="108">
        <f>+Z29*'1. Standard_Cost'!$B$23+AA29*'1. Standard_Cost'!$C$23</f>
        <v>0</v>
      </c>
      <c r="AC29" s="198"/>
      <c r="AD29" s="199"/>
      <c r="AE29" s="108">
        <f>SUM(AD29,AC29,AB29,Y29,U29,T29,S29,R29)*'1. Standard_Cost'!$B$31</f>
        <v>0</v>
      </c>
      <c r="AF29" s="108">
        <f t="shared" si="55"/>
        <v>0</v>
      </c>
      <c r="AG29" s="107"/>
      <c r="AH29" s="107"/>
      <c r="AI29" s="107"/>
      <c r="AJ29" s="111"/>
      <c r="AK29" s="111"/>
      <c r="AL29" s="111"/>
      <c r="AM29" s="108">
        <f>AG29*'1. Standard_Cost'!$B$27+'Incremental_Cost Year 1'!AH29*'1. Standard_Cost'!$C$27+'Incremental_Cost Year 1'!AI29*'1. Standard_Cost'!$D$27+'Incremental_Cost Year 1'!AJ29+'Incremental_Cost Year 1'!AL29+AK29</f>
        <v>0</v>
      </c>
      <c r="AN29" s="108">
        <f>AM29*'1. Standard_Cost'!$C$31</f>
        <v>0</v>
      </c>
      <c r="AO29" s="125" t="s">
        <v>286</v>
      </c>
      <c r="AQ29" s="14">
        <f t="shared" si="58"/>
        <v>0</v>
      </c>
      <c r="AR29" s="14">
        <f t="shared" si="56"/>
        <v>0</v>
      </c>
      <c r="AS29" s="14">
        <f t="shared" si="57"/>
        <v>0</v>
      </c>
      <c r="AT29" s="14">
        <f t="shared" si="59"/>
        <v>0</v>
      </c>
      <c r="AU29" s="200"/>
      <c r="AV29" s="200"/>
      <c r="AW29" s="200"/>
      <c r="AX29" s="200"/>
      <c r="AY29" s="200"/>
      <c r="AZ29" s="200"/>
      <c r="BA29" s="200"/>
      <c r="BB29" s="16">
        <f t="shared" si="60"/>
        <v>0</v>
      </c>
    </row>
    <row r="30" spans="1:54" ht="31.2" outlineLevel="1">
      <c r="A30" s="98"/>
      <c r="B30" s="143"/>
      <c r="C30" s="144"/>
      <c r="D30" s="287" t="s">
        <v>627</v>
      </c>
      <c r="E30" s="148" t="s">
        <v>209</v>
      </c>
      <c r="F30" s="148">
        <v>2021</v>
      </c>
      <c r="G30" s="148">
        <v>2026</v>
      </c>
      <c r="H30" s="287" t="s">
        <v>191</v>
      </c>
      <c r="I30" s="112"/>
      <c r="J30" s="112"/>
      <c r="K30" s="112"/>
      <c r="L30" s="113">
        <f>SUM(L26:L29)</f>
        <v>191900</v>
      </c>
      <c r="M30" s="113">
        <f>SUM(M26:M29)</f>
        <v>32047.300000000003</v>
      </c>
      <c r="N30" s="112"/>
      <c r="O30" s="112"/>
      <c r="P30" s="112"/>
      <c r="Q30" s="112"/>
      <c r="R30" s="113">
        <f t="shared" ref="R30:U30" si="61">SUM(R26:R29)</f>
        <v>542000</v>
      </c>
      <c r="S30" s="113">
        <f t="shared" si="61"/>
        <v>1195500</v>
      </c>
      <c r="T30" s="113">
        <f t="shared" si="61"/>
        <v>0</v>
      </c>
      <c r="U30" s="113">
        <f t="shared" si="61"/>
        <v>440000</v>
      </c>
      <c r="V30" s="112"/>
      <c r="W30" s="112"/>
      <c r="X30" s="112"/>
      <c r="Y30" s="113">
        <f>SUM(Y26:Y29)</f>
        <v>0</v>
      </c>
      <c r="Z30" s="112"/>
      <c r="AA30" s="112"/>
      <c r="AB30" s="113">
        <f t="shared" ref="AB30:AF30" si="62">SUM(AB26:AB29)</f>
        <v>76000</v>
      </c>
      <c r="AC30" s="113">
        <f t="shared" si="62"/>
        <v>840000</v>
      </c>
      <c r="AD30" s="113">
        <f t="shared" si="62"/>
        <v>0</v>
      </c>
      <c r="AE30" s="113">
        <f t="shared" si="62"/>
        <v>618700</v>
      </c>
      <c r="AF30" s="113">
        <f t="shared" si="62"/>
        <v>3712200</v>
      </c>
      <c r="AG30" s="112"/>
      <c r="AH30" s="112"/>
      <c r="AI30" s="112"/>
      <c r="AJ30" s="113">
        <f t="shared" ref="AJ30:AN30" si="63">SUM(AJ26:AJ29)</f>
        <v>0</v>
      </c>
      <c r="AK30" s="113">
        <f t="shared" si="63"/>
        <v>0</v>
      </c>
      <c r="AL30" s="113">
        <f t="shared" si="63"/>
        <v>0</v>
      </c>
      <c r="AM30" s="113">
        <f t="shared" si="63"/>
        <v>0</v>
      </c>
      <c r="AN30" s="113">
        <f t="shared" si="63"/>
        <v>0</v>
      </c>
      <c r="AO30" s="131"/>
      <c r="AP30" s="17"/>
      <c r="AQ30" s="113">
        <f t="shared" ref="AQ30:AT30" si="64">SUM(AQ26:AQ29)</f>
        <v>223947.3</v>
      </c>
      <c r="AR30" s="113">
        <f t="shared" si="64"/>
        <v>3712200</v>
      </c>
      <c r="AS30" s="113">
        <f t="shared" si="64"/>
        <v>0</v>
      </c>
      <c r="AT30" s="113">
        <f t="shared" si="64"/>
        <v>3936147.3</v>
      </c>
      <c r="AU30" s="113">
        <f t="shared" ref="AU30:BB30" si="65">SUM(AU26:AU29)</f>
        <v>227449</v>
      </c>
      <c r="AV30" s="113">
        <f t="shared" si="65"/>
        <v>0</v>
      </c>
      <c r="AW30" s="113">
        <f t="shared" si="65"/>
        <v>0</v>
      </c>
      <c r="AX30" s="113">
        <f t="shared" si="65"/>
        <v>2421000</v>
      </c>
      <c r="AY30" s="113">
        <f t="shared" si="65"/>
        <v>0</v>
      </c>
      <c r="AZ30" s="113">
        <f t="shared" si="65"/>
        <v>1291200</v>
      </c>
      <c r="BA30" s="113">
        <f t="shared" si="65"/>
        <v>0</v>
      </c>
      <c r="BB30" s="113">
        <f t="shared" si="65"/>
        <v>3501.7000000001863</v>
      </c>
    </row>
    <row r="31" spans="1:54" s="13" customFormat="1" ht="15.6">
      <c r="A31" s="101"/>
      <c r="B31" s="319" t="s">
        <v>211</v>
      </c>
      <c r="C31" s="320"/>
      <c r="D31" s="320"/>
      <c r="E31" s="321"/>
      <c r="F31" s="154"/>
      <c r="G31" s="154"/>
      <c r="H31" s="292" t="s">
        <v>63</v>
      </c>
      <c r="I31" s="40"/>
      <c r="J31" s="40"/>
      <c r="K31" s="40"/>
      <c r="L31" s="41">
        <f>SUM(L32,L40,L80)</f>
        <v>7496925</v>
      </c>
      <c r="M31" s="41">
        <f>SUM(M32,M40,M80)</f>
        <v>1251986.4750000001</v>
      </c>
      <c r="N31" s="40"/>
      <c r="O31" s="40"/>
      <c r="P31" s="40"/>
      <c r="Q31" s="40"/>
      <c r="R31" s="41">
        <f t="shared" ref="R31:U31" si="66">SUM(R32,R40,R80)</f>
        <v>180000</v>
      </c>
      <c r="S31" s="41">
        <f t="shared" si="66"/>
        <v>135000</v>
      </c>
      <c r="T31" s="41">
        <f t="shared" si="66"/>
        <v>0</v>
      </c>
      <c r="U31" s="41">
        <f t="shared" si="66"/>
        <v>240000</v>
      </c>
      <c r="V31" s="40"/>
      <c r="W31" s="40"/>
      <c r="X31" s="40"/>
      <c r="Y31" s="41">
        <f>SUM(Y32,Y40,Y80)</f>
        <v>0</v>
      </c>
      <c r="Z31" s="40"/>
      <c r="AA31" s="40"/>
      <c r="AB31" s="41">
        <f t="shared" ref="AB31:AF31" si="67">SUM(AB32,AB40,AB80)</f>
        <v>2261000</v>
      </c>
      <c r="AC31" s="41">
        <f t="shared" si="67"/>
        <v>16878477.240000002</v>
      </c>
      <c r="AD31" s="41">
        <f t="shared" si="67"/>
        <v>500000</v>
      </c>
      <c r="AE31" s="41">
        <f t="shared" si="67"/>
        <v>4038895.4479999999</v>
      </c>
      <c r="AF31" s="41">
        <f t="shared" si="67"/>
        <v>24233372.688000001</v>
      </c>
      <c r="AG31" s="41"/>
      <c r="AH31" s="41"/>
      <c r="AI31" s="41"/>
      <c r="AJ31" s="41">
        <f t="shared" ref="AJ31:AN31" si="68">SUM(AJ32,AJ40,AJ80)</f>
        <v>0</v>
      </c>
      <c r="AK31" s="41">
        <f t="shared" si="68"/>
        <v>0</v>
      </c>
      <c r="AL31" s="41">
        <f t="shared" si="68"/>
        <v>1700000</v>
      </c>
      <c r="AM31" s="41">
        <f t="shared" si="68"/>
        <v>1700000</v>
      </c>
      <c r="AN31" s="41">
        <f t="shared" si="68"/>
        <v>255000</v>
      </c>
      <c r="AO31" s="129"/>
      <c r="AQ31" s="41">
        <f t="shared" ref="AQ31:BB31" si="69">SUM(AQ32,AQ40,AQ80)</f>
        <v>8748911.4749999996</v>
      </c>
      <c r="AR31" s="41">
        <f t="shared" si="69"/>
        <v>24233372.688000001</v>
      </c>
      <c r="AS31" s="41">
        <f t="shared" si="69"/>
        <v>1955000</v>
      </c>
      <c r="AT31" s="41">
        <f t="shared" si="69"/>
        <v>34937284.163000003</v>
      </c>
      <c r="AU31" s="41">
        <f t="shared" si="69"/>
        <v>18719926</v>
      </c>
      <c r="AV31" s="41">
        <f t="shared" si="69"/>
        <v>0</v>
      </c>
      <c r="AW31" s="41">
        <f t="shared" si="69"/>
        <v>0</v>
      </c>
      <c r="AX31" s="41">
        <f t="shared" si="69"/>
        <v>570000</v>
      </c>
      <c r="AY31" s="41">
        <f t="shared" si="69"/>
        <v>0</v>
      </c>
      <c r="AZ31" s="41">
        <f t="shared" si="69"/>
        <v>5962800</v>
      </c>
      <c r="BA31" s="41">
        <f t="shared" si="69"/>
        <v>5712757</v>
      </c>
      <c r="BB31" s="41">
        <f t="shared" si="69"/>
        <v>-3971801.1630000002</v>
      </c>
    </row>
    <row r="32" spans="1:54" s="13" customFormat="1" ht="15.6">
      <c r="A32" s="101"/>
      <c r="B32" s="155"/>
      <c r="C32" s="322" t="s">
        <v>210</v>
      </c>
      <c r="D32" s="322"/>
      <c r="E32" s="323"/>
      <c r="F32" s="156"/>
      <c r="G32" s="156"/>
      <c r="H32" s="293" t="s">
        <v>181</v>
      </c>
      <c r="I32" s="37"/>
      <c r="J32" s="37"/>
      <c r="K32" s="37"/>
      <c r="L32" s="42">
        <f>SUM(L39)</f>
        <v>0</v>
      </c>
      <c r="M32" s="42">
        <f>SUM(M39)</f>
        <v>0</v>
      </c>
      <c r="N32" s="42"/>
      <c r="O32" s="42"/>
      <c r="P32" s="42"/>
      <c r="Q32" s="42"/>
      <c r="R32" s="42">
        <f t="shared" ref="R32:U32" si="70">SUM(R39)</f>
        <v>0</v>
      </c>
      <c r="S32" s="42">
        <f t="shared" si="70"/>
        <v>0</v>
      </c>
      <c r="T32" s="42">
        <f t="shared" si="70"/>
        <v>0</v>
      </c>
      <c r="U32" s="42">
        <f t="shared" si="70"/>
        <v>0</v>
      </c>
      <c r="V32" s="42"/>
      <c r="W32" s="42"/>
      <c r="X32" s="42"/>
      <c r="Y32" s="42">
        <f>SUM(Y39)</f>
        <v>0</v>
      </c>
      <c r="Z32" s="42"/>
      <c r="AA32" s="42"/>
      <c r="AB32" s="42">
        <f t="shared" ref="AB32:AF32" si="71">SUM(AB39)</f>
        <v>0</v>
      </c>
      <c r="AC32" s="42">
        <f t="shared" si="71"/>
        <v>1700000</v>
      </c>
      <c r="AD32" s="42">
        <f t="shared" si="71"/>
        <v>0</v>
      </c>
      <c r="AE32" s="42">
        <f t="shared" si="71"/>
        <v>340000</v>
      </c>
      <c r="AF32" s="42">
        <f t="shared" si="71"/>
        <v>2040000</v>
      </c>
      <c r="AG32" s="42"/>
      <c r="AH32" s="42"/>
      <c r="AI32" s="42"/>
      <c r="AJ32" s="42">
        <f t="shared" ref="AJ32:AN32" si="72">SUM(AJ39)</f>
        <v>0</v>
      </c>
      <c r="AK32" s="42">
        <f t="shared" si="72"/>
        <v>0</v>
      </c>
      <c r="AL32" s="42">
        <f t="shared" si="72"/>
        <v>0</v>
      </c>
      <c r="AM32" s="42">
        <f t="shared" si="72"/>
        <v>0</v>
      </c>
      <c r="AN32" s="42">
        <f t="shared" si="72"/>
        <v>0</v>
      </c>
      <c r="AO32" s="130"/>
      <c r="AP32" s="83"/>
      <c r="AQ32" s="42">
        <f t="shared" ref="AQ32:BB32" si="73">SUM(AQ39)</f>
        <v>0</v>
      </c>
      <c r="AR32" s="42">
        <f t="shared" si="73"/>
        <v>2040000</v>
      </c>
      <c r="AS32" s="42">
        <f t="shared" si="73"/>
        <v>0</v>
      </c>
      <c r="AT32" s="42">
        <f t="shared" si="73"/>
        <v>2040000</v>
      </c>
      <c r="AU32" s="42">
        <f t="shared" si="73"/>
        <v>0</v>
      </c>
      <c r="AV32" s="42">
        <f t="shared" si="73"/>
        <v>0</v>
      </c>
      <c r="AW32" s="42">
        <f t="shared" si="73"/>
        <v>0</v>
      </c>
      <c r="AX32" s="42">
        <f t="shared" si="73"/>
        <v>0</v>
      </c>
      <c r="AY32" s="42">
        <f t="shared" si="73"/>
        <v>0</v>
      </c>
      <c r="AZ32" s="42">
        <f t="shared" si="73"/>
        <v>0</v>
      </c>
      <c r="BA32" s="42">
        <f t="shared" si="73"/>
        <v>0</v>
      </c>
      <c r="BB32" s="42">
        <f t="shared" si="73"/>
        <v>-2040000</v>
      </c>
    </row>
    <row r="33" spans="1:54" ht="93.6" outlineLevel="2">
      <c r="A33" s="98"/>
      <c r="B33" s="143"/>
      <c r="C33" s="144"/>
      <c r="D33" s="149"/>
      <c r="E33" s="149"/>
      <c r="F33" s="150"/>
      <c r="G33" s="151"/>
      <c r="H33" s="302" t="s">
        <v>582</v>
      </c>
      <c r="I33" s="135"/>
      <c r="J33" s="136"/>
      <c r="K33" s="136"/>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107"/>
      <c r="AA33" s="107"/>
      <c r="AB33" s="108">
        <f>+Z33*'1. Standard_Cost'!$B$23+AA33*'1. Standard_Cost'!$C$23</f>
        <v>0</v>
      </c>
      <c r="AC33" s="109"/>
      <c r="AD33" s="110"/>
      <c r="AE33" s="108">
        <f>SUM(AD33,AC33,AB33,Y33,U33,T33,S33,R33)*'1. Standard_Cost'!$B$31</f>
        <v>0</v>
      </c>
      <c r="AF33" s="108">
        <f t="shared" ref="AF33:AF38" si="74">SUM(AE33,AD33,AC33,AB33,Y33,U33,T33,S33,R33)</f>
        <v>0</v>
      </c>
      <c r="AG33" s="207"/>
      <c r="AH33" s="207"/>
      <c r="AI33" s="207"/>
      <c r="AJ33" s="210"/>
      <c r="AK33" s="210"/>
      <c r="AL33" s="210"/>
      <c r="AM33" s="108">
        <f>AG33*'1. Standard_Cost'!$B$27+'Incremental_Cost Year 1'!AH33*'1. Standard_Cost'!$C$27+'Incremental_Cost Year 1'!AI33*'1. Standard_Cost'!$D$27+'Incremental_Cost Year 1'!AJ33+'Incremental_Cost Year 1'!AL33+AK33</f>
        <v>0</v>
      </c>
      <c r="AN33" s="108">
        <f>AM33*'1. Standard_Cost'!$C$31</f>
        <v>0</v>
      </c>
      <c r="AO33" s="125" t="s">
        <v>287</v>
      </c>
      <c r="AQ33" s="14">
        <f t="shared" ref="AQ33:AQ38" si="75">L33+M33</f>
        <v>0</v>
      </c>
      <c r="AR33" s="14">
        <f t="shared" ref="AR33:AR38" si="76">AF33</f>
        <v>0</v>
      </c>
      <c r="AS33" s="14">
        <f t="shared" ref="AS33:AS38" si="77">AM33+AN33</f>
        <v>0</v>
      </c>
      <c r="AT33" s="14">
        <f>SUM(AQ33,AR33,AS33)</f>
        <v>0</v>
      </c>
      <c r="AU33" s="15"/>
      <c r="AV33" s="15"/>
      <c r="AW33" s="15"/>
      <c r="AX33" s="15"/>
      <c r="AY33" s="15"/>
      <c r="AZ33" s="15"/>
      <c r="BA33" s="15"/>
      <c r="BB33" s="16">
        <f t="shared" ref="BB33:BB38" si="78">SUM(AU33:BA33)-AT33</f>
        <v>0</v>
      </c>
    </row>
    <row r="34" spans="1:54" ht="124.8" outlineLevel="2">
      <c r="A34" s="98"/>
      <c r="B34" s="143"/>
      <c r="C34" s="144"/>
      <c r="D34" s="152"/>
      <c r="E34" s="152"/>
      <c r="F34" s="152"/>
      <c r="G34" s="153"/>
      <c r="H34" s="302" t="s">
        <v>583</v>
      </c>
      <c r="I34" s="135"/>
      <c r="J34" s="136"/>
      <c r="K34" s="136"/>
      <c r="L34" s="106" t="str">
        <f>IF(I34&lt;&gt;0,((VLOOKUP(I34,'1. Standard_Cost'!$B$4:$D$11,2)+VLOOKUP(I34,'1. Standard_Cost'!$B$4:$D$11,3))*J34*K34),"0")</f>
        <v>0</v>
      </c>
      <c r="M34" s="106">
        <f>L34*'1. Standard_Cost'!$F$4</f>
        <v>0</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107"/>
      <c r="AA34" s="107"/>
      <c r="AB34" s="108">
        <f>+Z34*'1. Standard_Cost'!$B$23+AA34*'1. Standard_Cost'!$C$23</f>
        <v>0</v>
      </c>
      <c r="AC34" s="109"/>
      <c r="AD34" s="110"/>
      <c r="AE34" s="108">
        <f>SUM(AD34,AC34,AB34,Y34,U34,T34,S34,R34)*'1. Standard_Cost'!$B$31</f>
        <v>0</v>
      </c>
      <c r="AF34" s="108">
        <f t="shared" ref="AF34:AF35" si="79">SUM(AE34,AD34,AC34,AB34,Y34,U34,T34,S34,R34)</f>
        <v>0</v>
      </c>
      <c r="AG34" s="207"/>
      <c r="AH34" s="207"/>
      <c r="AI34" s="207"/>
      <c r="AJ34" s="210"/>
      <c r="AK34" s="210"/>
      <c r="AL34" s="210"/>
      <c r="AM34" s="108">
        <f>AG34*'1. Standard_Cost'!$B$27+'Incremental_Cost Year 1'!AH34*'1. Standard_Cost'!$C$27+'Incremental_Cost Year 1'!AI34*'1. Standard_Cost'!$D$27+'Incremental_Cost Year 1'!AJ34+'Incremental_Cost Year 1'!AL34+AK34</f>
        <v>0</v>
      </c>
      <c r="AN34" s="108">
        <f>AM34*'1. Standard_Cost'!$C$31</f>
        <v>0</v>
      </c>
      <c r="AO34" s="125" t="s">
        <v>288</v>
      </c>
      <c r="AQ34" s="14">
        <f t="shared" ref="AQ34:AQ35" si="80">L34+M34</f>
        <v>0</v>
      </c>
      <c r="AR34" s="14">
        <f t="shared" ref="AR34:AR35" si="81">AF34</f>
        <v>0</v>
      </c>
      <c r="AS34" s="14">
        <f t="shared" ref="AS34:AS35" si="82">AM34+AN34</f>
        <v>0</v>
      </c>
      <c r="AT34" s="14">
        <f t="shared" ref="AT34:AT35" si="83">SUM(AQ34,AR34,AS34)</f>
        <v>0</v>
      </c>
      <c r="AU34" s="15"/>
      <c r="AV34" s="15"/>
      <c r="AW34" s="15"/>
      <c r="AX34" s="15"/>
      <c r="AY34" s="15"/>
      <c r="AZ34" s="15"/>
      <c r="BA34" s="15"/>
      <c r="BB34" s="16">
        <f t="shared" ref="BB34:BB35" si="84">SUM(AU34:BA34)-AT34</f>
        <v>0</v>
      </c>
    </row>
    <row r="35" spans="1:54" ht="78" outlineLevel="2">
      <c r="A35" s="98"/>
      <c r="B35" s="143"/>
      <c r="C35" s="144"/>
      <c r="D35" s="152"/>
      <c r="E35" s="152"/>
      <c r="F35" s="152"/>
      <c r="G35" s="153"/>
      <c r="H35" s="302" t="s">
        <v>672</v>
      </c>
      <c r="I35" s="104"/>
      <c r="J35" s="105"/>
      <c r="K35" s="105"/>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107"/>
      <c r="AA35" s="107"/>
      <c r="AB35" s="108">
        <f>+Z35*'1. Standard_Cost'!$B$23+AA35*'1. Standard_Cost'!$C$23</f>
        <v>0</v>
      </c>
      <c r="AC35" s="109"/>
      <c r="AD35" s="110"/>
      <c r="AE35" s="108">
        <f>SUM(AD35,AC35,AB35,Y35,U35,T35,S35,R35)*'1. Standard_Cost'!$B$31</f>
        <v>0</v>
      </c>
      <c r="AF35" s="108">
        <f t="shared" si="79"/>
        <v>0</v>
      </c>
      <c r="AG35" s="207"/>
      <c r="AH35" s="207"/>
      <c r="AI35" s="207"/>
      <c r="AJ35" s="210"/>
      <c r="AK35" s="210"/>
      <c r="AL35" s="210"/>
      <c r="AM35" s="108">
        <f>AG35*'1. Standard_Cost'!$B$27+'Incremental_Cost Year 1'!AH35*'1. Standard_Cost'!$C$27+'Incremental_Cost Year 1'!AI35*'1. Standard_Cost'!$D$27+'Incremental_Cost Year 1'!AJ35+'Incremental_Cost Year 1'!AL35+AK35</f>
        <v>0</v>
      </c>
      <c r="AN35" s="108">
        <f>AM35*'1. Standard_Cost'!$C$31</f>
        <v>0</v>
      </c>
      <c r="AO35" s="125" t="s">
        <v>289</v>
      </c>
      <c r="AQ35" s="14">
        <f t="shared" si="80"/>
        <v>0</v>
      </c>
      <c r="AR35" s="14">
        <f t="shared" si="81"/>
        <v>0</v>
      </c>
      <c r="AS35" s="14">
        <f t="shared" si="82"/>
        <v>0</v>
      </c>
      <c r="AT35" s="14">
        <f t="shared" si="83"/>
        <v>0</v>
      </c>
      <c r="AU35" s="15"/>
      <c r="AV35" s="15"/>
      <c r="AW35" s="15"/>
      <c r="AX35" s="15"/>
      <c r="AY35" s="15"/>
      <c r="AZ35" s="15"/>
      <c r="BA35" s="15"/>
      <c r="BB35" s="16">
        <f t="shared" si="84"/>
        <v>0</v>
      </c>
    </row>
    <row r="36" spans="1:54" ht="124.8" outlineLevel="2">
      <c r="A36" s="98"/>
      <c r="B36" s="143"/>
      <c r="C36" s="144"/>
      <c r="D36" s="152"/>
      <c r="E36" s="152"/>
      <c r="F36" s="152"/>
      <c r="G36" s="153"/>
      <c r="H36" s="302" t="s">
        <v>584</v>
      </c>
      <c r="I36" s="135"/>
      <c r="J36" s="136"/>
      <c r="K36" s="136"/>
      <c r="L36" s="106" t="str">
        <f>IF(I36&lt;&gt;0,((VLOOKUP(I36,'1. Standard_Cost'!$B$4:$D$11,2)+VLOOKUP(I36,'1. Standard_Cost'!$B$4:$D$11,3))*J36*K36),"0")</f>
        <v>0</v>
      </c>
      <c r="M36" s="106">
        <f>L36*'1. Standard_Cost'!$F$4</f>
        <v>0</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107"/>
      <c r="AA36" s="107"/>
      <c r="AB36" s="108">
        <f>+Z36*'1. Standard_Cost'!$B$23+AA36*'1. Standard_Cost'!$C$23</f>
        <v>0</v>
      </c>
      <c r="AC36" s="109"/>
      <c r="AD36" s="110"/>
      <c r="AE36" s="108">
        <f>SUM(AD36,AC36,AB36,Y36,U36,T36,S36,R36)*'1. Standard_Cost'!$B$31</f>
        <v>0</v>
      </c>
      <c r="AF36" s="108">
        <f t="shared" si="74"/>
        <v>0</v>
      </c>
      <c r="AG36" s="207"/>
      <c r="AH36" s="207"/>
      <c r="AI36" s="207"/>
      <c r="AJ36" s="210"/>
      <c r="AK36" s="210"/>
      <c r="AL36" s="210"/>
      <c r="AM36" s="108">
        <f>AG36*'1. Standard_Cost'!$B$27+'Incremental_Cost Year 1'!AH36*'1. Standard_Cost'!$C$27+'Incremental_Cost Year 1'!AI36*'1. Standard_Cost'!$D$27+'Incremental_Cost Year 1'!AJ36+'Incremental_Cost Year 1'!AL36+AK36</f>
        <v>0</v>
      </c>
      <c r="AN36" s="108">
        <f>AM36*'1. Standard_Cost'!$C$31</f>
        <v>0</v>
      </c>
      <c r="AO36" s="125" t="s">
        <v>290</v>
      </c>
      <c r="AQ36" s="14">
        <f t="shared" si="75"/>
        <v>0</v>
      </c>
      <c r="AR36" s="14">
        <f t="shared" si="76"/>
        <v>0</v>
      </c>
      <c r="AS36" s="14">
        <f t="shared" si="77"/>
        <v>0</v>
      </c>
      <c r="AT36" s="14">
        <f t="shared" ref="AT36:AT38" si="85">SUM(AQ36,AR36,AS36)</f>
        <v>0</v>
      </c>
      <c r="AU36" s="15"/>
      <c r="AV36" s="15"/>
      <c r="AW36" s="15"/>
      <c r="AX36" s="15"/>
      <c r="AY36" s="15"/>
      <c r="AZ36" s="15"/>
      <c r="BA36" s="15"/>
      <c r="BB36" s="16">
        <f t="shared" si="78"/>
        <v>0</v>
      </c>
    </row>
    <row r="37" spans="1:54" ht="124.8" outlineLevel="2">
      <c r="A37" s="98"/>
      <c r="B37" s="143"/>
      <c r="C37" s="144"/>
      <c r="D37" s="152"/>
      <c r="E37" s="152"/>
      <c r="F37" s="152"/>
      <c r="G37" s="153"/>
      <c r="H37" s="302" t="s">
        <v>673</v>
      </c>
      <c r="I37" s="104"/>
      <c r="J37" s="105"/>
      <c r="K37" s="105"/>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107"/>
      <c r="AA37" s="107"/>
      <c r="AB37" s="108">
        <f>+Z37*'1. Standard_Cost'!$B$23+AA37*'1. Standard_Cost'!$C$23</f>
        <v>0</v>
      </c>
      <c r="AC37" s="109"/>
      <c r="AD37" s="110"/>
      <c r="AE37" s="108">
        <f>SUM(AD37,AC37,AB37,Y37,U37,T37,S37,R37)*'1. Standard_Cost'!$B$31</f>
        <v>0</v>
      </c>
      <c r="AF37" s="108">
        <f t="shared" si="74"/>
        <v>0</v>
      </c>
      <c r="AG37" s="207"/>
      <c r="AH37" s="207"/>
      <c r="AI37" s="207"/>
      <c r="AJ37" s="210"/>
      <c r="AK37" s="210"/>
      <c r="AL37" s="210"/>
      <c r="AM37" s="108">
        <f>AG37*'1. Standard_Cost'!$B$27+'Incremental_Cost Year 1'!AH37*'1. Standard_Cost'!$C$27+'Incremental_Cost Year 1'!AI37*'1. Standard_Cost'!$D$27+'Incremental_Cost Year 1'!AJ37+'Incremental_Cost Year 1'!AL37+AK37</f>
        <v>0</v>
      </c>
      <c r="AN37" s="108">
        <f>AM37*'1. Standard_Cost'!$C$31</f>
        <v>0</v>
      </c>
      <c r="AO37" s="125" t="s">
        <v>291</v>
      </c>
      <c r="AQ37" s="14">
        <f t="shared" si="75"/>
        <v>0</v>
      </c>
      <c r="AR37" s="14">
        <f t="shared" si="76"/>
        <v>0</v>
      </c>
      <c r="AS37" s="14">
        <f t="shared" si="77"/>
        <v>0</v>
      </c>
      <c r="AT37" s="14">
        <f t="shared" si="85"/>
        <v>0</v>
      </c>
      <c r="AU37" s="15"/>
      <c r="AV37" s="15"/>
      <c r="AW37" s="15"/>
      <c r="AX37" s="15"/>
      <c r="AY37" s="15"/>
      <c r="AZ37" s="15"/>
      <c r="BA37" s="15"/>
      <c r="BB37" s="16">
        <f t="shared" si="78"/>
        <v>0</v>
      </c>
    </row>
    <row r="38" spans="1:54" ht="78" outlineLevel="2">
      <c r="A38" s="98"/>
      <c r="B38" s="143"/>
      <c r="C38" s="144"/>
      <c r="D38" s="152"/>
      <c r="E38" s="152"/>
      <c r="F38" s="152"/>
      <c r="G38" s="153"/>
      <c r="H38" s="302" t="s">
        <v>585</v>
      </c>
      <c r="I38" s="104"/>
      <c r="J38" s="105"/>
      <c r="K38" s="105"/>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107"/>
      <c r="AA38" s="107"/>
      <c r="AB38" s="108">
        <f>+Z38*'1. Standard_Cost'!$B$23+AA38*'1. Standard_Cost'!$C$23</f>
        <v>0</v>
      </c>
      <c r="AC38" s="201">
        <v>1700000</v>
      </c>
      <c r="AD38" s="110"/>
      <c r="AE38" s="108">
        <f>SUM(AD38,AC38,AB38,Y38,U38,T38,S38,R38)*'1. Standard_Cost'!$B$31</f>
        <v>340000</v>
      </c>
      <c r="AF38" s="108">
        <f t="shared" si="74"/>
        <v>2040000</v>
      </c>
      <c r="AG38" s="207"/>
      <c r="AH38" s="207"/>
      <c r="AI38" s="207"/>
      <c r="AJ38" s="210"/>
      <c r="AK38" s="210"/>
      <c r="AL38" s="210"/>
      <c r="AM38" s="108">
        <f>AG38*'1. Standard_Cost'!$B$27+'Incremental_Cost Year 1'!AH38*'1. Standard_Cost'!$C$27+'Incremental_Cost Year 1'!AI38*'1. Standard_Cost'!$D$27+'Incremental_Cost Year 1'!AJ38+'Incremental_Cost Year 1'!AL38+AK38</f>
        <v>0</v>
      </c>
      <c r="AN38" s="108">
        <f>AM38*'1. Standard_Cost'!$C$31</f>
        <v>0</v>
      </c>
      <c r="AO38" s="125" t="s">
        <v>292</v>
      </c>
      <c r="AQ38" s="14">
        <f t="shared" si="75"/>
        <v>0</v>
      </c>
      <c r="AR38" s="14">
        <f t="shared" si="76"/>
        <v>2040000</v>
      </c>
      <c r="AS38" s="14">
        <f t="shared" si="77"/>
        <v>0</v>
      </c>
      <c r="AT38" s="14">
        <f t="shared" si="85"/>
        <v>2040000</v>
      </c>
      <c r="AU38" s="15"/>
      <c r="AV38" s="15"/>
      <c r="AW38" s="15"/>
      <c r="AX38" s="15"/>
      <c r="AY38" s="15"/>
      <c r="AZ38" s="15"/>
      <c r="BA38" s="15"/>
      <c r="BB38" s="16">
        <f t="shared" si="78"/>
        <v>-2040000</v>
      </c>
    </row>
    <row r="39" spans="1:54" ht="156" outlineLevel="1">
      <c r="A39" s="98"/>
      <c r="B39" s="143"/>
      <c r="C39" s="144"/>
      <c r="D39" s="145" t="s">
        <v>628</v>
      </c>
      <c r="E39" s="145" t="s">
        <v>212</v>
      </c>
      <c r="F39" s="146">
        <v>2021</v>
      </c>
      <c r="G39" s="147">
        <v>2026</v>
      </c>
      <c r="H39" s="287" t="s">
        <v>214</v>
      </c>
      <c r="I39" s="112"/>
      <c r="J39" s="112"/>
      <c r="K39" s="112"/>
      <c r="L39" s="113">
        <f>SUM(L33:L38)</f>
        <v>0</v>
      </c>
      <c r="M39" s="113">
        <f>SUM(M33:M38)</f>
        <v>0</v>
      </c>
      <c r="N39" s="112"/>
      <c r="O39" s="112"/>
      <c r="P39" s="112"/>
      <c r="Q39" s="112"/>
      <c r="R39" s="113">
        <f t="shared" ref="R39:U39" si="86">SUM(R33:R38)</f>
        <v>0</v>
      </c>
      <c r="S39" s="113">
        <f t="shared" si="86"/>
        <v>0</v>
      </c>
      <c r="T39" s="113">
        <f t="shared" si="86"/>
        <v>0</v>
      </c>
      <c r="U39" s="113">
        <f t="shared" si="86"/>
        <v>0</v>
      </c>
      <c r="V39" s="112"/>
      <c r="W39" s="112"/>
      <c r="X39" s="112"/>
      <c r="Y39" s="113">
        <f>SUM(Y33:Y38)</f>
        <v>0</v>
      </c>
      <c r="Z39" s="112"/>
      <c r="AA39" s="112"/>
      <c r="AB39" s="113">
        <f>SUM(AB33:AB38)</f>
        <v>0</v>
      </c>
      <c r="AC39" s="113">
        <f t="shared" ref="AC39:AF39" si="87">SUM(AC33:AC38)</f>
        <v>1700000</v>
      </c>
      <c r="AD39" s="113">
        <f t="shared" si="87"/>
        <v>0</v>
      </c>
      <c r="AE39" s="113">
        <f t="shared" si="87"/>
        <v>340000</v>
      </c>
      <c r="AF39" s="113">
        <f t="shared" si="87"/>
        <v>2040000</v>
      </c>
      <c r="AG39" s="211"/>
      <c r="AH39" s="211"/>
      <c r="AI39" s="211"/>
      <c r="AJ39" s="212">
        <f t="shared" ref="AJ39:AN39" si="88">SUM(AJ33:AJ38)</f>
        <v>0</v>
      </c>
      <c r="AK39" s="212">
        <f t="shared" si="88"/>
        <v>0</v>
      </c>
      <c r="AL39" s="212">
        <f t="shared" si="88"/>
        <v>0</v>
      </c>
      <c r="AM39" s="113">
        <f t="shared" si="88"/>
        <v>0</v>
      </c>
      <c r="AN39" s="113">
        <f t="shared" si="88"/>
        <v>0</v>
      </c>
      <c r="AO39" s="131"/>
      <c r="AP39" s="17"/>
      <c r="AQ39" s="113">
        <f t="shared" ref="AQ39:AT39" si="89">SUM(AQ33:AQ38)</f>
        <v>0</v>
      </c>
      <c r="AR39" s="113">
        <f t="shared" si="89"/>
        <v>2040000</v>
      </c>
      <c r="AS39" s="113">
        <f t="shared" si="89"/>
        <v>0</v>
      </c>
      <c r="AT39" s="113">
        <f t="shared" si="89"/>
        <v>2040000</v>
      </c>
      <c r="AU39" s="113">
        <f t="shared" ref="AU39:BB39" si="90">SUM(AU33:AU38)</f>
        <v>0</v>
      </c>
      <c r="AV39" s="113">
        <f t="shared" si="90"/>
        <v>0</v>
      </c>
      <c r="AW39" s="113">
        <f t="shared" si="90"/>
        <v>0</v>
      </c>
      <c r="AX39" s="113">
        <f t="shared" si="90"/>
        <v>0</v>
      </c>
      <c r="AY39" s="113">
        <f t="shared" si="90"/>
        <v>0</v>
      </c>
      <c r="AZ39" s="113">
        <f t="shared" si="90"/>
        <v>0</v>
      </c>
      <c r="BA39" s="113">
        <f t="shared" si="90"/>
        <v>0</v>
      </c>
      <c r="BB39" s="113">
        <f t="shared" si="90"/>
        <v>-2040000</v>
      </c>
    </row>
    <row r="40" spans="1:54" s="24" customFormat="1">
      <c r="A40" s="114"/>
      <c r="B40" s="115"/>
      <c r="C40" s="314" t="s">
        <v>192</v>
      </c>
      <c r="D40" s="314"/>
      <c r="E40" s="315"/>
      <c r="F40" s="44"/>
      <c r="G40" s="44"/>
      <c r="H40" s="278" t="s">
        <v>184</v>
      </c>
      <c r="I40" s="116"/>
      <c r="J40" s="116"/>
      <c r="K40" s="116"/>
      <c r="L40" s="117">
        <f>SUM(L59,L79)</f>
        <v>7496925</v>
      </c>
      <c r="M40" s="117">
        <f>SUM(M59,M79)</f>
        <v>1251986.4750000001</v>
      </c>
      <c r="N40" s="116"/>
      <c r="O40" s="116"/>
      <c r="P40" s="116"/>
      <c r="Q40" s="116"/>
      <c r="R40" s="117">
        <f t="shared" ref="R40:U40" si="91">SUM(R59,R79)</f>
        <v>180000</v>
      </c>
      <c r="S40" s="117">
        <f t="shared" si="91"/>
        <v>135000</v>
      </c>
      <c r="T40" s="117">
        <f t="shared" si="91"/>
        <v>0</v>
      </c>
      <c r="U40" s="117">
        <f t="shared" si="91"/>
        <v>240000</v>
      </c>
      <c r="V40" s="116"/>
      <c r="W40" s="116"/>
      <c r="X40" s="116"/>
      <c r="Y40" s="117">
        <f>SUM(Y59,Y79)</f>
        <v>0</v>
      </c>
      <c r="Z40" s="116"/>
      <c r="AA40" s="116"/>
      <c r="AB40" s="117">
        <f t="shared" ref="AB40:AF40" si="92">SUM(AB59,AB79)</f>
        <v>1691000</v>
      </c>
      <c r="AC40" s="117">
        <f t="shared" si="92"/>
        <v>15178477.24</v>
      </c>
      <c r="AD40" s="117">
        <f t="shared" si="92"/>
        <v>500000</v>
      </c>
      <c r="AE40" s="117">
        <f t="shared" si="92"/>
        <v>3584895.4479999999</v>
      </c>
      <c r="AF40" s="117">
        <f t="shared" si="92"/>
        <v>21509372.688000001</v>
      </c>
      <c r="AG40" s="213"/>
      <c r="AH40" s="213"/>
      <c r="AI40" s="213"/>
      <c r="AJ40" s="214">
        <f t="shared" ref="AJ40:AN40" si="93">SUM(AJ59,AJ79)</f>
        <v>0</v>
      </c>
      <c r="AK40" s="214">
        <f t="shared" si="93"/>
        <v>0</v>
      </c>
      <c r="AL40" s="214">
        <f t="shared" si="93"/>
        <v>0</v>
      </c>
      <c r="AM40" s="117">
        <f t="shared" si="93"/>
        <v>0</v>
      </c>
      <c r="AN40" s="117">
        <f t="shared" si="93"/>
        <v>0</v>
      </c>
      <c r="AO40" s="132"/>
      <c r="AP40" s="25"/>
      <c r="AQ40" s="117">
        <f t="shared" ref="AQ40:BB40" si="94">SUM(AQ59,AQ79)</f>
        <v>8748911.4749999996</v>
      </c>
      <c r="AR40" s="117">
        <f t="shared" si="94"/>
        <v>21509372.688000001</v>
      </c>
      <c r="AS40" s="117">
        <f t="shared" si="94"/>
        <v>0</v>
      </c>
      <c r="AT40" s="117">
        <f t="shared" si="94"/>
        <v>30258284.163000003</v>
      </c>
      <c r="AU40" s="117">
        <f t="shared" si="94"/>
        <v>16723673</v>
      </c>
      <c r="AV40" s="117">
        <f t="shared" si="94"/>
        <v>0</v>
      </c>
      <c r="AW40" s="117">
        <f t="shared" si="94"/>
        <v>0</v>
      </c>
      <c r="AX40" s="117">
        <f t="shared" si="94"/>
        <v>570000</v>
      </c>
      <c r="AY40" s="117">
        <f t="shared" si="94"/>
        <v>0</v>
      </c>
      <c r="AZ40" s="117">
        <f t="shared" si="94"/>
        <v>5962800</v>
      </c>
      <c r="BA40" s="117">
        <f t="shared" si="94"/>
        <v>5712757</v>
      </c>
      <c r="BB40" s="117">
        <f t="shared" si="94"/>
        <v>-1289054.1630000002</v>
      </c>
    </row>
    <row r="41" spans="1:54" ht="93.6" outlineLevel="2">
      <c r="A41" s="98"/>
      <c r="B41" s="102"/>
      <c r="C41" s="23"/>
      <c r="D41" s="103"/>
      <c r="E41" s="103"/>
      <c r="F41" s="55"/>
      <c r="G41" s="54"/>
      <c r="H41" s="302" t="s">
        <v>589</v>
      </c>
      <c r="I41" s="204"/>
      <c r="J41" s="205"/>
      <c r="K41" s="205"/>
      <c r="L41" s="106" t="str">
        <f>IF(I41&lt;&gt;0,((VLOOKUP(I41,'1. Standard_Cost'!$B$4:$D$11,2)+VLOOKUP(I41,'1. Standard_Cost'!$B$4:$D$11,3))*J41*K41),"0")</f>
        <v>0</v>
      </c>
      <c r="M41" s="106">
        <f>L41*'1. Standard_Cost'!$F$4</f>
        <v>0</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206"/>
      <c r="AA41" s="206"/>
      <c r="AB41" s="108">
        <f>+Z41*'1. Standard_Cost'!$B$23+AA41*'1. Standard_Cost'!$C$23</f>
        <v>0</v>
      </c>
      <c r="AC41" s="208"/>
      <c r="AD41" s="209"/>
      <c r="AE41" s="108">
        <f>SUM(AD41,AC41,AB41,Y41,U41,T41,S41,R41)*'1. Standard_Cost'!$B$31</f>
        <v>0</v>
      </c>
      <c r="AF41" s="108">
        <f t="shared" ref="AF41:AF58" si="95">SUM(AE41,AD41,AC41,AB41,Y41,U41,T41,S41,R41)</f>
        <v>0</v>
      </c>
      <c r="AG41" s="215"/>
      <c r="AH41" s="215"/>
      <c r="AI41" s="215"/>
      <c r="AJ41" s="216"/>
      <c r="AK41" s="216"/>
      <c r="AL41" s="216"/>
      <c r="AM41" s="108">
        <f>AG41*'1. Standard_Cost'!$B$27+'Incremental_Cost Year 1'!AH41*'1. Standard_Cost'!$C$27+'Incremental_Cost Year 1'!AI41*'1. Standard_Cost'!$D$27+'Incremental_Cost Year 1'!AJ41+'Incremental_Cost Year 1'!AL41+AK41</f>
        <v>0</v>
      </c>
      <c r="AN41" s="108">
        <f>AM41*'1. Standard_Cost'!$C$31</f>
        <v>0</v>
      </c>
      <c r="AO41" s="125" t="s">
        <v>293</v>
      </c>
      <c r="AQ41" s="14">
        <f t="shared" ref="AQ41:AQ58" si="96">L41+M41</f>
        <v>0</v>
      </c>
      <c r="AR41" s="14">
        <f t="shared" ref="AR41:AR58" si="97">AF41</f>
        <v>0</v>
      </c>
      <c r="AS41" s="14">
        <f t="shared" ref="AS41:AS58" si="98">AM41+AN41</f>
        <v>0</v>
      </c>
      <c r="AT41" s="14">
        <f>SUM(AQ41,AR41,AS41)</f>
        <v>0</v>
      </c>
      <c r="AU41" s="217"/>
      <c r="AV41" s="217"/>
      <c r="AW41" s="217"/>
      <c r="AX41" s="217"/>
      <c r="AY41" s="217"/>
      <c r="AZ41" s="217"/>
      <c r="BA41" s="217"/>
      <c r="BB41" s="16">
        <f t="shared" ref="BB41:BB58" si="99">SUM(AU41:BA41)-AT41</f>
        <v>0</v>
      </c>
    </row>
    <row r="42" spans="1:54" ht="93.6" outlineLevel="2">
      <c r="A42" s="98"/>
      <c r="B42" s="102"/>
      <c r="C42" s="23"/>
      <c r="D42" s="55"/>
      <c r="E42" s="55"/>
      <c r="F42" s="55"/>
      <c r="G42" s="54"/>
      <c r="H42" s="302" t="s">
        <v>590</v>
      </c>
      <c r="I42" s="204"/>
      <c r="J42" s="205"/>
      <c r="K42" s="205"/>
      <c r="L42" s="106" t="str">
        <f>IF(I42&lt;&gt;0,((VLOOKUP(I42,'1. Standard_Cost'!$B$4:$D$11,2)+VLOOKUP(I42,'1. Standard_Cost'!$B$4:$D$11,3))*J42*K42),"0")</f>
        <v>0</v>
      </c>
      <c r="M42" s="106">
        <f>L42*'1. Standard_Cost'!$F$4</f>
        <v>0</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206"/>
      <c r="AA42" s="206"/>
      <c r="AB42" s="108">
        <f>+Z42*'1. Standard_Cost'!$B$23+AA42*'1. Standard_Cost'!$C$23</f>
        <v>0</v>
      </c>
      <c r="AC42" s="208"/>
      <c r="AD42" s="209"/>
      <c r="AE42" s="108">
        <f>SUM(AD42,AC42,AB42,Y42,U42,T42,S42,R42)*'1. Standard_Cost'!$B$31</f>
        <v>0</v>
      </c>
      <c r="AF42" s="108">
        <f t="shared" si="95"/>
        <v>0</v>
      </c>
      <c r="AG42" s="215"/>
      <c r="AH42" s="215"/>
      <c r="AI42" s="215"/>
      <c r="AJ42" s="216"/>
      <c r="AK42" s="216"/>
      <c r="AL42" s="216"/>
      <c r="AM42" s="108">
        <f>AG42*'1. Standard_Cost'!$B$27+'Incremental_Cost Year 1'!AH42*'1. Standard_Cost'!$C$27+'Incremental_Cost Year 1'!AI42*'1. Standard_Cost'!$D$27+'Incremental_Cost Year 1'!AJ42+'Incremental_Cost Year 1'!AL42+AK42</f>
        <v>0</v>
      </c>
      <c r="AN42" s="108">
        <f>AM42*'1. Standard_Cost'!$C$31</f>
        <v>0</v>
      </c>
      <c r="AO42" s="125" t="s">
        <v>294</v>
      </c>
      <c r="AQ42" s="14">
        <f t="shared" si="96"/>
        <v>0</v>
      </c>
      <c r="AR42" s="14">
        <f t="shared" si="97"/>
        <v>0</v>
      </c>
      <c r="AS42" s="14">
        <f t="shared" si="98"/>
        <v>0</v>
      </c>
      <c r="AT42" s="14">
        <f t="shared" ref="AT42:AT57" si="100">SUM(AQ42,AR42,AS42)</f>
        <v>0</v>
      </c>
      <c r="AU42" s="217"/>
      <c r="AV42" s="217">
        <v>0</v>
      </c>
      <c r="AW42" s="217"/>
      <c r="AX42" s="217"/>
      <c r="AY42" s="217"/>
      <c r="AZ42" s="217"/>
      <c r="BA42" s="217"/>
      <c r="BB42" s="16">
        <f t="shared" si="99"/>
        <v>0</v>
      </c>
    </row>
    <row r="43" spans="1:54" ht="124.8" outlineLevel="2">
      <c r="A43" s="98"/>
      <c r="B43" s="102"/>
      <c r="C43" s="23"/>
      <c r="D43" s="55"/>
      <c r="E43" s="55"/>
      <c r="F43" s="55"/>
      <c r="G43" s="54"/>
      <c r="H43" s="302" t="s">
        <v>591</v>
      </c>
      <c r="I43" s="204"/>
      <c r="J43" s="205"/>
      <c r="K43" s="205"/>
      <c r="L43" s="106" t="str">
        <f>IF(I43&lt;&gt;0,((VLOOKUP(I43,'1. Standard_Cost'!$B$4:$D$11,2)+VLOOKUP(I43,'1. Standard_Cost'!$B$4:$D$11,3))*J43*K43),"0")</f>
        <v>0</v>
      </c>
      <c r="M43" s="106">
        <f>L43*'1. Standard_Cost'!$F$4</f>
        <v>0</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206"/>
      <c r="AA43" s="206"/>
      <c r="AB43" s="108">
        <f>+Z43*'1. Standard_Cost'!$B$23+AA43*'1. Standard_Cost'!$C$23</f>
        <v>0</v>
      </c>
      <c r="AC43" s="208"/>
      <c r="AD43" s="209"/>
      <c r="AE43" s="108">
        <f>SUM(AD43,AC43,AB43,Y43,U43,T43,S43,R43)*'1. Standard_Cost'!$B$31</f>
        <v>0</v>
      </c>
      <c r="AF43" s="108">
        <f t="shared" si="95"/>
        <v>0</v>
      </c>
      <c r="AG43" s="215"/>
      <c r="AH43" s="215"/>
      <c r="AI43" s="215"/>
      <c r="AJ43" s="216"/>
      <c r="AK43" s="216"/>
      <c r="AL43" s="216"/>
      <c r="AM43" s="108">
        <f>AG43*'1. Standard_Cost'!$B$27+'Incremental_Cost Year 1'!AH43*'1. Standard_Cost'!$C$27+'Incremental_Cost Year 1'!AI43*'1. Standard_Cost'!$D$27+'Incremental_Cost Year 1'!AJ43+'Incremental_Cost Year 1'!AL43+AK43</f>
        <v>0</v>
      </c>
      <c r="AN43" s="108">
        <f>AM43*'1. Standard_Cost'!$C$31</f>
        <v>0</v>
      </c>
      <c r="AO43" s="125" t="s">
        <v>295</v>
      </c>
      <c r="AQ43" s="14">
        <f t="shared" si="96"/>
        <v>0</v>
      </c>
      <c r="AR43" s="14">
        <f t="shared" si="97"/>
        <v>0</v>
      </c>
      <c r="AS43" s="14">
        <f t="shared" si="98"/>
        <v>0</v>
      </c>
      <c r="AT43" s="14">
        <f t="shared" si="100"/>
        <v>0</v>
      </c>
      <c r="AU43" s="217"/>
      <c r="AV43" s="217">
        <v>0</v>
      </c>
      <c r="AW43" s="217"/>
      <c r="AX43" s="217"/>
      <c r="AY43" s="217"/>
      <c r="AZ43" s="217"/>
      <c r="BA43" s="217"/>
      <c r="BB43" s="16">
        <f t="shared" si="99"/>
        <v>0</v>
      </c>
    </row>
    <row r="44" spans="1:54" ht="82.8" outlineLevel="2">
      <c r="A44" s="98"/>
      <c r="B44" s="102"/>
      <c r="C44" s="23"/>
      <c r="D44" s="55"/>
      <c r="E44" s="55"/>
      <c r="F44" s="172"/>
      <c r="G44" s="173"/>
      <c r="H44" s="302" t="s">
        <v>674</v>
      </c>
      <c r="I44" s="204"/>
      <c r="J44" s="205"/>
      <c r="K44" s="205"/>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206"/>
      <c r="AA44" s="206"/>
      <c r="AB44" s="108">
        <f>+Z44*'1. Standard_Cost'!$B$23+AA44*'1. Standard_Cost'!$C$23</f>
        <v>0</v>
      </c>
      <c r="AC44" s="208"/>
      <c r="AD44" s="209"/>
      <c r="AE44" s="108">
        <f>SUM(AD44,AC44,AB44,Y44,U44,T44,S44,R44)*'1. Standard_Cost'!$B$31</f>
        <v>0</v>
      </c>
      <c r="AF44" s="108">
        <f t="shared" si="95"/>
        <v>0</v>
      </c>
      <c r="AG44" s="215"/>
      <c r="AH44" s="215"/>
      <c r="AI44" s="215"/>
      <c r="AJ44" s="216"/>
      <c r="AK44" s="216"/>
      <c r="AL44" s="216"/>
      <c r="AM44" s="108">
        <f>AG44*'1. Standard_Cost'!$B$27+'Incremental_Cost Year 1'!AH44*'1. Standard_Cost'!$C$27+'Incremental_Cost Year 1'!AI44*'1. Standard_Cost'!$D$27+'Incremental_Cost Year 1'!AJ44+'Incremental_Cost Year 1'!AL44+AK44</f>
        <v>0</v>
      </c>
      <c r="AN44" s="108">
        <f>AM44*'1. Standard_Cost'!$C$31</f>
        <v>0</v>
      </c>
      <c r="AO44" s="125" t="s">
        <v>296</v>
      </c>
      <c r="AQ44" s="14">
        <f t="shared" si="96"/>
        <v>0</v>
      </c>
      <c r="AR44" s="14">
        <f t="shared" si="97"/>
        <v>0</v>
      </c>
      <c r="AS44" s="14">
        <f t="shared" si="98"/>
        <v>0</v>
      </c>
      <c r="AT44" s="14">
        <f t="shared" si="100"/>
        <v>0</v>
      </c>
      <c r="AU44" s="217"/>
      <c r="AV44" s="217"/>
      <c r="AW44" s="217"/>
      <c r="AX44" s="217"/>
      <c r="AY44" s="217"/>
      <c r="AZ44" s="217"/>
      <c r="BA44" s="217"/>
      <c r="BB44" s="16">
        <f t="shared" si="99"/>
        <v>0</v>
      </c>
    </row>
    <row r="45" spans="1:54" ht="109.2" outlineLevel="2">
      <c r="A45" s="98"/>
      <c r="B45" s="102"/>
      <c r="C45" s="23"/>
      <c r="D45" s="55"/>
      <c r="E45" s="55"/>
      <c r="F45" s="55"/>
      <c r="G45" s="54"/>
      <c r="H45" s="302" t="s">
        <v>592</v>
      </c>
      <c r="I45" s="204"/>
      <c r="J45" s="205"/>
      <c r="K45" s="205"/>
      <c r="L45" s="106" t="str">
        <f>IF(I45&lt;&gt;0,((VLOOKUP(I45,'1. Standard_Cost'!$B$4:$D$11,2)+VLOOKUP(I45,'1. Standard_Cost'!$B$4:$D$11,3))*J45*K45),"0")</f>
        <v>0</v>
      </c>
      <c r="M45" s="106">
        <f>L45*'1. Standard_Cost'!$F$4</f>
        <v>0</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206"/>
      <c r="AA45" s="206"/>
      <c r="AB45" s="108">
        <f>+Z45*'1. Standard_Cost'!$B$23+AA45*'1. Standard_Cost'!$C$23</f>
        <v>0</v>
      </c>
      <c r="AC45" s="208"/>
      <c r="AD45" s="209"/>
      <c r="AE45" s="108">
        <f>SUM(AD45,AC45,AB45,Y45,U45,T45,S45,R45)*'1. Standard_Cost'!$B$31</f>
        <v>0</v>
      </c>
      <c r="AF45" s="108">
        <f t="shared" si="95"/>
        <v>0</v>
      </c>
      <c r="AG45" s="215"/>
      <c r="AH45" s="215"/>
      <c r="AI45" s="215"/>
      <c r="AJ45" s="216"/>
      <c r="AK45" s="216"/>
      <c r="AL45" s="216"/>
      <c r="AM45" s="108">
        <f>AG45*'1. Standard_Cost'!$B$27+'Incremental_Cost Year 1'!AH45*'1. Standard_Cost'!$C$27+'Incremental_Cost Year 1'!AI45*'1. Standard_Cost'!$D$27+'Incremental_Cost Year 1'!AJ45+'Incremental_Cost Year 1'!AL45+AK45</f>
        <v>0</v>
      </c>
      <c r="AN45" s="108">
        <f>AM45*'1. Standard_Cost'!$C$31</f>
        <v>0</v>
      </c>
      <c r="AO45" s="125" t="s">
        <v>297</v>
      </c>
      <c r="AQ45" s="14">
        <f t="shared" si="96"/>
        <v>0</v>
      </c>
      <c r="AR45" s="14">
        <f t="shared" si="97"/>
        <v>0</v>
      </c>
      <c r="AS45" s="14">
        <f t="shared" si="98"/>
        <v>0</v>
      </c>
      <c r="AT45" s="14">
        <f t="shared" si="100"/>
        <v>0</v>
      </c>
      <c r="AU45" s="217"/>
      <c r="AV45" s="217">
        <v>0</v>
      </c>
      <c r="AW45" s="217"/>
      <c r="AX45" s="217"/>
      <c r="AY45" s="217"/>
      <c r="AZ45" s="217"/>
      <c r="BA45" s="217"/>
      <c r="BB45" s="16">
        <f t="shared" si="99"/>
        <v>0</v>
      </c>
    </row>
    <row r="46" spans="1:54" ht="140.4" outlineLevel="2">
      <c r="A46" s="98"/>
      <c r="B46" s="102"/>
      <c r="C46" s="23"/>
      <c r="D46" s="55"/>
      <c r="E46" s="55"/>
      <c r="F46" s="55"/>
      <c r="G46" s="54"/>
      <c r="H46" s="302" t="s">
        <v>593</v>
      </c>
      <c r="I46" s="204"/>
      <c r="J46" s="205"/>
      <c r="K46" s="205"/>
      <c r="L46" s="106" t="str">
        <f>IF(I46&lt;&gt;0,((VLOOKUP(I46,'1. Standard_Cost'!$B$4:$D$11,2)+VLOOKUP(I46,'1. Standard_Cost'!$B$4:$D$11,3))*J46*K46),"0")</f>
        <v>0</v>
      </c>
      <c r="M46" s="106">
        <f>L46*'1. Standard_Cost'!$F$4</f>
        <v>0</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206"/>
      <c r="AA46" s="206"/>
      <c r="AB46" s="108">
        <f>+Z46*'1. Standard_Cost'!$B$23+AA46*'1. Standard_Cost'!$C$23</f>
        <v>0</v>
      </c>
      <c r="AC46" s="208"/>
      <c r="AD46" s="209"/>
      <c r="AE46" s="108">
        <f>SUM(AD46,AC46,AB46,Y46,U46,T46,S46,R46)*'1. Standard_Cost'!$B$31</f>
        <v>0</v>
      </c>
      <c r="AF46" s="108">
        <f t="shared" si="95"/>
        <v>0</v>
      </c>
      <c r="AG46" s="215"/>
      <c r="AH46" s="215"/>
      <c r="AI46" s="215"/>
      <c r="AJ46" s="216"/>
      <c r="AK46" s="216"/>
      <c r="AL46" s="216"/>
      <c r="AM46" s="108">
        <f>AG46*'1. Standard_Cost'!$B$27+'Incremental_Cost Year 1'!AH46*'1. Standard_Cost'!$C$27+'Incremental_Cost Year 1'!AI46*'1. Standard_Cost'!$D$27+'Incremental_Cost Year 1'!AJ46+'Incremental_Cost Year 1'!AL46+AK46</f>
        <v>0</v>
      </c>
      <c r="AN46" s="108">
        <f>AM46*'1. Standard_Cost'!$C$31</f>
        <v>0</v>
      </c>
      <c r="AO46" s="125" t="s">
        <v>298</v>
      </c>
      <c r="AQ46" s="14">
        <f t="shared" si="96"/>
        <v>0</v>
      </c>
      <c r="AR46" s="14">
        <f t="shared" si="97"/>
        <v>0</v>
      </c>
      <c r="AS46" s="14">
        <f t="shared" si="98"/>
        <v>0</v>
      </c>
      <c r="AT46" s="14">
        <f t="shared" si="100"/>
        <v>0</v>
      </c>
      <c r="AU46" s="217"/>
      <c r="AV46" s="217"/>
      <c r="AW46" s="217"/>
      <c r="AX46" s="217"/>
      <c r="AY46" s="217"/>
      <c r="AZ46" s="217"/>
      <c r="BA46" s="217"/>
      <c r="BB46" s="16">
        <f t="shared" si="99"/>
        <v>0</v>
      </c>
    </row>
    <row r="47" spans="1:54" ht="93.6" outlineLevel="2">
      <c r="A47" s="98"/>
      <c r="B47" s="102"/>
      <c r="C47" s="23"/>
      <c r="D47" s="55"/>
      <c r="E47" s="55"/>
      <c r="F47" s="172"/>
      <c r="G47" s="173"/>
      <c r="H47" s="302" t="s">
        <v>594</v>
      </c>
      <c r="I47" s="204"/>
      <c r="J47" s="205"/>
      <c r="K47" s="205"/>
      <c r="L47" s="106" t="str">
        <f>IF(I47&lt;&gt;0,((VLOOKUP(I47,'1. Standard_Cost'!$B$4:$D$11,2)+VLOOKUP(I47,'1. Standard_Cost'!$B$4:$D$11,3))*J47*K47),"0")</f>
        <v>0</v>
      </c>
      <c r="M47" s="106">
        <f>L47*'1. Standard_Cost'!$F$4</f>
        <v>0</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206"/>
      <c r="AA47" s="206"/>
      <c r="AB47" s="108">
        <f>+Z47*'1. Standard_Cost'!$B$23+AA47*'1. Standard_Cost'!$C$23</f>
        <v>0</v>
      </c>
      <c r="AC47" s="208"/>
      <c r="AD47" s="209"/>
      <c r="AE47" s="108">
        <f>SUM(AD47,AC47,AB47,Y47,U47,T47,S47,R47)*'1. Standard_Cost'!$B$31</f>
        <v>0</v>
      </c>
      <c r="AF47" s="108">
        <f t="shared" si="95"/>
        <v>0</v>
      </c>
      <c r="AG47" s="215"/>
      <c r="AH47" s="215"/>
      <c r="AI47" s="215"/>
      <c r="AJ47" s="216"/>
      <c r="AK47" s="216"/>
      <c r="AL47" s="216"/>
      <c r="AM47" s="108">
        <f>AG47*'1. Standard_Cost'!$B$27+'Incremental_Cost Year 1'!AH47*'1. Standard_Cost'!$C$27+'Incremental_Cost Year 1'!AI47*'1. Standard_Cost'!$D$27+'Incremental_Cost Year 1'!AJ47+'Incremental_Cost Year 1'!AL47+AK47</f>
        <v>0</v>
      </c>
      <c r="AN47" s="108">
        <f>AM47*'1. Standard_Cost'!$C$31</f>
        <v>0</v>
      </c>
      <c r="AO47" s="125" t="s">
        <v>298</v>
      </c>
      <c r="AQ47" s="14">
        <f t="shared" si="96"/>
        <v>0</v>
      </c>
      <c r="AR47" s="14">
        <f t="shared" si="97"/>
        <v>0</v>
      </c>
      <c r="AS47" s="14">
        <f t="shared" si="98"/>
        <v>0</v>
      </c>
      <c r="AT47" s="14">
        <f t="shared" si="100"/>
        <v>0</v>
      </c>
      <c r="AU47" s="217"/>
      <c r="AV47" s="217">
        <v>0</v>
      </c>
      <c r="AW47" s="217"/>
      <c r="AX47" s="217"/>
      <c r="AY47" s="217"/>
      <c r="AZ47" s="217"/>
      <c r="BA47" s="217"/>
      <c r="BB47" s="16">
        <f t="shared" si="99"/>
        <v>0</v>
      </c>
    </row>
    <row r="48" spans="1:54" ht="93.6" outlineLevel="2">
      <c r="A48" s="98"/>
      <c r="B48" s="102"/>
      <c r="C48" s="23"/>
      <c r="D48" s="55"/>
      <c r="E48" s="55"/>
      <c r="F48" s="172"/>
      <c r="G48" s="173"/>
      <c r="H48" s="302" t="s">
        <v>595</v>
      </c>
      <c r="I48" s="204" t="s">
        <v>3</v>
      </c>
      <c r="J48" s="205">
        <v>1.2</v>
      </c>
      <c r="K48" s="205">
        <v>5</v>
      </c>
      <c r="L48" s="106">
        <f>IF(I48&lt;&gt;0,((VLOOKUP(I48,'1. Standard_Cost'!$B$4:$D$11,2)+VLOOKUP(I48,'1. Standard_Cost'!$B$4:$D$11,3))*J48*K48),"0")</f>
        <v>604800</v>
      </c>
      <c r="M48" s="106">
        <f>L48*'1. Standard_Cost'!$F$4</f>
        <v>101001.60000000001</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206"/>
      <c r="AA48" s="206">
        <v>5</v>
      </c>
      <c r="AB48" s="108">
        <f>+Z48*'1. Standard_Cost'!$B$23+AA48*'1. Standard_Cost'!$C$23</f>
        <v>95000</v>
      </c>
      <c r="AC48" s="208">
        <v>84696.239999999991</v>
      </c>
      <c r="AD48" s="209"/>
      <c r="AE48" s="108">
        <f>SUM(AD48,AC48,AB48,Y48,U48,T48,S48,R48)*'1. Standard_Cost'!$B$31</f>
        <v>35939.248</v>
      </c>
      <c r="AF48" s="108">
        <f t="shared" si="95"/>
        <v>215635.48799999998</v>
      </c>
      <c r="AG48" s="215"/>
      <c r="AH48" s="215"/>
      <c r="AI48" s="215"/>
      <c r="AJ48" s="216"/>
      <c r="AK48" s="216"/>
      <c r="AL48" s="216"/>
      <c r="AM48" s="108">
        <f>AG48*'1. Standard_Cost'!$B$27+'Incremental_Cost Year 1'!AH48*'1. Standard_Cost'!$C$27+'Incremental_Cost Year 1'!AI48*'1. Standard_Cost'!$D$27+'Incremental_Cost Year 1'!AJ48+'Incremental_Cost Year 1'!AL48+AK48</f>
        <v>0</v>
      </c>
      <c r="AN48" s="108">
        <f>AM48*'1. Standard_Cost'!$C$31</f>
        <v>0</v>
      </c>
      <c r="AO48" s="125" t="s">
        <v>298</v>
      </c>
      <c r="AQ48" s="14">
        <f t="shared" si="96"/>
        <v>705801.6</v>
      </c>
      <c r="AR48" s="14">
        <f t="shared" si="97"/>
        <v>215635.48799999998</v>
      </c>
      <c r="AS48" s="14">
        <f t="shared" si="98"/>
        <v>0</v>
      </c>
      <c r="AT48" s="14">
        <f t="shared" si="100"/>
        <v>921437.08799999999</v>
      </c>
      <c r="AU48" s="217">
        <v>807437</v>
      </c>
      <c r="AV48" s="217"/>
      <c r="AW48" s="217"/>
      <c r="AX48" s="217"/>
      <c r="AY48" s="217"/>
      <c r="AZ48" s="217"/>
      <c r="BA48" s="217"/>
      <c r="BB48" s="16">
        <f t="shared" si="99"/>
        <v>-114000.08799999999</v>
      </c>
    </row>
    <row r="49" spans="1:54" ht="124.8" outlineLevel="2">
      <c r="A49" s="98"/>
      <c r="B49" s="102"/>
      <c r="C49" s="23"/>
      <c r="D49" s="55"/>
      <c r="E49" s="55"/>
      <c r="F49" s="55"/>
      <c r="G49" s="54"/>
      <c r="H49" s="302" t="s">
        <v>596</v>
      </c>
      <c r="I49" s="204"/>
      <c r="J49" s="205"/>
      <c r="K49" s="205"/>
      <c r="L49" s="106" t="str">
        <f>IF(I49&lt;&gt;0,((VLOOKUP(I49,'1. Standard_Cost'!$B$4:$D$11,2)+VLOOKUP(I49,'1. Standard_Cost'!$B$4:$D$11,3))*J49*K49),"0")</f>
        <v>0</v>
      </c>
      <c r="M49" s="106">
        <f>L49*'1. Standard_Cost'!$F$4</f>
        <v>0</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206"/>
      <c r="AA49" s="206"/>
      <c r="AB49" s="108">
        <f>+Z49*'1. Standard_Cost'!$B$23+AA49*'1. Standard_Cost'!$C$23</f>
        <v>0</v>
      </c>
      <c r="AC49" s="208"/>
      <c r="AD49" s="209"/>
      <c r="AE49" s="108">
        <f>SUM(AD49,AC49,AB49,Y49,U49,T49,S49,R49)*'1. Standard_Cost'!$B$31</f>
        <v>0</v>
      </c>
      <c r="AF49" s="108">
        <f t="shared" si="95"/>
        <v>0</v>
      </c>
      <c r="AG49" s="215"/>
      <c r="AH49" s="215"/>
      <c r="AI49" s="215"/>
      <c r="AJ49" s="216"/>
      <c r="AK49" s="216"/>
      <c r="AL49" s="216"/>
      <c r="AM49" s="108">
        <f>AG49*'1. Standard_Cost'!$B$27+'Incremental_Cost Year 1'!AH49*'1. Standard_Cost'!$C$27+'Incremental_Cost Year 1'!AI49*'1. Standard_Cost'!$D$27+'Incremental_Cost Year 1'!AJ49+'Incremental_Cost Year 1'!AL49+AK49</f>
        <v>0</v>
      </c>
      <c r="AN49" s="108">
        <f>AM49*'1. Standard_Cost'!$C$31</f>
        <v>0</v>
      </c>
      <c r="AO49" s="125" t="s">
        <v>299</v>
      </c>
      <c r="AQ49" s="14">
        <f t="shared" si="96"/>
        <v>0</v>
      </c>
      <c r="AR49" s="14">
        <f t="shared" si="97"/>
        <v>0</v>
      </c>
      <c r="AS49" s="14">
        <f t="shared" si="98"/>
        <v>0</v>
      </c>
      <c r="AT49" s="14">
        <f t="shared" si="100"/>
        <v>0</v>
      </c>
      <c r="AU49" s="217"/>
      <c r="AV49" s="217">
        <v>0</v>
      </c>
      <c r="AW49" s="217"/>
      <c r="AX49" s="217"/>
      <c r="AY49" s="217"/>
      <c r="AZ49" s="217"/>
      <c r="BA49" s="217"/>
      <c r="BB49" s="16">
        <f t="shared" si="99"/>
        <v>0</v>
      </c>
    </row>
    <row r="50" spans="1:54" ht="140.4" outlineLevel="2">
      <c r="A50" s="98"/>
      <c r="B50" s="102"/>
      <c r="C50" s="23"/>
      <c r="D50" s="55"/>
      <c r="E50" s="55"/>
      <c r="F50" s="172"/>
      <c r="G50" s="173"/>
      <c r="H50" s="302" t="s">
        <v>597</v>
      </c>
      <c r="I50" s="204"/>
      <c r="J50" s="205"/>
      <c r="K50" s="205"/>
      <c r="L50" s="106" t="str">
        <f>IF(I50&lt;&gt;0,((VLOOKUP(I50,'1. Standard_Cost'!$B$4:$D$11,2)+VLOOKUP(I50,'1. Standard_Cost'!$B$4:$D$11,3))*J50*K50),"0")</f>
        <v>0</v>
      </c>
      <c r="M50" s="106">
        <f>L50*'1. Standard_Cost'!$F$4</f>
        <v>0</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206"/>
      <c r="AA50" s="206"/>
      <c r="AB50" s="108">
        <f>+Z50*'1. Standard_Cost'!$B$23+AA50*'1. Standard_Cost'!$C$23</f>
        <v>0</v>
      </c>
      <c r="AC50" s="208"/>
      <c r="AD50" s="209"/>
      <c r="AE50" s="108">
        <f>SUM(AD50,AC50,AB50,Y50,U50,T50,S50,R50)*'1. Standard_Cost'!$B$31</f>
        <v>0</v>
      </c>
      <c r="AF50" s="108">
        <f t="shared" si="95"/>
        <v>0</v>
      </c>
      <c r="AG50" s="215"/>
      <c r="AH50" s="215"/>
      <c r="AI50" s="215"/>
      <c r="AJ50" s="216"/>
      <c r="AK50" s="216"/>
      <c r="AL50" s="216"/>
      <c r="AM50" s="108">
        <f>AG50*'1. Standard_Cost'!$B$27+'Incremental_Cost Year 1'!AH50*'1. Standard_Cost'!$C$27+'Incremental_Cost Year 1'!AI50*'1. Standard_Cost'!$D$27+'Incremental_Cost Year 1'!AJ50+'Incremental_Cost Year 1'!AL50+AK50</f>
        <v>0</v>
      </c>
      <c r="AN50" s="108">
        <f>AM50*'1. Standard_Cost'!$C$31</f>
        <v>0</v>
      </c>
      <c r="AO50" s="125" t="s">
        <v>300</v>
      </c>
      <c r="AQ50" s="14">
        <f t="shared" si="96"/>
        <v>0</v>
      </c>
      <c r="AR50" s="14">
        <f t="shared" si="97"/>
        <v>0</v>
      </c>
      <c r="AS50" s="14">
        <f t="shared" si="98"/>
        <v>0</v>
      </c>
      <c r="AT50" s="14">
        <f t="shared" si="100"/>
        <v>0</v>
      </c>
      <c r="AU50" s="217"/>
      <c r="AV50" s="217">
        <v>0</v>
      </c>
      <c r="AW50" s="217"/>
      <c r="AX50" s="217"/>
      <c r="AY50" s="217"/>
      <c r="AZ50" s="217"/>
      <c r="BA50" s="217"/>
      <c r="BB50" s="16">
        <f t="shared" si="99"/>
        <v>0</v>
      </c>
    </row>
    <row r="51" spans="1:54" ht="109.2" outlineLevel="2">
      <c r="A51" s="98"/>
      <c r="B51" s="102"/>
      <c r="C51" s="23"/>
      <c r="D51" s="55"/>
      <c r="E51" s="55"/>
      <c r="F51" s="55"/>
      <c r="G51" s="173"/>
      <c r="H51" s="302" t="s">
        <v>598</v>
      </c>
      <c r="I51" s="204" t="s">
        <v>4</v>
      </c>
      <c r="J51" s="205">
        <v>1</v>
      </c>
      <c r="K51" s="205">
        <v>5</v>
      </c>
      <c r="L51" s="106">
        <f>IF(I51&lt;&gt;0,((VLOOKUP(I51,'1. Standard_Cost'!$B$4:$D$11,2)+VLOOKUP(I51,'1. Standard_Cost'!$B$4:$D$11,3))*J51*K51),"0")</f>
        <v>403750</v>
      </c>
      <c r="M51" s="106">
        <f>L51*'1. Standard_Cost'!$F$4</f>
        <v>67426.25</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206"/>
      <c r="AA51" s="206">
        <v>5</v>
      </c>
      <c r="AB51" s="108">
        <f>+Z51*'1. Standard_Cost'!$B$23+AA51*'1. Standard_Cost'!$C$23</f>
        <v>95000</v>
      </c>
      <c r="AC51" s="208">
        <v>56541.119999999995</v>
      </c>
      <c r="AD51" s="209"/>
      <c r="AE51" s="108">
        <f>SUM(AD51,AC51,AB51,Y51,U51,T51,S51,R51)*'1. Standard_Cost'!$B$31</f>
        <v>30308.224000000002</v>
      </c>
      <c r="AF51" s="108">
        <f t="shared" si="95"/>
        <v>181849.34399999998</v>
      </c>
      <c r="AG51" s="215"/>
      <c r="AH51" s="215"/>
      <c r="AI51" s="215"/>
      <c r="AJ51" s="216"/>
      <c r="AK51" s="216"/>
      <c r="AL51" s="216"/>
      <c r="AM51" s="108">
        <f>AG51*'1. Standard_Cost'!$B$27+'Incremental_Cost Year 1'!AH51*'1. Standard_Cost'!$C$27+'Incremental_Cost Year 1'!AI51*'1. Standard_Cost'!$D$27+'Incremental_Cost Year 1'!AJ51+'Incremental_Cost Year 1'!AL51+AK51</f>
        <v>0</v>
      </c>
      <c r="AN51" s="108">
        <f>AM51*'1. Standard_Cost'!$C$31</f>
        <v>0</v>
      </c>
      <c r="AO51" s="125" t="s">
        <v>301</v>
      </c>
      <c r="AQ51" s="14">
        <f t="shared" si="96"/>
        <v>471176.25</v>
      </c>
      <c r="AR51" s="14">
        <f t="shared" si="97"/>
        <v>181849.34399999998</v>
      </c>
      <c r="AS51" s="14">
        <f t="shared" si="98"/>
        <v>0</v>
      </c>
      <c r="AT51" s="14">
        <f t="shared" si="100"/>
        <v>653025.59400000004</v>
      </c>
      <c r="AU51" s="217">
        <v>539026</v>
      </c>
      <c r="AV51" s="217"/>
      <c r="AW51" s="217"/>
      <c r="AX51" s="217">
        <v>114000</v>
      </c>
      <c r="AY51" s="217"/>
      <c r="AZ51" s="217"/>
      <c r="BA51" s="217"/>
      <c r="BB51" s="16">
        <f t="shared" si="99"/>
        <v>0.40599999995902181</v>
      </c>
    </row>
    <row r="52" spans="1:54" ht="109.2" outlineLevel="2">
      <c r="A52" s="98"/>
      <c r="B52" s="102"/>
      <c r="C52" s="23"/>
      <c r="D52" s="55"/>
      <c r="E52" s="55"/>
      <c r="F52" s="55"/>
      <c r="G52" s="54"/>
      <c r="H52" s="302" t="s">
        <v>599</v>
      </c>
      <c r="I52" s="204" t="s">
        <v>4</v>
      </c>
      <c r="J52" s="205">
        <v>1</v>
      </c>
      <c r="K52" s="205">
        <v>5</v>
      </c>
      <c r="L52" s="106">
        <f>IF(I52&lt;&gt;0,((VLOOKUP(I52,'1. Standard_Cost'!$B$4:$D$11,2)+VLOOKUP(I52,'1. Standard_Cost'!$B$4:$D$11,3))*J52*K52),"0")</f>
        <v>403750</v>
      </c>
      <c r="M52" s="106">
        <f>L52*'1. Standard_Cost'!$F$4</f>
        <v>67426.25</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206"/>
      <c r="AA52" s="206">
        <v>10</v>
      </c>
      <c r="AB52" s="108">
        <f>+Z52*'1. Standard_Cost'!$B$23+AA52*'1. Standard_Cost'!$C$23</f>
        <v>190000</v>
      </c>
      <c r="AC52" s="208">
        <v>56541.119999999995</v>
      </c>
      <c r="AD52" s="209"/>
      <c r="AE52" s="108">
        <f>SUM(AD52,AC52,AB52,Y52,U52,T52,S52,R52)*'1. Standard_Cost'!$B$31</f>
        <v>49308.224000000002</v>
      </c>
      <c r="AF52" s="108">
        <f t="shared" si="95"/>
        <v>295849.34399999998</v>
      </c>
      <c r="AG52" s="215"/>
      <c r="AH52" s="215"/>
      <c r="AI52" s="215"/>
      <c r="AJ52" s="216"/>
      <c r="AK52" s="216"/>
      <c r="AL52" s="216"/>
      <c r="AM52" s="108">
        <f>AG52*'1. Standard_Cost'!$B$27+'Incremental_Cost Year 1'!AH52*'1. Standard_Cost'!$C$27+'Incremental_Cost Year 1'!AI52*'1. Standard_Cost'!$D$27+'Incremental_Cost Year 1'!AJ52+'Incremental_Cost Year 1'!AL52+AK52</f>
        <v>0</v>
      </c>
      <c r="AN52" s="108">
        <f>AM52*'1. Standard_Cost'!$C$31</f>
        <v>0</v>
      </c>
      <c r="AO52" s="125" t="s">
        <v>302</v>
      </c>
      <c r="AQ52" s="14">
        <f t="shared" si="96"/>
        <v>471176.25</v>
      </c>
      <c r="AR52" s="14">
        <f t="shared" si="97"/>
        <v>295849.34399999998</v>
      </c>
      <c r="AS52" s="14">
        <f t="shared" si="98"/>
        <v>0</v>
      </c>
      <c r="AT52" s="14">
        <f t="shared" si="100"/>
        <v>767025.59400000004</v>
      </c>
      <c r="AU52" s="217">
        <v>539026</v>
      </c>
      <c r="AV52" s="217">
        <v>0</v>
      </c>
      <c r="AW52" s="217"/>
      <c r="AX52" s="217"/>
      <c r="AY52" s="217"/>
      <c r="AZ52" s="217">
        <v>228000</v>
      </c>
      <c r="BA52" s="217"/>
      <c r="BB52" s="16">
        <f t="shared" si="99"/>
        <v>0.40599999995902181</v>
      </c>
    </row>
    <row r="53" spans="1:54" ht="124.8" outlineLevel="2">
      <c r="A53" s="98"/>
      <c r="B53" s="102"/>
      <c r="C53" s="23"/>
      <c r="D53" s="55"/>
      <c r="E53" s="55"/>
      <c r="F53" s="172"/>
      <c r="G53" s="173"/>
      <c r="H53" s="302" t="s">
        <v>600</v>
      </c>
      <c r="I53" s="204"/>
      <c r="J53" s="205"/>
      <c r="K53" s="205"/>
      <c r="L53" s="106" t="str">
        <f>IF(I53&lt;&gt;0,((VLOOKUP(I53,'1. Standard_Cost'!$B$4:$D$11,2)+VLOOKUP(I53,'1. Standard_Cost'!$B$4:$D$11,3))*J53*K53),"0")</f>
        <v>0</v>
      </c>
      <c r="M53" s="106">
        <f>L53*'1. Standard_Cost'!$F$4</f>
        <v>0</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206"/>
      <c r="AA53" s="206"/>
      <c r="AB53" s="108">
        <f>+Z53*'1. Standard_Cost'!$B$23+AA53*'1. Standard_Cost'!$C$23</f>
        <v>0</v>
      </c>
      <c r="AC53" s="208"/>
      <c r="AD53" s="209"/>
      <c r="AE53" s="108">
        <f>SUM(AD53,AC53,AB53,Y53,U53,T53,S53,R53)*'1. Standard_Cost'!$B$31</f>
        <v>0</v>
      </c>
      <c r="AF53" s="108">
        <f t="shared" si="95"/>
        <v>0</v>
      </c>
      <c r="AG53" s="215"/>
      <c r="AH53" s="215"/>
      <c r="AI53" s="215"/>
      <c r="AJ53" s="216"/>
      <c r="AK53" s="216"/>
      <c r="AL53" s="216"/>
      <c r="AM53" s="108">
        <f>AG53*'1. Standard_Cost'!$B$27+'Incremental_Cost Year 1'!AH53*'1. Standard_Cost'!$C$27+'Incremental_Cost Year 1'!AI53*'1. Standard_Cost'!$D$27+'Incremental_Cost Year 1'!AJ53+'Incremental_Cost Year 1'!AL53+AK53</f>
        <v>0</v>
      </c>
      <c r="AN53" s="108">
        <f>AM53*'1. Standard_Cost'!$C$31</f>
        <v>0</v>
      </c>
      <c r="AO53" s="125" t="s">
        <v>302</v>
      </c>
      <c r="AQ53" s="14">
        <f t="shared" si="96"/>
        <v>0</v>
      </c>
      <c r="AR53" s="14">
        <f t="shared" si="97"/>
        <v>0</v>
      </c>
      <c r="AS53" s="14">
        <f t="shared" si="98"/>
        <v>0</v>
      </c>
      <c r="AT53" s="14">
        <f t="shared" si="100"/>
        <v>0</v>
      </c>
      <c r="AU53" s="217"/>
      <c r="AV53" s="217"/>
      <c r="AW53" s="217"/>
      <c r="AX53" s="217"/>
      <c r="AY53" s="217"/>
      <c r="AZ53" s="217"/>
      <c r="BA53" s="217"/>
      <c r="BB53" s="16">
        <f t="shared" si="99"/>
        <v>0</v>
      </c>
    </row>
    <row r="54" spans="1:54" ht="62.4" outlineLevel="2">
      <c r="A54" s="98"/>
      <c r="B54" s="102"/>
      <c r="C54" s="23"/>
      <c r="D54" s="55"/>
      <c r="E54" s="55"/>
      <c r="F54" s="172"/>
      <c r="G54" s="173"/>
      <c r="H54" s="302" t="s">
        <v>675</v>
      </c>
      <c r="I54" s="204"/>
      <c r="J54" s="205"/>
      <c r="K54" s="205"/>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206"/>
      <c r="AA54" s="206"/>
      <c r="AB54" s="108">
        <f>+Z54*'1. Standard_Cost'!$B$23+AA54*'1. Standard_Cost'!$C$23</f>
        <v>0</v>
      </c>
      <c r="AC54" s="208"/>
      <c r="AD54" s="209"/>
      <c r="AE54" s="108">
        <f>SUM(AD54,AC54,AB54,Y54,U54,T54,S54,R54)*'1. Standard_Cost'!$B$31</f>
        <v>0</v>
      </c>
      <c r="AF54" s="108">
        <f t="shared" si="95"/>
        <v>0</v>
      </c>
      <c r="AG54" s="215"/>
      <c r="AH54" s="215"/>
      <c r="AI54" s="215"/>
      <c r="AJ54" s="216"/>
      <c r="AK54" s="216"/>
      <c r="AL54" s="216"/>
      <c r="AM54" s="108">
        <f>AG54*'1. Standard_Cost'!$B$27+'Incremental_Cost Year 1'!AH54*'1. Standard_Cost'!$C$27+'Incremental_Cost Year 1'!AI54*'1. Standard_Cost'!$D$27+'Incremental_Cost Year 1'!AJ54+'Incremental_Cost Year 1'!AL54+AK54</f>
        <v>0</v>
      </c>
      <c r="AN54" s="108">
        <f>AM54*'1. Standard_Cost'!$C$31</f>
        <v>0</v>
      </c>
      <c r="AO54" s="125" t="s">
        <v>300</v>
      </c>
      <c r="AQ54" s="14">
        <f t="shared" si="96"/>
        <v>0</v>
      </c>
      <c r="AR54" s="14">
        <f t="shared" si="97"/>
        <v>0</v>
      </c>
      <c r="AS54" s="14">
        <f t="shared" si="98"/>
        <v>0</v>
      </c>
      <c r="AT54" s="14">
        <f t="shared" si="100"/>
        <v>0</v>
      </c>
      <c r="AU54" s="217"/>
      <c r="AV54" s="217">
        <v>0</v>
      </c>
      <c r="AW54" s="217"/>
      <c r="AX54" s="217"/>
      <c r="AY54" s="217"/>
      <c r="AZ54" s="217"/>
      <c r="BA54" s="217"/>
      <c r="BB54" s="16">
        <f t="shared" si="99"/>
        <v>0</v>
      </c>
    </row>
    <row r="55" spans="1:54" ht="156" outlineLevel="2">
      <c r="A55" s="98"/>
      <c r="B55" s="102"/>
      <c r="C55" s="23"/>
      <c r="D55" s="55"/>
      <c r="E55" s="55"/>
      <c r="F55" s="55"/>
      <c r="G55" s="173"/>
      <c r="H55" s="302" t="s">
        <v>601</v>
      </c>
      <c r="I55" s="204" t="s">
        <v>4</v>
      </c>
      <c r="J55" s="205">
        <v>1</v>
      </c>
      <c r="K55" s="205">
        <v>7</v>
      </c>
      <c r="L55" s="106">
        <f>IF(I55&lt;&gt;0,((VLOOKUP(I55,'1. Standard_Cost'!$B$4:$D$11,2)+VLOOKUP(I55,'1. Standard_Cost'!$B$4:$D$11,3))*J55*K55),"0")</f>
        <v>565250</v>
      </c>
      <c r="M55" s="106">
        <f>L55*'1. Standard_Cost'!$F$4</f>
        <v>94396.75</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206"/>
      <c r="AA55" s="206">
        <v>10</v>
      </c>
      <c r="AB55" s="108">
        <f>+Z55*'1. Standard_Cost'!$B$23+AA55*'1. Standard_Cost'!$C$23</f>
        <v>190000</v>
      </c>
      <c r="AC55" s="208">
        <v>79157.64</v>
      </c>
      <c r="AD55" s="209"/>
      <c r="AE55" s="108">
        <f>SUM(AD55,AC55,AB55,Y55,U55,T55,S55,R55)*'1. Standard_Cost'!$B$31</f>
        <v>53831.528000000006</v>
      </c>
      <c r="AF55" s="108">
        <f t="shared" si="95"/>
        <v>322989.16800000001</v>
      </c>
      <c r="AG55" s="215"/>
      <c r="AH55" s="215"/>
      <c r="AI55" s="215"/>
      <c r="AJ55" s="216"/>
      <c r="AK55" s="216"/>
      <c r="AL55" s="216"/>
      <c r="AM55" s="108">
        <f>AG55*'1. Standard_Cost'!$B$27+'Incremental_Cost Year 1'!AH55*'1. Standard_Cost'!$C$27+'Incremental_Cost Year 1'!AI55*'1. Standard_Cost'!$D$27+'Incremental_Cost Year 1'!AJ55+'Incremental_Cost Year 1'!AL55+AK55</f>
        <v>0</v>
      </c>
      <c r="AN55" s="108">
        <f>AM55*'1. Standard_Cost'!$C$31</f>
        <v>0</v>
      </c>
      <c r="AO55" s="125" t="s">
        <v>303</v>
      </c>
      <c r="AQ55" s="14">
        <f t="shared" si="96"/>
        <v>659646.75</v>
      </c>
      <c r="AR55" s="14">
        <f t="shared" si="97"/>
        <v>322989.16800000001</v>
      </c>
      <c r="AS55" s="14">
        <f t="shared" si="98"/>
        <v>0</v>
      </c>
      <c r="AT55" s="14">
        <f t="shared" si="100"/>
        <v>982635.91800000006</v>
      </c>
      <c r="AU55" s="217">
        <v>754636</v>
      </c>
      <c r="AV55" s="217"/>
      <c r="AW55" s="217"/>
      <c r="AX55" s="217">
        <v>228000</v>
      </c>
      <c r="AY55" s="217"/>
      <c r="AZ55" s="217"/>
      <c r="BA55" s="217"/>
      <c r="BB55" s="16">
        <f t="shared" si="99"/>
        <v>8.1999999936670065E-2</v>
      </c>
    </row>
    <row r="56" spans="1:54" ht="124.8" outlineLevel="2">
      <c r="A56" s="98"/>
      <c r="B56" s="102"/>
      <c r="C56" s="23"/>
      <c r="D56" s="55"/>
      <c r="E56" s="55"/>
      <c r="F56" s="55"/>
      <c r="G56" s="173"/>
      <c r="H56" s="302" t="s">
        <v>602</v>
      </c>
      <c r="I56" s="204" t="s">
        <v>4</v>
      </c>
      <c r="J56" s="205">
        <v>1</v>
      </c>
      <c r="K56" s="205">
        <v>5</v>
      </c>
      <c r="L56" s="106">
        <f>IF(I56&lt;&gt;0,((VLOOKUP(I56,'1. Standard_Cost'!$B$4:$D$11,2)+VLOOKUP(I56,'1. Standard_Cost'!$B$4:$D$11,3))*J56*K56),"0")</f>
        <v>403750</v>
      </c>
      <c r="M56" s="106">
        <f>L56*'1. Standard_Cost'!$F$4</f>
        <v>67426.25</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206"/>
      <c r="AA56" s="206">
        <v>10</v>
      </c>
      <c r="AB56" s="108">
        <f>+Z56*'1. Standard_Cost'!$B$23+AA56*'1. Standard_Cost'!$C$23</f>
        <v>190000</v>
      </c>
      <c r="AC56" s="208">
        <v>56541.119999999995</v>
      </c>
      <c r="AD56" s="209"/>
      <c r="AE56" s="108">
        <f>SUM(AD56,AC56,AB56,Y56,U56,T56,S56,R56)*'1. Standard_Cost'!$B$31</f>
        <v>49308.224000000002</v>
      </c>
      <c r="AF56" s="108">
        <f t="shared" si="95"/>
        <v>295849.34399999998</v>
      </c>
      <c r="AG56" s="215"/>
      <c r="AH56" s="215"/>
      <c r="AI56" s="215"/>
      <c r="AJ56" s="216"/>
      <c r="AK56" s="216"/>
      <c r="AL56" s="216"/>
      <c r="AM56" s="108">
        <f>AG56*'1. Standard_Cost'!$B$27+'Incremental_Cost Year 1'!AH56*'1. Standard_Cost'!$C$27+'Incremental_Cost Year 1'!AI56*'1. Standard_Cost'!$D$27+'Incremental_Cost Year 1'!AJ56+'Incremental_Cost Year 1'!AL56+AK56</f>
        <v>0</v>
      </c>
      <c r="AN56" s="108">
        <f>AM56*'1. Standard_Cost'!$C$31</f>
        <v>0</v>
      </c>
      <c r="AO56" s="125" t="s">
        <v>304</v>
      </c>
      <c r="AQ56" s="14">
        <f t="shared" si="96"/>
        <v>471176.25</v>
      </c>
      <c r="AR56" s="14">
        <f t="shared" si="97"/>
        <v>295849.34399999998</v>
      </c>
      <c r="AS56" s="14">
        <f t="shared" si="98"/>
        <v>0</v>
      </c>
      <c r="AT56" s="14">
        <f t="shared" si="100"/>
        <v>767025.59400000004</v>
      </c>
      <c r="AU56" s="217">
        <v>539026</v>
      </c>
      <c r="AV56" s="217">
        <v>0</v>
      </c>
      <c r="AW56" s="217"/>
      <c r="AX56" s="217">
        <v>228000</v>
      </c>
      <c r="AY56" s="217"/>
      <c r="AZ56" s="217"/>
      <c r="BA56" s="217"/>
      <c r="BB56" s="16">
        <f t="shared" si="99"/>
        <v>0.40599999995902181</v>
      </c>
    </row>
    <row r="57" spans="1:54" ht="78" outlineLevel="2">
      <c r="A57" s="98"/>
      <c r="B57" s="102"/>
      <c r="C57" s="23"/>
      <c r="D57" s="55"/>
      <c r="E57" s="55"/>
      <c r="F57" s="55"/>
      <c r="G57" s="54"/>
      <c r="H57" s="302" t="s">
        <v>603</v>
      </c>
      <c r="I57" s="204" t="s">
        <v>193</v>
      </c>
      <c r="J57" s="205">
        <v>0.5</v>
      </c>
      <c r="K57" s="205">
        <v>183</v>
      </c>
      <c r="L57" s="106">
        <f>IF(I57&lt;&gt;0,((VLOOKUP(I57,'1. Standard_Cost'!$B$4:$D$11,2)+VLOOKUP(I57,'1. Standard_Cost'!$B$4:$D$11,3))*J57*K57),"0")</f>
        <v>4620750</v>
      </c>
      <c r="M57" s="106">
        <f>L57*'1. Standard_Cost'!$F$4</f>
        <v>771665.25</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206"/>
      <c r="AA57" s="206"/>
      <c r="AB57" s="108">
        <f>+Z57*'1. Standard_Cost'!$B$23+AA57*'1. Standard_Cost'!$C$23</f>
        <v>0</v>
      </c>
      <c r="AC57" s="208"/>
      <c r="AD57" s="209"/>
      <c r="AE57" s="108">
        <f>SUM(AD57,AC57,AB57,Y57,U57,T57,S57,R57)*'1. Standard_Cost'!$B$31</f>
        <v>0</v>
      </c>
      <c r="AF57" s="108">
        <f t="shared" si="95"/>
        <v>0</v>
      </c>
      <c r="AG57" s="215"/>
      <c r="AH57" s="215"/>
      <c r="AI57" s="215"/>
      <c r="AJ57" s="216"/>
      <c r="AK57" s="216"/>
      <c r="AL57" s="216"/>
      <c r="AM57" s="108">
        <f>AG57*'1. Standard_Cost'!$B$27+'Incremental_Cost Year 1'!AH57*'1. Standard_Cost'!$C$27+'Incremental_Cost Year 1'!AI57*'1. Standard_Cost'!$D$27+'Incremental_Cost Year 1'!AJ57+'Incremental_Cost Year 1'!AL57+AK57</f>
        <v>0</v>
      </c>
      <c r="AN57" s="108">
        <f>AM57*'1. Standard_Cost'!$C$31</f>
        <v>0</v>
      </c>
      <c r="AO57" s="125" t="s">
        <v>305</v>
      </c>
      <c r="AQ57" s="14">
        <f t="shared" si="96"/>
        <v>5392415.25</v>
      </c>
      <c r="AR57" s="14">
        <f t="shared" si="97"/>
        <v>0</v>
      </c>
      <c r="AS57" s="14">
        <f t="shared" si="98"/>
        <v>0</v>
      </c>
      <c r="AT57" s="14">
        <f t="shared" si="100"/>
        <v>5392415.25</v>
      </c>
      <c r="AU57" s="217"/>
      <c r="AV57" s="217"/>
      <c r="AW57" s="217"/>
      <c r="AX57" s="217"/>
      <c r="AY57" s="217"/>
      <c r="AZ57" s="217"/>
      <c r="BA57" s="217">
        <v>5712757</v>
      </c>
      <c r="BB57" s="16">
        <f t="shared" si="99"/>
        <v>320341.75</v>
      </c>
    </row>
    <row r="58" spans="1:54" ht="140.4" outlineLevel="2">
      <c r="A58" s="98"/>
      <c r="B58" s="102"/>
      <c r="C58" s="23"/>
      <c r="D58" s="55"/>
      <c r="E58" s="55"/>
      <c r="F58" s="55"/>
      <c r="G58" s="54"/>
      <c r="H58" s="302" t="s">
        <v>604</v>
      </c>
      <c r="I58" s="204"/>
      <c r="J58" s="205"/>
      <c r="K58" s="205"/>
      <c r="L58" s="106" t="str">
        <f>IF(I58&lt;&gt;0,((VLOOKUP(I58,'1. Standard_Cost'!$B$4:$D$11,2)+VLOOKUP(I58,'1. Standard_Cost'!$B$4:$D$11,3))*J58*K58),"0")</f>
        <v>0</v>
      </c>
      <c r="M58" s="106">
        <f>L58*'1. Standard_Cost'!$F$4</f>
        <v>0</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206"/>
      <c r="AA58" s="206"/>
      <c r="AB58" s="108">
        <f>+Z58*'1. Standard_Cost'!$B$23+AA58*'1. Standard_Cost'!$C$23</f>
        <v>0</v>
      </c>
      <c r="AC58" s="208"/>
      <c r="AD58" s="209">
        <v>500000</v>
      </c>
      <c r="AE58" s="108">
        <f>SUM(AD58,AC58,AB58,Y58,U58,T58,S58,R58)*'1. Standard_Cost'!$B$31</f>
        <v>100000</v>
      </c>
      <c r="AF58" s="108">
        <f t="shared" si="95"/>
        <v>600000</v>
      </c>
      <c r="AG58" s="215"/>
      <c r="AH58" s="215"/>
      <c r="AI58" s="215"/>
      <c r="AJ58" s="216"/>
      <c r="AK58" s="216"/>
      <c r="AL58" s="216"/>
      <c r="AM58" s="108">
        <f>AG58*'1. Standard_Cost'!$B$27+'Incremental_Cost Year 1'!AH58*'1. Standard_Cost'!$C$27+'Incremental_Cost Year 1'!AI58*'1. Standard_Cost'!$D$27+'Incremental_Cost Year 1'!AJ58+'Incremental_Cost Year 1'!AL58+AK58</f>
        <v>0</v>
      </c>
      <c r="AN58" s="108">
        <f>AM58*'1. Standard_Cost'!$C$31</f>
        <v>0</v>
      </c>
      <c r="AO58" s="125" t="s">
        <v>306</v>
      </c>
      <c r="AQ58" s="14">
        <f t="shared" si="96"/>
        <v>0</v>
      </c>
      <c r="AR58" s="14">
        <f t="shared" si="97"/>
        <v>600000</v>
      </c>
      <c r="AS58" s="14">
        <f t="shared" si="98"/>
        <v>0</v>
      </c>
      <c r="AT58" s="14">
        <f>SUM(AQ58,AR58,AS58)</f>
        <v>600000</v>
      </c>
      <c r="AU58" s="217"/>
      <c r="AV58" s="217"/>
      <c r="AW58" s="217"/>
      <c r="AX58" s="217"/>
      <c r="AY58" s="217"/>
      <c r="AZ58" s="217"/>
      <c r="BA58" s="217"/>
      <c r="BB58" s="16">
        <f t="shared" si="99"/>
        <v>-600000</v>
      </c>
    </row>
    <row r="59" spans="1:54" ht="345" outlineLevel="1">
      <c r="A59" s="98"/>
      <c r="B59" s="102"/>
      <c r="C59" s="23"/>
      <c r="D59" s="31" t="s">
        <v>629</v>
      </c>
      <c r="E59" s="56" t="s">
        <v>213</v>
      </c>
      <c r="F59" s="58">
        <v>2021</v>
      </c>
      <c r="G59" s="59">
        <v>2026</v>
      </c>
      <c r="H59" s="277" t="s">
        <v>183</v>
      </c>
      <c r="I59" s="112"/>
      <c r="J59" s="112"/>
      <c r="K59" s="112"/>
      <c r="L59" s="113">
        <f>SUM(L41:L58)</f>
        <v>7002050</v>
      </c>
      <c r="M59" s="113">
        <f>SUM(M41:M58)</f>
        <v>1169342.3500000001</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760000</v>
      </c>
      <c r="AC59" s="113">
        <f>SUM(AC41:AC58)</f>
        <v>333477.24</v>
      </c>
      <c r="AD59" s="113">
        <f>SUM(AD41:AD58)</f>
        <v>500000</v>
      </c>
      <c r="AE59" s="113">
        <f>SUM(AE41:AE58)</f>
        <v>318695.44800000003</v>
      </c>
      <c r="AF59" s="113">
        <f>SUM(AF41:AF58)</f>
        <v>1912172.6880000001</v>
      </c>
      <c r="AG59" s="112"/>
      <c r="AH59" s="112"/>
      <c r="AI59" s="112"/>
      <c r="AJ59" s="113">
        <f>SUM(AJ41:AJ58)</f>
        <v>0</v>
      </c>
      <c r="AK59" s="113">
        <f>SUM(AK41:AK58)</f>
        <v>0</v>
      </c>
      <c r="AL59" s="113">
        <f>SUM(AL41:AL58)</f>
        <v>0</v>
      </c>
      <c r="AM59" s="113">
        <f>SUM(AM41:AM58)</f>
        <v>0</v>
      </c>
      <c r="AN59" s="113">
        <f>SUM(AN41:AN58)</f>
        <v>0</v>
      </c>
      <c r="AO59" s="131"/>
      <c r="AP59" s="17"/>
      <c r="AQ59" s="113">
        <f t="shared" ref="AQ59:BB59" si="101">SUM(AQ41:AQ58)</f>
        <v>8171392.3499999996</v>
      </c>
      <c r="AR59" s="113">
        <f t="shared" si="101"/>
        <v>1912172.6880000001</v>
      </c>
      <c r="AS59" s="113">
        <f t="shared" si="101"/>
        <v>0</v>
      </c>
      <c r="AT59" s="113">
        <f t="shared" si="101"/>
        <v>10083565.038000001</v>
      </c>
      <c r="AU59" s="113">
        <f t="shared" si="101"/>
        <v>3179151</v>
      </c>
      <c r="AV59" s="113">
        <f t="shared" si="101"/>
        <v>0</v>
      </c>
      <c r="AW59" s="113">
        <f t="shared" si="101"/>
        <v>0</v>
      </c>
      <c r="AX59" s="113">
        <f t="shared" si="101"/>
        <v>570000</v>
      </c>
      <c r="AY59" s="113">
        <f t="shared" si="101"/>
        <v>0</v>
      </c>
      <c r="AZ59" s="113">
        <f t="shared" si="101"/>
        <v>228000</v>
      </c>
      <c r="BA59" s="113">
        <f t="shared" si="101"/>
        <v>5712757</v>
      </c>
      <c r="BB59" s="113">
        <f t="shared" si="101"/>
        <v>-393657.03800000018</v>
      </c>
    </row>
    <row r="60" spans="1:54" ht="93.6" outlineLevel="2">
      <c r="A60" s="98"/>
      <c r="B60" s="102"/>
      <c r="C60" s="23"/>
      <c r="D60" s="103"/>
      <c r="E60" s="103"/>
      <c r="F60" s="251"/>
      <c r="G60" s="54"/>
      <c r="H60" s="302" t="s">
        <v>605</v>
      </c>
      <c r="I60" s="218"/>
      <c r="J60" s="219"/>
      <c r="K60" s="219"/>
      <c r="L60" s="106" t="str">
        <f>IF(I60&lt;&gt;0,((VLOOKUP(I60,'1. Standard_Cost'!$B$4:$D$11,2)+VLOOKUP(I60,'1. Standard_Cost'!$B$4:$D$11,3))*J60*K60),"0")</f>
        <v>0</v>
      </c>
      <c r="M60" s="106">
        <f>L60*'1. Standard_Cost'!$F$4</f>
        <v>0</v>
      </c>
      <c r="N60" s="220"/>
      <c r="O60" s="220"/>
      <c r="P60" s="220"/>
      <c r="Q60" s="22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21"/>
      <c r="AA60" s="221"/>
      <c r="AB60" s="108">
        <f>+Z60*'1. Standard_Cost'!$B$23+AA60*'1. Standard_Cost'!$C$23</f>
        <v>0</v>
      </c>
      <c r="AC60" s="222"/>
      <c r="AD60" s="223"/>
      <c r="AE60" s="108">
        <f>SUM(AD60,AC60,AB60,Y60,U60,T60,S60,R60)*'1. Standard_Cost'!$B$31</f>
        <v>0</v>
      </c>
      <c r="AF60" s="108">
        <f t="shared" ref="AF60" si="102">SUM(AE60,AD60,AC60,AB60,Y60,U60,T60,S60,R60)</f>
        <v>0</v>
      </c>
      <c r="AG60" s="107"/>
      <c r="AH60" s="107"/>
      <c r="AI60" s="107"/>
      <c r="AJ60" s="111"/>
      <c r="AK60" s="111"/>
      <c r="AL60" s="111"/>
      <c r="AM60" s="108">
        <f>AG60*'1. Standard_Cost'!$B$27+'Incremental_Cost Year 1'!AH60*'1. Standard_Cost'!$C$27+'Incremental_Cost Year 1'!AI60*'1. Standard_Cost'!$D$27+'Incremental_Cost Year 1'!AJ60+'Incremental_Cost Year 1'!AL60+AK60</f>
        <v>0</v>
      </c>
      <c r="AN60" s="108">
        <f>AM60*'1. Standard_Cost'!$C$31</f>
        <v>0</v>
      </c>
      <c r="AO60" s="125" t="s">
        <v>307</v>
      </c>
      <c r="AQ60" s="14">
        <f t="shared" ref="AQ60" si="103">L60+M60</f>
        <v>0</v>
      </c>
      <c r="AR60" s="14">
        <f t="shared" ref="AR60" si="104">AF60</f>
        <v>0</v>
      </c>
      <c r="AS60" s="14">
        <f t="shared" ref="AS60" si="105">AM60+AN60</f>
        <v>0</v>
      </c>
      <c r="AT60" s="14">
        <f>SUM(AQ60,AR60,AS60)</f>
        <v>0</v>
      </c>
      <c r="AU60" s="224"/>
      <c r="AV60" s="224"/>
      <c r="AW60" s="224"/>
      <c r="AX60" s="224"/>
      <c r="AY60" s="224"/>
      <c r="AZ60" s="224"/>
      <c r="BA60" s="224"/>
      <c r="BB60" s="16">
        <f t="shared" ref="BB60:BB78" si="106">SUM(AU60:BA60)-AT60</f>
        <v>0</v>
      </c>
    </row>
    <row r="61" spans="1:54" ht="109.2" outlineLevel="2">
      <c r="A61" s="98"/>
      <c r="B61" s="102"/>
      <c r="C61" s="23"/>
      <c r="D61" s="119"/>
      <c r="E61" s="119"/>
      <c r="F61" s="251"/>
      <c r="G61" s="54"/>
      <c r="H61" s="302" t="s">
        <v>606</v>
      </c>
      <c r="I61" s="218" t="s">
        <v>5</v>
      </c>
      <c r="J61" s="219">
        <v>1</v>
      </c>
      <c r="K61" s="219">
        <v>3</v>
      </c>
      <c r="L61" s="106">
        <f>IF(I61&lt;&gt;0,((VLOOKUP(I61,'1. Standard_Cost'!$B$4:$D$11,2)+VLOOKUP(I61,'1. Standard_Cost'!$B$4:$D$11,3))*J61*K61),"0")</f>
        <v>212100</v>
      </c>
      <c r="M61" s="106">
        <f>L61*'1. Standard_Cost'!$F$4</f>
        <v>35420.700000000004</v>
      </c>
      <c r="N61" s="220"/>
      <c r="O61" s="220"/>
      <c r="P61" s="220"/>
      <c r="Q61" s="22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21"/>
      <c r="AA61" s="221"/>
      <c r="AB61" s="108">
        <f>+Z61*'1. Standard_Cost'!$B$23+AA61*'1. Standard_Cost'!$C$23</f>
        <v>0</v>
      </c>
      <c r="AC61" s="222"/>
      <c r="AD61" s="223"/>
      <c r="AE61" s="108">
        <f>SUM(AD61,AC61,AB61,Y61,U61,T61,S61,R61)*'1. Standard_Cost'!$B$31</f>
        <v>0</v>
      </c>
      <c r="AF61" s="108">
        <f t="shared" ref="AF61:AF78" si="107">SUM(AE61,AD61,AC61,AB61,Y61,U61,T61,S61,R61)</f>
        <v>0</v>
      </c>
      <c r="AG61" s="107"/>
      <c r="AH61" s="107"/>
      <c r="AI61" s="107"/>
      <c r="AJ61" s="111"/>
      <c r="AK61" s="111"/>
      <c r="AL61" s="111"/>
      <c r="AM61" s="108">
        <f>AG61*'1. Standard_Cost'!$B$27+'Incremental_Cost Year 1'!AH61*'1. Standard_Cost'!$C$27+'Incremental_Cost Year 1'!AI61*'1. Standard_Cost'!$D$27+'Incremental_Cost Year 1'!AJ61+'Incremental_Cost Year 1'!AL61+AK61</f>
        <v>0</v>
      </c>
      <c r="AN61" s="108">
        <f>AM61*'1. Standard_Cost'!$C$31</f>
        <v>0</v>
      </c>
      <c r="AO61" s="125" t="s">
        <v>308</v>
      </c>
      <c r="AQ61" s="14">
        <f t="shared" ref="AQ61:AQ78" si="108">L61+M61</f>
        <v>247520.7</v>
      </c>
      <c r="AR61" s="14">
        <f t="shared" ref="AR61:AR78" si="109">AF61</f>
        <v>0</v>
      </c>
      <c r="AS61" s="14">
        <f t="shared" ref="AS61:AS78" si="110">AM61+AN61</f>
        <v>0</v>
      </c>
      <c r="AT61" s="14">
        <f t="shared" ref="AT61:AT78" si="111">SUM(AQ61,AR61,AS61)</f>
        <v>247520.7</v>
      </c>
      <c r="AU61" s="224">
        <v>247521</v>
      </c>
      <c r="AV61" s="224"/>
      <c r="AW61" s="224"/>
      <c r="AX61" s="224"/>
      <c r="AY61" s="224"/>
      <c r="AZ61" s="224"/>
      <c r="BA61" s="224"/>
      <c r="BB61" s="16">
        <f t="shared" si="106"/>
        <v>0.29999999998835847</v>
      </c>
    </row>
    <row r="62" spans="1:54" ht="140.4" outlineLevel="2">
      <c r="A62" s="98"/>
      <c r="B62" s="102"/>
      <c r="C62" s="23"/>
      <c r="D62" s="119"/>
      <c r="E62" s="119"/>
      <c r="F62" s="251"/>
      <c r="G62" s="54"/>
      <c r="H62" s="302" t="s">
        <v>607</v>
      </c>
      <c r="I62" s="218"/>
      <c r="J62" s="219"/>
      <c r="K62" s="219"/>
      <c r="L62" s="106" t="str">
        <f>IF(I62&lt;&gt;0,((VLOOKUP(I62,'1. Standard_Cost'!$B$4:$D$11,2)+VLOOKUP(I62,'1. Standard_Cost'!$B$4:$D$11,3))*J62*K62),"0")</f>
        <v>0</v>
      </c>
      <c r="M62" s="106">
        <f>L62*'1. Standard_Cost'!$F$4</f>
        <v>0</v>
      </c>
      <c r="N62" s="220"/>
      <c r="O62" s="220"/>
      <c r="P62" s="220"/>
      <c r="Q62" s="22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21"/>
      <c r="AA62" s="221">
        <v>6</v>
      </c>
      <c r="AB62" s="108">
        <f>+Z62*'1. Standard_Cost'!$B$23+AA62*'1. Standard_Cost'!$C$23</f>
        <v>114000</v>
      </c>
      <c r="AC62" s="222"/>
      <c r="AD62" s="223"/>
      <c r="AE62" s="108">
        <f>SUM(AD62,AC62,AB62,Y62,U62,T62,S62,R62)*'1. Standard_Cost'!$B$31</f>
        <v>22800</v>
      </c>
      <c r="AF62" s="108">
        <f t="shared" si="107"/>
        <v>136800</v>
      </c>
      <c r="AG62" s="107"/>
      <c r="AH62" s="107"/>
      <c r="AI62" s="107"/>
      <c r="AJ62" s="111"/>
      <c r="AK62" s="111"/>
      <c r="AL62" s="111"/>
      <c r="AM62" s="108">
        <f>AG62*'1. Standard_Cost'!$B$27+'Incremental_Cost Year 1'!AH62*'1. Standard_Cost'!$C$27+'Incremental_Cost Year 1'!AI62*'1. Standard_Cost'!$D$27+'Incremental_Cost Year 1'!AJ62+'Incremental_Cost Year 1'!AL62+AK62</f>
        <v>0</v>
      </c>
      <c r="AN62" s="108">
        <f>AM62*'1. Standard_Cost'!$C$31</f>
        <v>0</v>
      </c>
      <c r="AO62" s="125" t="s">
        <v>309</v>
      </c>
      <c r="AQ62" s="14">
        <f t="shared" si="108"/>
        <v>0</v>
      </c>
      <c r="AR62" s="14">
        <f t="shared" si="109"/>
        <v>136800</v>
      </c>
      <c r="AS62" s="14">
        <f t="shared" si="110"/>
        <v>0</v>
      </c>
      <c r="AT62" s="14">
        <f t="shared" si="111"/>
        <v>136800</v>
      </c>
      <c r="AU62" s="224"/>
      <c r="AV62" s="224"/>
      <c r="AW62" s="224"/>
      <c r="AX62" s="224"/>
      <c r="AY62" s="224"/>
      <c r="AZ62" s="224">
        <v>136800</v>
      </c>
      <c r="BA62" s="224"/>
      <c r="BB62" s="16">
        <f t="shared" si="106"/>
        <v>0</v>
      </c>
    </row>
    <row r="63" spans="1:54" ht="140.4" outlineLevel="2">
      <c r="A63" s="98"/>
      <c r="B63" s="102"/>
      <c r="C63" s="23"/>
      <c r="D63" s="119"/>
      <c r="E63" s="119"/>
      <c r="F63" s="251"/>
      <c r="G63" s="54"/>
      <c r="H63" s="302" t="s">
        <v>608</v>
      </c>
      <c r="I63" s="218" t="s">
        <v>5</v>
      </c>
      <c r="J63" s="219">
        <v>0.5</v>
      </c>
      <c r="K63" s="219">
        <v>2</v>
      </c>
      <c r="L63" s="106">
        <f>IF(I63&lt;&gt;0,((VLOOKUP(I63,'1. Standard_Cost'!$B$4:$D$11,2)+VLOOKUP(I63,'1. Standard_Cost'!$B$4:$D$11,3))*J63*K63),"0")</f>
        <v>70700</v>
      </c>
      <c r="M63" s="106">
        <f>L63*'1. Standard_Cost'!$F$4</f>
        <v>11806.900000000001</v>
      </c>
      <c r="N63" s="220">
        <v>3</v>
      </c>
      <c r="O63" s="220">
        <v>1</v>
      </c>
      <c r="P63" s="220">
        <v>15</v>
      </c>
      <c r="Q63" s="22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21"/>
      <c r="AA63" s="221">
        <v>14</v>
      </c>
      <c r="AB63" s="108">
        <f>+Z63*'1. Standard_Cost'!$B$23+AA63*'1. Standard_Cost'!$C$23</f>
        <v>266000</v>
      </c>
      <c r="AC63" s="222">
        <v>22500</v>
      </c>
      <c r="AD63" s="223"/>
      <c r="AE63" s="108">
        <f>SUM(AD63,AC63,AB63,Y63,U63,T63,S63,R63)*'1. Standard_Cost'!$B$31</f>
        <v>113200</v>
      </c>
      <c r="AF63" s="108">
        <f t="shared" si="107"/>
        <v>679200</v>
      </c>
      <c r="AG63" s="107"/>
      <c r="AH63" s="107"/>
      <c r="AI63" s="107"/>
      <c r="AJ63" s="111"/>
      <c r="AK63" s="111"/>
      <c r="AL63" s="111"/>
      <c r="AM63" s="108">
        <f>AG63*'1. Standard_Cost'!$B$27+'Incremental_Cost Year 1'!AH63*'1. Standard_Cost'!$C$27+'Incremental_Cost Year 1'!AI63*'1. Standard_Cost'!$D$27+'Incremental_Cost Year 1'!AJ63+'Incremental_Cost Year 1'!AL63+AK63</f>
        <v>0</v>
      </c>
      <c r="AN63" s="108">
        <f>AM63*'1. Standard_Cost'!$C$31</f>
        <v>0</v>
      </c>
      <c r="AO63" s="125" t="s">
        <v>310</v>
      </c>
      <c r="AQ63" s="14">
        <f t="shared" si="108"/>
        <v>82506.899999999994</v>
      </c>
      <c r="AR63" s="14">
        <f t="shared" si="109"/>
        <v>679200</v>
      </c>
      <c r="AS63" s="14">
        <f t="shared" si="110"/>
        <v>0</v>
      </c>
      <c r="AT63" s="14">
        <f t="shared" si="111"/>
        <v>761706.9</v>
      </c>
      <c r="AU63" s="224">
        <v>82507</v>
      </c>
      <c r="AV63" s="224"/>
      <c r="AW63" s="224"/>
      <c r="AX63" s="224"/>
      <c r="AY63" s="224"/>
      <c r="AZ63" s="224">
        <v>228000</v>
      </c>
      <c r="BA63" s="224"/>
      <c r="BB63" s="16">
        <f t="shared" si="106"/>
        <v>-451199.9</v>
      </c>
    </row>
    <row r="64" spans="1:54" ht="156" outlineLevel="2">
      <c r="A64" s="98"/>
      <c r="B64" s="102"/>
      <c r="C64" s="23"/>
      <c r="D64" s="119"/>
      <c r="E64" s="119"/>
      <c r="F64" s="251"/>
      <c r="G64" s="54"/>
      <c r="H64" s="302" t="s">
        <v>609</v>
      </c>
      <c r="I64" s="218" t="s">
        <v>5</v>
      </c>
      <c r="J64" s="219">
        <v>0.5</v>
      </c>
      <c r="K64" s="219">
        <v>2</v>
      </c>
      <c r="L64" s="106">
        <f>IF(I64&lt;&gt;0,((VLOOKUP(I64,'1. Standard_Cost'!$B$4:$D$11,2)+VLOOKUP(I64,'1. Standard_Cost'!$B$4:$D$11,3))*J64*K64),"0")</f>
        <v>70700</v>
      </c>
      <c r="M64" s="106">
        <f>L64*'1. Standard_Cost'!$F$4</f>
        <v>11806.900000000001</v>
      </c>
      <c r="N64" s="220">
        <v>3</v>
      </c>
      <c r="O64" s="220">
        <v>1</v>
      </c>
      <c r="P64" s="220">
        <v>15</v>
      </c>
      <c r="Q64" s="22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21"/>
      <c r="AA64" s="221">
        <v>14</v>
      </c>
      <c r="AB64" s="108">
        <f>+Z64*'1. Standard_Cost'!$B$23+AA64*'1. Standard_Cost'!$C$23</f>
        <v>266000</v>
      </c>
      <c r="AC64" s="222">
        <v>22500</v>
      </c>
      <c r="AD64" s="223"/>
      <c r="AE64" s="108">
        <f>SUM(AD64,AC64,AB64,Y64,U64,T64,S64,R64)*'1. Standard_Cost'!$B$31</f>
        <v>113200</v>
      </c>
      <c r="AF64" s="108">
        <f t="shared" si="107"/>
        <v>679200</v>
      </c>
      <c r="AG64" s="107"/>
      <c r="AH64" s="107"/>
      <c r="AI64" s="107"/>
      <c r="AJ64" s="111"/>
      <c r="AK64" s="111"/>
      <c r="AL64" s="111"/>
      <c r="AM64" s="108">
        <f>AG64*'1. Standard_Cost'!$B$27+'Incremental_Cost Year 1'!AH64*'1. Standard_Cost'!$C$27+'Incremental_Cost Year 1'!AI64*'1. Standard_Cost'!$D$27+'Incremental_Cost Year 1'!AJ64+'Incremental_Cost Year 1'!AL64+AK64</f>
        <v>0</v>
      </c>
      <c r="AN64" s="108">
        <f>AM64*'1. Standard_Cost'!$C$31</f>
        <v>0</v>
      </c>
      <c r="AO64" s="125" t="s">
        <v>311</v>
      </c>
      <c r="AQ64" s="14">
        <f t="shared" si="108"/>
        <v>82506.899999999994</v>
      </c>
      <c r="AR64" s="14">
        <f t="shared" si="109"/>
        <v>679200</v>
      </c>
      <c r="AS64" s="14">
        <f t="shared" si="110"/>
        <v>0</v>
      </c>
      <c r="AT64" s="14">
        <f t="shared" si="111"/>
        <v>761706.9</v>
      </c>
      <c r="AU64" s="224">
        <v>82507</v>
      </c>
      <c r="AV64" s="224"/>
      <c r="AW64" s="224"/>
      <c r="AX64" s="224"/>
      <c r="AY64" s="224"/>
      <c r="AZ64" s="224">
        <v>228000</v>
      </c>
      <c r="BA64" s="224"/>
      <c r="BB64" s="16">
        <f t="shared" si="106"/>
        <v>-451199.9</v>
      </c>
    </row>
    <row r="65" spans="1:54" ht="62.4" outlineLevel="2">
      <c r="A65" s="98"/>
      <c r="B65" s="102"/>
      <c r="C65" s="23"/>
      <c r="D65" s="119"/>
      <c r="E65" s="119"/>
      <c r="F65" s="251"/>
      <c r="G65" s="54"/>
      <c r="H65" s="302" t="s">
        <v>676</v>
      </c>
      <c r="I65" s="218"/>
      <c r="J65" s="219"/>
      <c r="K65" s="219"/>
      <c r="L65" s="106" t="str">
        <f>IF(I65&lt;&gt;0,((VLOOKUP(I65,'1. Standard_Cost'!$B$4:$D$11,2)+VLOOKUP(I65,'1. Standard_Cost'!$B$4:$D$11,3))*J65*K65),"0")</f>
        <v>0</v>
      </c>
      <c r="M65" s="106">
        <f>L65*'1. Standard_Cost'!$F$4</f>
        <v>0</v>
      </c>
      <c r="N65" s="220"/>
      <c r="O65" s="220"/>
      <c r="P65" s="220"/>
      <c r="Q65" s="22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21"/>
      <c r="AA65" s="221"/>
      <c r="AB65" s="108">
        <f>+Z65*'1. Standard_Cost'!$B$23+AA65*'1. Standard_Cost'!$C$23</f>
        <v>0</v>
      </c>
      <c r="AC65" s="222"/>
      <c r="AD65" s="223"/>
      <c r="AE65" s="108">
        <f>SUM(AD65,AC65,AB65,Y65,U65,T65,S65,R65)*'1. Standard_Cost'!$B$31</f>
        <v>0</v>
      </c>
      <c r="AF65" s="108">
        <f t="shared" si="107"/>
        <v>0</v>
      </c>
      <c r="AG65" s="107"/>
      <c r="AH65" s="107"/>
      <c r="AI65" s="107"/>
      <c r="AJ65" s="111"/>
      <c r="AK65" s="111"/>
      <c r="AL65" s="111"/>
      <c r="AM65" s="108">
        <f>AG65*'1. Standard_Cost'!$B$27+'Incremental_Cost Year 1'!AH65*'1. Standard_Cost'!$C$27+'Incremental_Cost Year 1'!AI65*'1. Standard_Cost'!$D$27+'Incremental_Cost Year 1'!AJ65+'Incremental_Cost Year 1'!AL65+AK65</f>
        <v>0</v>
      </c>
      <c r="AN65" s="108">
        <f>AM65*'1. Standard_Cost'!$C$31</f>
        <v>0</v>
      </c>
      <c r="AO65" s="125" t="s">
        <v>312</v>
      </c>
      <c r="AQ65" s="14">
        <f t="shared" si="108"/>
        <v>0</v>
      </c>
      <c r="AR65" s="14">
        <f t="shared" si="109"/>
        <v>0</v>
      </c>
      <c r="AS65" s="14">
        <f t="shared" si="110"/>
        <v>0</v>
      </c>
      <c r="AT65" s="14">
        <f t="shared" si="111"/>
        <v>0</v>
      </c>
      <c r="AU65" s="224"/>
      <c r="AV65" s="224"/>
      <c r="AW65" s="224"/>
      <c r="AX65" s="224"/>
      <c r="AY65" s="224"/>
      <c r="AZ65" s="224"/>
      <c r="BA65" s="224"/>
      <c r="BB65" s="16">
        <f t="shared" si="106"/>
        <v>0</v>
      </c>
    </row>
    <row r="66" spans="1:54" ht="78" outlineLevel="2">
      <c r="A66" s="98"/>
      <c r="B66" s="102"/>
      <c r="C66" s="23"/>
      <c r="D66" s="119"/>
      <c r="E66" s="119"/>
      <c r="F66" s="251"/>
      <c r="G66" s="54"/>
      <c r="H66" s="302" t="s">
        <v>677</v>
      </c>
      <c r="I66" s="218"/>
      <c r="J66" s="219"/>
      <c r="K66" s="219"/>
      <c r="L66" s="106" t="str">
        <f>IF(I66&lt;&gt;0,((VLOOKUP(I66,'1. Standard_Cost'!$B$4:$D$11,2)+VLOOKUP(I66,'1. Standard_Cost'!$B$4:$D$11,3))*J66*K66),"0")</f>
        <v>0</v>
      </c>
      <c r="M66" s="106">
        <f>L66*'1. Standard_Cost'!$F$4</f>
        <v>0</v>
      </c>
      <c r="N66" s="220"/>
      <c r="O66" s="220"/>
      <c r="P66" s="220"/>
      <c r="Q66" s="22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21"/>
      <c r="AA66" s="221"/>
      <c r="AB66" s="108">
        <f>+Z66*'1. Standard_Cost'!$B$23+AA66*'1. Standard_Cost'!$C$23</f>
        <v>0</v>
      </c>
      <c r="AC66" s="222"/>
      <c r="AD66" s="223"/>
      <c r="AE66" s="108">
        <f>SUM(AD66,AC66,AB66,Y66,U66,T66,S66,R66)*'1. Standard_Cost'!$B$31</f>
        <v>0</v>
      </c>
      <c r="AF66" s="108">
        <f t="shared" si="107"/>
        <v>0</v>
      </c>
      <c r="AG66" s="107"/>
      <c r="AH66" s="107"/>
      <c r="AI66" s="107"/>
      <c r="AJ66" s="111"/>
      <c r="AK66" s="111"/>
      <c r="AL66" s="111"/>
      <c r="AM66" s="108">
        <f>AG66*'1. Standard_Cost'!$B$27+'Incremental_Cost Year 1'!AH66*'1. Standard_Cost'!$C$27+'Incremental_Cost Year 1'!AI66*'1. Standard_Cost'!$D$27+'Incremental_Cost Year 1'!AJ66+'Incremental_Cost Year 1'!AL66+AK66</f>
        <v>0</v>
      </c>
      <c r="AN66" s="108">
        <f>AM66*'1. Standard_Cost'!$C$31</f>
        <v>0</v>
      </c>
      <c r="AO66" s="125" t="s">
        <v>313</v>
      </c>
      <c r="AQ66" s="14">
        <f t="shared" si="108"/>
        <v>0</v>
      </c>
      <c r="AR66" s="14">
        <f t="shared" si="109"/>
        <v>0</v>
      </c>
      <c r="AS66" s="14">
        <f t="shared" si="110"/>
        <v>0</v>
      </c>
      <c r="AT66" s="14">
        <f t="shared" si="111"/>
        <v>0</v>
      </c>
      <c r="AU66" s="224"/>
      <c r="AV66" s="224"/>
      <c r="AW66" s="224"/>
      <c r="AX66" s="224"/>
      <c r="AY66" s="224"/>
      <c r="AZ66" s="224"/>
      <c r="BA66" s="224"/>
      <c r="BB66" s="16">
        <f t="shared" si="106"/>
        <v>0</v>
      </c>
    </row>
    <row r="67" spans="1:54" ht="93.6" outlineLevel="2">
      <c r="A67" s="98"/>
      <c r="B67" s="102"/>
      <c r="C67" s="23"/>
      <c r="D67" s="119"/>
      <c r="E67" s="119"/>
      <c r="F67" s="251"/>
      <c r="G67" s="173"/>
      <c r="H67" s="302" t="s">
        <v>678</v>
      </c>
      <c r="I67" s="218"/>
      <c r="J67" s="219"/>
      <c r="K67" s="219"/>
      <c r="L67" s="106" t="str">
        <f>IF(I67&lt;&gt;0,((VLOOKUP(I67,'1. Standard_Cost'!$B$4:$D$11,2)+VLOOKUP(I67,'1. Standard_Cost'!$B$4:$D$11,3))*J67*K67),"0")</f>
        <v>0</v>
      </c>
      <c r="M67" s="106">
        <f>L67*'1. Standard_Cost'!$F$4</f>
        <v>0</v>
      </c>
      <c r="N67" s="220"/>
      <c r="O67" s="220"/>
      <c r="P67" s="220"/>
      <c r="Q67" s="22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21"/>
      <c r="AA67" s="221"/>
      <c r="AB67" s="108">
        <f>+Z67*'1. Standard_Cost'!$B$23+AA67*'1. Standard_Cost'!$C$23</f>
        <v>0</v>
      </c>
      <c r="AC67" s="222"/>
      <c r="AD67" s="223"/>
      <c r="AE67" s="108">
        <f>SUM(AD67,AC67,AB67,Y67,U67,T67,S67,R67)*'1. Standard_Cost'!$B$31</f>
        <v>0</v>
      </c>
      <c r="AF67" s="108">
        <f t="shared" si="107"/>
        <v>0</v>
      </c>
      <c r="AG67" s="107"/>
      <c r="AH67" s="107"/>
      <c r="AI67" s="107"/>
      <c r="AJ67" s="111"/>
      <c r="AK67" s="111"/>
      <c r="AL67" s="111"/>
      <c r="AM67" s="108">
        <f>AG67*'1. Standard_Cost'!$B$27+'Incremental_Cost Year 1'!AH67*'1. Standard_Cost'!$C$27+'Incremental_Cost Year 1'!AI67*'1. Standard_Cost'!$D$27+'Incremental_Cost Year 1'!AJ67+'Incremental_Cost Year 1'!AL67+AK67</f>
        <v>0</v>
      </c>
      <c r="AN67" s="108">
        <f>AM67*'1. Standard_Cost'!$C$31</f>
        <v>0</v>
      </c>
      <c r="AO67" s="125" t="s">
        <v>313</v>
      </c>
      <c r="AQ67" s="14">
        <f t="shared" si="108"/>
        <v>0</v>
      </c>
      <c r="AR67" s="14">
        <f t="shared" si="109"/>
        <v>0</v>
      </c>
      <c r="AS67" s="14">
        <f t="shared" si="110"/>
        <v>0</v>
      </c>
      <c r="AT67" s="14">
        <f t="shared" si="111"/>
        <v>0</v>
      </c>
      <c r="AU67" s="224"/>
      <c r="AV67" s="224"/>
      <c r="AW67" s="224"/>
      <c r="AX67" s="224"/>
      <c r="AY67" s="224"/>
      <c r="AZ67" s="224"/>
      <c r="BA67" s="224"/>
      <c r="BB67" s="16">
        <f t="shared" si="106"/>
        <v>0</v>
      </c>
    </row>
    <row r="68" spans="1:54" ht="109.2" outlineLevel="2">
      <c r="A68" s="98"/>
      <c r="B68" s="102"/>
      <c r="C68" s="23"/>
      <c r="D68" s="119"/>
      <c r="E68" s="119"/>
      <c r="F68" s="251"/>
      <c r="G68" s="173"/>
      <c r="H68" s="302" t="s">
        <v>610</v>
      </c>
      <c r="I68" s="218" t="s">
        <v>4</v>
      </c>
      <c r="J68" s="219">
        <v>0.25</v>
      </c>
      <c r="K68" s="219">
        <v>2</v>
      </c>
      <c r="L68" s="106">
        <f>IF(I68&lt;&gt;0,((VLOOKUP(I68,'1. Standard_Cost'!$B$4:$D$11,2)+VLOOKUP(I68,'1. Standard_Cost'!$B$4:$D$11,3))*J68*K68),"0")</f>
        <v>40375</v>
      </c>
      <c r="M68" s="106">
        <f>L68*'1. Standard_Cost'!$F$4</f>
        <v>6742.625</v>
      </c>
      <c r="N68" s="220"/>
      <c r="O68" s="220"/>
      <c r="P68" s="220"/>
      <c r="Q68" s="22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21"/>
      <c r="AA68" s="221"/>
      <c r="AB68" s="108">
        <f>+Z68*'1. Standard_Cost'!$B$23+AA68*'1. Standard_Cost'!$C$23</f>
        <v>0</v>
      </c>
      <c r="AC68" s="222"/>
      <c r="AD68" s="223"/>
      <c r="AE68" s="108">
        <f>SUM(AD68,AC68,AB68,Y68,U68,T68,S68,R68)*'1. Standard_Cost'!$B$31</f>
        <v>0</v>
      </c>
      <c r="AF68" s="108">
        <f t="shared" si="107"/>
        <v>0</v>
      </c>
      <c r="AG68" s="107"/>
      <c r="AH68" s="107"/>
      <c r="AI68" s="107"/>
      <c r="AJ68" s="111"/>
      <c r="AK68" s="111"/>
      <c r="AL68" s="111"/>
      <c r="AM68" s="108">
        <f>AG68*'1. Standard_Cost'!$B$27+'Incremental_Cost Year 1'!AH68*'1. Standard_Cost'!$C$27+'Incremental_Cost Year 1'!AI68*'1. Standard_Cost'!$D$27+'Incremental_Cost Year 1'!AJ68+'Incremental_Cost Year 1'!AL68+AK68</f>
        <v>0</v>
      </c>
      <c r="AN68" s="108">
        <f>AM68*'1. Standard_Cost'!$C$31</f>
        <v>0</v>
      </c>
      <c r="AO68" s="125" t="s">
        <v>314</v>
      </c>
      <c r="AQ68" s="14">
        <f t="shared" si="108"/>
        <v>47117.625</v>
      </c>
      <c r="AR68" s="14">
        <f t="shared" si="109"/>
        <v>0</v>
      </c>
      <c r="AS68" s="14">
        <f t="shared" si="110"/>
        <v>0</v>
      </c>
      <c r="AT68" s="14">
        <f t="shared" si="111"/>
        <v>47117.625</v>
      </c>
      <c r="AU68" s="224">
        <v>47118</v>
      </c>
      <c r="AV68" s="224"/>
      <c r="AW68" s="224"/>
      <c r="AX68" s="224"/>
      <c r="AY68" s="224"/>
      <c r="AZ68" s="224"/>
      <c r="BA68" s="224"/>
      <c r="BB68" s="16">
        <f t="shared" si="106"/>
        <v>0.375</v>
      </c>
    </row>
    <row r="69" spans="1:54" ht="46.8" outlineLevel="2">
      <c r="A69" s="98"/>
      <c r="B69" s="102"/>
      <c r="C69" s="23"/>
      <c r="D69" s="119"/>
      <c r="E69" s="119"/>
      <c r="F69" s="251"/>
      <c r="G69" s="54"/>
      <c r="H69" s="302" t="s">
        <v>679</v>
      </c>
      <c r="I69" s="218"/>
      <c r="J69" s="219"/>
      <c r="K69" s="219"/>
      <c r="L69" s="106" t="str">
        <f>IF(I69&lt;&gt;0,((VLOOKUP(I69,'1. Standard_Cost'!$B$4:$D$11,2)+VLOOKUP(I69,'1. Standard_Cost'!$B$4:$D$11,3))*J69*K69),"0")</f>
        <v>0</v>
      </c>
      <c r="M69" s="106">
        <f>L69*'1. Standard_Cost'!$F$4</f>
        <v>0</v>
      </c>
      <c r="N69" s="220"/>
      <c r="O69" s="220"/>
      <c r="P69" s="220"/>
      <c r="Q69" s="22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21"/>
      <c r="AA69" s="221"/>
      <c r="AB69" s="108">
        <f>+Z69*'1. Standard_Cost'!$B$23+AA69*'1. Standard_Cost'!$C$23</f>
        <v>0</v>
      </c>
      <c r="AC69" s="222"/>
      <c r="AD69" s="223"/>
      <c r="AE69" s="108">
        <f>SUM(AD69,AC69,AB69,Y69,U69,T69,S69,R69)*'1. Standard_Cost'!$B$31</f>
        <v>0</v>
      </c>
      <c r="AF69" s="108">
        <f t="shared" si="107"/>
        <v>0</v>
      </c>
      <c r="AG69" s="107"/>
      <c r="AH69" s="107"/>
      <c r="AI69" s="107"/>
      <c r="AJ69" s="111"/>
      <c r="AK69" s="111"/>
      <c r="AL69" s="111"/>
      <c r="AM69" s="108">
        <f>AG69*'1. Standard_Cost'!$B$27+'Incremental_Cost Year 1'!AH69*'1. Standard_Cost'!$C$27+'Incremental_Cost Year 1'!AI69*'1. Standard_Cost'!$D$27+'Incremental_Cost Year 1'!AJ69+'Incremental_Cost Year 1'!AL69+AK69</f>
        <v>0</v>
      </c>
      <c r="AN69" s="108">
        <f>AM69*'1. Standard_Cost'!$C$31</f>
        <v>0</v>
      </c>
      <c r="AO69" s="125" t="s">
        <v>315</v>
      </c>
      <c r="AQ69" s="14">
        <f t="shared" si="108"/>
        <v>0</v>
      </c>
      <c r="AR69" s="14">
        <f t="shared" si="109"/>
        <v>0</v>
      </c>
      <c r="AS69" s="14">
        <f t="shared" si="110"/>
        <v>0</v>
      </c>
      <c r="AT69" s="14">
        <f t="shared" si="111"/>
        <v>0</v>
      </c>
      <c r="AU69" s="224"/>
      <c r="AV69" s="224"/>
      <c r="AW69" s="224"/>
      <c r="AX69" s="224"/>
      <c r="AY69" s="224"/>
      <c r="AZ69" s="224"/>
      <c r="BA69" s="224"/>
      <c r="BB69" s="16">
        <f t="shared" si="106"/>
        <v>0</v>
      </c>
    </row>
    <row r="70" spans="1:54" ht="31.2" outlineLevel="2">
      <c r="A70" s="98"/>
      <c r="B70" s="102"/>
      <c r="C70" s="23"/>
      <c r="D70" s="119"/>
      <c r="E70" s="119"/>
      <c r="F70" s="251"/>
      <c r="G70" s="54"/>
      <c r="H70" s="302" t="s">
        <v>680</v>
      </c>
      <c r="I70" s="218"/>
      <c r="J70" s="219"/>
      <c r="K70" s="219"/>
      <c r="L70" s="106" t="str">
        <f>IF(I70&lt;&gt;0,((VLOOKUP(I70,'1. Standard_Cost'!$B$4:$D$11,2)+VLOOKUP(I70,'1. Standard_Cost'!$B$4:$D$11,3))*J70*K70),"0")</f>
        <v>0</v>
      </c>
      <c r="M70" s="106">
        <f>L70*'1. Standard_Cost'!$F$4</f>
        <v>0</v>
      </c>
      <c r="N70" s="220"/>
      <c r="O70" s="220"/>
      <c r="P70" s="220"/>
      <c r="Q70" s="22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21"/>
      <c r="AA70" s="221"/>
      <c r="AB70" s="108">
        <f>+Z70*'1. Standard_Cost'!$B$23+AA70*'1. Standard_Cost'!$C$23</f>
        <v>0</v>
      </c>
      <c r="AC70" s="222"/>
      <c r="AD70" s="223"/>
      <c r="AE70" s="108">
        <f>SUM(AD70,AC70,AB70,Y70,U70,T70,S70,R70)*'1. Standard_Cost'!$B$31</f>
        <v>0</v>
      </c>
      <c r="AF70" s="108">
        <f t="shared" si="107"/>
        <v>0</v>
      </c>
      <c r="AG70" s="107"/>
      <c r="AH70" s="107"/>
      <c r="AI70" s="107"/>
      <c r="AJ70" s="111"/>
      <c r="AK70" s="111"/>
      <c r="AL70" s="111"/>
      <c r="AM70" s="108">
        <f>AG70*'1. Standard_Cost'!$B$27+'Incremental_Cost Year 1'!AH70*'1. Standard_Cost'!$C$27+'Incremental_Cost Year 1'!AI70*'1. Standard_Cost'!$D$27+'Incremental_Cost Year 1'!AJ70+'Incremental_Cost Year 1'!AL70+AK70</f>
        <v>0</v>
      </c>
      <c r="AN70" s="108">
        <f>AM70*'1. Standard_Cost'!$C$31</f>
        <v>0</v>
      </c>
      <c r="AO70" s="125" t="s">
        <v>315</v>
      </c>
      <c r="AQ70" s="14">
        <f t="shared" si="108"/>
        <v>0</v>
      </c>
      <c r="AR70" s="14">
        <f t="shared" si="109"/>
        <v>0</v>
      </c>
      <c r="AS70" s="14">
        <f t="shared" si="110"/>
        <v>0</v>
      </c>
      <c r="AT70" s="14">
        <f t="shared" si="111"/>
        <v>0</v>
      </c>
      <c r="AU70" s="224"/>
      <c r="AV70" s="224"/>
      <c r="AW70" s="224"/>
      <c r="AX70" s="224"/>
      <c r="AY70" s="224"/>
      <c r="AZ70" s="224"/>
      <c r="BA70" s="224"/>
      <c r="BB70" s="16">
        <f t="shared" si="106"/>
        <v>0</v>
      </c>
    </row>
    <row r="71" spans="1:54" ht="31.2" outlineLevel="2">
      <c r="A71" s="98"/>
      <c r="B71" s="102"/>
      <c r="C71" s="23"/>
      <c r="D71" s="119"/>
      <c r="E71" s="119"/>
      <c r="F71" s="251"/>
      <c r="G71" s="54"/>
      <c r="H71" s="302" t="s">
        <v>681</v>
      </c>
      <c r="I71" s="218"/>
      <c r="J71" s="219"/>
      <c r="K71" s="219"/>
      <c r="L71" s="106" t="str">
        <f>IF(I71&lt;&gt;0,((VLOOKUP(I71,'1. Standard_Cost'!$B$4:$D$11,2)+VLOOKUP(I71,'1. Standard_Cost'!$B$4:$D$11,3))*J71*K71),"0")</f>
        <v>0</v>
      </c>
      <c r="M71" s="106">
        <f>L71*'1. Standard_Cost'!$F$4</f>
        <v>0</v>
      </c>
      <c r="N71" s="220"/>
      <c r="O71" s="220"/>
      <c r="P71" s="220"/>
      <c r="Q71" s="22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21"/>
      <c r="AA71" s="221"/>
      <c r="AB71" s="108">
        <f>+Z71*'1. Standard_Cost'!$B$23+AA71*'1. Standard_Cost'!$C$23</f>
        <v>0</v>
      </c>
      <c r="AC71" s="222"/>
      <c r="AD71" s="223"/>
      <c r="AE71" s="108">
        <f>SUM(AD71,AC71,AB71,Y71,U71,T71,S71,R71)*'1. Standard_Cost'!$B$31</f>
        <v>0</v>
      </c>
      <c r="AF71" s="108">
        <f t="shared" si="107"/>
        <v>0</v>
      </c>
      <c r="AG71" s="107"/>
      <c r="AH71" s="107"/>
      <c r="AI71" s="107"/>
      <c r="AJ71" s="111"/>
      <c r="AK71" s="111"/>
      <c r="AL71" s="111"/>
      <c r="AM71" s="108">
        <f>AG71*'1. Standard_Cost'!$B$27+'Incremental_Cost Year 1'!AH71*'1. Standard_Cost'!$C$27+'Incremental_Cost Year 1'!AI71*'1. Standard_Cost'!$D$27+'Incremental_Cost Year 1'!AJ71+'Incremental_Cost Year 1'!AL71+AK71</f>
        <v>0</v>
      </c>
      <c r="AN71" s="108">
        <f>AM71*'1. Standard_Cost'!$C$31</f>
        <v>0</v>
      </c>
      <c r="AO71" s="125" t="s">
        <v>316</v>
      </c>
      <c r="AQ71" s="14">
        <f t="shared" si="108"/>
        <v>0</v>
      </c>
      <c r="AR71" s="14">
        <f t="shared" si="109"/>
        <v>0</v>
      </c>
      <c r="AS71" s="14">
        <f t="shared" si="110"/>
        <v>0</v>
      </c>
      <c r="AT71" s="14">
        <f t="shared" si="111"/>
        <v>0</v>
      </c>
      <c r="AU71" s="224"/>
      <c r="AV71" s="224"/>
      <c r="AW71" s="224"/>
      <c r="AX71" s="224"/>
      <c r="AY71" s="224"/>
      <c r="AZ71" s="224"/>
      <c r="BA71" s="224"/>
      <c r="BB71" s="16">
        <f t="shared" si="106"/>
        <v>0</v>
      </c>
    </row>
    <row r="72" spans="1:54" ht="140.4" outlineLevel="2">
      <c r="A72" s="98"/>
      <c r="B72" s="102"/>
      <c r="C72" s="23"/>
      <c r="D72" s="119"/>
      <c r="E72" s="119"/>
      <c r="F72" s="55"/>
      <c r="G72" s="54"/>
      <c r="H72" s="302" t="s">
        <v>611</v>
      </c>
      <c r="I72" s="218"/>
      <c r="J72" s="219"/>
      <c r="K72" s="219"/>
      <c r="L72" s="106" t="str">
        <f>IF(I72&lt;&gt;0,((VLOOKUP(I72,'1. Standard_Cost'!$B$4:$D$11,2)+VLOOKUP(I72,'1. Standard_Cost'!$B$4:$D$11,3))*J72*K72),"0")</f>
        <v>0</v>
      </c>
      <c r="M72" s="106">
        <f>L72*'1. Standard_Cost'!$F$4</f>
        <v>0</v>
      </c>
      <c r="N72" s="220"/>
      <c r="O72" s="220"/>
      <c r="P72" s="220"/>
      <c r="Q72" s="220"/>
      <c r="R72" s="108">
        <f>'1. Standard_Cost'!$B$15*N72*P72</f>
        <v>0</v>
      </c>
      <c r="S72" s="108">
        <f>N72*O72*P72*'1. Standard_Cost'!$C$15</f>
        <v>0</v>
      </c>
      <c r="T72" s="108">
        <f>N72*P72*Q72*'1. Standard_Cost'!$D$15</f>
        <v>0</v>
      </c>
      <c r="U72" s="108">
        <f>N72*O72*'1. Standard_Cost'!$E$15</f>
        <v>0</v>
      </c>
      <c r="V72" s="107"/>
      <c r="W72" s="107"/>
      <c r="X72" s="107"/>
      <c r="Y72" s="108">
        <f>+V72*((X72*'1. Standard_Cost'!$B$19)+(W72*X72*'1. Standard_Cost'!$C$19))</f>
        <v>0</v>
      </c>
      <c r="Z72" s="221"/>
      <c r="AA72" s="221"/>
      <c r="AB72" s="108">
        <f>+Z72*'1. Standard_Cost'!$B$23+AA72*'1. Standard_Cost'!$C$23</f>
        <v>0</v>
      </c>
      <c r="AC72" s="222"/>
      <c r="AD72" s="223"/>
      <c r="AE72" s="108">
        <f>SUM(AD72,AC72,AB72,Y72,U72,T72,S72,R72)*'1. Standard_Cost'!$B$31</f>
        <v>0</v>
      </c>
      <c r="AF72" s="108">
        <f t="shared" si="107"/>
        <v>0</v>
      </c>
      <c r="AG72" s="107"/>
      <c r="AH72" s="107"/>
      <c r="AI72" s="107"/>
      <c r="AJ72" s="111"/>
      <c r="AK72" s="111"/>
      <c r="AL72" s="111"/>
      <c r="AM72" s="108">
        <f>AG72*'1. Standard_Cost'!$B$27+'Incremental_Cost Year 1'!AH72*'1. Standard_Cost'!$C$27+'Incremental_Cost Year 1'!AI72*'1. Standard_Cost'!$D$27+'Incremental_Cost Year 1'!AJ72+'Incremental_Cost Year 1'!AL72+AK72</f>
        <v>0</v>
      </c>
      <c r="AN72" s="108">
        <f>AM72*'1. Standard_Cost'!$C$31</f>
        <v>0</v>
      </c>
      <c r="AO72" s="125" t="s">
        <v>317</v>
      </c>
      <c r="AQ72" s="14">
        <f t="shared" si="108"/>
        <v>0</v>
      </c>
      <c r="AR72" s="14">
        <f t="shared" si="109"/>
        <v>0</v>
      </c>
      <c r="AS72" s="14">
        <f t="shared" si="110"/>
        <v>0</v>
      </c>
      <c r="AT72" s="14">
        <f t="shared" si="111"/>
        <v>0</v>
      </c>
      <c r="AU72" s="224"/>
      <c r="AV72" s="224"/>
      <c r="AW72" s="224"/>
      <c r="AX72" s="224"/>
      <c r="AY72" s="224"/>
      <c r="AZ72" s="224"/>
      <c r="BA72" s="224"/>
      <c r="BB72" s="16">
        <f t="shared" si="106"/>
        <v>0</v>
      </c>
    </row>
    <row r="73" spans="1:54" ht="109.2" outlineLevel="2">
      <c r="A73" s="98"/>
      <c r="B73" s="102"/>
      <c r="C73" s="23"/>
      <c r="D73" s="55"/>
      <c r="E73" s="55"/>
      <c r="F73" s="55"/>
      <c r="G73" s="173"/>
      <c r="H73" s="302" t="s">
        <v>612</v>
      </c>
      <c r="I73" s="218"/>
      <c r="J73" s="219"/>
      <c r="K73" s="219"/>
      <c r="L73" s="106" t="str">
        <f>IF(I73&lt;&gt;0,((VLOOKUP(I73,'1. Standard_Cost'!$B$4:$D$11,2)+VLOOKUP(I73,'1. Standard_Cost'!$B$4:$D$11,3))*J73*K73),"0")</f>
        <v>0</v>
      </c>
      <c r="M73" s="106">
        <f>L73*'1. Standard_Cost'!$F$4</f>
        <v>0</v>
      </c>
      <c r="N73" s="220"/>
      <c r="O73" s="220"/>
      <c r="P73" s="220"/>
      <c r="Q73" s="22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21"/>
      <c r="AA73" s="221"/>
      <c r="AB73" s="108">
        <f>+Z73*'1. Standard_Cost'!$B$23+AA73*'1. Standard_Cost'!$C$23</f>
        <v>0</v>
      </c>
      <c r="AC73" s="222"/>
      <c r="AD73" s="223"/>
      <c r="AE73" s="108">
        <f>SUM(AD73,AC73,AB73,Y73,U73,T73,S73,R73)*'1. Standard_Cost'!$B$31</f>
        <v>0</v>
      </c>
      <c r="AF73" s="108">
        <f t="shared" si="107"/>
        <v>0</v>
      </c>
      <c r="AG73" s="107"/>
      <c r="AH73" s="107"/>
      <c r="AI73" s="107"/>
      <c r="AJ73" s="111"/>
      <c r="AK73" s="111"/>
      <c r="AL73" s="111"/>
      <c r="AM73" s="108">
        <f>AG73*'1. Standard_Cost'!$B$27+'Incremental_Cost Year 1'!AH73*'1. Standard_Cost'!$C$27+'Incremental_Cost Year 1'!AI73*'1. Standard_Cost'!$D$27+'Incremental_Cost Year 1'!AJ73+'Incremental_Cost Year 1'!AL73+AK73</f>
        <v>0</v>
      </c>
      <c r="AN73" s="108">
        <f>AM73*'1. Standard_Cost'!$C$31</f>
        <v>0</v>
      </c>
      <c r="AO73" s="125" t="s">
        <v>318</v>
      </c>
      <c r="AQ73" s="14">
        <f t="shared" si="108"/>
        <v>0</v>
      </c>
      <c r="AR73" s="14">
        <f t="shared" si="109"/>
        <v>0</v>
      </c>
      <c r="AS73" s="14">
        <f t="shared" si="110"/>
        <v>0</v>
      </c>
      <c r="AT73" s="14">
        <f t="shared" si="111"/>
        <v>0</v>
      </c>
      <c r="AU73" s="224"/>
      <c r="AV73" s="224"/>
      <c r="AW73" s="224"/>
      <c r="AX73" s="224"/>
      <c r="AY73" s="224"/>
      <c r="AZ73" s="224"/>
      <c r="BA73" s="224"/>
      <c r="BB73" s="16">
        <f t="shared" si="106"/>
        <v>0</v>
      </c>
    </row>
    <row r="74" spans="1:54" ht="74.400000000000006" outlineLevel="2">
      <c r="A74" s="98"/>
      <c r="B74" s="102"/>
      <c r="C74" s="23"/>
      <c r="D74" s="55"/>
      <c r="E74" s="55"/>
      <c r="F74" s="55"/>
      <c r="G74" s="54"/>
      <c r="H74" s="302" t="s">
        <v>682</v>
      </c>
      <c r="I74" s="218"/>
      <c r="J74" s="219"/>
      <c r="K74" s="219"/>
      <c r="L74" s="106" t="str">
        <f>IF(I74&lt;&gt;0,((VLOOKUP(I74,'1. Standard_Cost'!$B$4:$D$11,2)+VLOOKUP(I74,'1. Standard_Cost'!$B$4:$D$11,3))*J74*K74),"0")</f>
        <v>0</v>
      </c>
      <c r="M74" s="106">
        <f>L74*'1. Standard_Cost'!$F$4</f>
        <v>0</v>
      </c>
      <c r="N74" s="220"/>
      <c r="O74" s="220"/>
      <c r="P74" s="220"/>
      <c r="Q74" s="22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21"/>
      <c r="AA74" s="221"/>
      <c r="AB74" s="108">
        <f>+Z74*'1. Standard_Cost'!$B$23+AA74*'1. Standard_Cost'!$C$23</f>
        <v>0</v>
      </c>
      <c r="AC74" s="222"/>
      <c r="AD74" s="223"/>
      <c r="AE74" s="108">
        <f>SUM(AD74,AC74,AB74,Y74,U74,T74,S74,R74)*'1. Standard_Cost'!$B$31</f>
        <v>0</v>
      </c>
      <c r="AF74" s="108">
        <f t="shared" si="107"/>
        <v>0</v>
      </c>
      <c r="AG74" s="107"/>
      <c r="AH74" s="107"/>
      <c r="AI74" s="107"/>
      <c r="AJ74" s="111"/>
      <c r="AK74" s="111"/>
      <c r="AL74" s="111"/>
      <c r="AM74" s="108">
        <f>AG74*'1. Standard_Cost'!$B$27+'Incremental_Cost Year 1'!AH74*'1. Standard_Cost'!$C$27+'Incremental_Cost Year 1'!AI74*'1. Standard_Cost'!$D$27+'Incremental_Cost Year 1'!AJ74+'Incremental_Cost Year 1'!AL74+AK74</f>
        <v>0</v>
      </c>
      <c r="AN74" s="108">
        <f>AM74*'1. Standard_Cost'!$C$31</f>
        <v>0</v>
      </c>
      <c r="AO74" s="125" t="s">
        <v>319</v>
      </c>
      <c r="AQ74" s="14">
        <f t="shared" si="108"/>
        <v>0</v>
      </c>
      <c r="AR74" s="14">
        <f t="shared" si="109"/>
        <v>0</v>
      </c>
      <c r="AS74" s="14">
        <f t="shared" si="110"/>
        <v>0</v>
      </c>
      <c r="AT74" s="14">
        <f t="shared" si="111"/>
        <v>0</v>
      </c>
      <c r="AU74" s="224"/>
      <c r="AV74" s="224"/>
      <c r="AW74" s="224"/>
      <c r="AX74" s="224"/>
      <c r="AY74" s="224"/>
      <c r="AZ74" s="224"/>
      <c r="BA74" s="224"/>
      <c r="BB74" s="16">
        <f t="shared" si="106"/>
        <v>0</v>
      </c>
    </row>
    <row r="75" spans="1:54" ht="60.6" outlineLevel="2">
      <c r="A75" s="98"/>
      <c r="B75" s="102"/>
      <c r="C75" s="23"/>
      <c r="D75" s="55"/>
      <c r="E75" s="55"/>
      <c r="F75" s="55"/>
      <c r="G75" s="54"/>
      <c r="H75" s="302" t="s">
        <v>683</v>
      </c>
      <c r="I75" s="218"/>
      <c r="J75" s="219"/>
      <c r="K75" s="219"/>
      <c r="L75" s="106" t="str">
        <f>IF(I75&lt;&gt;0,((VLOOKUP(I75,'1. Standard_Cost'!$B$4:$D$11,2)+VLOOKUP(I75,'1. Standard_Cost'!$B$4:$D$11,3))*J75*K75),"0")</f>
        <v>0</v>
      </c>
      <c r="M75" s="106">
        <f>L75*'1. Standard_Cost'!$F$4</f>
        <v>0</v>
      </c>
      <c r="N75" s="220"/>
      <c r="O75" s="220"/>
      <c r="P75" s="220"/>
      <c r="Q75" s="22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21"/>
      <c r="AA75" s="221"/>
      <c r="AB75" s="108">
        <f>+Z75*'1. Standard_Cost'!$B$23+AA75*'1. Standard_Cost'!$C$23</f>
        <v>0</v>
      </c>
      <c r="AC75" s="222"/>
      <c r="AD75" s="223"/>
      <c r="AE75" s="108">
        <f>SUM(AD75,AC75,AB75,Y75,U75,T75,S75,R75)*'1. Standard_Cost'!$B$31</f>
        <v>0</v>
      </c>
      <c r="AF75" s="108">
        <f t="shared" si="107"/>
        <v>0</v>
      </c>
      <c r="AG75" s="107"/>
      <c r="AH75" s="107"/>
      <c r="AI75" s="107"/>
      <c r="AJ75" s="111"/>
      <c r="AK75" s="111"/>
      <c r="AL75" s="111"/>
      <c r="AM75" s="108">
        <f>AG75*'1. Standard_Cost'!$B$27+'Incremental_Cost Year 1'!AH75*'1. Standard_Cost'!$C$27+'Incremental_Cost Year 1'!AI75*'1. Standard_Cost'!$D$27+'Incremental_Cost Year 1'!AJ75+'Incremental_Cost Year 1'!AL75+AK75</f>
        <v>0</v>
      </c>
      <c r="AN75" s="108">
        <f>AM75*'1. Standard_Cost'!$C$31</f>
        <v>0</v>
      </c>
      <c r="AO75" s="125" t="s">
        <v>320</v>
      </c>
      <c r="AQ75" s="14">
        <f t="shared" si="108"/>
        <v>0</v>
      </c>
      <c r="AR75" s="14">
        <f t="shared" si="109"/>
        <v>0</v>
      </c>
      <c r="AS75" s="14">
        <f t="shared" si="110"/>
        <v>0</v>
      </c>
      <c r="AT75" s="14">
        <f t="shared" si="111"/>
        <v>0</v>
      </c>
      <c r="AU75" s="224"/>
      <c r="AV75" s="224"/>
      <c r="AW75" s="224"/>
      <c r="AX75" s="224"/>
      <c r="AY75" s="224"/>
      <c r="AZ75" s="224"/>
      <c r="BA75" s="224"/>
      <c r="BB75" s="16">
        <f t="shared" si="106"/>
        <v>0</v>
      </c>
    </row>
    <row r="76" spans="1:54" ht="187.2" outlineLevel="2">
      <c r="A76" s="98"/>
      <c r="B76" s="102"/>
      <c r="C76" s="23"/>
      <c r="D76" s="55"/>
      <c r="E76" s="55"/>
      <c r="F76" s="55"/>
      <c r="G76" s="54"/>
      <c r="H76" s="302" t="s">
        <v>613</v>
      </c>
      <c r="I76" s="218"/>
      <c r="J76" s="219"/>
      <c r="K76" s="219"/>
      <c r="L76" s="106" t="str">
        <f>IF(I76&lt;&gt;0,((VLOOKUP(I76,'1. Standard_Cost'!$B$4:$D$11,2)+VLOOKUP(I76,'1. Standard_Cost'!$B$4:$D$11,3))*J76*K76),"0")</f>
        <v>0</v>
      </c>
      <c r="M76" s="106">
        <f>L76*'1. Standard_Cost'!$F$4</f>
        <v>0</v>
      </c>
      <c r="N76" s="220"/>
      <c r="O76" s="220"/>
      <c r="P76" s="220"/>
      <c r="Q76" s="220"/>
      <c r="R76" s="108">
        <f>'1. Standard_Cost'!$B$15*N76*P76</f>
        <v>0</v>
      </c>
      <c r="S76" s="108">
        <f>N76*O76*P76*'1. Standard_Cost'!$C$15</f>
        <v>0</v>
      </c>
      <c r="T76" s="108">
        <f>N76*P76*Q76*'1. Standard_Cost'!$D$15</f>
        <v>0</v>
      </c>
      <c r="U76" s="108">
        <f>N76*O76*'1. Standard_Cost'!$E$15</f>
        <v>0</v>
      </c>
      <c r="V76" s="107"/>
      <c r="W76" s="107"/>
      <c r="X76" s="107"/>
      <c r="Y76" s="108">
        <f>+V76*((X76*'1. Standard_Cost'!$B$19)+(W76*X76*'1. Standard_Cost'!$C$19))</f>
        <v>0</v>
      </c>
      <c r="Z76" s="221"/>
      <c r="AA76" s="221">
        <v>15</v>
      </c>
      <c r="AB76" s="108">
        <f>+Z76*'1. Standard_Cost'!$B$23+AA76*'1. Standard_Cost'!$C$23</f>
        <v>285000</v>
      </c>
      <c r="AC76" s="222">
        <v>4000000</v>
      </c>
      <c r="AD76" s="223"/>
      <c r="AE76" s="108">
        <f>SUM(AD76,AC76,AB76,Y76,U76,T76,S76,R76)*'1. Standard_Cost'!$B$31</f>
        <v>857000</v>
      </c>
      <c r="AF76" s="108">
        <f t="shared" si="107"/>
        <v>5142000</v>
      </c>
      <c r="AG76" s="107"/>
      <c r="AH76" s="107"/>
      <c r="AI76" s="107"/>
      <c r="AJ76" s="111"/>
      <c r="AK76" s="111"/>
      <c r="AL76" s="111"/>
      <c r="AM76" s="108">
        <f>AG76*'1. Standard_Cost'!$B$27+'Incremental_Cost Year 1'!AH76*'1. Standard_Cost'!$C$27+'Incremental_Cost Year 1'!AI76*'1. Standard_Cost'!$D$27+'Incremental_Cost Year 1'!AJ76+'Incremental_Cost Year 1'!AL76+AK76</f>
        <v>0</v>
      </c>
      <c r="AN76" s="108">
        <f>AM76*'1. Standard_Cost'!$C$31</f>
        <v>0</v>
      </c>
      <c r="AO76" s="125" t="s">
        <v>321</v>
      </c>
      <c r="AQ76" s="14">
        <f t="shared" si="108"/>
        <v>0</v>
      </c>
      <c r="AR76" s="14">
        <f t="shared" si="109"/>
        <v>5142000</v>
      </c>
      <c r="AS76" s="14">
        <f t="shared" si="110"/>
        <v>0</v>
      </c>
      <c r="AT76" s="14">
        <f t="shared" si="111"/>
        <v>5142000</v>
      </c>
      <c r="AU76" s="224"/>
      <c r="AV76" s="224"/>
      <c r="AW76" s="224"/>
      <c r="AX76" s="224"/>
      <c r="AY76" s="224"/>
      <c r="AZ76" s="224">
        <v>5142000</v>
      </c>
      <c r="BA76" s="224"/>
      <c r="BB76" s="16">
        <f t="shared" si="106"/>
        <v>0</v>
      </c>
    </row>
    <row r="77" spans="1:54" ht="202.8" outlineLevel="2">
      <c r="A77" s="98"/>
      <c r="B77" s="102"/>
      <c r="C77" s="23"/>
      <c r="D77" s="55"/>
      <c r="E77" s="55"/>
      <c r="F77" s="55"/>
      <c r="G77" s="54"/>
      <c r="H77" s="302" t="s">
        <v>614</v>
      </c>
      <c r="I77" s="218" t="s">
        <v>193</v>
      </c>
      <c r="J77" s="219">
        <v>1</v>
      </c>
      <c r="K77" s="219">
        <v>2</v>
      </c>
      <c r="L77" s="106">
        <f>IF(I77&lt;&gt;0,((VLOOKUP(I77,'1. Standard_Cost'!$B$4:$D$11,2)+VLOOKUP(I77,'1. Standard_Cost'!$B$4:$D$11,3))*J77*K77),"0")</f>
        <v>101000</v>
      </c>
      <c r="M77" s="106">
        <f>L77*'1. Standard_Cost'!$F$4</f>
        <v>16867</v>
      </c>
      <c r="N77" s="220"/>
      <c r="O77" s="220"/>
      <c r="P77" s="220"/>
      <c r="Q77" s="220"/>
      <c r="R77" s="108">
        <f>'1. Standard_Cost'!$B$15*N77*P77</f>
        <v>0</v>
      </c>
      <c r="S77" s="108">
        <f>N77*O77*P77*'1. Standard_Cost'!$C$15</f>
        <v>0</v>
      </c>
      <c r="T77" s="108">
        <f>N77*P77*Q77*'1. Standard_Cost'!$D$15</f>
        <v>0</v>
      </c>
      <c r="U77" s="108">
        <f>N77*O77*'1. Standard_Cost'!$E$15</f>
        <v>0</v>
      </c>
      <c r="V77" s="107"/>
      <c r="W77" s="107"/>
      <c r="X77" s="107"/>
      <c r="Y77" s="108">
        <f>+V77*((X77*'1. Standard_Cost'!$B$19)+(W77*X77*'1. Standard_Cost'!$C$19))</f>
        <v>0</v>
      </c>
      <c r="Z77" s="221"/>
      <c r="AA77" s="221"/>
      <c r="AB77" s="108">
        <f>+Z77*'1. Standard_Cost'!$B$23+AA77*'1. Standard_Cost'!$C$23</f>
        <v>0</v>
      </c>
      <c r="AC77" s="222"/>
      <c r="AD77" s="223"/>
      <c r="AE77" s="108">
        <f>SUM(AD77,AC77,AB77,Y77,U77,T77,S77,R77)*'1. Standard_Cost'!$B$31</f>
        <v>0</v>
      </c>
      <c r="AF77" s="108">
        <f t="shared" si="107"/>
        <v>0</v>
      </c>
      <c r="AG77" s="107"/>
      <c r="AH77" s="107"/>
      <c r="AI77" s="107"/>
      <c r="AJ77" s="111"/>
      <c r="AK77" s="111"/>
      <c r="AL77" s="111"/>
      <c r="AM77" s="108">
        <f>AG77*'1. Standard_Cost'!$B$27+'Incremental_Cost Year 1'!AH77*'1. Standard_Cost'!$C$27+'Incremental_Cost Year 1'!AI77*'1. Standard_Cost'!$D$27+'Incremental_Cost Year 1'!AJ77+'Incremental_Cost Year 1'!AL77+AK77</f>
        <v>0</v>
      </c>
      <c r="AN77" s="108">
        <f>AM77*'1. Standard_Cost'!$C$31</f>
        <v>0</v>
      </c>
      <c r="AO77" s="125" t="s">
        <v>322</v>
      </c>
      <c r="AQ77" s="14">
        <f t="shared" si="108"/>
        <v>117867</v>
      </c>
      <c r="AR77" s="14">
        <f t="shared" si="109"/>
        <v>0</v>
      </c>
      <c r="AS77" s="14">
        <f t="shared" si="110"/>
        <v>0</v>
      </c>
      <c r="AT77" s="14">
        <f t="shared" si="111"/>
        <v>117867</v>
      </c>
      <c r="AU77" s="224">
        <v>124869</v>
      </c>
      <c r="AV77" s="224"/>
      <c r="AW77" s="224"/>
      <c r="AX77" s="224"/>
      <c r="AY77" s="224"/>
      <c r="AZ77" s="224"/>
      <c r="BA77" s="224"/>
      <c r="BB77" s="16">
        <f t="shared" si="106"/>
        <v>7002</v>
      </c>
    </row>
    <row r="78" spans="1:54" ht="93.6" outlineLevel="2">
      <c r="A78" s="98"/>
      <c r="B78" s="102"/>
      <c r="C78" s="23"/>
      <c r="D78" s="55"/>
      <c r="E78" s="55"/>
      <c r="F78" s="55"/>
      <c r="G78" s="54"/>
      <c r="H78" s="302" t="s">
        <v>615</v>
      </c>
      <c r="I78" s="218"/>
      <c r="J78" s="219"/>
      <c r="K78" s="219"/>
      <c r="L78" s="106" t="str">
        <f>IF(I78&lt;&gt;0,((VLOOKUP(I78,'1. Standard_Cost'!$B$4:$D$11,2)+VLOOKUP(I78,'1. Standard_Cost'!$B$4:$D$11,3))*J78*K78),"0")</f>
        <v>0</v>
      </c>
      <c r="M78" s="106">
        <f>L78*'1. Standard_Cost'!$F$4</f>
        <v>0</v>
      </c>
      <c r="N78" s="220"/>
      <c r="O78" s="220"/>
      <c r="P78" s="220"/>
      <c r="Q78" s="22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21"/>
      <c r="AA78" s="221"/>
      <c r="AB78" s="108">
        <f>+Z78*'1. Standard_Cost'!$B$23+AA78*'1. Standard_Cost'!$C$23</f>
        <v>0</v>
      </c>
      <c r="AC78" s="222">
        <v>10800000</v>
      </c>
      <c r="AD78" s="223"/>
      <c r="AE78" s="108">
        <f>SUM(AD78,AC78,AB78,Y78,U78,T78,S78,R78)*'1. Standard_Cost'!$B$31</f>
        <v>2160000</v>
      </c>
      <c r="AF78" s="108">
        <f t="shared" si="107"/>
        <v>12960000</v>
      </c>
      <c r="AG78" s="107"/>
      <c r="AH78" s="107"/>
      <c r="AI78" s="107"/>
      <c r="AJ78" s="111"/>
      <c r="AK78" s="111"/>
      <c r="AL78" s="111"/>
      <c r="AM78" s="108">
        <f>AG78*'1. Standard_Cost'!$B$27+'Incremental_Cost Year 1'!AH78*'1. Standard_Cost'!$C$27+'Incremental_Cost Year 1'!AI78*'1. Standard_Cost'!$D$27+'Incremental_Cost Year 1'!AJ78+'Incremental_Cost Year 1'!AL78+AK78</f>
        <v>0</v>
      </c>
      <c r="AN78" s="108">
        <f>AM78*'1. Standard_Cost'!$C$31</f>
        <v>0</v>
      </c>
      <c r="AO78" s="125" t="s">
        <v>323</v>
      </c>
      <c r="AQ78" s="14">
        <f t="shared" si="108"/>
        <v>0</v>
      </c>
      <c r="AR78" s="14">
        <f t="shared" si="109"/>
        <v>12960000</v>
      </c>
      <c r="AS78" s="14">
        <f t="shared" si="110"/>
        <v>0</v>
      </c>
      <c r="AT78" s="14">
        <f t="shared" si="111"/>
        <v>12960000</v>
      </c>
      <c r="AU78" s="224">
        <v>12960000</v>
      </c>
      <c r="AV78" s="224"/>
      <c r="AW78" s="224"/>
      <c r="AX78" s="224"/>
      <c r="AY78" s="224"/>
      <c r="AZ78" s="224"/>
      <c r="BA78" s="224"/>
      <c r="BB78" s="16">
        <f t="shared" si="106"/>
        <v>0</v>
      </c>
    </row>
    <row r="79" spans="1:54" ht="262.2" outlineLevel="1">
      <c r="A79" s="98"/>
      <c r="B79" s="102"/>
      <c r="C79" s="23"/>
      <c r="D79" s="31" t="s">
        <v>630</v>
      </c>
      <c r="E79" s="56" t="s">
        <v>215</v>
      </c>
      <c r="F79" s="58"/>
      <c r="G79" s="59"/>
      <c r="H79" s="277" t="s">
        <v>182</v>
      </c>
      <c r="I79" s="112"/>
      <c r="J79" s="112"/>
      <c r="K79" s="112"/>
      <c r="L79" s="113">
        <f>SUM(L60:L78)</f>
        <v>494875</v>
      </c>
      <c r="M79" s="113">
        <f>SUM(M60:M78)</f>
        <v>82644.125</v>
      </c>
      <c r="N79" s="112"/>
      <c r="O79" s="112"/>
      <c r="P79" s="112"/>
      <c r="Q79" s="112"/>
      <c r="R79" s="113">
        <f t="shared" ref="R79:U79" si="112">SUM(R60:R78)</f>
        <v>180000</v>
      </c>
      <c r="S79" s="113">
        <f t="shared" si="112"/>
        <v>135000</v>
      </c>
      <c r="T79" s="113">
        <f t="shared" si="112"/>
        <v>0</v>
      </c>
      <c r="U79" s="113">
        <f t="shared" si="112"/>
        <v>240000</v>
      </c>
      <c r="V79" s="112"/>
      <c r="W79" s="112"/>
      <c r="X79" s="112"/>
      <c r="Y79" s="113">
        <f>SUM(Y60:Y78)</f>
        <v>0</v>
      </c>
      <c r="Z79" s="112"/>
      <c r="AA79" s="112"/>
      <c r="AB79" s="113">
        <f t="shared" ref="AB79:AF79" si="113">SUM(AB60:AB78)</f>
        <v>931000</v>
      </c>
      <c r="AC79" s="113">
        <f t="shared" si="113"/>
        <v>14845000</v>
      </c>
      <c r="AD79" s="113">
        <f t="shared" si="113"/>
        <v>0</v>
      </c>
      <c r="AE79" s="113">
        <f t="shared" si="113"/>
        <v>3266200</v>
      </c>
      <c r="AF79" s="113">
        <f t="shared" si="113"/>
        <v>19597200</v>
      </c>
      <c r="AG79" s="112"/>
      <c r="AH79" s="112"/>
      <c r="AI79" s="112"/>
      <c r="AJ79" s="113">
        <f t="shared" ref="AJ79:AN79" si="114">SUM(AJ60:AJ78)</f>
        <v>0</v>
      </c>
      <c r="AK79" s="113">
        <f t="shared" si="114"/>
        <v>0</v>
      </c>
      <c r="AL79" s="113">
        <f t="shared" si="114"/>
        <v>0</v>
      </c>
      <c r="AM79" s="113">
        <f t="shared" si="114"/>
        <v>0</v>
      </c>
      <c r="AN79" s="113">
        <f t="shared" si="114"/>
        <v>0</v>
      </c>
      <c r="AO79" s="131"/>
      <c r="AP79" s="17"/>
      <c r="AQ79" s="113">
        <f>SUM(AQ60:AQ78)</f>
        <v>577519.125</v>
      </c>
      <c r="AR79" s="113">
        <f t="shared" ref="AR79:AT79" si="115">SUM(AR60:AR78)</f>
        <v>19597200</v>
      </c>
      <c r="AS79" s="113">
        <f t="shared" si="115"/>
        <v>0</v>
      </c>
      <c r="AT79" s="113">
        <f t="shared" si="115"/>
        <v>20174719.125</v>
      </c>
      <c r="AU79" s="113">
        <f t="shared" ref="AU79:BB79" si="116">SUM(AU60:AU78)</f>
        <v>13544522</v>
      </c>
      <c r="AV79" s="113">
        <f t="shared" si="116"/>
        <v>0</v>
      </c>
      <c r="AW79" s="113">
        <f t="shared" si="116"/>
        <v>0</v>
      </c>
      <c r="AX79" s="113">
        <f t="shared" si="116"/>
        <v>0</v>
      </c>
      <c r="AY79" s="113">
        <f t="shared" si="116"/>
        <v>0</v>
      </c>
      <c r="AZ79" s="113">
        <f t="shared" si="116"/>
        <v>5734800</v>
      </c>
      <c r="BA79" s="113">
        <f t="shared" si="116"/>
        <v>0</v>
      </c>
      <c r="BB79" s="113">
        <f t="shared" si="116"/>
        <v>-895397.125</v>
      </c>
    </row>
    <row r="80" spans="1:54" s="24" customFormat="1">
      <c r="A80" s="114"/>
      <c r="B80" s="115"/>
      <c r="C80" s="314" t="s">
        <v>216</v>
      </c>
      <c r="D80" s="314"/>
      <c r="E80" s="315"/>
      <c r="F80" s="44"/>
      <c r="G80" s="44"/>
      <c r="H80" s="278" t="s">
        <v>219</v>
      </c>
      <c r="I80" s="116"/>
      <c r="J80" s="116"/>
      <c r="K80" s="116"/>
      <c r="L80" s="117">
        <f>L91</f>
        <v>0</v>
      </c>
      <c r="M80" s="117">
        <f>M91</f>
        <v>0</v>
      </c>
      <c r="N80" s="116"/>
      <c r="O80" s="116"/>
      <c r="P80" s="116"/>
      <c r="Q80" s="116"/>
      <c r="R80" s="117">
        <f t="shared" ref="R80:U80" si="117">R91</f>
        <v>0</v>
      </c>
      <c r="S80" s="117">
        <f t="shared" si="117"/>
        <v>0</v>
      </c>
      <c r="T80" s="117">
        <f t="shared" si="117"/>
        <v>0</v>
      </c>
      <c r="U80" s="117">
        <f t="shared" si="117"/>
        <v>0</v>
      </c>
      <c r="V80" s="116"/>
      <c r="W80" s="116"/>
      <c r="X80" s="116"/>
      <c r="Y80" s="117">
        <f>Y91</f>
        <v>0</v>
      </c>
      <c r="Z80" s="116"/>
      <c r="AA80" s="116"/>
      <c r="AB80" s="117">
        <f t="shared" ref="AB80:AF80" si="118">AB91</f>
        <v>570000</v>
      </c>
      <c r="AC80" s="117">
        <f t="shared" si="118"/>
        <v>0</v>
      </c>
      <c r="AD80" s="117">
        <f t="shared" si="118"/>
        <v>0</v>
      </c>
      <c r="AE80" s="117">
        <f t="shared" si="118"/>
        <v>114000</v>
      </c>
      <c r="AF80" s="117">
        <f t="shared" si="118"/>
        <v>684000</v>
      </c>
      <c r="AG80" s="116"/>
      <c r="AH80" s="116"/>
      <c r="AI80" s="116"/>
      <c r="AJ80" s="117">
        <f t="shared" ref="AJ80:AN80" si="119">AJ91</f>
        <v>0</v>
      </c>
      <c r="AK80" s="117">
        <f t="shared" si="119"/>
        <v>0</v>
      </c>
      <c r="AL80" s="117">
        <f t="shared" si="119"/>
        <v>1700000</v>
      </c>
      <c r="AM80" s="117">
        <f t="shared" si="119"/>
        <v>1700000</v>
      </c>
      <c r="AN80" s="117">
        <f t="shared" si="119"/>
        <v>255000</v>
      </c>
      <c r="AO80" s="132"/>
      <c r="AP80" s="25"/>
      <c r="AQ80" s="117">
        <f t="shared" ref="AQ80:BB80" si="120">AQ91</f>
        <v>0</v>
      </c>
      <c r="AR80" s="117">
        <f t="shared" si="120"/>
        <v>684000</v>
      </c>
      <c r="AS80" s="117">
        <f t="shared" si="120"/>
        <v>1955000</v>
      </c>
      <c r="AT80" s="117">
        <f t="shared" si="120"/>
        <v>2639000</v>
      </c>
      <c r="AU80" s="117">
        <f t="shared" si="120"/>
        <v>1996253</v>
      </c>
      <c r="AV80" s="117">
        <f t="shared" si="120"/>
        <v>0</v>
      </c>
      <c r="AW80" s="117">
        <f t="shared" si="120"/>
        <v>0</v>
      </c>
      <c r="AX80" s="117">
        <f t="shared" si="120"/>
        <v>0</v>
      </c>
      <c r="AY80" s="117">
        <f t="shared" si="120"/>
        <v>0</v>
      </c>
      <c r="AZ80" s="117">
        <f t="shared" si="120"/>
        <v>0</v>
      </c>
      <c r="BA80" s="117">
        <f t="shared" si="120"/>
        <v>0</v>
      </c>
      <c r="BB80" s="117">
        <f t="shared" si="120"/>
        <v>-642747</v>
      </c>
    </row>
    <row r="81" spans="1:54" ht="140.4" outlineLevel="2">
      <c r="A81" s="98"/>
      <c r="B81" s="102"/>
      <c r="C81" s="23"/>
      <c r="D81" s="103"/>
      <c r="E81" s="103"/>
      <c r="F81" s="57"/>
      <c r="G81" s="53"/>
      <c r="H81" s="302" t="s">
        <v>684</v>
      </c>
      <c r="I81" s="138"/>
      <c r="J81" s="105"/>
      <c r="K81" s="105"/>
      <c r="L81" s="106" t="str">
        <f>IF(I81&lt;&gt;0,((VLOOKUP(I81,'1. Standard_Cost'!$B$4:$D$11,2)+VLOOKUP(I81,'1. Standard_Cost'!$B$4:$D$11,3))*J81*K81),"0")</f>
        <v>0</v>
      </c>
      <c r="M81" s="106">
        <f>L81*'1. Standard_Cost'!$F$4</f>
        <v>0</v>
      </c>
      <c r="N81" s="107"/>
      <c r="O81" s="107"/>
      <c r="P81" s="107"/>
      <c r="Q81" s="107"/>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25"/>
      <c r="AA81" s="225"/>
      <c r="AB81" s="108">
        <f>+Z81*'1. Standard_Cost'!$B$23+AA81*'1. Standard_Cost'!$C$23</f>
        <v>0</v>
      </c>
      <c r="AC81" s="109"/>
      <c r="AD81" s="110"/>
      <c r="AE81" s="108">
        <f>SUM(AD81,AC81,AB81,Y81,U81,T81,S81,R81)*'1. Standard_Cost'!$B$31</f>
        <v>0</v>
      </c>
      <c r="AF81" s="108">
        <f t="shared" ref="AF81:AF90" si="121">SUM(AE81,AD81,AC81,AB81,Y81,U81,T81,S81,R81)</f>
        <v>0</v>
      </c>
      <c r="AG81" s="226"/>
      <c r="AH81" s="226"/>
      <c r="AI81" s="226"/>
      <c r="AJ81" s="227"/>
      <c r="AK81" s="227"/>
      <c r="AL81" s="227"/>
      <c r="AM81" s="108">
        <f>AG81*'1. Standard_Cost'!$B$27+'Incremental_Cost Year 1'!AH81*'1. Standard_Cost'!$C$27+'Incremental_Cost Year 1'!AI81*'1. Standard_Cost'!$D$27+'Incremental_Cost Year 1'!AJ81+'Incremental_Cost Year 1'!AL81+AK81</f>
        <v>0</v>
      </c>
      <c r="AN81" s="108">
        <f>AM81*'1. Standard_Cost'!$C$31</f>
        <v>0</v>
      </c>
      <c r="AO81" s="125" t="s">
        <v>300</v>
      </c>
      <c r="AQ81" s="14">
        <f t="shared" ref="AQ81:AQ90" si="122">L81+M81</f>
        <v>0</v>
      </c>
      <c r="AR81" s="14">
        <f t="shared" ref="AR81:AR90" si="123">AF81</f>
        <v>0</v>
      </c>
      <c r="AS81" s="14">
        <f t="shared" ref="AS81:AS90" si="124">AM81+AN81</f>
        <v>0</v>
      </c>
      <c r="AT81" s="14">
        <f>SUM(AQ81,AR81,AS81)</f>
        <v>0</v>
      </c>
      <c r="AU81" s="234"/>
      <c r="AV81" s="234"/>
      <c r="AW81" s="234"/>
      <c r="AX81" s="234"/>
      <c r="AY81" s="234"/>
      <c r="AZ81" s="234"/>
      <c r="BA81" s="234"/>
      <c r="BB81" s="16">
        <f t="shared" ref="BB81:BB90" si="125">SUM(AU81:BA81)-AT81</f>
        <v>0</v>
      </c>
    </row>
    <row r="82" spans="1:54" ht="93.6" outlineLevel="2">
      <c r="A82" s="98"/>
      <c r="B82" s="102"/>
      <c r="C82" s="23"/>
      <c r="D82" s="119"/>
      <c r="E82" s="119"/>
      <c r="F82" s="55"/>
      <c r="G82" s="54"/>
      <c r="H82" s="302" t="s">
        <v>616</v>
      </c>
      <c r="I82" s="138"/>
      <c r="J82" s="105"/>
      <c r="K82" s="105"/>
      <c r="L82" s="106" t="str">
        <f>IF(I82&lt;&gt;0,((VLOOKUP(I82,'1. Standard_Cost'!$B$4:$D$11,2)+VLOOKUP(I82,'1. Standard_Cost'!$B$4:$D$11,3))*J82*K82),"0")</f>
        <v>0</v>
      </c>
      <c r="M82" s="106">
        <f>L82*'1. Standard_Cost'!$F$4</f>
        <v>0</v>
      </c>
      <c r="N82" s="107"/>
      <c r="O82" s="107"/>
      <c r="P82" s="107"/>
      <c r="Q82" s="107"/>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25"/>
      <c r="AA82" s="225"/>
      <c r="AB82" s="108">
        <f>+Z82*'1. Standard_Cost'!$B$23+AA82*'1. Standard_Cost'!$C$23</f>
        <v>0</v>
      </c>
      <c r="AC82" s="109"/>
      <c r="AD82" s="110"/>
      <c r="AE82" s="108">
        <f>SUM(AD82,AC82,AB82,Y82,U82,T82,S82,R82)*'1. Standard_Cost'!$B$31</f>
        <v>0</v>
      </c>
      <c r="AF82" s="108">
        <f t="shared" si="121"/>
        <v>0</v>
      </c>
      <c r="AG82" s="226"/>
      <c r="AH82" s="226"/>
      <c r="AI82" s="226"/>
      <c r="AJ82" s="227"/>
      <c r="AK82" s="227"/>
      <c r="AL82" s="227"/>
      <c r="AM82" s="108">
        <f>AG82*'1. Standard_Cost'!$B$27+'Incremental_Cost Year 1'!AH82*'1. Standard_Cost'!$C$27+'Incremental_Cost Year 1'!AI82*'1. Standard_Cost'!$D$27+'Incremental_Cost Year 1'!AJ82+'Incremental_Cost Year 1'!AL82+AK82</f>
        <v>0</v>
      </c>
      <c r="AN82" s="108">
        <f>AM82*'1. Standard_Cost'!$C$31</f>
        <v>0</v>
      </c>
      <c r="AO82" s="125" t="s">
        <v>324</v>
      </c>
      <c r="AQ82" s="14">
        <f t="shared" si="122"/>
        <v>0</v>
      </c>
      <c r="AR82" s="14">
        <f t="shared" si="123"/>
        <v>0</v>
      </c>
      <c r="AS82" s="14">
        <f t="shared" si="124"/>
        <v>0</v>
      </c>
      <c r="AT82" s="14">
        <f t="shared" ref="AT82:AT90" si="126">SUM(AQ82,AR82,AS82)</f>
        <v>0</v>
      </c>
      <c r="AU82" s="234"/>
      <c r="AV82" s="234"/>
      <c r="AW82" s="234"/>
      <c r="AX82" s="234"/>
      <c r="AY82" s="234"/>
      <c r="AZ82" s="234"/>
      <c r="BA82" s="234"/>
      <c r="BB82" s="16">
        <f t="shared" si="125"/>
        <v>0</v>
      </c>
    </row>
    <row r="83" spans="1:54" ht="109.2" outlineLevel="2">
      <c r="A83" s="98"/>
      <c r="B83" s="102"/>
      <c r="C83" s="23"/>
      <c r="D83" s="119"/>
      <c r="E83" s="119"/>
      <c r="F83" s="55"/>
      <c r="G83" s="54"/>
      <c r="H83" s="302" t="s">
        <v>617</v>
      </c>
      <c r="I83" s="138"/>
      <c r="J83" s="105"/>
      <c r="K83" s="105"/>
      <c r="L83" s="106" t="str">
        <f>IF(I83&lt;&gt;0,((VLOOKUP(I83,'1. Standard_Cost'!$B$4:$D$11,2)+VLOOKUP(I83,'1. Standard_Cost'!$B$4:$D$11,3))*J83*K83),"0")</f>
        <v>0</v>
      </c>
      <c r="M83" s="106">
        <f>L83*'1. Standard_Cost'!$F$4</f>
        <v>0</v>
      </c>
      <c r="N83" s="107"/>
      <c r="O83" s="107"/>
      <c r="P83" s="107"/>
      <c r="Q83" s="107"/>
      <c r="R83" s="108">
        <f>'1. Standard_Cost'!$B$15*N83*P83</f>
        <v>0</v>
      </c>
      <c r="S83" s="108">
        <f>N83*O83*P83*'1. Standard_Cost'!$C$15</f>
        <v>0</v>
      </c>
      <c r="T83" s="108">
        <f>N83*P83*Q83*'1. Standard_Cost'!$D$15</f>
        <v>0</v>
      </c>
      <c r="U83" s="108">
        <f>N83*O83*'1. Standard_Cost'!$E$15</f>
        <v>0</v>
      </c>
      <c r="V83" s="107"/>
      <c r="W83" s="107"/>
      <c r="X83" s="107"/>
      <c r="Y83" s="108">
        <f>+V83*((X83*'1. Standard_Cost'!$B$19)+(W83*X83*'1. Standard_Cost'!$C$19))</f>
        <v>0</v>
      </c>
      <c r="Z83" s="225"/>
      <c r="AA83" s="225"/>
      <c r="AB83" s="108">
        <f>+Z83*'1. Standard_Cost'!$B$23+AA83*'1. Standard_Cost'!$C$23</f>
        <v>0</v>
      </c>
      <c r="AC83" s="109"/>
      <c r="AD83" s="110"/>
      <c r="AE83" s="108">
        <f>SUM(AD83,AC83,AB83,Y83,U83,T83,S83,R83)*'1. Standard_Cost'!$B$31</f>
        <v>0</v>
      </c>
      <c r="AF83" s="108">
        <f t="shared" ref="AF83:AF84" si="127">SUM(AE83,AD83,AC83,AB83,Y83,U83,T83,S83,R83)</f>
        <v>0</v>
      </c>
      <c r="AG83" s="226"/>
      <c r="AH83" s="226"/>
      <c r="AI83" s="226"/>
      <c r="AJ83" s="227"/>
      <c r="AK83" s="227"/>
      <c r="AL83" s="227"/>
      <c r="AM83" s="108">
        <f>AG83*'1. Standard_Cost'!$B$27+'Incremental_Cost Year 1'!AH83*'1. Standard_Cost'!$C$27+'Incremental_Cost Year 1'!AI83*'1. Standard_Cost'!$D$27+'Incremental_Cost Year 1'!AJ83+'Incremental_Cost Year 1'!AL83+AK83</f>
        <v>0</v>
      </c>
      <c r="AN83" s="108">
        <f>AM83*'1. Standard_Cost'!$C$31</f>
        <v>0</v>
      </c>
      <c r="AO83" s="125" t="s">
        <v>325</v>
      </c>
      <c r="AQ83" s="14">
        <f t="shared" ref="AQ83:AQ84" si="128">L83+M83</f>
        <v>0</v>
      </c>
      <c r="AR83" s="14">
        <f t="shared" ref="AR83:AR84" si="129">AF83</f>
        <v>0</v>
      </c>
      <c r="AS83" s="14">
        <f t="shared" ref="AS83:AS84" si="130">AM83+AN83</f>
        <v>0</v>
      </c>
      <c r="AT83" s="14">
        <f t="shared" ref="AT83:AT84" si="131">SUM(AQ83,AR83,AS83)</f>
        <v>0</v>
      </c>
      <c r="AU83" s="234"/>
      <c r="AV83" s="234"/>
      <c r="AW83" s="234"/>
      <c r="AX83" s="234"/>
      <c r="AY83" s="234"/>
      <c r="AZ83" s="234"/>
      <c r="BA83" s="234"/>
      <c r="BB83" s="16">
        <f t="shared" ref="BB83:BB84" si="132">SUM(AU83:BA83)-AT83</f>
        <v>0</v>
      </c>
    </row>
    <row r="84" spans="1:54" ht="140.4" outlineLevel="2">
      <c r="A84" s="98"/>
      <c r="B84" s="102"/>
      <c r="C84" s="23"/>
      <c r="D84" s="119"/>
      <c r="E84" s="119"/>
      <c r="F84" s="55"/>
      <c r="G84" s="54"/>
      <c r="H84" s="302" t="s">
        <v>618</v>
      </c>
      <c r="I84" s="104"/>
      <c r="J84" s="105"/>
      <c r="K84" s="105"/>
      <c r="L84" s="106" t="str">
        <f>IF(I84&lt;&gt;0,((VLOOKUP(I84,'1. Standard_Cost'!$B$4:$D$11,2)+VLOOKUP(I84,'1. Standard_Cost'!$B$4:$D$11,3))*J84*K84),"0")</f>
        <v>0</v>
      </c>
      <c r="M84" s="106">
        <f>L84*'1. Standard_Cost'!$F$4</f>
        <v>0</v>
      </c>
      <c r="N84" s="107"/>
      <c r="O84" s="107"/>
      <c r="P84" s="107"/>
      <c r="Q84" s="107"/>
      <c r="R84" s="108">
        <f>'1. Standard_Cost'!$B$15*N84*P84</f>
        <v>0</v>
      </c>
      <c r="S84" s="108">
        <f>N84*O84*P84*'1. Standard_Cost'!$C$15</f>
        <v>0</v>
      </c>
      <c r="T84" s="108">
        <f>N84*P84*Q84*'1. Standard_Cost'!$D$15</f>
        <v>0</v>
      </c>
      <c r="U84" s="108">
        <f>N84*O84*'1. Standard_Cost'!$E$15</f>
        <v>0</v>
      </c>
      <c r="V84" s="107"/>
      <c r="W84" s="107"/>
      <c r="X84" s="107"/>
      <c r="Y84" s="108">
        <f>+V84*((X84*'1. Standard_Cost'!$B$19)+(W84*X84*'1. Standard_Cost'!$C$19))</f>
        <v>0</v>
      </c>
      <c r="Z84" s="225"/>
      <c r="AA84" s="225"/>
      <c r="AB84" s="108">
        <f>+Z84*'1. Standard_Cost'!$B$23+AA84*'1. Standard_Cost'!$C$23</f>
        <v>0</v>
      </c>
      <c r="AC84" s="109"/>
      <c r="AD84" s="110"/>
      <c r="AE84" s="108">
        <f>SUM(AD84,AC84,AB84,Y84,U84,T84,S84,R84)*'1. Standard_Cost'!$B$31</f>
        <v>0</v>
      </c>
      <c r="AF84" s="108">
        <f t="shared" si="127"/>
        <v>0</v>
      </c>
      <c r="AG84" s="226"/>
      <c r="AH84" s="226"/>
      <c r="AI84" s="226"/>
      <c r="AJ84" s="227"/>
      <c r="AK84" s="227"/>
      <c r="AL84" s="227"/>
      <c r="AM84" s="108">
        <f>AG84*'1. Standard_Cost'!$B$27+'Incremental_Cost Year 1'!AH84*'1. Standard_Cost'!$C$27+'Incremental_Cost Year 1'!AI84*'1. Standard_Cost'!$D$27+'Incremental_Cost Year 1'!AJ84+'Incremental_Cost Year 1'!AL84+AK84</f>
        <v>0</v>
      </c>
      <c r="AN84" s="108">
        <f>AM84*'1. Standard_Cost'!$C$31</f>
        <v>0</v>
      </c>
      <c r="AO84" s="125" t="s">
        <v>326</v>
      </c>
      <c r="AQ84" s="14">
        <f t="shared" si="128"/>
        <v>0</v>
      </c>
      <c r="AR84" s="14">
        <f t="shared" si="129"/>
        <v>0</v>
      </c>
      <c r="AS84" s="14">
        <f t="shared" si="130"/>
        <v>0</v>
      </c>
      <c r="AT84" s="14">
        <f t="shared" si="131"/>
        <v>0</v>
      </c>
      <c r="AU84" s="234">
        <v>41253</v>
      </c>
      <c r="AV84" s="234"/>
      <c r="AW84" s="234"/>
      <c r="AX84" s="234"/>
      <c r="AY84" s="234"/>
      <c r="AZ84" s="234"/>
      <c r="BA84" s="234"/>
      <c r="BB84" s="16">
        <f t="shared" si="132"/>
        <v>41253</v>
      </c>
    </row>
    <row r="85" spans="1:54" ht="109.2" outlineLevel="2">
      <c r="A85" s="98"/>
      <c r="B85" s="102"/>
      <c r="C85" s="23"/>
      <c r="D85" s="119"/>
      <c r="E85" s="119"/>
      <c r="F85" s="55"/>
      <c r="G85" s="54"/>
      <c r="H85" s="302" t="s">
        <v>619</v>
      </c>
      <c r="I85" s="138"/>
      <c r="J85" s="105"/>
      <c r="K85" s="105"/>
      <c r="L85" s="106" t="str">
        <f>IF(I85&lt;&gt;0,((VLOOKUP(I85,'1. Standard_Cost'!$B$4:$D$11,2)+VLOOKUP(I85,'1. Standard_Cost'!$B$4:$D$11,3))*J85*K85),"0")</f>
        <v>0</v>
      </c>
      <c r="M85" s="106">
        <f>L85*'1. Standard_Cost'!$F$4</f>
        <v>0</v>
      </c>
      <c r="N85" s="107"/>
      <c r="O85" s="107"/>
      <c r="P85" s="107"/>
      <c r="Q85" s="107"/>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25"/>
      <c r="AA85" s="225"/>
      <c r="AB85" s="108">
        <f>+Z85*'1. Standard_Cost'!$B$23+AA85*'1. Standard_Cost'!$C$23</f>
        <v>0</v>
      </c>
      <c r="AC85" s="109"/>
      <c r="AD85" s="110"/>
      <c r="AE85" s="108">
        <f>SUM(AD85,AC85,AB85,Y85,U85,T85,S85,R85)*'1. Standard_Cost'!$B$31</f>
        <v>0</v>
      </c>
      <c r="AF85" s="108">
        <f t="shared" si="121"/>
        <v>0</v>
      </c>
      <c r="AG85" s="226"/>
      <c r="AH85" s="226"/>
      <c r="AI85" s="226"/>
      <c r="AJ85" s="227"/>
      <c r="AK85" s="227"/>
      <c r="AL85" s="227"/>
      <c r="AM85" s="108">
        <f>AG85*'1. Standard_Cost'!$B$27+'Incremental_Cost Year 1'!AH85*'1. Standard_Cost'!$C$27+'Incremental_Cost Year 1'!AI85*'1. Standard_Cost'!$D$27+'Incremental_Cost Year 1'!AJ85+'Incremental_Cost Year 1'!AL85+AK85</f>
        <v>0</v>
      </c>
      <c r="AN85" s="108">
        <f>AM85*'1. Standard_Cost'!$C$31</f>
        <v>0</v>
      </c>
      <c r="AO85" s="125" t="s">
        <v>327</v>
      </c>
      <c r="AQ85" s="14">
        <f t="shared" si="122"/>
        <v>0</v>
      </c>
      <c r="AR85" s="14">
        <f t="shared" si="123"/>
        <v>0</v>
      </c>
      <c r="AS85" s="14">
        <f t="shared" si="124"/>
        <v>0</v>
      </c>
      <c r="AT85" s="14">
        <f t="shared" si="126"/>
        <v>0</v>
      </c>
      <c r="AU85" s="234"/>
      <c r="AV85" s="234"/>
      <c r="AW85" s="234"/>
      <c r="AX85" s="234"/>
      <c r="AY85" s="234"/>
      <c r="AZ85" s="234"/>
      <c r="BA85" s="234"/>
      <c r="BB85" s="16">
        <f t="shared" si="125"/>
        <v>0</v>
      </c>
    </row>
    <row r="86" spans="1:54" ht="171.6" outlineLevel="2">
      <c r="A86" s="98"/>
      <c r="B86" s="102"/>
      <c r="C86" s="23"/>
      <c r="D86" s="119"/>
      <c r="E86" s="119"/>
      <c r="F86" s="55"/>
      <c r="G86" s="54"/>
      <c r="H86" s="302" t="s">
        <v>620</v>
      </c>
      <c r="I86" s="104"/>
      <c r="J86" s="105"/>
      <c r="K86" s="105"/>
      <c r="L86" s="106" t="str">
        <f>IF(I86&lt;&gt;0,((VLOOKUP(I86,'1. Standard_Cost'!$B$4:$D$11,2)+VLOOKUP(I86,'1. Standard_Cost'!$B$4:$D$11,3))*J86*K86),"0")</f>
        <v>0</v>
      </c>
      <c r="M86" s="106">
        <f>L86*'1. Standard_Cost'!$F$4</f>
        <v>0</v>
      </c>
      <c r="N86" s="107"/>
      <c r="O86" s="107"/>
      <c r="P86" s="107"/>
      <c r="Q86" s="107"/>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25"/>
      <c r="AA86" s="225"/>
      <c r="AB86" s="108">
        <f>+Z86*'1. Standard_Cost'!$B$23+AA86*'1. Standard_Cost'!$C$23</f>
        <v>0</v>
      </c>
      <c r="AC86" s="109"/>
      <c r="AD86" s="110"/>
      <c r="AE86" s="108">
        <f>SUM(AD86,AC86,AB86,Y86,U86,T86,S86,R86)*'1. Standard_Cost'!$B$31</f>
        <v>0</v>
      </c>
      <c r="AF86" s="108">
        <f t="shared" si="121"/>
        <v>0</v>
      </c>
      <c r="AG86" s="226"/>
      <c r="AH86" s="226"/>
      <c r="AI86" s="226"/>
      <c r="AJ86" s="227"/>
      <c r="AK86" s="227"/>
      <c r="AL86" s="227"/>
      <c r="AM86" s="108">
        <f>AG86*'1. Standard_Cost'!$B$27+'Incremental_Cost Year 1'!AH86*'1. Standard_Cost'!$C$27+'Incremental_Cost Year 1'!AI86*'1. Standard_Cost'!$D$27+'Incremental_Cost Year 1'!AJ86+'Incremental_Cost Year 1'!AL86+AK86</f>
        <v>0</v>
      </c>
      <c r="AN86" s="108">
        <f>AM86*'1. Standard_Cost'!$C$31</f>
        <v>0</v>
      </c>
      <c r="AO86" s="125" t="s">
        <v>328</v>
      </c>
      <c r="AQ86" s="14">
        <f t="shared" si="122"/>
        <v>0</v>
      </c>
      <c r="AR86" s="14">
        <f t="shared" si="123"/>
        <v>0</v>
      </c>
      <c r="AS86" s="14">
        <f t="shared" si="124"/>
        <v>0</v>
      </c>
      <c r="AT86" s="14">
        <f t="shared" si="126"/>
        <v>0</v>
      </c>
      <c r="AU86" s="234"/>
      <c r="AV86" s="234"/>
      <c r="AW86" s="234"/>
      <c r="AX86" s="234"/>
      <c r="AY86" s="234"/>
      <c r="AZ86" s="234"/>
      <c r="BA86" s="234"/>
      <c r="BB86" s="16">
        <f t="shared" si="125"/>
        <v>0</v>
      </c>
    </row>
    <row r="87" spans="1:54" ht="140.4" outlineLevel="2">
      <c r="A87" s="98"/>
      <c r="B87" s="102"/>
      <c r="C87" s="23"/>
      <c r="D87" s="119"/>
      <c r="E87" s="119"/>
      <c r="F87" s="55"/>
      <c r="G87" s="54"/>
      <c r="H87" s="302" t="s">
        <v>621</v>
      </c>
      <c r="I87" s="104"/>
      <c r="J87" s="105"/>
      <c r="K87" s="105"/>
      <c r="L87" s="106" t="str">
        <f>IF(I87&lt;&gt;0,((VLOOKUP(I87,'1. Standard_Cost'!$B$4:$D$11,2)+VLOOKUP(I87,'1. Standard_Cost'!$B$4:$D$11,3))*J87*K87),"0")</f>
        <v>0</v>
      </c>
      <c r="M87" s="106">
        <f>L87*'1. Standard_Cost'!$F$4</f>
        <v>0</v>
      </c>
      <c r="N87" s="107"/>
      <c r="O87" s="107"/>
      <c r="P87" s="107"/>
      <c r="Q87" s="107"/>
      <c r="R87" s="108">
        <f>'1. Standard_Cost'!$B$15*N87*P87</f>
        <v>0</v>
      </c>
      <c r="S87" s="108">
        <f>N87*O87*P87*'1. Standard_Cost'!$C$15</f>
        <v>0</v>
      </c>
      <c r="T87" s="108">
        <f>N87*P87*Q87*'1. Standard_Cost'!$D$15</f>
        <v>0</v>
      </c>
      <c r="U87" s="108">
        <f>N87*O87*'1. Standard_Cost'!$E$15</f>
        <v>0</v>
      </c>
      <c r="V87" s="107"/>
      <c r="W87" s="107"/>
      <c r="X87" s="107"/>
      <c r="Y87" s="108">
        <f>+V87*((X87*'1. Standard_Cost'!$B$19)+(W87*X87*'1. Standard_Cost'!$C$19))</f>
        <v>0</v>
      </c>
      <c r="Z87" s="225"/>
      <c r="AA87" s="225">
        <v>30</v>
      </c>
      <c r="AB87" s="108">
        <f>+Z87*'1. Standard_Cost'!$B$23+AA87*'1. Standard_Cost'!$C$23</f>
        <v>570000</v>
      </c>
      <c r="AC87" s="109"/>
      <c r="AD87" s="110"/>
      <c r="AE87" s="108">
        <f>SUM(AD87,AC87,AB87,Y87,U87,T87,S87,R87)*'1. Standard_Cost'!$B$31</f>
        <v>114000</v>
      </c>
      <c r="AF87" s="108">
        <f t="shared" si="121"/>
        <v>684000</v>
      </c>
      <c r="AG87" s="226"/>
      <c r="AH87" s="226"/>
      <c r="AI87" s="226"/>
      <c r="AJ87" s="227"/>
      <c r="AK87" s="227"/>
      <c r="AL87" s="227"/>
      <c r="AM87" s="108">
        <f>AG87*'1. Standard_Cost'!$B$27+'Incremental_Cost Year 1'!AH87*'1. Standard_Cost'!$C$27+'Incremental_Cost Year 1'!AI87*'1. Standard_Cost'!$D$27+'Incremental_Cost Year 1'!AJ87+'Incremental_Cost Year 1'!AL87+AK87</f>
        <v>0</v>
      </c>
      <c r="AN87" s="108">
        <f>AM87*'1. Standard_Cost'!$C$31</f>
        <v>0</v>
      </c>
      <c r="AO87" s="125" t="s">
        <v>329</v>
      </c>
      <c r="AQ87" s="14">
        <f t="shared" si="122"/>
        <v>0</v>
      </c>
      <c r="AR87" s="14">
        <f t="shared" si="123"/>
        <v>684000</v>
      </c>
      <c r="AS87" s="14">
        <f t="shared" si="124"/>
        <v>0</v>
      </c>
      <c r="AT87" s="14">
        <f t="shared" si="126"/>
        <v>684000</v>
      </c>
      <c r="AU87" s="234"/>
      <c r="AV87" s="234"/>
      <c r="AW87" s="234"/>
      <c r="AX87" s="234"/>
      <c r="AY87" s="234"/>
      <c r="AZ87" s="234"/>
      <c r="BA87" s="234"/>
      <c r="BB87" s="16">
        <f t="shared" si="125"/>
        <v>-684000</v>
      </c>
    </row>
    <row r="88" spans="1:54" ht="93.6" outlineLevel="2">
      <c r="A88" s="98"/>
      <c r="B88" s="102"/>
      <c r="C88" s="23"/>
      <c r="D88" s="119"/>
      <c r="E88" s="119"/>
      <c r="F88" s="55"/>
      <c r="G88" s="54"/>
      <c r="H88" s="302" t="s">
        <v>622</v>
      </c>
      <c r="I88" s="104"/>
      <c r="J88" s="105"/>
      <c r="K88" s="105"/>
      <c r="L88" s="106" t="str">
        <f>IF(I88&lt;&gt;0,((VLOOKUP(I88,'1. Standard_Cost'!$B$4:$D$11,2)+VLOOKUP(I88,'1. Standard_Cost'!$B$4:$D$11,3))*J88*K88),"0")</f>
        <v>0</v>
      </c>
      <c r="M88" s="106">
        <f>L88*'1. Standard_Cost'!$F$4</f>
        <v>0</v>
      </c>
      <c r="N88" s="107"/>
      <c r="O88" s="107"/>
      <c r="P88" s="107"/>
      <c r="Q88" s="107"/>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25"/>
      <c r="AA88" s="225"/>
      <c r="AB88" s="108">
        <f>+Z88*'1. Standard_Cost'!$B$23+AA88*'1. Standard_Cost'!$C$23</f>
        <v>0</v>
      </c>
      <c r="AC88" s="109"/>
      <c r="AD88" s="110"/>
      <c r="AE88" s="108">
        <f>SUM(AD88,AC88,AB88,Y88,U88,T88,S88,R88)*'1. Standard_Cost'!$B$31</f>
        <v>0</v>
      </c>
      <c r="AF88" s="108">
        <f t="shared" si="121"/>
        <v>0</v>
      </c>
      <c r="AG88" s="226"/>
      <c r="AH88" s="226"/>
      <c r="AI88" s="226"/>
      <c r="AJ88" s="227"/>
      <c r="AK88" s="227"/>
      <c r="AL88" s="227">
        <v>1700000</v>
      </c>
      <c r="AM88" s="108">
        <f>AG88*'1. Standard_Cost'!$B$27+'Incremental_Cost Year 1'!AH88*'1. Standard_Cost'!$C$27+'Incremental_Cost Year 1'!AI88*'1. Standard_Cost'!$D$27+'Incremental_Cost Year 1'!AJ88+'Incremental_Cost Year 1'!AL88+AK88</f>
        <v>1700000</v>
      </c>
      <c r="AN88" s="108">
        <f>AM88*'1. Standard_Cost'!$C$31</f>
        <v>255000</v>
      </c>
      <c r="AO88" s="125" t="s">
        <v>330</v>
      </c>
      <c r="AQ88" s="14">
        <f t="shared" si="122"/>
        <v>0</v>
      </c>
      <c r="AR88" s="14">
        <f t="shared" si="123"/>
        <v>0</v>
      </c>
      <c r="AS88" s="14">
        <f t="shared" si="124"/>
        <v>1955000</v>
      </c>
      <c r="AT88" s="14">
        <f t="shared" si="126"/>
        <v>1955000</v>
      </c>
      <c r="AU88" s="234">
        <v>1955000</v>
      </c>
      <c r="AV88" s="234"/>
      <c r="AW88" s="234"/>
      <c r="AX88" s="234"/>
      <c r="AY88" s="234"/>
      <c r="AZ88" s="234"/>
      <c r="BA88" s="234"/>
      <c r="BB88" s="16">
        <f t="shared" si="125"/>
        <v>0</v>
      </c>
    </row>
    <row r="89" spans="1:54" ht="124.8" outlineLevel="2">
      <c r="A89" s="98"/>
      <c r="B89" s="102"/>
      <c r="C89" s="23"/>
      <c r="D89" s="119"/>
      <c r="E89" s="119"/>
      <c r="F89" s="55"/>
      <c r="G89" s="54"/>
      <c r="H89" s="302" t="s">
        <v>623</v>
      </c>
      <c r="I89" s="104"/>
      <c r="J89" s="105"/>
      <c r="K89" s="105"/>
      <c r="L89" s="106" t="str">
        <f>IF(I89&lt;&gt;0,((VLOOKUP(I89,'1. Standard_Cost'!$B$4:$D$11,2)+VLOOKUP(I89,'1. Standard_Cost'!$B$4:$D$11,3))*J89*K89),"0")</f>
        <v>0</v>
      </c>
      <c r="M89" s="106">
        <f>L89*'1. Standard_Cost'!$F$4</f>
        <v>0</v>
      </c>
      <c r="N89" s="107"/>
      <c r="O89" s="107"/>
      <c r="P89" s="107"/>
      <c r="Q89" s="107"/>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25"/>
      <c r="AA89" s="225"/>
      <c r="AB89" s="108">
        <f>+Z89*'1. Standard_Cost'!$B$23+AA89*'1. Standard_Cost'!$C$23</f>
        <v>0</v>
      </c>
      <c r="AC89" s="109"/>
      <c r="AD89" s="110"/>
      <c r="AE89" s="108">
        <f>SUM(AD89,AC89,AB89,Y89,U89,T89,S89,R89)*'1. Standard_Cost'!$B$31</f>
        <v>0</v>
      </c>
      <c r="AF89" s="108">
        <f t="shared" si="121"/>
        <v>0</v>
      </c>
      <c r="AG89" s="226"/>
      <c r="AH89" s="226"/>
      <c r="AI89" s="226"/>
      <c r="AJ89" s="227"/>
      <c r="AK89" s="227"/>
      <c r="AL89" s="227"/>
      <c r="AM89" s="108">
        <f>AG89*'1. Standard_Cost'!$B$27+'Incremental_Cost Year 1'!AH89*'1. Standard_Cost'!$C$27+'Incremental_Cost Year 1'!AI89*'1. Standard_Cost'!$D$27+'Incremental_Cost Year 1'!AJ89+'Incremental_Cost Year 1'!AL89+AK89</f>
        <v>0</v>
      </c>
      <c r="AN89" s="108">
        <f>AM89*'1. Standard_Cost'!$C$31</f>
        <v>0</v>
      </c>
      <c r="AO89" s="125" t="s">
        <v>331</v>
      </c>
      <c r="AQ89" s="14">
        <f t="shared" si="122"/>
        <v>0</v>
      </c>
      <c r="AR89" s="14">
        <f t="shared" si="123"/>
        <v>0</v>
      </c>
      <c r="AS89" s="14">
        <f t="shared" si="124"/>
        <v>0</v>
      </c>
      <c r="AT89" s="14">
        <f t="shared" si="126"/>
        <v>0</v>
      </c>
      <c r="AU89" s="234"/>
      <c r="AV89" s="234"/>
      <c r="AW89" s="234"/>
      <c r="AX89" s="234"/>
      <c r="AY89" s="234"/>
      <c r="AZ89" s="234"/>
      <c r="BA89" s="234"/>
      <c r="BB89" s="16">
        <f t="shared" si="125"/>
        <v>0</v>
      </c>
    </row>
    <row r="90" spans="1:54" ht="107.4" outlineLevel="2">
      <c r="A90" s="98"/>
      <c r="B90" s="102"/>
      <c r="C90" s="23"/>
      <c r="D90" s="55"/>
      <c r="E90" s="55"/>
      <c r="F90" s="55"/>
      <c r="G90" s="54"/>
      <c r="H90" s="302" t="s">
        <v>685</v>
      </c>
      <c r="I90" s="104"/>
      <c r="J90" s="105"/>
      <c r="K90" s="105"/>
      <c r="L90" s="106" t="str">
        <f>IF(I90&lt;&gt;0,((VLOOKUP(I90,'1. Standard_Cost'!$B$4:$D$11,2)+VLOOKUP(I90,'1. Standard_Cost'!$B$4:$D$11,3))*J90*K90),"0")</f>
        <v>0</v>
      </c>
      <c r="M90" s="106">
        <f>L90*'1. Standard_Cost'!$F$4</f>
        <v>0</v>
      </c>
      <c r="N90" s="107"/>
      <c r="O90" s="107"/>
      <c r="P90" s="107"/>
      <c r="Q90" s="107"/>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25"/>
      <c r="AA90" s="225"/>
      <c r="AB90" s="108">
        <f>+Z90*'1. Standard_Cost'!$B$23+AA90*'1. Standard_Cost'!$C$23</f>
        <v>0</v>
      </c>
      <c r="AC90" s="109"/>
      <c r="AD90" s="110"/>
      <c r="AE90" s="108">
        <f>SUM(AD90,AC90,AB90,Y90,U90,T90,S90,R90)*'1. Standard_Cost'!$B$31</f>
        <v>0</v>
      </c>
      <c r="AF90" s="108">
        <f t="shared" si="121"/>
        <v>0</v>
      </c>
      <c r="AG90" s="226"/>
      <c r="AH90" s="226"/>
      <c r="AI90" s="226"/>
      <c r="AJ90" s="227"/>
      <c r="AK90" s="227"/>
      <c r="AL90" s="227"/>
      <c r="AM90" s="108">
        <f>AG90*'1. Standard_Cost'!$B$27+'Incremental_Cost Year 1'!AH90*'1. Standard_Cost'!$C$27+'Incremental_Cost Year 1'!AI90*'1. Standard_Cost'!$D$27+'Incremental_Cost Year 1'!AJ90+'Incremental_Cost Year 1'!AL90+AK90</f>
        <v>0</v>
      </c>
      <c r="AN90" s="108">
        <f>AM90*'1. Standard_Cost'!$C$31</f>
        <v>0</v>
      </c>
      <c r="AO90" s="125" t="s">
        <v>332</v>
      </c>
      <c r="AQ90" s="14">
        <f t="shared" si="122"/>
        <v>0</v>
      </c>
      <c r="AR90" s="14">
        <f t="shared" si="123"/>
        <v>0</v>
      </c>
      <c r="AS90" s="14">
        <f t="shared" si="124"/>
        <v>0</v>
      </c>
      <c r="AT90" s="14">
        <f t="shared" si="126"/>
        <v>0</v>
      </c>
      <c r="AU90" s="234"/>
      <c r="AV90" s="234"/>
      <c r="AW90" s="234"/>
      <c r="AX90" s="234"/>
      <c r="AY90" s="234"/>
      <c r="AZ90" s="234"/>
      <c r="BA90" s="234"/>
      <c r="BB90" s="16">
        <f t="shared" si="125"/>
        <v>0</v>
      </c>
    </row>
    <row r="91" spans="1:54" ht="48.6" customHeight="1" outlineLevel="1">
      <c r="A91" s="98"/>
      <c r="B91" s="102"/>
      <c r="C91" s="23"/>
      <c r="D91" s="345" t="s">
        <v>632</v>
      </c>
      <c r="E91" s="56" t="s">
        <v>217</v>
      </c>
      <c r="F91" s="58">
        <v>2021</v>
      </c>
      <c r="G91" s="59">
        <v>2026</v>
      </c>
      <c r="H91" s="277" t="s">
        <v>218</v>
      </c>
      <c r="I91" s="112"/>
      <c r="J91" s="112"/>
      <c r="K91" s="112"/>
      <c r="L91" s="113">
        <f>SUM(L81:L90)</f>
        <v>0</v>
      </c>
      <c r="M91" s="113">
        <f>SUM(M81:M90)</f>
        <v>0</v>
      </c>
      <c r="N91" s="113"/>
      <c r="O91" s="112"/>
      <c r="P91" s="112"/>
      <c r="Q91" s="112"/>
      <c r="R91" s="113">
        <f t="shared" ref="R91:U91" si="133">SUM(R81:R90)</f>
        <v>0</v>
      </c>
      <c r="S91" s="113">
        <f t="shared" si="133"/>
        <v>0</v>
      </c>
      <c r="T91" s="113">
        <f t="shared" si="133"/>
        <v>0</v>
      </c>
      <c r="U91" s="113">
        <f t="shared" si="133"/>
        <v>0</v>
      </c>
      <c r="V91" s="112"/>
      <c r="W91" s="112"/>
      <c r="X91" s="112"/>
      <c r="Y91" s="113">
        <f>SUM(Y81:Y90)</f>
        <v>0</v>
      </c>
      <c r="Z91" s="112"/>
      <c r="AA91" s="112"/>
      <c r="AB91" s="113">
        <f t="shared" ref="AB91:AF91" si="134">SUM(AB81:AB90)</f>
        <v>570000</v>
      </c>
      <c r="AC91" s="113">
        <f t="shared" si="134"/>
        <v>0</v>
      </c>
      <c r="AD91" s="113">
        <f t="shared" si="134"/>
        <v>0</v>
      </c>
      <c r="AE91" s="113">
        <f t="shared" si="134"/>
        <v>114000</v>
      </c>
      <c r="AF91" s="113">
        <f t="shared" si="134"/>
        <v>684000</v>
      </c>
      <c r="AG91" s="112"/>
      <c r="AH91" s="112"/>
      <c r="AI91" s="112"/>
      <c r="AJ91" s="113">
        <f t="shared" ref="AJ91:AN91" si="135">SUM(AJ81:AJ90)</f>
        <v>0</v>
      </c>
      <c r="AK91" s="113">
        <f t="shared" si="135"/>
        <v>0</v>
      </c>
      <c r="AL91" s="113">
        <f t="shared" si="135"/>
        <v>1700000</v>
      </c>
      <c r="AM91" s="113">
        <f t="shared" si="135"/>
        <v>1700000</v>
      </c>
      <c r="AN91" s="113">
        <f t="shared" si="135"/>
        <v>255000</v>
      </c>
      <c r="AO91" s="131"/>
      <c r="AP91" s="17"/>
      <c r="AQ91" s="113">
        <f t="shared" ref="AQ91:AT91" si="136">SUM(AQ81:AQ90)</f>
        <v>0</v>
      </c>
      <c r="AR91" s="113">
        <f t="shared" si="136"/>
        <v>684000</v>
      </c>
      <c r="AS91" s="113">
        <f t="shared" si="136"/>
        <v>1955000</v>
      </c>
      <c r="AT91" s="113">
        <f t="shared" si="136"/>
        <v>2639000</v>
      </c>
      <c r="AU91" s="113">
        <f t="shared" ref="AU91:BB91" si="137">SUM(AU81:AU90)</f>
        <v>1996253</v>
      </c>
      <c r="AV91" s="113">
        <f t="shared" si="137"/>
        <v>0</v>
      </c>
      <c r="AW91" s="113">
        <f t="shared" si="137"/>
        <v>0</v>
      </c>
      <c r="AX91" s="113">
        <f t="shared" si="137"/>
        <v>0</v>
      </c>
      <c r="AY91" s="113">
        <f t="shared" si="137"/>
        <v>0</v>
      </c>
      <c r="AZ91" s="113">
        <f t="shared" si="137"/>
        <v>0</v>
      </c>
      <c r="BA91" s="113">
        <f t="shared" si="137"/>
        <v>0</v>
      </c>
      <c r="BB91" s="113">
        <f t="shared" si="137"/>
        <v>-642747</v>
      </c>
    </row>
    <row r="92" spans="1:54" s="13" customFormat="1">
      <c r="A92" s="101"/>
      <c r="B92" s="316" t="s">
        <v>220</v>
      </c>
      <c r="C92" s="317"/>
      <c r="D92" s="317"/>
      <c r="E92" s="318"/>
      <c r="F92" s="38"/>
      <c r="G92" s="38"/>
      <c r="H92" s="241" t="s">
        <v>185</v>
      </c>
      <c r="I92" s="40"/>
      <c r="J92" s="40"/>
      <c r="K92" s="40"/>
      <c r="L92" s="41">
        <f>SUM(L93,L143,L179,L202)</f>
        <v>37613920</v>
      </c>
      <c r="M92" s="41">
        <f>SUM(M93,M143,M179,M202)</f>
        <v>6281524.6400000006</v>
      </c>
      <c r="N92" s="40"/>
      <c r="O92" s="40"/>
      <c r="P92" s="40"/>
      <c r="Q92" s="40"/>
      <c r="R92" s="41">
        <f t="shared" ref="R92:U92" si="138">SUM(R93,R143,R179,R202)</f>
        <v>100000</v>
      </c>
      <c r="S92" s="41">
        <f t="shared" si="138"/>
        <v>300000</v>
      </c>
      <c r="T92" s="41">
        <f t="shared" si="138"/>
        <v>125000</v>
      </c>
      <c r="U92" s="41">
        <f t="shared" si="138"/>
        <v>160000</v>
      </c>
      <c r="V92" s="40"/>
      <c r="W92" s="40"/>
      <c r="X92" s="40"/>
      <c r="Y92" s="41">
        <f>SUM(Y93,Y143,Y179,Y202)</f>
        <v>0</v>
      </c>
      <c r="Z92" s="41">
        <f>SUM(Z93,Z143,Z179,Z202)</f>
        <v>0</v>
      </c>
      <c r="AA92" s="40"/>
      <c r="AB92" s="41">
        <f>SUM(AB93,AB143,AB179,AB202)</f>
        <v>5747000</v>
      </c>
      <c r="AC92" s="41">
        <f>SUM(AC93,AC143,AC179,AC202)</f>
        <v>83444500</v>
      </c>
      <c r="AD92" s="41">
        <f>SUM(AD93,AD143)</f>
        <v>0</v>
      </c>
      <c r="AE92" s="41">
        <f>SUM(AE93,AE143)</f>
        <v>13485500</v>
      </c>
      <c r="AF92" s="41">
        <f>SUM(AF93,AF143)</f>
        <v>97859000</v>
      </c>
      <c r="AG92" s="40"/>
      <c r="AH92" s="40"/>
      <c r="AI92" s="40"/>
      <c r="AJ92" s="41">
        <f>SUM(AJ93,AJ143,AJ179,AJ202)</f>
        <v>0</v>
      </c>
      <c r="AK92" s="41">
        <f>SUM(AK93,AK143,AK179,AK202)</f>
        <v>0</v>
      </c>
      <c r="AL92" s="41">
        <f>SUM(AL93,AL143)</f>
        <v>0</v>
      </c>
      <c r="AM92" s="41">
        <f>SUM(AM93,AM143)</f>
        <v>0</v>
      </c>
      <c r="AN92" s="41">
        <f>SUM(AN93,AN143)</f>
        <v>0</v>
      </c>
      <c r="AO92" s="129"/>
      <c r="AQ92" s="41">
        <f t="shared" ref="AQ92:BB92" si="139">SUM(AQ93,AQ143,AQ179,AQ202)</f>
        <v>43895444.639999993</v>
      </c>
      <c r="AR92" s="41">
        <f t="shared" si="139"/>
        <v>104062600</v>
      </c>
      <c r="AS92" s="41">
        <f t="shared" si="139"/>
        <v>0</v>
      </c>
      <c r="AT92" s="41">
        <f t="shared" si="139"/>
        <v>147958044.64000002</v>
      </c>
      <c r="AU92" s="41">
        <f t="shared" si="139"/>
        <v>44149910.369999997</v>
      </c>
      <c r="AV92" s="41">
        <f t="shared" si="139"/>
        <v>0</v>
      </c>
      <c r="AW92" s="41">
        <f t="shared" si="139"/>
        <v>122250.69</v>
      </c>
      <c r="AX92" s="41">
        <f t="shared" si="139"/>
        <v>14420600</v>
      </c>
      <c r="AY92" s="41">
        <f t="shared" si="139"/>
        <v>0</v>
      </c>
      <c r="AZ92" s="41">
        <f t="shared" si="139"/>
        <v>14836000</v>
      </c>
      <c r="BA92" s="41">
        <f t="shared" si="139"/>
        <v>0</v>
      </c>
      <c r="BB92" s="41">
        <f t="shared" si="139"/>
        <v>-74429283.579999998</v>
      </c>
    </row>
    <row r="93" spans="1:54" s="24" customFormat="1">
      <c r="A93" s="114"/>
      <c r="B93" s="115"/>
      <c r="C93" s="314" t="s">
        <v>221</v>
      </c>
      <c r="D93" s="314"/>
      <c r="E93" s="315"/>
      <c r="F93" s="44"/>
      <c r="G93" s="44"/>
      <c r="H93" s="278" t="s">
        <v>186</v>
      </c>
      <c r="I93" s="116"/>
      <c r="J93" s="116"/>
      <c r="K93" s="116"/>
      <c r="L93" s="117">
        <f>SUM(L101,L113,L136,L139,L142)</f>
        <v>3133100</v>
      </c>
      <c r="M93" s="117">
        <f>SUM(M101,M113,M136,M139,M142)</f>
        <v>523227.7</v>
      </c>
      <c r="N93" s="116"/>
      <c r="O93" s="116"/>
      <c r="P93" s="116"/>
      <c r="Q93" s="116"/>
      <c r="R93" s="117">
        <f t="shared" ref="R93:U93" si="140">SUM(R101,R113,R136,R139,R142)</f>
        <v>0</v>
      </c>
      <c r="S93" s="117">
        <f t="shared" si="140"/>
        <v>0</v>
      </c>
      <c r="T93" s="117">
        <f t="shared" si="140"/>
        <v>0</v>
      </c>
      <c r="U93" s="117">
        <f t="shared" si="140"/>
        <v>0</v>
      </c>
      <c r="V93" s="116"/>
      <c r="W93" s="116"/>
      <c r="X93" s="116"/>
      <c r="Y93" s="117">
        <f>SUM(Y101,Y113,Y136,Y139,Y142)</f>
        <v>0</v>
      </c>
      <c r="Z93" s="116"/>
      <c r="AA93" s="116"/>
      <c r="AB93" s="117">
        <f t="shared" ref="AB93:AF93" si="141">SUM(AB101,AB113,AB136,AB139,AB142)</f>
        <v>988000</v>
      </c>
      <c r="AC93" s="117">
        <f t="shared" si="141"/>
        <v>8262500</v>
      </c>
      <c r="AD93" s="117">
        <f t="shared" si="141"/>
        <v>0</v>
      </c>
      <c r="AE93" s="117">
        <f t="shared" si="141"/>
        <v>486100</v>
      </c>
      <c r="AF93" s="117">
        <f t="shared" si="141"/>
        <v>9736600</v>
      </c>
      <c r="AG93" s="116"/>
      <c r="AH93" s="116"/>
      <c r="AI93" s="116"/>
      <c r="AJ93" s="117">
        <f t="shared" ref="AJ93:AN93" si="142">SUM(AJ101,AJ113,AJ136,AJ139,AJ142)</f>
        <v>0</v>
      </c>
      <c r="AK93" s="117">
        <f t="shared" si="142"/>
        <v>0</v>
      </c>
      <c r="AL93" s="117">
        <f t="shared" si="142"/>
        <v>0</v>
      </c>
      <c r="AM93" s="117">
        <f t="shared" si="142"/>
        <v>0</v>
      </c>
      <c r="AN93" s="117">
        <f t="shared" si="142"/>
        <v>0</v>
      </c>
      <c r="AO93" s="132"/>
      <c r="AP93" s="25"/>
      <c r="AQ93" s="117">
        <f t="shared" ref="AQ93:BB93" si="143">SUM(AQ101,AQ113,AQ136,AQ139,AQ142)</f>
        <v>3656327.7</v>
      </c>
      <c r="AR93" s="117">
        <f t="shared" si="143"/>
        <v>9736600</v>
      </c>
      <c r="AS93" s="117">
        <f t="shared" si="143"/>
        <v>0</v>
      </c>
      <c r="AT93" s="117">
        <f t="shared" si="143"/>
        <v>13392927.699999999</v>
      </c>
      <c r="AU93" s="117">
        <f t="shared" si="143"/>
        <v>2902445.7</v>
      </c>
      <c r="AV93" s="117">
        <f t="shared" si="143"/>
        <v>0</v>
      </c>
      <c r="AW93" s="117">
        <f t="shared" si="143"/>
        <v>0</v>
      </c>
      <c r="AX93" s="117">
        <f t="shared" si="143"/>
        <v>8602000</v>
      </c>
      <c r="AY93" s="117">
        <f t="shared" si="143"/>
        <v>0</v>
      </c>
      <c r="AZ93" s="117">
        <f t="shared" si="143"/>
        <v>600000</v>
      </c>
      <c r="BA93" s="117">
        <f t="shared" si="143"/>
        <v>0</v>
      </c>
      <c r="BB93" s="117">
        <f t="shared" si="143"/>
        <v>-1288482</v>
      </c>
    </row>
    <row r="94" spans="1:54" ht="140.4" outlineLevel="2">
      <c r="A94" s="98"/>
      <c r="B94" s="102"/>
      <c r="C94" s="23"/>
      <c r="D94" s="103"/>
      <c r="E94" s="103"/>
      <c r="F94" s="103"/>
      <c r="G94" s="103"/>
      <c r="H94" s="302" t="s">
        <v>444</v>
      </c>
      <c r="I94" s="104"/>
      <c r="J94" s="105"/>
      <c r="K94" s="105"/>
      <c r="L94" s="106" t="str">
        <f>IF(I94&lt;&gt;0,((VLOOKUP(I94,'1. Standard_Cost'!$B$4:$D$11,2)+VLOOKUP(I94,'1. Standard_Cost'!$B$4:$D$11,3))*J94*K94),"0")</f>
        <v>0</v>
      </c>
      <c r="M94" s="106">
        <f>L94*'1. Standard_Cost'!$F$4</f>
        <v>0</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c r="AA94" s="107"/>
      <c r="AB94" s="108">
        <f>+Z94*'1. Standard_Cost'!$B$23+AA94*'1. Standard_Cost'!$C$23</f>
        <v>0</v>
      </c>
      <c r="AC94" s="109"/>
      <c r="AD94" s="110"/>
      <c r="AE94" s="108">
        <f>SUM(AD94,AC94,AB94,Y94,U94,T94,S94,R94)*'1. Standard_Cost'!$B$31</f>
        <v>0</v>
      </c>
      <c r="AF94" s="108">
        <f t="shared" ref="AF94:AF100" si="144">SUM(AE94,AD94,AC94,AB94,Y94,U94,T94,S94,R94)</f>
        <v>0</v>
      </c>
      <c r="AG94" s="107"/>
      <c r="AH94" s="107"/>
      <c r="AI94" s="107"/>
      <c r="AJ94" s="111"/>
      <c r="AK94" s="111"/>
      <c r="AL94" s="111"/>
      <c r="AM94" s="108">
        <f>AG94*'1. Standard_Cost'!$B$27+'Incremental_Cost Year 1'!AH94*'1. Standard_Cost'!$C$27+'Incremental_Cost Year 1'!AI94*'1. Standard_Cost'!$D$27+'Incremental_Cost Year 1'!AJ94+'Incremental_Cost Year 1'!AL94+AK94</f>
        <v>0</v>
      </c>
      <c r="AN94" s="108">
        <f>AM94*'1. Standard_Cost'!$C$31</f>
        <v>0</v>
      </c>
      <c r="AO94" s="125" t="s">
        <v>333</v>
      </c>
      <c r="AQ94" s="14">
        <f t="shared" ref="AQ94:AQ100" si="145">L94+M94</f>
        <v>0</v>
      </c>
      <c r="AR94" s="14">
        <f t="shared" ref="AR94:AR100" si="146">AF94</f>
        <v>0</v>
      </c>
      <c r="AS94" s="14">
        <f t="shared" ref="AS94:AS100" si="147">AM94+AN94</f>
        <v>0</v>
      </c>
      <c r="AT94" s="14">
        <f>SUM(AQ94,AR94,AS94)</f>
        <v>0</v>
      </c>
      <c r="AU94" s="15"/>
      <c r="AV94" s="15"/>
      <c r="AW94" s="15"/>
      <c r="AX94" s="15"/>
      <c r="AY94" s="15"/>
      <c r="AZ94" s="15"/>
      <c r="BA94" s="15"/>
      <c r="BB94" s="16">
        <f t="shared" ref="BB94:BB100" si="148">SUM(AU94:BA94)-AT94</f>
        <v>0</v>
      </c>
    </row>
    <row r="95" spans="1:54" ht="93.6" outlineLevel="2">
      <c r="A95" s="98"/>
      <c r="B95" s="102"/>
      <c r="C95" s="23"/>
      <c r="D95" s="119"/>
      <c r="E95" s="119"/>
      <c r="F95" s="119"/>
      <c r="G95" s="119"/>
      <c r="H95" s="302" t="s">
        <v>445</v>
      </c>
      <c r="I95" s="104"/>
      <c r="J95" s="105"/>
      <c r="K95" s="105"/>
      <c r="L95" s="106" t="str">
        <f>IF(I95&lt;&gt;0,((VLOOKUP(I95,'1. Standard_Cost'!$B$4:$D$11,2)+VLOOKUP(I95,'1. Standard_Cost'!$B$4:$D$11,3))*J95*K95),"0")</f>
        <v>0</v>
      </c>
      <c r="M95" s="106">
        <f>L95*'1. Standard_Cost'!$F$4</f>
        <v>0</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c r="AB95" s="108">
        <f>+Z95*'1. Standard_Cost'!$B$23+AA95*'1. Standard_Cost'!$C$23</f>
        <v>0</v>
      </c>
      <c r="AC95" s="109"/>
      <c r="AD95" s="110"/>
      <c r="AE95" s="108">
        <f>SUM(AD95,AC95,AB95,Y95,U95,T95,S95,R95)*'1. Standard_Cost'!$B$31</f>
        <v>0</v>
      </c>
      <c r="AF95" s="108">
        <f t="shared" si="144"/>
        <v>0</v>
      </c>
      <c r="AG95" s="107"/>
      <c r="AH95" s="107"/>
      <c r="AI95" s="107"/>
      <c r="AJ95" s="111"/>
      <c r="AK95" s="111"/>
      <c r="AL95" s="111"/>
      <c r="AM95" s="108">
        <f>AG95*'1. Standard_Cost'!$B$27+'Incremental_Cost Year 1'!AH95*'1. Standard_Cost'!$C$27+'Incremental_Cost Year 1'!AI95*'1. Standard_Cost'!$D$27+'Incremental_Cost Year 1'!AJ95+'Incremental_Cost Year 1'!AL95+AK95</f>
        <v>0</v>
      </c>
      <c r="AN95" s="108">
        <f>AM95*'1. Standard_Cost'!$C$31</f>
        <v>0</v>
      </c>
      <c r="AO95" s="125" t="s">
        <v>334</v>
      </c>
      <c r="AQ95" s="14">
        <f t="shared" si="145"/>
        <v>0</v>
      </c>
      <c r="AR95" s="14">
        <f t="shared" si="146"/>
        <v>0</v>
      </c>
      <c r="AS95" s="14">
        <f t="shared" si="147"/>
        <v>0</v>
      </c>
      <c r="AT95" s="14">
        <f t="shared" ref="AT95:AT100" si="149">SUM(AQ95,AR95,AS95)</f>
        <v>0</v>
      </c>
      <c r="AU95" s="15"/>
      <c r="AV95" s="15"/>
      <c r="AW95" s="15"/>
      <c r="AX95" s="15"/>
      <c r="AY95" s="15"/>
      <c r="AZ95" s="15"/>
      <c r="BA95" s="15"/>
      <c r="BB95" s="16">
        <f t="shared" si="148"/>
        <v>0</v>
      </c>
    </row>
    <row r="96" spans="1:54" ht="78" outlineLevel="2">
      <c r="A96" s="98"/>
      <c r="B96" s="102"/>
      <c r="C96" s="23"/>
      <c r="D96" s="119"/>
      <c r="E96" s="119"/>
      <c r="F96" s="119"/>
      <c r="G96" s="174"/>
      <c r="H96" s="302" t="s">
        <v>446</v>
      </c>
      <c r="I96" s="104"/>
      <c r="J96" s="105"/>
      <c r="K96" s="105"/>
      <c r="L96" s="106" t="str">
        <f>IF(I96&lt;&gt;0,((VLOOKUP(I96,'1. Standard_Cost'!$B$4:$D$11,2)+VLOOKUP(I96,'1. Standard_Cost'!$B$4:$D$11,3))*J96*K96),"0")</f>
        <v>0</v>
      </c>
      <c r="M96" s="106">
        <f>L96*'1. Standard_Cost'!$F$4</f>
        <v>0</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c r="AD96" s="110"/>
      <c r="AE96" s="108">
        <f>SUM(AD96,AC96,AB96,Y96,U96,T96,S96,R96)*'1. Standard_Cost'!$B$31</f>
        <v>0</v>
      </c>
      <c r="AF96" s="108">
        <f t="shared" si="144"/>
        <v>0</v>
      </c>
      <c r="AG96" s="107"/>
      <c r="AH96" s="107"/>
      <c r="AI96" s="107"/>
      <c r="AJ96" s="111"/>
      <c r="AK96" s="111"/>
      <c r="AL96" s="111"/>
      <c r="AM96" s="108">
        <f>AG96*'1. Standard_Cost'!$B$27+'Incremental_Cost Year 1'!AH96*'1. Standard_Cost'!$C$27+'Incremental_Cost Year 1'!AI96*'1. Standard_Cost'!$D$27+'Incremental_Cost Year 1'!AJ96+'Incremental_Cost Year 1'!AL96+AK96</f>
        <v>0</v>
      </c>
      <c r="AN96" s="108">
        <f>AM96*'1. Standard_Cost'!$C$31</f>
        <v>0</v>
      </c>
      <c r="AO96" s="125" t="s">
        <v>335</v>
      </c>
      <c r="AQ96" s="14">
        <f t="shared" si="145"/>
        <v>0</v>
      </c>
      <c r="AR96" s="14">
        <f t="shared" si="146"/>
        <v>0</v>
      </c>
      <c r="AS96" s="14">
        <f t="shared" si="147"/>
        <v>0</v>
      </c>
      <c r="AT96" s="14">
        <f t="shared" si="149"/>
        <v>0</v>
      </c>
      <c r="AU96" s="15"/>
      <c r="AV96" s="15"/>
      <c r="AW96" s="15"/>
      <c r="AX96" s="15"/>
      <c r="AY96" s="15"/>
      <c r="AZ96" s="15"/>
      <c r="BA96" s="15"/>
      <c r="BB96" s="16">
        <f t="shared" si="148"/>
        <v>0</v>
      </c>
    </row>
    <row r="97" spans="1:54" ht="46.8" outlineLevel="2">
      <c r="A97" s="98"/>
      <c r="B97" s="102"/>
      <c r="C97" s="23"/>
      <c r="D97" s="119"/>
      <c r="E97" s="119"/>
      <c r="F97" s="119"/>
      <c r="G97" s="11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144"/>
        <v>0</v>
      </c>
      <c r="AG97" s="107"/>
      <c r="AH97" s="107"/>
      <c r="AI97" s="107"/>
      <c r="AJ97" s="111"/>
      <c r="AK97" s="111"/>
      <c r="AL97" s="111"/>
      <c r="AM97" s="108">
        <f>AG97*'1. Standard_Cost'!$B$27+'Incremental_Cost Year 1'!AH97*'1. Standard_Cost'!$C$27+'Incremental_Cost Year 1'!AI97*'1. Standard_Cost'!$D$27+'Incremental_Cost Year 1'!AJ97+'Incremental_Cost Year 1'!AL97+AK97</f>
        <v>0</v>
      </c>
      <c r="AN97" s="108">
        <f>AM97*'1. Standard_Cost'!$C$31</f>
        <v>0</v>
      </c>
      <c r="AO97" s="125" t="s">
        <v>336</v>
      </c>
      <c r="AQ97" s="14">
        <f t="shared" si="145"/>
        <v>0</v>
      </c>
      <c r="AR97" s="14">
        <f t="shared" si="146"/>
        <v>0</v>
      </c>
      <c r="AS97" s="14">
        <f t="shared" si="147"/>
        <v>0</v>
      </c>
      <c r="AT97" s="14">
        <f t="shared" si="149"/>
        <v>0</v>
      </c>
      <c r="AU97" s="15"/>
      <c r="AV97" s="15"/>
      <c r="AW97" s="15"/>
      <c r="AX97" s="15"/>
      <c r="AY97" s="15"/>
      <c r="AZ97" s="15"/>
      <c r="BA97" s="15"/>
      <c r="BB97" s="16">
        <f t="shared" si="148"/>
        <v>0</v>
      </c>
    </row>
    <row r="98" spans="1:54" ht="109.2" outlineLevel="2">
      <c r="A98" s="98"/>
      <c r="B98" s="102"/>
      <c r="C98" s="23"/>
      <c r="D98" s="119"/>
      <c r="E98" s="119"/>
      <c r="F98" s="119"/>
      <c r="G98" s="119"/>
      <c r="H98" s="302" t="s">
        <v>448</v>
      </c>
      <c r="I98" s="104"/>
      <c r="J98" s="105"/>
      <c r="K98" s="105"/>
      <c r="L98" s="106" t="str">
        <f>IF(I98&lt;&gt;0,((VLOOKUP(I98,'1. Standard_Cost'!$B$4:$D$11,2)+VLOOKUP(I98,'1. Standard_Cost'!$B$4:$D$11,3))*J98*K98),"0")</f>
        <v>0</v>
      </c>
      <c r="M98" s="106">
        <f>L98*'1. Standard_Cost'!$F$4</f>
        <v>0</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c r="AB98" s="108">
        <f>+Z98*'1. Standard_Cost'!$B$23+AA98*'1. Standard_Cost'!$C$23</f>
        <v>0</v>
      </c>
      <c r="AC98" s="109"/>
      <c r="AD98" s="110"/>
      <c r="AE98" s="108">
        <f>SUM(AD98,AC98,AB98,Y98,U98,T98,S98,R98)*'1. Standard_Cost'!$B$31</f>
        <v>0</v>
      </c>
      <c r="AF98" s="108">
        <f t="shared" si="144"/>
        <v>0</v>
      </c>
      <c r="AG98" s="107"/>
      <c r="AH98" s="107"/>
      <c r="AI98" s="107"/>
      <c r="AJ98" s="111"/>
      <c r="AK98" s="111"/>
      <c r="AL98" s="111"/>
      <c r="AM98" s="108">
        <f>AG98*'1. Standard_Cost'!$B$27+'Incremental_Cost Year 1'!AH98*'1. Standard_Cost'!$C$27+'Incremental_Cost Year 1'!AI98*'1. Standard_Cost'!$D$27+'Incremental_Cost Year 1'!AJ98+'Incremental_Cost Year 1'!AL98+AK98</f>
        <v>0</v>
      </c>
      <c r="AN98" s="108">
        <f>AM98*'1. Standard_Cost'!$C$31</f>
        <v>0</v>
      </c>
      <c r="AO98" s="125" t="s">
        <v>337</v>
      </c>
      <c r="AQ98" s="14">
        <f t="shared" si="145"/>
        <v>0</v>
      </c>
      <c r="AR98" s="14">
        <f t="shared" si="146"/>
        <v>0</v>
      </c>
      <c r="AS98" s="14">
        <f t="shared" si="147"/>
        <v>0</v>
      </c>
      <c r="AT98" s="14">
        <f t="shared" si="149"/>
        <v>0</v>
      </c>
      <c r="AU98" s="15"/>
      <c r="AV98" s="15"/>
      <c r="AW98" s="15"/>
      <c r="AX98" s="15"/>
      <c r="AY98" s="15"/>
      <c r="AZ98" s="15"/>
      <c r="BA98" s="15"/>
      <c r="BB98" s="16">
        <f t="shared" si="148"/>
        <v>0</v>
      </c>
    </row>
    <row r="99" spans="1:54" ht="109.2" outlineLevel="2">
      <c r="A99" s="98"/>
      <c r="B99" s="102"/>
      <c r="C99" s="23"/>
      <c r="D99" s="119"/>
      <c r="E99" s="119"/>
      <c r="F99" s="119"/>
      <c r="G99" s="119"/>
      <c r="H99" s="302" t="s">
        <v>449</v>
      </c>
      <c r="I99" s="104"/>
      <c r="J99" s="105"/>
      <c r="K99" s="105"/>
      <c r="L99" s="106" t="str">
        <f>IF(I99&lt;&gt;0,((VLOOKUP(I99,'1. Standard_Cost'!$B$4:$D$11,2)+VLOOKUP(I99,'1. Standard_Cost'!$B$4:$D$11,3))*J99*K99),"0")</f>
        <v>0</v>
      </c>
      <c r="M99" s="106">
        <f>L99*'1. Standard_Cost'!$F$4</f>
        <v>0</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c r="AB99" s="108">
        <f>+Z99*'1. Standard_Cost'!$B$23+AA99*'1. Standard_Cost'!$C$23</f>
        <v>0</v>
      </c>
      <c r="AC99" s="109"/>
      <c r="AD99" s="110"/>
      <c r="AE99" s="108">
        <f>SUM(AD99,AC99,AB99,Y99,U99,T99,S99,R99)*'1. Standard_Cost'!$B$31</f>
        <v>0</v>
      </c>
      <c r="AF99" s="108">
        <f t="shared" si="144"/>
        <v>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45"/>
        <v>0</v>
      </c>
      <c r="AR99" s="14">
        <f t="shared" si="146"/>
        <v>0</v>
      </c>
      <c r="AS99" s="14">
        <f t="shared" si="147"/>
        <v>0</v>
      </c>
      <c r="AT99" s="14">
        <f t="shared" si="149"/>
        <v>0</v>
      </c>
      <c r="AU99" s="15"/>
      <c r="AV99" s="15"/>
      <c r="AW99" s="15"/>
      <c r="AX99" s="15"/>
      <c r="AY99" s="15"/>
      <c r="AZ99" s="15"/>
      <c r="BA99" s="15"/>
      <c r="BB99" s="16">
        <f t="shared" si="148"/>
        <v>0</v>
      </c>
    </row>
    <row r="100" spans="1:54" ht="62.4" outlineLevel="2">
      <c r="A100" s="98"/>
      <c r="B100" s="102"/>
      <c r="C100" s="23"/>
      <c r="D100" s="119"/>
      <c r="E100" s="119"/>
      <c r="F100" s="55"/>
      <c r="G100" s="59"/>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c r="AD100" s="110"/>
      <c r="AE100" s="108">
        <f>SUM(AD100,AC100,AB100,Y100,U100,T100,S100,R100)*'1. Standard_Cost'!$B$31</f>
        <v>0</v>
      </c>
      <c r="AF100" s="108">
        <f t="shared" si="144"/>
        <v>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45"/>
        <v>0</v>
      </c>
      <c r="AR100" s="14">
        <f t="shared" si="146"/>
        <v>0</v>
      </c>
      <c r="AS100" s="14">
        <f t="shared" si="147"/>
        <v>0</v>
      </c>
      <c r="AT100" s="14">
        <f t="shared" si="149"/>
        <v>0</v>
      </c>
      <c r="AU100" s="15"/>
      <c r="AV100" s="15"/>
      <c r="AW100" s="15"/>
      <c r="AX100" s="15"/>
      <c r="AY100" s="15"/>
      <c r="AZ100" s="15"/>
      <c r="BA100" s="15"/>
      <c r="BB100" s="16">
        <f t="shared" si="148"/>
        <v>0</v>
      </c>
    </row>
    <row r="101" spans="1:54" ht="27.6" outlineLevel="1">
      <c r="A101" s="98"/>
      <c r="B101" s="102"/>
      <c r="C101" s="23"/>
      <c r="D101" s="56" t="s">
        <v>632</v>
      </c>
      <c r="E101" s="56" t="s">
        <v>222</v>
      </c>
      <c r="F101" s="58">
        <v>2021</v>
      </c>
      <c r="G101" s="59">
        <v>2026</v>
      </c>
      <c r="H101" s="277" t="s">
        <v>187</v>
      </c>
      <c r="I101" s="112"/>
      <c r="J101" s="112"/>
      <c r="K101" s="112"/>
      <c r="L101" s="113">
        <f>SUM(L94:L100)</f>
        <v>0</v>
      </c>
      <c r="M101" s="113">
        <f>SUM(M94:M100)</f>
        <v>0</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0</v>
      </c>
      <c r="AC101" s="113">
        <f>SUM(AC94:AC100)</f>
        <v>0</v>
      </c>
      <c r="AD101" s="113">
        <f>SUM(AD94:AD100)</f>
        <v>0</v>
      </c>
      <c r="AE101" s="113">
        <f>SUM(AE94:AE100)</f>
        <v>0</v>
      </c>
      <c r="AF101" s="113">
        <f>SUM(AF94:AF100)</f>
        <v>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50">SUM(AQ94:AQ100)</f>
        <v>0</v>
      </c>
      <c r="AR101" s="113">
        <f t="shared" si="150"/>
        <v>0</v>
      </c>
      <c r="AS101" s="113">
        <f t="shared" si="150"/>
        <v>0</v>
      </c>
      <c r="AT101" s="113">
        <f t="shared" si="150"/>
        <v>0</v>
      </c>
      <c r="AU101" s="113">
        <f t="shared" si="150"/>
        <v>0</v>
      </c>
      <c r="AV101" s="113">
        <f t="shared" si="150"/>
        <v>0</v>
      </c>
      <c r="AW101" s="113">
        <f t="shared" si="150"/>
        <v>0</v>
      </c>
      <c r="AX101" s="113">
        <f t="shared" si="150"/>
        <v>0</v>
      </c>
      <c r="AY101" s="113">
        <f t="shared" si="150"/>
        <v>0</v>
      </c>
      <c r="AZ101" s="113">
        <f t="shared" si="150"/>
        <v>0</v>
      </c>
      <c r="BA101" s="113">
        <f t="shared" si="150"/>
        <v>0</v>
      </c>
      <c r="BB101" s="113">
        <f t="shared" si="150"/>
        <v>0</v>
      </c>
    </row>
    <row r="102" spans="1:54" ht="93.6" outlineLevel="2">
      <c r="A102" s="98"/>
      <c r="B102" s="102"/>
      <c r="C102" s="23"/>
      <c r="D102" s="103"/>
      <c r="E102" s="103"/>
      <c r="F102" s="175"/>
      <c r="G102" s="175"/>
      <c r="H102" s="302" t="s">
        <v>451</v>
      </c>
      <c r="I102" s="104"/>
      <c r="J102" s="105"/>
      <c r="K102" s="105"/>
      <c r="L102" s="106" t="str">
        <f>IF(I102&lt;&gt;0,((VLOOKUP(I102,'1. Standard_Cost'!$B$4:$D$11,2)+VLOOKUP(I102,'1. Standard_Cost'!$B$4:$D$11,3))*J102*K102),"0")</f>
        <v>0</v>
      </c>
      <c r="M102" s="106">
        <f>L102*'1. Standard_Cost'!$F$4</f>
        <v>0</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c r="AD102" s="110"/>
      <c r="AE102" s="108">
        <f>SUM(AD102,AC102,AB102,Y102,U102,T102,S102,R102)*'1. Standard_Cost'!$B$31</f>
        <v>0</v>
      </c>
      <c r="AF102" s="108">
        <f t="shared" ref="AF102:AF112" si="151">SUM(AE102,AD102,AC102,AB102,Y102,U102,T102,S102,R102)</f>
        <v>0</v>
      </c>
      <c r="AG102" s="107"/>
      <c r="AH102" s="107"/>
      <c r="AI102" s="107"/>
      <c r="AJ102" s="111"/>
      <c r="AK102" s="111"/>
      <c r="AL102" s="111"/>
      <c r="AM102" s="108">
        <f>AG102*'1. Standard_Cost'!$B$27+'Incremental_Cost Year 1'!AH102*'1. Standard_Cost'!$C$27+'Incremental_Cost Year 1'!AI102*'1. Standard_Cost'!$D$27+'Incremental_Cost Year 1'!AJ102+'Incremental_Cost Year 1'!AL102+AK102</f>
        <v>0</v>
      </c>
      <c r="AN102" s="108">
        <f>AM102*'1. Standard_Cost'!$C$31</f>
        <v>0</v>
      </c>
      <c r="AO102" s="125" t="s">
        <v>686</v>
      </c>
      <c r="AQ102" s="14">
        <f t="shared" ref="AQ102:AQ112" si="152">L102+M102</f>
        <v>0</v>
      </c>
      <c r="AR102" s="14">
        <f t="shared" ref="AR102:AR112" si="153">AF102</f>
        <v>0</v>
      </c>
      <c r="AS102" s="14">
        <f t="shared" ref="AS102:AS112" si="154">AM102+AN102</f>
        <v>0</v>
      </c>
      <c r="AT102" s="14">
        <f>SUM(AQ102,AR102,AS102)</f>
        <v>0</v>
      </c>
      <c r="AU102" s="15"/>
      <c r="AV102" s="15"/>
      <c r="AW102" s="15"/>
      <c r="AX102" s="15"/>
      <c r="AY102" s="15"/>
      <c r="AZ102" s="15"/>
      <c r="BA102" s="15"/>
      <c r="BB102" s="16">
        <f t="shared" ref="BB102:BB112" si="155">SUM(AU102:BA102)-AT102</f>
        <v>0</v>
      </c>
    </row>
    <row r="103" spans="1:54" ht="93.6" outlineLevel="2">
      <c r="A103" s="98"/>
      <c r="B103" s="102"/>
      <c r="C103" s="23"/>
      <c r="D103" s="119"/>
      <c r="E103" s="119"/>
      <c r="F103" s="174"/>
      <c r="G103" s="269"/>
      <c r="H103" s="302" t="s">
        <v>452</v>
      </c>
      <c r="I103" s="104"/>
      <c r="J103" s="105"/>
      <c r="K103" s="105"/>
      <c r="L103" s="106" t="str">
        <f>IF(I103&lt;&gt;0,((VLOOKUP(I103,'1. Standard_Cost'!$B$4:$D$11,2)+VLOOKUP(I103,'1. Standard_Cost'!$B$4:$D$11,3))*J103*K103),"0")</f>
        <v>0</v>
      </c>
      <c r="M103" s="106">
        <f>L103*'1. Standard_Cost'!$F$4</f>
        <v>0</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c r="AB103" s="108">
        <f>+Z103*'1. Standard_Cost'!$B$23+AA103*'1. Standard_Cost'!$C$23</f>
        <v>0</v>
      </c>
      <c r="AC103" s="109"/>
      <c r="AD103" s="110"/>
      <c r="AE103" s="108">
        <f>SUM(AD103,AC103,AB103,Y103,U103,T103,S103,R103)*'1. Standard_Cost'!$B$31</f>
        <v>0</v>
      </c>
      <c r="AF103" s="108">
        <f t="shared" si="151"/>
        <v>0</v>
      </c>
      <c r="AG103" s="107"/>
      <c r="AH103" s="107"/>
      <c r="AI103" s="107"/>
      <c r="AJ103" s="111"/>
      <c r="AK103" s="111"/>
      <c r="AL103" s="111"/>
      <c r="AM103" s="108">
        <f>AG103*'1. Standard_Cost'!$B$27+'Incremental_Cost Year 1'!AH103*'1. Standard_Cost'!$C$27+'Incremental_Cost Year 1'!AI103*'1. Standard_Cost'!$D$27+'Incremental_Cost Year 1'!AJ103+'Incremental_Cost Year 1'!AL103+AK103</f>
        <v>0</v>
      </c>
      <c r="AN103" s="108">
        <f>AM103*'1. Standard_Cost'!$C$31</f>
        <v>0</v>
      </c>
      <c r="AO103" s="125" t="s">
        <v>687</v>
      </c>
      <c r="AQ103" s="14">
        <f t="shared" si="152"/>
        <v>0</v>
      </c>
      <c r="AR103" s="14">
        <f t="shared" si="153"/>
        <v>0</v>
      </c>
      <c r="AS103" s="14">
        <f t="shared" si="154"/>
        <v>0</v>
      </c>
      <c r="AT103" s="14">
        <f t="shared" ref="AT103:AT112" si="156">SUM(AQ103,AR103,AS103)</f>
        <v>0</v>
      </c>
      <c r="AU103" s="15"/>
      <c r="AV103" s="15"/>
      <c r="AW103" s="15"/>
      <c r="AX103" s="15"/>
      <c r="AY103" s="15"/>
      <c r="AZ103" s="15"/>
      <c r="BA103" s="15"/>
      <c r="BB103" s="16">
        <f t="shared" si="155"/>
        <v>0</v>
      </c>
    </row>
    <row r="104" spans="1:54" ht="62.4" outlineLevel="2">
      <c r="A104" s="98"/>
      <c r="B104" s="102"/>
      <c r="C104" s="23"/>
      <c r="D104" s="119"/>
      <c r="E104" s="11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c r="AD104" s="110"/>
      <c r="AE104" s="108">
        <f>SUM(AD104,AC104,AB104,Y104,U104,T104,S104,R104)*'1. Standard_Cost'!$B$31</f>
        <v>0</v>
      </c>
      <c r="AF104" s="108">
        <f t="shared" si="151"/>
        <v>0</v>
      </c>
      <c r="AG104" s="107"/>
      <c r="AH104" s="107"/>
      <c r="AI104" s="107"/>
      <c r="AJ104" s="111"/>
      <c r="AK104" s="111"/>
      <c r="AL104" s="111"/>
      <c r="AM104" s="108">
        <f>AG104*'1. Standard_Cost'!$B$27+'Incremental_Cost Year 1'!AH104*'1. Standard_Cost'!$C$27+'Incremental_Cost Year 1'!AI104*'1. Standard_Cost'!$D$27+'Incremental_Cost Year 1'!AJ104+'Incremental_Cost Year 1'!AL104+AK104</f>
        <v>0</v>
      </c>
      <c r="AN104" s="108">
        <f>AM104*'1. Standard_Cost'!$C$31</f>
        <v>0</v>
      </c>
      <c r="AO104" s="125" t="s">
        <v>342</v>
      </c>
      <c r="AQ104" s="14">
        <f t="shared" si="152"/>
        <v>0</v>
      </c>
      <c r="AR104" s="14">
        <f t="shared" si="153"/>
        <v>0</v>
      </c>
      <c r="AS104" s="14">
        <f t="shared" si="154"/>
        <v>0</v>
      </c>
      <c r="AT104" s="14">
        <f t="shared" si="156"/>
        <v>0</v>
      </c>
      <c r="AU104" s="15"/>
      <c r="AV104" s="15"/>
      <c r="AW104" s="15"/>
      <c r="AX104" s="15"/>
      <c r="AY104" s="15"/>
      <c r="AZ104" s="15"/>
      <c r="BA104" s="15"/>
      <c r="BB104" s="16">
        <f t="shared" si="155"/>
        <v>0</v>
      </c>
    </row>
    <row r="105" spans="1:54" ht="46.8" outlineLevel="2">
      <c r="A105" s="98"/>
      <c r="B105" s="102"/>
      <c r="C105" s="23"/>
      <c r="D105" s="119"/>
      <c r="E105" s="11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51"/>
        <v>0</v>
      </c>
      <c r="AG105" s="107"/>
      <c r="AH105" s="107"/>
      <c r="AI105" s="107"/>
      <c r="AJ105" s="111"/>
      <c r="AK105" s="111"/>
      <c r="AL105" s="111"/>
      <c r="AM105" s="108">
        <f>AG105*'1. Standard_Cost'!$B$27+'Incremental_Cost Year 1'!AH105*'1. Standard_Cost'!$C$27+'Incremental_Cost Year 1'!AI105*'1. Standard_Cost'!$D$27+'Incremental_Cost Year 1'!AJ105+'Incremental_Cost Year 1'!AL105+AK105</f>
        <v>0</v>
      </c>
      <c r="AN105" s="108">
        <f>AM105*'1. Standard_Cost'!$C$31</f>
        <v>0</v>
      </c>
      <c r="AO105" s="125" t="s">
        <v>343</v>
      </c>
      <c r="AQ105" s="14">
        <f t="shared" si="152"/>
        <v>0</v>
      </c>
      <c r="AR105" s="14">
        <f t="shared" si="153"/>
        <v>0</v>
      </c>
      <c r="AS105" s="14">
        <f t="shared" si="154"/>
        <v>0</v>
      </c>
      <c r="AT105" s="14">
        <f t="shared" si="156"/>
        <v>0</v>
      </c>
      <c r="AU105" s="15"/>
      <c r="AV105" s="15"/>
      <c r="AW105" s="15"/>
      <c r="AX105" s="15"/>
      <c r="AY105" s="15"/>
      <c r="AZ105" s="15"/>
      <c r="BA105" s="15"/>
      <c r="BB105" s="16">
        <f t="shared" si="155"/>
        <v>0</v>
      </c>
    </row>
    <row r="106" spans="1:54" ht="62.4" outlineLevel="2">
      <c r="A106" s="98"/>
      <c r="B106" s="102"/>
      <c r="C106" s="23"/>
      <c r="D106" s="119"/>
      <c r="E106" s="119"/>
      <c r="F106" s="174"/>
      <c r="G106" s="11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51"/>
        <v>0</v>
      </c>
      <c r="AG106" s="107"/>
      <c r="AH106" s="107"/>
      <c r="AI106" s="107"/>
      <c r="AJ106" s="111"/>
      <c r="AK106" s="111"/>
      <c r="AL106" s="111"/>
      <c r="AM106" s="108">
        <f>AG106*'1. Standard_Cost'!$B$27+'Incremental_Cost Year 1'!AH106*'1. Standard_Cost'!$C$27+'Incremental_Cost Year 1'!AI106*'1. Standard_Cost'!$D$27+'Incremental_Cost Year 1'!AJ106+'Incremental_Cost Year 1'!AL106+AK106</f>
        <v>0</v>
      </c>
      <c r="AN106" s="108">
        <f>AM106*'1. Standard_Cost'!$C$31</f>
        <v>0</v>
      </c>
      <c r="AO106" s="125" t="s">
        <v>344</v>
      </c>
      <c r="AQ106" s="14">
        <f t="shared" si="152"/>
        <v>0</v>
      </c>
      <c r="AR106" s="14">
        <f t="shared" si="153"/>
        <v>0</v>
      </c>
      <c r="AS106" s="14">
        <f t="shared" si="154"/>
        <v>0</v>
      </c>
      <c r="AT106" s="14">
        <f t="shared" si="156"/>
        <v>0</v>
      </c>
      <c r="AU106" s="15"/>
      <c r="AV106" s="15"/>
      <c r="AW106" s="15"/>
      <c r="AX106" s="15"/>
      <c r="AY106" s="15"/>
      <c r="AZ106" s="15"/>
      <c r="BA106" s="15"/>
      <c r="BB106" s="16">
        <f t="shared" si="155"/>
        <v>0</v>
      </c>
    </row>
    <row r="107" spans="1:54" ht="156" outlineLevel="2">
      <c r="A107" s="98"/>
      <c r="B107" s="102"/>
      <c r="C107" s="23"/>
      <c r="D107" s="119"/>
      <c r="E107" s="119"/>
      <c r="F107" s="119"/>
      <c r="G107" s="119"/>
      <c r="H107" s="302" t="s">
        <v>455</v>
      </c>
      <c r="I107" s="104"/>
      <c r="J107" s="105"/>
      <c r="K107" s="105"/>
      <c r="L107" s="106" t="str">
        <f>IF(I107&lt;&gt;0,((VLOOKUP(I107,'1. Standard_Cost'!$B$4:$D$11,2)+VLOOKUP(I107,'1. Standard_Cost'!$B$4:$D$11,3))*J107*K107),"0")</f>
        <v>0</v>
      </c>
      <c r="M107" s="106">
        <f>L107*'1. Standard_Cost'!$F$4</f>
        <v>0</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c r="AB107" s="108">
        <f>+Z107*'1. Standard_Cost'!$B$23+AA107*'1. Standard_Cost'!$C$23</f>
        <v>0</v>
      </c>
      <c r="AC107" s="109"/>
      <c r="AD107" s="110"/>
      <c r="AE107" s="108">
        <f>SUM(AD107,AC107,AB107,Y107,U107,T107,S107,R107)*'1. Standard_Cost'!$B$31</f>
        <v>0</v>
      </c>
      <c r="AF107" s="108">
        <f t="shared" ref="AF107:AF110" si="157">SUM(AE107,AD107,AC107,AB107,Y107,U107,T107,S107,R107)</f>
        <v>0</v>
      </c>
      <c r="AG107" s="107"/>
      <c r="AH107" s="107"/>
      <c r="AI107" s="107"/>
      <c r="AJ107" s="111"/>
      <c r="AK107" s="111"/>
      <c r="AL107" s="111"/>
      <c r="AM107" s="108">
        <f>AG107*'1. Standard_Cost'!$B$27+'Incremental_Cost Year 1'!AH107*'1. Standard_Cost'!$C$27+'Incremental_Cost Year 1'!AI107*'1. Standard_Cost'!$D$27+'Incremental_Cost Year 1'!AJ107+'Incremental_Cost Year 1'!AL107+AK107</f>
        <v>0</v>
      </c>
      <c r="AN107" s="108">
        <f>AM107*'1. Standard_Cost'!$C$31</f>
        <v>0</v>
      </c>
      <c r="AO107" s="125" t="s">
        <v>642</v>
      </c>
      <c r="AQ107" s="14">
        <f t="shared" ref="AQ107:AQ110" si="158">L107+M107</f>
        <v>0</v>
      </c>
      <c r="AR107" s="14">
        <f t="shared" ref="AR107:AR110" si="159">AF107</f>
        <v>0</v>
      </c>
      <c r="AS107" s="14">
        <f t="shared" ref="AS107:AS110" si="160">AM107+AN107</f>
        <v>0</v>
      </c>
      <c r="AT107" s="14">
        <f t="shared" ref="AT107:AT110" si="161">SUM(AQ107,AR107,AS107)</f>
        <v>0</v>
      </c>
      <c r="AU107" s="15"/>
      <c r="AV107" s="15"/>
      <c r="AW107" s="15"/>
      <c r="AX107" s="15"/>
      <c r="AY107" s="15"/>
      <c r="AZ107" s="15"/>
      <c r="BA107" s="15"/>
      <c r="BB107" s="16">
        <f t="shared" ref="BB107:BB110" si="162">SUM(AU107:BA107)-AT107</f>
        <v>0</v>
      </c>
    </row>
    <row r="108" spans="1:54" ht="93.6" outlineLevel="2">
      <c r="A108" s="98"/>
      <c r="B108" s="102"/>
      <c r="C108" s="23"/>
      <c r="D108" s="119"/>
      <c r="E108" s="119"/>
      <c r="F108" s="119"/>
      <c r="G108" s="119"/>
      <c r="H108" s="302" t="s">
        <v>456</v>
      </c>
      <c r="I108" s="104"/>
      <c r="J108" s="105"/>
      <c r="K108" s="105"/>
      <c r="L108" s="106" t="str">
        <f>IF(I108&lt;&gt;0,((VLOOKUP(I108,'1. Standard_Cost'!$B$4:$D$11,2)+VLOOKUP(I108,'1. Standard_Cost'!$B$4:$D$11,3))*J108*K108),"0")</f>
        <v>0</v>
      </c>
      <c r="M108" s="106">
        <f>L108*'1. Standard_Cost'!$F$4</f>
        <v>0</v>
      </c>
      <c r="N108" s="107"/>
      <c r="O108" s="107"/>
      <c r="P108" s="107"/>
      <c r="Q108" s="107"/>
      <c r="R108" s="108">
        <f>'1. Standard_Cost'!$B$15*N108*P108</f>
        <v>0</v>
      </c>
      <c r="S108" s="108">
        <f>N108*O108*P108*'1. Standard_Cost'!$C$15</f>
        <v>0</v>
      </c>
      <c r="T108" s="108">
        <f>N108*P108*Q108*'1. Standard_Cost'!$D$15</f>
        <v>0</v>
      </c>
      <c r="U108" s="108">
        <f>N108*O108*'1. Standard_Cost'!$E$15</f>
        <v>0</v>
      </c>
      <c r="V108" s="107"/>
      <c r="W108" s="107"/>
      <c r="X108" s="107"/>
      <c r="Y108" s="108">
        <f>+V108*((X108*'1. Standard_Cost'!$B$19)+(W108*X108*'1. Standard_Cost'!$C$19))</f>
        <v>0</v>
      </c>
      <c r="Z108" s="107"/>
      <c r="AA108" s="107"/>
      <c r="AB108" s="108">
        <f>+Z108*'1. Standard_Cost'!$B$23+AA108*'1. Standard_Cost'!$C$23</f>
        <v>0</v>
      </c>
      <c r="AC108" s="109"/>
      <c r="AD108" s="110"/>
      <c r="AE108" s="108">
        <f>SUM(AD108,AC108,AB108,Y108,U108,T108,S108,R108)*'1. Standard_Cost'!$B$31</f>
        <v>0</v>
      </c>
      <c r="AF108" s="108">
        <f t="shared" si="157"/>
        <v>0</v>
      </c>
      <c r="AG108" s="107"/>
      <c r="AH108" s="107"/>
      <c r="AI108" s="107"/>
      <c r="AJ108" s="111"/>
      <c r="AK108" s="111"/>
      <c r="AL108" s="111"/>
      <c r="AM108" s="108">
        <f>AG108*'1. Standard_Cost'!$B$27+'Incremental_Cost Year 1'!AH108*'1. Standard_Cost'!$C$27+'Incremental_Cost Year 1'!AI108*'1. Standard_Cost'!$D$27+'Incremental_Cost Year 1'!AJ108+'Incremental_Cost Year 1'!AL108+AK108</f>
        <v>0</v>
      </c>
      <c r="AN108" s="108">
        <f>AM108*'1. Standard_Cost'!$C$31</f>
        <v>0</v>
      </c>
      <c r="AO108" s="125" t="s">
        <v>688</v>
      </c>
      <c r="AQ108" s="14">
        <f t="shared" si="158"/>
        <v>0</v>
      </c>
      <c r="AR108" s="14">
        <f t="shared" si="159"/>
        <v>0</v>
      </c>
      <c r="AS108" s="14">
        <f t="shared" si="160"/>
        <v>0</v>
      </c>
      <c r="AT108" s="14">
        <f t="shared" si="161"/>
        <v>0</v>
      </c>
      <c r="AU108" s="15"/>
      <c r="AV108" s="15"/>
      <c r="AW108" s="15"/>
      <c r="AX108" s="15"/>
      <c r="AY108" s="15"/>
      <c r="AZ108" s="15"/>
      <c r="BA108" s="15"/>
      <c r="BB108" s="16">
        <f t="shared" si="162"/>
        <v>0</v>
      </c>
    </row>
    <row r="109" spans="1:54" ht="31.2" outlineLevel="2">
      <c r="A109" s="98"/>
      <c r="B109" s="102"/>
      <c r="C109" s="23"/>
      <c r="D109" s="119"/>
      <c r="E109" s="119"/>
      <c r="F109" s="11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57"/>
        <v>0</v>
      </c>
      <c r="AG109" s="107"/>
      <c r="AH109" s="107"/>
      <c r="AI109" s="107"/>
      <c r="AJ109" s="111"/>
      <c r="AK109" s="111"/>
      <c r="AL109" s="111"/>
      <c r="AM109" s="108">
        <f>AG109*'1. Standard_Cost'!$B$27+'Incremental_Cost Year 1'!AH109*'1. Standard_Cost'!$C$27+'Incremental_Cost Year 1'!AI109*'1. Standard_Cost'!$D$27+'Incremental_Cost Year 1'!AJ109+'Incremental_Cost Year 1'!AL109+AK109</f>
        <v>0</v>
      </c>
      <c r="AN109" s="108">
        <f>AM109*'1. Standard_Cost'!$C$31</f>
        <v>0</v>
      </c>
      <c r="AO109" s="125" t="s">
        <v>347</v>
      </c>
      <c r="AQ109" s="14">
        <f t="shared" si="158"/>
        <v>0</v>
      </c>
      <c r="AR109" s="14">
        <f t="shared" si="159"/>
        <v>0</v>
      </c>
      <c r="AS109" s="14">
        <f t="shared" si="160"/>
        <v>0</v>
      </c>
      <c r="AT109" s="14">
        <f t="shared" si="161"/>
        <v>0</v>
      </c>
      <c r="AU109" s="15"/>
      <c r="AV109" s="15"/>
      <c r="AW109" s="15"/>
      <c r="AX109" s="15"/>
      <c r="AY109" s="15"/>
      <c r="AZ109" s="15"/>
      <c r="BA109" s="15"/>
      <c r="BB109" s="16">
        <f t="shared" si="162"/>
        <v>0</v>
      </c>
    </row>
    <row r="110" spans="1:54" ht="171.6" outlineLevel="2">
      <c r="A110" s="98"/>
      <c r="B110" s="102"/>
      <c r="C110" s="23"/>
      <c r="D110" s="119"/>
      <c r="E110" s="119"/>
      <c r="F110" s="119"/>
      <c r="G110" s="174"/>
      <c r="H110" s="302" t="s">
        <v>457</v>
      </c>
      <c r="I110" s="104"/>
      <c r="J110" s="105"/>
      <c r="K110" s="105"/>
      <c r="L110" s="106" t="str">
        <f>IF(I110&lt;&gt;0,((VLOOKUP(I110,'1. Standard_Cost'!$B$4:$D$11,2)+VLOOKUP(I110,'1. Standard_Cost'!$B$4:$D$11,3))*J110*K110),"0")</f>
        <v>0</v>
      </c>
      <c r="M110" s="106">
        <f>L110*'1. Standard_Cost'!$F$4</f>
        <v>0</v>
      </c>
      <c r="N110" s="107"/>
      <c r="O110" s="107"/>
      <c r="P110" s="107"/>
      <c r="Q110" s="107"/>
      <c r="R110" s="108">
        <f>'1. Standard_Cost'!$B$15*N110*P110</f>
        <v>0</v>
      </c>
      <c r="S110" s="108">
        <f>N110*O110*P110*'1. Standard_Cost'!$C$15</f>
        <v>0</v>
      </c>
      <c r="T110" s="108">
        <f>N110*P110*Q110*'1. Standard_Cost'!$D$15</f>
        <v>0</v>
      </c>
      <c r="U110" s="108">
        <f>N110*O110*'1. Standard_Cost'!$E$15</f>
        <v>0</v>
      </c>
      <c r="V110" s="107"/>
      <c r="W110" s="107"/>
      <c r="X110" s="107"/>
      <c r="Y110" s="108">
        <f>+V110*((X110*'1. Standard_Cost'!$B$19)+(W110*X110*'1. Standard_Cost'!$C$19))</f>
        <v>0</v>
      </c>
      <c r="Z110" s="107"/>
      <c r="AA110" s="107"/>
      <c r="AB110" s="108">
        <f>+Z110*'1. Standard_Cost'!$B$23+AA110*'1. Standard_Cost'!$C$23</f>
        <v>0</v>
      </c>
      <c r="AC110" s="109"/>
      <c r="AD110" s="110"/>
      <c r="AE110" s="108">
        <f>SUM(AD110,AC110,AB110,Y110,U110,T110,S110,R110)*'1. Standard_Cost'!$B$31</f>
        <v>0</v>
      </c>
      <c r="AF110" s="108">
        <f t="shared" si="157"/>
        <v>0</v>
      </c>
      <c r="AG110" s="107"/>
      <c r="AH110" s="107"/>
      <c r="AI110" s="107"/>
      <c r="AJ110" s="111"/>
      <c r="AK110" s="111"/>
      <c r="AL110" s="111"/>
      <c r="AM110" s="108">
        <f>AG110*'1. Standard_Cost'!$B$27+'Incremental_Cost Year 1'!AH110*'1. Standard_Cost'!$C$27+'Incremental_Cost Year 1'!AI110*'1. Standard_Cost'!$D$27+'Incremental_Cost Year 1'!AJ110+'Incremental_Cost Year 1'!AL110+AK110</f>
        <v>0</v>
      </c>
      <c r="AN110" s="108">
        <f>AM110*'1. Standard_Cost'!$C$31</f>
        <v>0</v>
      </c>
      <c r="AO110" s="125" t="s">
        <v>689</v>
      </c>
      <c r="AQ110" s="14">
        <f t="shared" si="158"/>
        <v>0</v>
      </c>
      <c r="AR110" s="14">
        <f t="shared" si="159"/>
        <v>0</v>
      </c>
      <c r="AS110" s="14">
        <f t="shared" si="160"/>
        <v>0</v>
      </c>
      <c r="AT110" s="14">
        <f t="shared" si="161"/>
        <v>0</v>
      </c>
      <c r="AU110" s="15"/>
      <c r="AV110" s="15"/>
      <c r="AW110" s="15"/>
      <c r="AX110" s="15"/>
      <c r="AY110" s="15"/>
      <c r="AZ110" s="15"/>
      <c r="BA110" s="15"/>
      <c r="BB110" s="16">
        <f t="shared" si="162"/>
        <v>0</v>
      </c>
    </row>
    <row r="111" spans="1:54" ht="202.8" outlineLevel="2">
      <c r="A111" s="98"/>
      <c r="B111" s="102"/>
      <c r="C111" s="23"/>
      <c r="D111" s="119"/>
      <c r="E111" s="119"/>
      <c r="F111" s="119"/>
      <c r="G111" s="174"/>
      <c r="H111" s="302" t="s">
        <v>458</v>
      </c>
      <c r="I111" s="104"/>
      <c r="J111" s="105"/>
      <c r="K111" s="105"/>
      <c r="L111" s="106" t="str">
        <f>IF(I111&lt;&gt;0,((VLOOKUP(I111,'1. Standard_Cost'!$B$4:$D$11,2)+VLOOKUP(I111,'1. Standard_Cost'!$B$4:$D$11,3))*J111*K111),"0")</f>
        <v>0</v>
      </c>
      <c r="M111" s="106">
        <f>L111*'1. Standard_Cost'!$F$4</f>
        <v>0</v>
      </c>
      <c r="N111" s="107"/>
      <c r="O111" s="107"/>
      <c r="P111" s="107"/>
      <c r="Q111" s="107"/>
      <c r="R111" s="108">
        <f>'1. Standard_Cost'!$B$15*N111*P111</f>
        <v>0</v>
      </c>
      <c r="S111" s="108">
        <f>N111*O111*P111*'1. Standard_Cost'!$C$15</f>
        <v>0</v>
      </c>
      <c r="T111" s="108">
        <f>N111*P111*Q111*'1. Standard_Cost'!$D$15</f>
        <v>0</v>
      </c>
      <c r="U111" s="108">
        <f>N111*O111*'1. Standard_Cost'!$E$15</f>
        <v>0</v>
      </c>
      <c r="V111" s="107"/>
      <c r="W111" s="107"/>
      <c r="X111" s="107"/>
      <c r="Y111" s="108">
        <f>+V111*((X111*'1. Standard_Cost'!$B$19)+(W111*X111*'1. Standard_Cost'!$C$19))</f>
        <v>0</v>
      </c>
      <c r="Z111" s="107"/>
      <c r="AA111" s="107"/>
      <c r="AB111" s="108">
        <f>+Z111*'1. Standard_Cost'!$B$23+AA111*'1. Standard_Cost'!$C$23</f>
        <v>0</v>
      </c>
      <c r="AC111" s="109"/>
      <c r="AD111" s="110"/>
      <c r="AE111" s="108">
        <f>SUM(AD111,AC111,AB111,Y111,U111,T111,S111,R111)*'1. Standard_Cost'!$B$31</f>
        <v>0</v>
      </c>
      <c r="AF111" s="108">
        <f t="shared" si="151"/>
        <v>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690</v>
      </c>
      <c r="AQ111" s="14">
        <f t="shared" si="152"/>
        <v>0</v>
      </c>
      <c r="AR111" s="14">
        <f t="shared" si="153"/>
        <v>0</v>
      </c>
      <c r="AS111" s="14">
        <f t="shared" si="154"/>
        <v>0</v>
      </c>
      <c r="AT111" s="14">
        <f t="shared" si="156"/>
        <v>0</v>
      </c>
      <c r="AU111" s="15"/>
      <c r="AV111" s="15"/>
      <c r="AW111" s="15"/>
      <c r="AX111" s="15"/>
      <c r="AY111" s="15"/>
      <c r="AZ111" s="15"/>
      <c r="BA111" s="15"/>
      <c r="BB111" s="16">
        <f t="shared" si="155"/>
        <v>0</v>
      </c>
    </row>
    <row r="112" spans="1:54" ht="124.8" outlineLevel="2">
      <c r="A112" s="98"/>
      <c r="B112" s="102"/>
      <c r="C112" s="23"/>
      <c r="D112" s="119"/>
      <c r="E112" s="119"/>
      <c r="F112" s="55"/>
      <c r="G112" s="54"/>
      <c r="H112" s="302" t="s">
        <v>459</v>
      </c>
      <c r="I112" s="104"/>
      <c r="J112" s="105"/>
      <c r="K112" s="105"/>
      <c r="L112" s="106" t="str">
        <f>IF(I112&lt;&gt;0,((VLOOKUP(I112,'1. Standard_Cost'!$B$4:$D$11,2)+VLOOKUP(I112,'1. Standard_Cost'!$B$4:$D$11,3))*J112*K112),"0")</f>
        <v>0</v>
      </c>
      <c r="M112" s="106">
        <f>L112*'1. Standard_Cost'!$F$4</f>
        <v>0</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c r="AB112" s="108">
        <f>+Z112*'1. Standard_Cost'!$B$23+AA112*'1. Standard_Cost'!$C$23</f>
        <v>0</v>
      </c>
      <c r="AC112" s="109"/>
      <c r="AD112" s="110"/>
      <c r="AE112" s="108">
        <f>SUM(AD112,AC112,AB112,Y112,U112,T112,S112,R112)*'1. Standard_Cost'!$B$31</f>
        <v>0</v>
      </c>
      <c r="AF112" s="108">
        <f t="shared" si="151"/>
        <v>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691</v>
      </c>
      <c r="AQ112" s="14">
        <f t="shared" si="152"/>
        <v>0</v>
      </c>
      <c r="AR112" s="14">
        <f t="shared" si="153"/>
        <v>0</v>
      </c>
      <c r="AS112" s="14">
        <f t="shared" si="154"/>
        <v>0</v>
      </c>
      <c r="AT112" s="14">
        <f t="shared" si="156"/>
        <v>0</v>
      </c>
      <c r="AU112" s="15"/>
      <c r="AV112" s="15"/>
      <c r="AW112" s="15"/>
      <c r="AX112" s="15"/>
      <c r="AY112" s="15"/>
      <c r="AZ112" s="15"/>
      <c r="BA112" s="15"/>
      <c r="BB112" s="16">
        <f t="shared" si="155"/>
        <v>0</v>
      </c>
    </row>
    <row r="113" spans="1:54" ht="55.2" outlineLevel="1">
      <c r="A113" s="98"/>
      <c r="B113" s="102"/>
      <c r="C113" s="23"/>
      <c r="D113" s="31" t="s">
        <v>633</v>
      </c>
      <c r="E113" s="56" t="s">
        <v>223</v>
      </c>
      <c r="F113" s="58">
        <v>2021</v>
      </c>
      <c r="G113" s="59">
        <v>2026</v>
      </c>
      <c r="H113" s="277" t="s">
        <v>226</v>
      </c>
      <c r="I113" s="112"/>
      <c r="J113" s="112"/>
      <c r="K113" s="112"/>
      <c r="L113" s="113">
        <f>SUM(L102:L112)</f>
        <v>0</v>
      </c>
      <c r="M113" s="113">
        <f>SUM(M102:M112)</f>
        <v>0</v>
      </c>
      <c r="N113" s="112"/>
      <c r="O113" s="112"/>
      <c r="P113" s="112"/>
      <c r="Q113" s="112"/>
      <c r="R113" s="113">
        <f>SUM(R102:R112)</f>
        <v>0</v>
      </c>
      <c r="S113" s="113">
        <f>SUM(S102:S112)</f>
        <v>0</v>
      </c>
      <c r="T113" s="113">
        <f>SUM(T102:T112)</f>
        <v>0</v>
      </c>
      <c r="U113" s="113">
        <f>SUM(U102:U112)</f>
        <v>0</v>
      </c>
      <c r="V113" s="112"/>
      <c r="W113" s="112"/>
      <c r="X113" s="112"/>
      <c r="Y113" s="113">
        <f>SUM(Y102:Y112)</f>
        <v>0</v>
      </c>
      <c r="Z113" s="112"/>
      <c r="AA113" s="112"/>
      <c r="AB113" s="113">
        <f>SUM(AB102:AB112)</f>
        <v>0</v>
      </c>
      <c r="AC113" s="113">
        <f>SUM(AC102:AC112)</f>
        <v>0</v>
      </c>
      <c r="AD113" s="113">
        <f>SUM(AD102:AD112)</f>
        <v>0</v>
      </c>
      <c r="AE113" s="113">
        <f>SUM(AE102:AE112)</f>
        <v>0</v>
      </c>
      <c r="AF113" s="113">
        <f>SUM(AF102:AF112)</f>
        <v>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63">SUM(AQ102:AQ112)</f>
        <v>0</v>
      </c>
      <c r="AR113" s="113">
        <f t="shared" si="163"/>
        <v>0</v>
      </c>
      <c r="AS113" s="113">
        <f t="shared" si="163"/>
        <v>0</v>
      </c>
      <c r="AT113" s="113">
        <f t="shared" si="163"/>
        <v>0</v>
      </c>
      <c r="AU113" s="113">
        <f t="shared" si="163"/>
        <v>0</v>
      </c>
      <c r="AV113" s="113">
        <f t="shared" si="163"/>
        <v>0</v>
      </c>
      <c r="AW113" s="113">
        <f t="shared" si="163"/>
        <v>0</v>
      </c>
      <c r="AX113" s="113">
        <f t="shared" si="163"/>
        <v>0</v>
      </c>
      <c r="AY113" s="113">
        <f t="shared" si="163"/>
        <v>0</v>
      </c>
      <c r="AZ113" s="113">
        <f t="shared" si="163"/>
        <v>0</v>
      </c>
      <c r="BA113" s="113">
        <f t="shared" si="163"/>
        <v>0</v>
      </c>
      <c r="BB113" s="113">
        <f t="shared" si="163"/>
        <v>0</v>
      </c>
    </row>
    <row r="114" spans="1:54" ht="62.4" outlineLevel="2">
      <c r="A114" s="98"/>
      <c r="B114" s="102"/>
      <c r="C114" s="23"/>
      <c r="D114" s="103"/>
      <c r="E114" s="103"/>
      <c r="F114" s="103"/>
      <c r="G114" s="103"/>
      <c r="H114" s="302" t="s">
        <v>460</v>
      </c>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64">SUM(AE114,AD114,AC114,AB114,Y114,U114,T114,S114,R114)</f>
        <v>0</v>
      </c>
      <c r="AG114" s="107"/>
      <c r="AH114" s="107"/>
      <c r="AI114" s="107"/>
      <c r="AJ114" s="111"/>
      <c r="AK114" s="111"/>
      <c r="AL114" s="111"/>
      <c r="AM114" s="108">
        <f>AG114*'1. Standard_Cost'!$B$27+'Incremental_Cost Year 1'!AH114*'1. Standard_Cost'!$C$27+'Incremental_Cost Year 1'!AI114*'1. Standard_Cost'!$D$27+'Incremental_Cost Year 1'!AJ114+'Incremental_Cost Year 1'!AL114+AK114</f>
        <v>0</v>
      </c>
      <c r="AN114" s="108">
        <f>AM114*'1. Standard_Cost'!$C$31</f>
        <v>0</v>
      </c>
      <c r="AO114" s="125" t="s">
        <v>350</v>
      </c>
      <c r="AQ114" s="14">
        <f t="shared" ref="AQ114:AQ135" si="165">L114+M114</f>
        <v>0</v>
      </c>
      <c r="AR114" s="14">
        <f t="shared" ref="AR114:AR135" si="166">AF114</f>
        <v>0</v>
      </c>
      <c r="AS114" s="14">
        <f t="shared" ref="AS114:AS135" si="167">AM114+AN114</f>
        <v>0</v>
      </c>
      <c r="AT114" s="14">
        <f>SUM(AQ114,AR114,AS114)</f>
        <v>0</v>
      </c>
      <c r="AU114" s="15"/>
      <c r="AV114" s="15"/>
      <c r="AW114" s="15"/>
      <c r="AX114" s="15"/>
      <c r="AY114" s="15"/>
      <c r="AZ114" s="15"/>
      <c r="BA114" s="15"/>
      <c r="BB114" s="16">
        <f t="shared" ref="BB114:BB135" si="168">SUM(AU114:BA114)-AT114</f>
        <v>0</v>
      </c>
    </row>
    <row r="115" spans="1:54" ht="234" outlineLevel="2">
      <c r="A115" s="98"/>
      <c r="B115" s="102"/>
      <c r="C115" s="23"/>
      <c r="D115" s="119"/>
      <c r="E115" s="119"/>
      <c r="F115" s="269"/>
      <c r="G115" s="174"/>
      <c r="H115" s="302" t="s">
        <v>461</v>
      </c>
      <c r="I115" s="104" t="s">
        <v>4</v>
      </c>
      <c r="J115" s="105">
        <v>2</v>
      </c>
      <c r="K115" s="105">
        <v>1</v>
      </c>
      <c r="L115" s="106">
        <f>IF(I115&lt;&gt;0,((VLOOKUP(I115,'1. Standard_Cost'!$B$4:$D$11,2)+VLOOKUP(I115,'1. Standard_Cost'!$B$4:$D$11,3))*J115*K115),"0")</f>
        <v>161500</v>
      </c>
      <c r="M115" s="106">
        <f>L115*'1. Standard_Cost'!$F$4</f>
        <v>26970.5</v>
      </c>
      <c r="N115" s="107">
        <v>14</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20</v>
      </c>
      <c r="AB115" s="108">
        <f>+Z115*'1. Standard_Cost'!$B$23+AA115*'1. Standard_Cost'!$C$23</f>
        <v>380000</v>
      </c>
      <c r="AC115" s="109">
        <f>210*3500+210*500</f>
        <v>840000</v>
      </c>
      <c r="AD115" s="110"/>
      <c r="AE115" s="108">
        <v>0</v>
      </c>
      <c r="AF115" s="108">
        <f t="shared" ref="AF115:AF124" si="169">SUM(AE115,AD115,AC115,AB115,Y115,U115,T115,S115,R115)</f>
        <v>1220000</v>
      </c>
      <c r="AG115" s="107"/>
      <c r="AH115" s="107"/>
      <c r="AI115" s="107"/>
      <c r="AJ115" s="111"/>
      <c r="AK115" s="111"/>
      <c r="AL115" s="111"/>
      <c r="AM115" s="108">
        <f>AG115*'1. Standard_Cost'!$B$27+'Incremental_Cost Year 1'!AH115*'1. Standard_Cost'!$C$27+'Incremental_Cost Year 1'!AI115*'1. Standard_Cost'!$D$27+'Incremental_Cost Year 1'!AJ115+'Incremental_Cost Year 1'!AL115+AK115</f>
        <v>0</v>
      </c>
      <c r="AN115" s="108">
        <f>AM115*'1. Standard_Cost'!$C$31</f>
        <v>0</v>
      </c>
      <c r="AO115" s="125" t="s">
        <v>643</v>
      </c>
      <c r="AQ115" s="14">
        <f t="shared" ref="AQ115:AQ124" si="170">L115+M115</f>
        <v>188470.5</v>
      </c>
      <c r="AR115" s="14">
        <f t="shared" ref="AR115:AR124" si="171">AF115</f>
        <v>1220000</v>
      </c>
      <c r="AS115" s="14">
        <f t="shared" ref="AS115:AS124" si="172">AM115+AN115</f>
        <v>0</v>
      </c>
      <c r="AT115" s="14">
        <f t="shared" ref="AT115:AT124" si="173">SUM(AQ115,AR115,AS115)</f>
        <v>1408470.5</v>
      </c>
      <c r="AU115" s="15">
        <v>188470.5</v>
      </c>
      <c r="AV115" s="15"/>
      <c r="AW115" s="15"/>
      <c r="AX115" s="15">
        <v>1220000</v>
      </c>
      <c r="AY115" s="15"/>
      <c r="AZ115" s="15"/>
      <c r="BA115" s="15"/>
      <c r="BB115" s="16">
        <f t="shared" ref="BB115:BB124" si="174">SUM(AU115:BA115)-AT115</f>
        <v>0</v>
      </c>
    </row>
    <row r="116" spans="1:54" ht="156" outlineLevel="2">
      <c r="A116" s="98"/>
      <c r="B116" s="102"/>
      <c r="C116" s="23"/>
      <c r="D116" s="119"/>
      <c r="E116" s="119"/>
      <c r="F116" s="119"/>
      <c r="G116" s="119"/>
      <c r="H116" s="302" t="s">
        <v>462</v>
      </c>
      <c r="I116" s="104" t="s">
        <v>4</v>
      </c>
      <c r="J116" s="105">
        <v>2</v>
      </c>
      <c r="K116" s="105">
        <v>3</v>
      </c>
      <c r="L116" s="106">
        <f>IF(I116&lt;&gt;0,((VLOOKUP(I116,'1. Standard_Cost'!$B$4:$D$11,2)+VLOOKUP(I116,'1. Standard_Cost'!$B$4:$D$11,3))*J116*K116),"0")</f>
        <v>484500</v>
      </c>
      <c r="M116" s="106">
        <f>L116*'1. Standard_Cost'!$F$4</f>
        <v>80911.5</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v>15</v>
      </c>
      <c r="AB116" s="108">
        <f>+Z116*'1. Standard_Cost'!$B$23+AA116*'1. Standard_Cost'!$C$23</f>
        <v>285000</v>
      </c>
      <c r="AC116" s="109">
        <f>2*600000</f>
        <v>1200000</v>
      </c>
      <c r="AD116" s="110"/>
      <c r="AE116" s="108">
        <f>SUM(AD116,AC116,AB116,Y116,U116,T116,S116,R116)*'1. Standard_Cost'!$B$31</f>
        <v>297000</v>
      </c>
      <c r="AF116" s="108">
        <f t="shared" si="169"/>
        <v>1782000</v>
      </c>
      <c r="AG116" s="107"/>
      <c r="AH116" s="107"/>
      <c r="AI116" s="107"/>
      <c r="AJ116" s="111"/>
      <c r="AK116" s="111"/>
      <c r="AL116" s="111"/>
      <c r="AM116" s="108">
        <f>AG116*'1. Standard_Cost'!$B$27+'Incremental_Cost Year 1'!AH116*'1. Standard_Cost'!$C$27+'Incremental_Cost Year 1'!AI116*'1. Standard_Cost'!$D$27+'Incremental_Cost Year 1'!AJ116+'Incremental_Cost Year 1'!AL116+AK116</f>
        <v>0</v>
      </c>
      <c r="AN116" s="108">
        <f>AM116*'1. Standard_Cost'!$C$31</f>
        <v>0</v>
      </c>
      <c r="AO116" s="125" t="s">
        <v>644</v>
      </c>
      <c r="AQ116" s="14">
        <f t="shared" si="170"/>
        <v>565411.5</v>
      </c>
      <c r="AR116" s="14">
        <f t="shared" si="171"/>
        <v>1782000</v>
      </c>
      <c r="AS116" s="14">
        <f t="shared" si="172"/>
        <v>0</v>
      </c>
      <c r="AT116" s="14">
        <f t="shared" si="173"/>
        <v>2347411.5</v>
      </c>
      <c r="AU116" s="15">
        <f>AQ116</f>
        <v>565411.5</v>
      </c>
      <c r="AV116" s="15"/>
      <c r="AW116" s="15"/>
      <c r="AX116" s="15">
        <f>AT116-AU116</f>
        <v>1782000</v>
      </c>
      <c r="AY116" s="15"/>
      <c r="AZ116" s="15"/>
      <c r="BA116" s="15"/>
      <c r="BB116" s="16">
        <f t="shared" si="174"/>
        <v>0</v>
      </c>
    </row>
    <row r="117" spans="1:54" ht="31.2" outlineLevel="2">
      <c r="A117" s="98"/>
      <c r="B117" s="102"/>
      <c r="C117" s="23"/>
      <c r="D117" s="119"/>
      <c r="E117" s="119"/>
      <c r="F117" s="119"/>
      <c r="G117" s="119"/>
      <c r="H117" s="302" t="s">
        <v>463</v>
      </c>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69"/>
        <v>0</v>
      </c>
      <c r="AG117" s="107"/>
      <c r="AH117" s="107"/>
      <c r="AI117" s="107"/>
      <c r="AJ117" s="111"/>
      <c r="AK117" s="111"/>
      <c r="AL117" s="111"/>
      <c r="AM117" s="108">
        <f>AG117*'1. Standard_Cost'!$B$27+'Incremental_Cost Year 1'!AH117*'1. Standard_Cost'!$C$27+'Incremental_Cost Year 1'!AI117*'1. Standard_Cost'!$D$27+'Incremental_Cost Year 1'!AJ117+'Incremental_Cost Year 1'!AL117+AK117</f>
        <v>0</v>
      </c>
      <c r="AN117" s="108">
        <f>AM117*'1. Standard_Cost'!$C$31</f>
        <v>0</v>
      </c>
      <c r="AO117" s="125" t="s">
        <v>349</v>
      </c>
      <c r="AQ117" s="14">
        <f t="shared" si="170"/>
        <v>0</v>
      </c>
      <c r="AR117" s="14">
        <f t="shared" si="171"/>
        <v>0</v>
      </c>
      <c r="AS117" s="14">
        <f t="shared" si="172"/>
        <v>0</v>
      </c>
      <c r="AT117" s="14">
        <f t="shared" si="173"/>
        <v>0</v>
      </c>
      <c r="AU117" s="15"/>
      <c r="AV117" s="15"/>
      <c r="AW117" s="15"/>
      <c r="AX117" s="15"/>
      <c r="AY117" s="15"/>
      <c r="AZ117" s="15"/>
      <c r="BA117" s="15"/>
      <c r="BB117" s="16">
        <f t="shared" si="174"/>
        <v>0</v>
      </c>
    </row>
    <row r="118" spans="1:54" ht="62.4" outlineLevel="2">
      <c r="A118" s="98"/>
      <c r="B118" s="102"/>
      <c r="C118" s="23"/>
      <c r="D118" s="119"/>
      <c r="E118" s="119"/>
      <c r="F118" s="119"/>
      <c r="G118" s="119"/>
      <c r="H118" s="302" t="s">
        <v>464</v>
      </c>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69"/>
        <v>0</v>
      </c>
      <c r="AG118" s="107"/>
      <c r="AH118" s="107"/>
      <c r="AI118" s="107"/>
      <c r="AJ118" s="111"/>
      <c r="AK118" s="111"/>
      <c r="AL118" s="111"/>
      <c r="AM118" s="108">
        <f>AG118*'1. Standard_Cost'!$B$27+'Incremental_Cost Year 1'!AH118*'1. Standard_Cost'!$C$27+'Incremental_Cost Year 1'!AI118*'1. Standard_Cost'!$D$27+'Incremental_Cost Year 1'!AJ118+'Incremental_Cost Year 1'!AL118+AK118</f>
        <v>0</v>
      </c>
      <c r="AN118" s="108">
        <f>AM118*'1. Standard_Cost'!$C$31</f>
        <v>0</v>
      </c>
      <c r="AO118" s="125" t="s">
        <v>352</v>
      </c>
      <c r="AQ118" s="14">
        <f t="shared" si="170"/>
        <v>0</v>
      </c>
      <c r="AR118" s="14">
        <f t="shared" si="171"/>
        <v>0</v>
      </c>
      <c r="AS118" s="14">
        <f t="shared" si="172"/>
        <v>0</v>
      </c>
      <c r="AT118" s="14">
        <f t="shared" si="173"/>
        <v>0</v>
      </c>
      <c r="AU118" s="15"/>
      <c r="AV118" s="15"/>
      <c r="AW118" s="15"/>
      <c r="AX118" s="15"/>
      <c r="AY118" s="15"/>
      <c r="AZ118" s="15"/>
      <c r="BA118" s="15"/>
      <c r="BB118" s="16">
        <f t="shared" si="174"/>
        <v>0</v>
      </c>
    </row>
    <row r="119" spans="1:54" ht="62.4" outlineLevel="2">
      <c r="A119" s="98"/>
      <c r="B119" s="102"/>
      <c r="C119" s="23"/>
      <c r="D119" s="119"/>
      <c r="E119" s="119"/>
      <c r="F119" s="119"/>
      <c r="G119" s="119"/>
      <c r="H119" s="302" t="s">
        <v>465</v>
      </c>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69"/>
        <v>0</v>
      </c>
      <c r="AG119" s="107"/>
      <c r="AH119" s="107"/>
      <c r="AI119" s="107"/>
      <c r="AJ119" s="111"/>
      <c r="AK119" s="111"/>
      <c r="AL119" s="111"/>
      <c r="AM119" s="108">
        <f>AG119*'1. Standard_Cost'!$B$27+'Incremental_Cost Year 1'!AH119*'1. Standard_Cost'!$C$27+'Incremental_Cost Year 1'!AI119*'1. Standard_Cost'!$D$27+'Incremental_Cost Year 1'!AJ119+'Incremental_Cost Year 1'!AL119+AK119</f>
        <v>0</v>
      </c>
      <c r="AN119" s="108">
        <f>AM119*'1. Standard_Cost'!$C$31</f>
        <v>0</v>
      </c>
      <c r="AO119" s="125" t="s">
        <v>645</v>
      </c>
      <c r="AQ119" s="14">
        <f t="shared" si="170"/>
        <v>0</v>
      </c>
      <c r="AR119" s="14">
        <f t="shared" si="171"/>
        <v>0</v>
      </c>
      <c r="AS119" s="14">
        <f t="shared" si="172"/>
        <v>0</v>
      </c>
      <c r="AT119" s="14">
        <f t="shared" si="173"/>
        <v>0</v>
      </c>
      <c r="AU119" s="15"/>
      <c r="AV119" s="15"/>
      <c r="AW119" s="15"/>
      <c r="AX119" s="15"/>
      <c r="AY119" s="15"/>
      <c r="AZ119" s="15"/>
      <c r="BA119" s="15"/>
      <c r="BB119" s="16">
        <f t="shared" si="174"/>
        <v>0</v>
      </c>
    </row>
    <row r="120" spans="1:54" ht="31.2" outlineLevel="2">
      <c r="A120" s="98"/>
      <c r="B120" s="102"/>
      <c r="C120" s="23"/>
      <c r="D120" s="119"/>
      <c r="E120" s="119"/>
      <c r="F120" s="119"/>
      <c r="G120" s="119"/>
      <c r="H120" s="302" t="s">
        <v>466</v>
      </c>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69"/>
        <v>0</v>
      </c>
      <c r="AG120" s="107"/>
      <c r="AH120" s="107"/>
      <c r="AI120" s="107"/>
      <c r="AJ120" s="111"/>
      <c r="AK120" s="111"/>
      <c r="AL120" s="111"/>
      <c r="AM120" s="108">
        <f>AG120*'1. Standard_Cost'!$B$27+'Incremental_Cost Year 1'!AH120*'1. Standard_Cost'!$C$27+'Incremental_Cost Year 1'!AI120*'1. Standard_Cost'!$D$27+'Incremental_Cost Year 1'!AJ120+'Incremental_Cost Year 1'!AL120+AK120</f>
        <v>0</v>
      </c>
      <c r="AN120" s="108">
        <f>AM120*'1. Standard_Cost'!$C$31</f>
        <v>0</v>
      </c>
      <c r="AO120" s="125" t="s">
        <v>354</v>
      </c>
      <c r="AQ120" s="14">
        <f t="shared" si="170"/>
        <v>0</v>
      </c>
      <c r="AR120" s="14">
        <f t="shared" si="171"/>
        <v>0</v>
      </c>
      <c r="AS120" s="14">
        <f t="shared" si="172"/>
        <v>0</v>
      </c>
      <c r="AT120" s="14">
        <f t="shared" si="173"/>
        <v>0</v>
      </c>
      <c r="AU120" s="15"/>
      <c r="AV120" s="15"/>
      <c r="AW120" s="15"/>
      <c r="AX120" s="15"/>
      <c r="AY120" s="15"/>
      <c r="AZ120" s="15"/>
      <c r="BA120" s="15"/>
      <c r="BB120" s="16">
        <f t="shared" si="174"/>
        <v>0</v>
      </c>
    </row>
    <row r="121" spans="1:54" ht="78" outlineLevel="2">
      <c r="A121" s="98"/>
      <c r="B121" s="102"/>
      <c r="C121" s="23"/>
      <c r="D121" s="119"/>
      <c r="E121" s="119"/>
      <c r="F121" s="174"/>
      <c r="G121" s="174"/>
      <c r="H121" s="302" t="s">
        <v>467</v>
      </c>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v>600000</v>
      </c>
      <c r="AD121" s="110"/>
      <c r="AE121" s="108">
        <f>SUM(AD121,AC121,AB121,Y121,U121,T121,S121,R121)*'1. Standard_Cost'!$B$31</f>
        <v>120000</v>
      </c>
      <c r="AF121" s="108">
        <f t="shared" si="169"/>
        <v>720000</v>
      </c>
      <c r="AG121" s="107"/>
      <c r="AH121" s="107"/>
      <c r="AI121" s="107"/>
      <c r="AJ121" s="111"/>
      <c r="AK121" s="111"/>
      <c r="AL121" s="111"/>
      <c r="AM121" s="108">
        <f>AG121*'1. Standard_Cost'!$B$27+'Incremental_Cost Year 1'!AH121*'1. Standard_Cost'!$C$27+'Incremental_Cost Year 1'!AI121*'1. Standard_Cost'!$D$27+'Incremental_Cost Year 1'!AJ121+'Incremental_Cost Year 1'!AL121+AK121</f>
        <v>0</v>
      </c>
      <c r="AN121" s="108">
        <f>AM121*'1. Standard_Cost'!$C$31</f>
        <v>0</v>
      </c>
      <c r="AO121" s="125" t="s">
        <v>646</v>
      </c>
      <c r="AQ121" s="14">
        <f t="shared" si="170"/>
        <v>0</v>
      </c>
      <c r="AR121" s="14">
        <f t="shared" si="171"/>
        <v>720000</v>
      </c>
      <c r="AS121" s="14">
        <f t="shared" si="172"/>
        <v>0</v>
      </c>
      <c r="AT121" s="14">
        <f t="shared" si="173"/>
        <v>720000</v>
      </c>
      <c r="AU121" s="15"/>
      <c r="AV121" s="15"/>
      <c r="AW121" s="15"/>
      <c r="AX121" s="15"/>
      <c r="AY121" s="15"/>
      <c r="AZ121" s="15">
        <v>600000</v>
      </c>
      <c r="BA121" s="15"/>
      <c r="BB121" s="16">
        <f t="shared" si="174"/>
        <v>-120000</v>
      </c>
    </row>
    <row r="122" spans="1:54" ht="62.4" outlineLevel="2">
      <c r="A122" s="98"/>
      <c r="B122" s="102"/>
      <c r="C122" s="23"/>
      <c r="D122" s="119"/>
      <c r="E122" s="119"/>
      <c r="F122" s="119"/>
      <c r="G122" s="119"/>
      <c r="H122" s="302" t="s">
        <v>468</v>
      </c>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69"/>
        <v>0</v>
      </c>
      <c r="AG122" s="107"/>
      <c r="AH122" s="107"/>
      <c r="AI122" s="107"/>
      <c r="AJ122" s="111"/>
      <c r="AK122" s="111"/>
      <c r="AL122" s="111"/>
      <c r="AM122" s="108">
        <f>AG122*'1. Standard_Cost'!$B$27+'Incremental_Cost Year 1'!AH122*'1. Standard_Cost'!$C$27+'Incremental_Cost Year 1'!AI122*'1. Standard_Cost'!$D$27+'Incremental_Cost Year 1'!AJ122+'Incremental_Cost Year 1'!AL122+AK122</f>
        <v>0</v>
      </c>
      <c r="AN122" s="108">
        <f>AM122*'1. Standard_Cost'!$C$31</f>
        <v>0</v>
      </c>
      <c r="AO122" s="125" t="s">
        <v>355</v>
      </c>
      <c r="AQ122" s="14">
        <f t="shared" si="170"/>
        <v>0</v>
      </c>
      <c r="AR122" s="14">
        <f t="shared" si="171"/>
        <v>0</v>
      </c>
      <c r="AS122" s="14">
        <f t="shared" si="172"/>
        <v>0</v>
      </c>
      <c r="AT122" s="14">
        <f t="shared" si="173"/>
        <v>0</v>
      </c>
      <c r="AU122" s="15"/>
      <c r="AV122" s="15"/>
      <c r="AW122" s="15"/>
      <c r="AX122" s="15"/>
      <c r="AY122" s="15"/>
      <c r="AZ122" s="15"/>
      <c r="BA122" s="15"/>
      <c r="BB122" s="16">
        <f t="shared" si="174"/>
        <v>0</v>
      </c>
    </row>
    <row r="123" spans="1:54" ht="31.2" outlineLevel="2">
      <c r="A123" s="98"/>
      <c r="B123" s="102"/>
      <c r="C123" s="23"/>
      <c r="D123" s="119"/>
      <c r="E123" s="119"/>
      <c r="F123" s="119"/>
      <c r="G123" s="174"/>
      <c r="H123" s="302" t="s">
        <v>229</v>
      </c>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69"/>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70"/>
        <v>0</v>
      </c>
      <c r="AR123" s="14">
        <f t="shared" si="171"/>
        <v>0</v>
      </c>
      <c r="AS123" s="14">
        <f t="shared" si="172"/>
        <v>0</v>
      </c>
      <c r="AT123" s="14">
        <f t="shared" si="173"/>
        <v>0</v>
      </c>
      <c r="AU123" s="15"/>
      <c r="AV123" s="15"/>
      <c r="AW123" s="15"/>
      <c r="AX123" s="15"/>
      <c r="AY123" s="15"/>
      <c r="AZ123" s="15"/>
      <c r="BA123" s="15"/>
      <c r="BB123" s="16">
        <f t="shared" si="174"/>
        <v>0</v>
      </c>
    </row>
    <row r="124" spans="1:54" ht="93.6" outlineLevel="2">
      <c r="A124" s="98"/>
      <c r="B124" s="102"/>
      <c r="C124" s="23"/>
      <c r="D124" s="119"/>
      <c r="E124" s="119"/>
      <c r="F124" s="55"/>
      <c r="G124" s="54"/>
      <c r="H124" s="302" t="s">
        <v>469</v>
      </c>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c r="AD124" s="110"/>
      <c r="AE124" s="108">
        <f>SUM(AD124,AC124,AB124,Y124,U124,T124,S124,R124)*'1. Standard_Cost'!$B$31</f>
        <v>0</v>
      </c>
      <c r="AF124" s="108">
        <f t="shared" si="169"/>
        <v>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647</v>
      </c>
      <c r="AQ124" s="14">
        <f t="shared" si="170"/>
        <v>0</v>
      </c>
      <c r="AR124" s="14">
        <f t="shared" si="171"/>
        <v>0</v>
      </c>
      <c r="AS124" s="14">
        <f t="shared" si="172"/>
        <v>0</v>
      </c>
      <c r="AT124" s="14">
        <f t="shared" si="173"/>
        <v>0</v>
      </c>
      <c r="AU124" s="15"/>
      <c r="AV124" s="15"/>
      <c r="AW124" s="15"/>
      <c r="AX124" s="15"/>
      <c r="AY124" s="15"/>
      <c r="AZ124" s="15"/>
      <c r="BA124" s="15"/>
      <c r="BB124" s="16">
        <f t="shared" si="174"/>
        <v>0</v>
      </c>
    </row>
    <row r="125" spans="1:54" ht="62.4" outlineLevel="2">
      <c r="A125" s="98"/>
      <c r="B125" s="102"/>
      <c r="C125" s="23"/>
      <c r="D125" s="119"/>
      <c r="E125" s="119"/>
      <c r="F125" s="119"/>
      <c r="G125" s="119"/>
      <c r="H125" s="302" t="s">
        <v>470</v>
      </c>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64"/>
        <v>0</v>
      </c>
      <c r="AG125" s="107"/>
      <c r="AH125" s="107"/>
      <c r="AI125" s="107"/>
      <c r="AJ125" s="111"/>
      <c r="AK125" s="111"/>
      <c r="AL125" s="111"/>
      <c r="AM125" s="108">
        <f>AG125*'1. Standard_Cost'!$B$27+'Incremental_Cost Year 1'!AH125*'1. Standard_Cost'!$C$27+'Incremental_Cost Year 1'!AI125*'1. Standard_Cost'!$D$27+'Incremental_Cost Year 1'!AJ125+'Incremental_Cost Year 1'!AL125+AK125</f>
        <v>0</v>
      </c>
      <c r="AN125" s="108">
        <f>AM125*'1. Standard_Cost'!$C$31</f>
        <v>0</v>
      </c>
      <c r="AO125" s="125" t="s">
        <v>358</v>
      </c>
      <c r="AQ125" s="14">
        <f t="shared" si="165"/>
        <v>0</v>
      </c>
      <c r="AR125" s="14">
        <f t="shared" si="166"/>
        <v>0</v>
      </c>
      <c r="AS125" s="14">
        <f t="shared" si="167"/>
        <v>0</v>
      </c>
      <c r="AT125" s="14">
        <f t="shared" ref="AT125:AT135" si="175">SUM(AQ125,AR125,AS125)</f>
        <v>0</v>
      </c>
      <c r="AU125" s="15"/>
      <c r="AV125" s="15"/>
      <c r="AW125" s="15"/>
      <c r="AX125" s="15"/>
      <c r="AY125" s="15"/>
      <c r="AZ125" s="15"/>
      <c r="BA125" s="15"/>
      <c r="BB125" s="16">
        <f t="shared" si="168"/>
        <v>0</v>
      </c>
    </row>
    <row r="126" spans="1:54" ht="62.4" outlineLevel="2">
      <c r="A126" s="98"/>
      <c r="B126" s="102"/>
      <c r="C126" s="23"/>
      <c r="D126" s="119"/>
      <c r="E126" s="119"/>
      <c r="F126" s="119"/>
      <c r="G126" s="119"/>
      <c r="H126" s="302" t="s">
        <v>471</v>
      </c>
      <c r="I126" s="104" t="s">
        <v>4</v>
      </c>
      <c r="J126" s="105">
        <v>2</v>
      </c>
      <c r="K126" s="105">
        <v>4</v>
      </c>
      <c r="L126" s="106">
        <f>IF(I126&lt;&gt;0,((VLOOKUP(I126,'1. Standard_Cost'!$B$4:$D$11,2)+VLOOKUP(I126,'1. Standard_Cost'!$B$4:$D$11,3))*J126*K126),"0")</f>
        <v>646000</v>
      </c>
      <c r="M126" s="106">
        <f>L126*'1. Standard_Cost'!$F$4</f>
        <v>107882</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64"/>
        <v>0</v>
      </c>
      <c r="AG126" s="107"/>
      <c r="AH126" s="107"/>
      <c r="AI126" s="107"/>
      <c r="AJ126" s="111"/>
      <c r="AK126" s="111"/>
      <c r="AL126" s="111"/>
      <c r="AM126" s="108">
        <f>AG126*'1. Standard_Cost'!$B$27+'Incremental_Cost Year 1'!AH126*'1. Standard_Cost'!$C$27+'Incremental_Cost Year 1'!AI126*'1. Standard_Cost'!$D$27+'Incremental_Cost Year 1'!AJ126+'Incremental_Cost Year 1'!AL126+AK126</f>
        <v>0</v>
      </c>
      <c r="AN126" s="108">
        <f>AM126*'1. Standard_Cost'!$C$31</f>
        <v>0</v>
      </c>
      <c r="AO126" s="125" t="s">
        <v>359</v>
      </c>
      <c r="AQ126" s="14">
        <f t="shared" si="165"/>
        <v>753882</v>
      </c>
      <c r="AR126" s="14">
        <f t="shared" si="166"/>
        <v>0</v>
      </c>
      <c r="AS126" s="14">
        <f t="shared" si="167"/>
        <v>0</v>
      </c>
      <c r="AT126" s="14">
        <f t="shared" si="175"/>
        <v>753882</v>
      </c>
      <c r="AU126" s="15">
        <f>AT126</f>
        <v>753882</v>
      </c>
      <c r="AV126" s="15"/>
      <c r="AW126" s="15"/>
      <c r="AX126" s="15"/>
      <c r="AY126" s="15"/>
      <c r="AZ126" s="15"/>
      <c r="BA126" s="15"/>
      <c r="BB126" s="16">
        <f t="shared" si="168"/>
        <v>0</v>
      </c>
    </row>
    <row r="127" spans="1:54" ht="46.8" outlineLevel="2">
      <c r="A127" s="98"/>
      <c r="B127" s="102"/>
      <c r="C127" s="23"/>
      <c r="D127" s="119"/>
      <c r="E127" s="119"/>
      <c r="F127" s="174"/>
      <c r="G127" s="119"/>
      <c r="H127" s="302" t="s">
        <v>472</v>
      </c>
      <c r="I127" s="104" t="s">
        <v>4</v>
      </c>
      <c r="J127" s="105">
        <v>3</v>
      </c>
      <c r="K127" s="105">
        <v>4</v>
      </c>
      <c r="L127" s="106">
        <f>IF(I127&lt;&gt;0,((VLOOKUP(I127,'1. Standard_Cost'!$B$4:$D$11,2)+VLOOKUP(I127,'1. Standard_Cost'!$B$4:$D$11,3))*J127*K127),"0")</f>
        <v>969000</v>
      </c>
      <c r="M127" s="106">
        <f>L127*'1. Standard_Cost'!$F$4</f>
        <v>161823</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64"/>
        <v>0</v>
      </c>
      <c r="AG127" s="107"/>
      <c r="AH127" s="107"/>
      <c r="AI127" s="107"/>
      <c r="AJ127" s="111"/>
      <c r="AK127" s="111"/>
      <c r="AL127" s="111"/>
      <c r="AM127" s="108">
        <f>AG127*'1. Standard_Cost'!$B$27+'Incremental_Cost Year 1'!AH127*'1. Standard_Cost'!$C$27+'Incremental_Cost Year 1'!AI127*'1. Standard_Cost'!$D$27+'Incremental_Cost Year 1'!AJ127+'Incremental_Cost Year 1'!AL127+AK127</f>
        <v>0</v>
      </c>
      <c r="AN127" s="108">
        <f>AM127*'1. Standard_Cost'!$C$31</f>
        <v>0</v>
      </c>
      <c r="AO127" s="125" t="s">
        <v>349</v>
      </c>
      <c r="AQ127" s="14">
        <f t="shared" si="165"/>
        <v>1130823</v>
      </c>
      <c r="AR127" s="14">
        <f t="shared" si="166"/>
        <v>0</v>
      </c>
      <c r="AS127" s="14">
        <f t="shared" si="167"/>
        <v>0</v>
      </c>
      <c r="AT127" s="14">
        <f t="shared" si="175"/>
        <v>1130823</v>
      </c>
      <c r="AU127" s="15">
        <f>AT127</f>
        <v>1130823</v>
      </c>
      <c r="AV127" s="15"/>
      <c r="AW127" s="15"/>
      <c r="AX127" s="15"/>
      <c r="AY127" s="15"/>
      <c r="AZ127" s="15"/>
      <c r="BA127" s="15"/>
      <c r="BB127" s="16">
        <f t="shared" si="168"/>
        <v>0</v>
      </c>
    </row>
    <row r="128" spans="1:54" ht="46.8" outlineLevel="2">
      <c r="A128" s="98"/>
      <c r="B128" s="102"/>
      <c r="C128" s="23"/>
      <c r="D128" s="119"/>
      <c r="E128" s="119"/>
      <c r="F128" s="174"/>
      <c r="G128" s="174"/>
      <c r="H128" s="302" t="s">
        <v>473</v>
      </c>
      <c r="I128" s="104" t="s">
        <v>4</v>
      </c>
      <c r="J128" s="105">
        <v>2</v>
      </c>
      <c r="K128" s="105">
        <v>4</v>
      </c>
      <c r="L128" s="106">
        <f>IF(I128&lt;&gt;0,((VLOOKUP(I128,'1. Standard_Cost'!$B$4:$D$11,2)+VLOOKUP(I128,'1. Standard_Cost'!$B$4:$D$11,3))*J128*K128),"0")</f>
        <v>646000</v>
      </c>
      <c r="M128" s="106">
        <f>L128*'1. Standard_Cost'!$F$4</f>
        <v>107882</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64"/>
        <v>0</v>
      </c>
      <c r="AG128" s="107"/>
      <c r="AH128" s="107"/>
      <c r="AI128" s="107"/>
      <c r="AJ128" s="111"/>
      <c r="AK128" s="111"/>
      <c r="AL128" s="111"/>
      <c r="AM128" s="108">
        <f>AG128*'1. Standard_Cost'!$B$27+'Incremental_Cost Year 1'!AH128*'1. Standard_Cost'!$C$27+'Incremental_Cost Year 1'!AI128*'1. Standard_Cost'!$D$27+'Incremental_Cost Year 1'!AJ128+'Incremental_Cost Year 1'!AL128+AK128</f>
        <v>0</v>
      </c>
      <c r="AN128" s="108">
        <f>AM128*'1. Standard_Cost'!$C$31</f>
        <v>0</v>
      </c>
      <c r="AO128" s="125" t="s">
        <v>360</v>
      </c>
      <c r="AQ128" s="14">
        <f t="shared" si="165"/>
        <v>753882</v>
      </c>
      <c r="AR128" s="14">
        <f t="shared" si="166"/>
        <v>0</v>
      </c>
      <c r="AS128" s="14">
        <f t="shared" si="167"/>
        <v>0</v>
      </c>
      <c r="AT128" s="14">
        <f t="shared" si="175"/>
        <v>753882</v>
      </c>
      <c r="AU128" s="15"/>
      <c r="AV128" s="15"/>
      <c r="AW128" s="15"/>
      <c r="AX128" s="15"/>
      <c r="AY128" s="15"/>
      <c r="AZ128" s="15"/>
      <c r="BA128" s="15"/>
      <c r="BB128" s="16">
        <f t="shared" si="168"/>
        <v>-753882</v>
      </c>
    </row>
    <row r="129" spans="1:54" ht="78" outlineLevel="2">
      <c r="A129" s="98"/>
      <c r="B129" s="102"/>
      <c r="C129" s="23"/>
      <c r="D129" s="119"/>
      <c r="E129" s="119"/>
      <c r="F129" s="119"/>
      <c r="G129" s="119"/>
      <c r="H129" s="302" t="s">
        <v>474</v>
      </c>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64"/>
        <v>0</v>
      </c>
      <c r="AG129" s="107"/>
      <c r="AH129" s="107"/>
      <c r="AI129" s="107"/>
      <c r="AJ129" s="111"/>
      <c r="AK129" s="111"/>
      <c r="AL129" s="111"/>
      <c r="AM129" s="108">
        <f>AG129*'1. Standard_Cost'!$B$27+'Incremental_Cost Year 1'!AH129*'1. Standard_Cost'!$C$27+'Incremental_Cost Year 1'!AI129*'1. Standard_Cost'!$D$27+'Incremental_Cost Year 1'!AJ129+'Incremental_Cost Year 1'!AL129+AK129</f>
        <v>0</v>
      </c>
      <c r="AN129" s="108">
        <f>AM129*'1. Standard_Cost'!$C$31</f>
        <v>0</v>
      </c>
      <c r="AO129" s="125" t="s">
        <v>361</v>
      </c>
      <c r="AQ129" s="14">
        <f t="shared" si="165"/>
        <v>0</v>
      </c>
      <c r="AR129" s="14">
        <f t="shared" si="166"/>
        <v>0</v>
      </c>
      <c r="AS129" s="14">
        <f t="shared" si="167"/>
        <v>0</v>
      </c>
      <c r="AT129" s="14">
        <f t="shared" si="175"/>
        <v>0</v>
      </c>
      <c r="AU129" s="15"/>
      <c r="AV129" s="15"/>
      <c r="AW129" s="15"/>
      <c r="AX129" s="15"/>
      <c r="AY129" s="15"/>
      <c r="AZ129" s="15"/>
      <c r="BA129" s="15"/>
      <c r="BB129" s="16">
        <f t="shared" si="168"/>
        <v>0</v>
      </c>
    </row>
    <row r="130" spans="1:54" ht="202.8" outlineLevel="2">
      <c r="A130" s="98"/>
      <c r="B130" s="102"/>
      <c r="C130" s="23"/>
      <c r="D130" s="119"/>
      <c r="E130" s="119"/>
      <c r="F130" s="174"/>
      <c r="G130" s="174"/>
      <c r="H130" s="302" t="s">
        <v>475</v>
      </c>
      <c r="I130" s="104" t="s">
        <v>4</v>
      </c>
      <c r="J130" s="105">
        <v>0.4</v>
      </c>
      <c r="K130" s="105">
        <v>2</v>
      </c>
      <c r="L130" s="106">
        <f>IF(I130&lt;&gt;0,((VLOOKUP(I130,'1. Standard_Cost'!$B$4:$D$11,2)+VLOOKUP(I130,'1. Standard_Cost'!$B$4:$D$11,3))*J130*K130),"0")</f>
        <v>64600</v>
      </c>
      <c r="M130" s="106">
        <f>L130*'1. Standard_Cost'!$F$4</f>
        <v>10788.2</v>
      </c>
      <c r="N130" s="107">
        <v>1</v>
      </c>
      <c r="O130" s="107">
        <v>3</v>
      </c>
      <c r="P130" s="107">
        <v>25</v>
      </c>
      <c r="Q130" s="107"/>
      <c r="R130" s="108">
        <v>0</v>
      </c>
      <c r="S130" s="108">
        <v>0</v>
      </c>
      <c r="T130" s="108">
        <f>N130*P130*Q130*'1. Standard_Cost'!$D$15</f>
        <v>0</v>
      </c>
      <c r="U130" s="108">
        <v>0</v>
      </c>
      <c r="V130" s="107"/>
      <c r="W130" s="107"/>
      <c r="X130" s="107"/>
      <c r="Y130" s="108">
        <f>+V130*((X130*'1. Standard_Cost'!$B$19)+(W130*X130*'1. Standard_Cost'!$C$19))</f>
        <v>0</v>
      </c>
      <c r="Z130" s="107"/>
      <c r="AA130" s="107">
        <v>17</v>
      </c>
      <c r="AB130" s="108">
        <f>+Z130*'1. Standard_Cost'!$B$23+AA130*'1. Standard_Cost'!$C$23</f>
        <v>323000</v>
      </c>
      <c r="AC130" s="109">
        <f>25*300*3</f>
        <v>22500</v>
      </c>
      <c r="AD130" s="110"/>
      <c r="AE130" s="108">
        <f>SUM(AD130,AC130,AB130,Y130,U130,T130,S130,R130)*'1. Standard_Cost'!$B$31</f>
        <v>69100</v>
      </c>
      <c r="AF130" s="108">
        <f t="shared" si="164"/>
        <v>414600</v>
      </c>
      <c r="AG130" s="107"/>
      <c r="AH130" s="107"/>
      <c r="AI130" s="107"/>
      <c r="AJ130" s="111"/>
      <c r="AK130" s="111"/>
      <c r="AL130" s="111"/>
      <c r="AM130" s="108">
        <f>AG130*'1. Standard_Cost'!$B$27+'Incremental_Cost Year 1'!AH130*'1. Standard_Cost'!$C$27+'Incremental_Cost Year 1'!AI130*'1. Standard_Cost'!$D$27+'Incremental_Cost Year 1'!AJ130+'Incremental_Cost Year 1'!AL130+AK130</f>
        <v>0</v>
      </c>
      <c r="AN130" s="108">
        <f>AM130*'1. Standard_Cost'!$C$31</f>
        <v>0</v>
      </c>
      <c r="AO130" s="125" t="s">
        <v>362</v>
      </c>
      <c r="AQ130" s="14">
        <f t="shared" si="165"/>
        <v>75388.2</v>
      </c>
      <c r="AR130" s="14">
        <f t="shared" si="166"/>
        <v>414600</v>
      </c>
      <c r="AS130" s="14">
        <f t="shared" si="167"/>
        <v>0</v>
      </c>
      <c r="AT130" s="14">
        <f t="shared" si="175"/>
        <v>489988.2</v>
      </c>
      <c r="AU130" s="15">
        <v>75388.2</v>
      </c>
      <c r="AV130" s="15"/>
      <c r="AW130" s="15"/>
      <c r="AX130" s="15"/>
      <c r="AY130" s="15"/>
      <c r="AZ130" s="15"/>
      <c r="BA130" s="15"/>
      <c r="BB130" s="16">
        <f t="shared" si="168"/>
        <v>-414600</v>
      </c>
    </row>
    <row r="131" spans="1:54" ht="113.4" customHeight="1" outlineLevel="2">
      <c r="A131" s="98"/>
      <c r="B131" s="102"/>
      <c r="C131" s="23"/>
      <c r="D131" s="269"/>
      <c r="E131" s="119"/>
      <c r="F131" s="119"/>
      <c r="G131" s="119"/>
      <c r="H131" s="305" t="s">
        <v>442</v>
      </c>
      <c r="I131" s="104"/>
      <c r="J131" s="105"/>
      <c r="K131" s="105"/>
      <c r="L131" s="106" t="str">
        <f>IF(I131&lt;&gt;0,((VLOOKUP(I131,'[1]1. Standard_Cost'!$B$4:$D$11,2)+VLOOKUP(I131,'[1]1. Standard_Cost'!$B$4:$D$11,3))*J131*K131),"0")</f>
        <v>0</v>
      </c>
      <c r="M131" s="106">
        <f>L131*'[1]1. Standard_Cost'!$F$4</f>
        <v>0</v>
      </c>
      <c r="N131" s="107"/>
      <c r="O131" s="107"/>
      <c r="P131" s="107"/>
      <c r="Q131" s="107"/>
      <c r="R131" s="108">
        <f>'[1]1. Standard_Cost'!$B$15*N131*P131</f>
        <v>0</v>
      </c>
      <c r="S131" s="108">
        <f>N131*O131*P131*'[1]1. Standard_Cost'!$C$15</f>
        <v>0</v>
      </c>
      <c r="T131" s="108">
        <f>N131*P131*Q131*'[1]1. Standard_Cost'!$D$15</f>
        <v>0</v>
      </c>
      <c r="U131" s="108">
        <f>N131*O131*'[1]1. Standard_Cost'!$E$15</f>
        <v>0</v>
      </c>
      <c r="V131" s="107"/>
      <c r="W131" s="107"/>
      <c r="X131" s="107"/>
      <c r="Y131" s="108">
        <f>+V131*((X131*'[1]1. Standard_Cost'!$B$19)+(W131*X131*'[1]1. Standard_Cost'!$C$19))</f>
        <v>0</v>
      </c>
      <c r="Z131" s="107"/>
      <c r="AA131" s="107"/>
      <c r="AB131" s="108">
        <f>+Z131*'[1]1. Standard_Cost'!$B$23+AA131*'[1]1. Standard_Cost'!$C$23</f>
        <v>0</v>
      </c>
      <c r="AC131" s="109"/>
      <c r="AD131" s="110"/>
      <c r="AE131" s="108">
        <f>SUM(AD131,AC131,AB131,Y131,U131,T131,S131,R131)*'[1]1. Standard_Cost'!$B$31</f>
        <v>0</v>
      </c>
      <c r="AF131" s="108">
        <f t="shared" si="164"/>
        <v>0</v>
      </c>
      <c r="AG131" s="107"/>
      <c r="AH131" s="107"/>
      <c r="AI131" s="107"/>
      <c r="AJ131" s="111"/>
      <c r="AK131" s="111"/>
      <c r="AL131" s="111"/>
      <c r="AM131" s="108">
        <f>AG131*'1. Standard_Cost'!$B$27+'Incremental_Cost Year 1'!AH131*'1. Standard_Cost'!$C$27+'Incremental_Cost Year 1'!AI131*'1. Standard_Cost'!$D$27+'Incremental_Cost Year 1'!AJ131+'Incremental_Cost Year 1'!AL131+AK131</f>
        <v>0</v>
      </c>
      <c r="AN131" s="108">
        <f>AM131*'1. Standard_Cost'!$C$31</f>
        <v>0</v>
      </c>
      <c r="AO131" s="125" t="s">
        <v>656</v>
      </c>
      <c r="AQ131" s="14">
        <f t="shared" si="165"/>
        <v>0</v>
      </c>
      <c r="AR131" s="14">
        <f t="shared" si="166"/>
        <v>0</v>
      </c>
      <c r="AS131" s="14">
        <f t="shared" si="167"/>
        <v>0</v>
      </c>
      <c r="AT131" s="14">
        <f t="shared" si="175"/>
        <v>0</v>
      </c>
      <c r="AU131" s="15"/>
      <c r="AV131" s="15"/>
      <c r="AW131" s="15"/>
      <c r="AX131" s="15"/>
      <c r="AY131" s="15"/>
      <c r="AZ131" s="15"/>
      <c r="BA131" s="15"/>
      <c r="BB131" s="16">
        <f t="shared" si="168"/>
        <v>0</v>
      </c>
    </row>
    <row r="132" spans="1:54" ht="156" outlineLevel="2">
      <c r="A132" s="98"/>
      <c r="B132" s="102"/>
      <c r="C132" s="23"/>
      <c r="D132" s="119"/>
      <c r="E132" s="119"/>
      <c r="F132" s="174"/>
      <c r="G132" s="174"/>
      <c r="H132" s="302" t="s">
        <v>476</v>
      </c>
      <c r="I132" s="104" t="s">
        <v>4</v>
      </c>
      <c r="J132" s="105">
        <v>1</v>
      </c>
      <c r="K132" s="105">
        <v>2</v>
      </c>
      <c r="L132" s="106">
        <f>IF(I132&lt;&gt;0,((VLOOKUP(I132,'1. Standard_Cost'!$B$4:$D$11,2)+VLOOKUP(I132,'1. Standard_Cost'!$B$4:$D$11,3))*J132*K132),"0")</f>
        <v>161500</v>
      </c>
      <c r="M132" s="106">
        <f>L132*'1. Standard_Cost'!$F$4</f>
        <v>26970.5</v>
      </c>
      <c r="N132" s="107"/>
      <c r="O132" s="107"/>
      <c r="P132" s="107"/>
      <c r="Q132" s="107"/>
      <c r="R132" s="108">
        <f>'1. Standard_Cost'!$B$15*N132*P132</f>
        <v>0</v>
      </c>
      <c r="S132" s="108">
        <f>N132*O132*P132*'1. Standard_Cost'!$C$15</f>
        <v>0</v>
      </c>
      <c r="T132" s="108">
        <f>N132*P132*Q132*'1. Standard_Cost'!$D$15</f>
        <v>0</v>
      </c>
      <c r="U132" s="108">
        <f>N132*O132*'1. Standard_Cost'!$E$15</f>
        <v>0</v>
      </c>
      <c r="V132" s="107"/>
      <c r="W132" s="107"/>
      <c r="X132" s="107"/>
      <c r="Y132" s="108">
        <f>+V132*((X132*'1. Standard_Cost'!$B$19)+(W132*X132*'1. Standard_Cost'!$C$19))</f>
        <v>0</v>
      </c>
      <c r="Z132" s="107"/>
      <c r="AA132" s="107"/>
      <c r="AB132" s="108">
        <f>+Z132*'1. Standard_Cost'!$B$23+AA132*'1. Standard_Cost'!$C$23</f>
        <v>0</v>
      </c>
      <c r="AC132" s="109"/>
      <c r="AD132" s="110"/>
      <c r="AE132" s="108">
        <f>SUM(AD132,AC132,AB132,Y132,U132,T132,S132,R132)*'1. Standard_Cost'!$B$31</f>
        <v>0</v>
      </c>
      <c r="AF132" s="108">
        <f t="shared" si="164"/>
        <v>0</v>
      </c>
      <c r="AG132" s="107"/>
      <c r="AH132" s="107"/>
      <c r="AI132" s="107"/>
      <c r="AJ132" s="111"/>
      <c r="AK132" s="111"/>
      <c r="AL132" s="111"/>
      <c r="AM132" s="108">
        <f>AG132*'1. Standard_Cost'!$B$27+'Incremental_Cost Year 1'!AH132*'1. Standard_Cost'!$C$27+'Incremental_Cost Year 1'!AI132*'1. Standard_Cost'!$D$27+'Incremental_Cost Year 1'!AJ132+'Incremental_Cost Year 1'!AL132+AK132</f>
        <v>0</v>
      </c>
      <c r="AN132" s="108">
        <f>AM132*'1. Standard_Cost'!$C$31</f>
        <v>0</v>
      </c>
      <c r="AO132" s="125" t="s">
        <v>656</v>
      </c>
      <c r="AQ132" s="14">
        <f t="shared" si="165"/>
        <v>188470.5</v>
      </c>
      <c r="AR132" s="14">
        <f t="shared" si="166"/>
        <v>0</v>
      </c>
      <c r="AS132" s="14">
        <f t="shared" si="167"/>
        <v>0</v>
      </c>
      <c r="AT132" s="14">
        <f t="shared" si="175"/>
        <v>188470.5</v>
      </c>
      <c r="AU132" s="15">
        <v>188470.5</v>
      </c>
      <c r="AV132" s="15"/>
      <c r="AW132" s="15"/>
      <c r="AX132" s="15"/>
      <c r="AY132" s="15"/>
      <c r="AZ132" s="15"/>
      <c r="BA132" s="15"/>
      <c r="BB132" s="16">
        <f t="shared" si="168"/>
        <v>0</v>
      </c>
    </row>
    <row r="133" spans="1:54" ht="46.8" outlineLevel="2">
      <c r="A133" s="98"/>
      <c r="B133" s="102"/>
      <c r="C133" s="23"/>
      <c r="D133" s="119"/>
      <c r="E133" s="119"/>
      <c r="F133" s="174"/>
      <c r="G133" s="174"/>
      <c r="H133" s="302" t="s">
        <v>477</v>
      </c>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64"/>
        <v>0</v>
      </c>
      <c r="AG133" s="107"/>
      <c r="AH133" s="107"/>
      <c r="AI133" s="107"/>
      <c r="AJ133" s="111"/>
      <c r="AK133" s="111"/>
      <c r="AL133" s="111"/>
      <c r="AM133" s="108">
        <f>AG133*'1. Standard_Cost'!$B$27+'Incremental_Cost Year 1'!AH133*'1. Standard_Cost'!$C$27+'Incremental_Cost Year 1'!AI133*'1. Standard_Cost'!$D$27+'Incremental_Cost Year 1'!AJ133+'Incremental_Cost Year 1'!AL133+AK133</f>
        <v>0</v>
      </c>
      <c r="AN133" s="108">
        <f>AM133*'1. Standard_Cost'!$C$31</f>
        <v>0</v>
      </c>
      <c r="AO133" s="125" t="s">
        <v>364</v>
      </c>
      <c r="AQ133" s="14">
        <f t="shared" si="165"/>
        <v>0</v>
      </c>
      <c r="AR133" s="14">
        <f t="shared" si="166"/>
        <v>0</v>
      </c>
      <c r="AS133" s="14">
        <f t="shared" si="167"/>
        <v>0</v>
      </c>
      <c r="AT133" s="14">
        <f t="shared" si="175"/>
        <v>0</v>
      </c>
      <c r="AU133" s="15"/>
      <c r="AV133" s="15"/>
      <c r="AW133" s="15"/>
      <c r="AX133" s="15"/>
      <c r="AY133" s="15"/>
      <c r="AZ133" s="15"/>
      <c r="BA133" s="15"/>
      <c r="BB133" s="16">
        <f t="shared" si="168"/>
        <v>0</v>
      </c>
    </row>
    <row r="134" spans="1:54" ht="62.4" outlineLevel="2">
      <c r="A134" s="98"/>
      <c r="B134" s="102"/>
      <c r="C134" s="23"/>
      <c r="D134" s="119"/>
      <c r="E134" s="119"/>
      <c r="F134" s="174"/>
      <c r="G134" s="174"/>
      <c r="H134" s="302" t="s">
        <v>478</v>
      </c>
      <c r="I134" s="104"/>
      <c r="J134" s="105"/>
      <c r="K134" s="105"/>
      <c r="L134" s="106" t="str">
        <f>IF(I134&lt;&gt;0,((VLOOKUP(I134,'1. Standard_Cost'!$B$4:$D$11,2)+VLOOKUP(I134,'1. Standard_Cost'!$B$4:$D$11,3))*J134*K134),"0")</f>
        <v>0</v>
      </c>
      <c r="M134" s="106">
        <f>L134*'1. Standard_Cost'!$F$4</f>
        <v>0</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64"/>
        <v>0</v>
      </c>
      <c r="AG134" s="107"/>
      <c r="AH134" s="107"/>
      <c r="AI134" s="107"/>
      <c r="AJ134" s="111"/>
      <c r="AK134" s="111"/>
      <c r="AL134" s="111"/>
      <c r="AM134" s="108">
        <f>AG134*'1. Standard_Cost'!$B$27+'Incremental_Cost Year 2'!AH177*'1. Standard_Cost'!$C$27+'Incremental_Cost Year 2'!AI177*'1. Standard_Cost'!$D$27+'Incremental_Cost Year 2'!AJ177+'Incremental_Cost Year 2'!AL177+AK134</f>
        <v>0</v>
      </c>
      <c r="AN134" s="108">
        <f>AM134*'1. Standard_Cost'!$C$31</f>
        <v>0</v>
      </c>
      <c r="AO134" s="125" t="s">
        <v>365</v>
      </c>
      <c r="AQ134" s="14">
        <f t="shared" si="165"/>
        <v>0</v>
      </c>
      <c r="AR134" s="14">
        <f t="shared" si="166"/>
        <v>0</v>
      </c>
      <c r="AS134" s="14">
        <f t="shared" si="167"/>
        <v>0</v>
      </c>
      <c r="AT134" s="14">
        <f t="shared" si="175"/>
        <v>0</v>
      </c>
      <c r="AU134" s="15"/>
      <c r="AV134" s="15"/>
      <c r="AW134" s="15"/>
      <c r="AX134" s="15"/>
      <c r="AY134" s="15"/>
      <c r="AZ134" s="15"/>
      <c r="BA134" s="15"/>
      <c r="BB134" s="16">
        <f t="shared" si="168"/>
        <v>0</v>
      </c>
    </row>
    <row r="135" spans="1:54" ht="55.2" outlineLevel="2">
      <c r="A135" s="98"/>
      <c r="B135" s="102"/>
      <c r="C135" s="23"/>
      <c r="D135" s="119"/>
      <c r="E135" s="119"/>
      <c r="F135" s="55"/>
      <c r="G135" s="54"/>
      <c r="H135" s="302"/>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107"/>
      <c r="AB135" s="108">
        <f>+Z135*'1. Standard_Cost'!$B$23+AA135*'1. Standard_Cost'!$C$23</f>
        <v>0</v>
      </c>
      <c r="AC135" s="109"/>
      <c r="AD135" s="110"/>
      <c r="AE135" s="108">
        <f>SUM(AD135,AC135,AB135,Y135,U135,T135,S135,R135)*'1. Standard_Cost'!$B$31</f>
        <v>0</v>
      </c>
      <c r="AF135" s="108">
        <f t="shared" si="164"/>
        <v>0</v>
      </c>
      <c r="AG135" s="107"/>
      <c r="AH135" s="107"/>
      <c r="AI135" s="107"/>
      <c r="AJ135" s="111"/>
      <c r="AK135" s="111"/>
      <c r="AL135" s="111"/>
      <c r="AM135" s="108">
        <f>AG135*'1. Standard_Cost'!$B$27+'Incremental_Cost Year 2'!AH178*'1. Standard_Cost'!$C$27+'Incremental_Cost Year 2'!AI178*'1. Standard_Cost'!$D$27+'Incremental_Cost Year 2'!AJ178+'Incremental_Cost Year 2'!AL178+AK135</f>
        <v>0</v>
      </c>
      <c r="AN135" s="108">
        <f>AM135*'1. Standard_Cost'!$C$31</f>
        <v>0</v>
      </c>
      <c r="AO135" s="125" t="s">
        <v>648</v>
      </c>
      <c r="AQ135" s="14">
        <f t="shared" si="165"/>
        <v>0</v>
      </c>
      <c r="AR135" s="14">
        <f t="shared" si="166"/>
        <v>0</v>
      </c>
      <c r="AS135" s="14">
        <f t="shared" si="167"/>
        <v>0</v>
      </c>
      <c r="AT135" s="14">
        <f t="shared" si="175"/>
        <v>0</v>
      </c>
      <c r="AU135" s="15"/>
      <c r="AV135" s="15"/>
      <c r="AW135" s="15"/>
      <c r="AX135" s="15"/>
      <c r="AY135" s="15"/>
      <c r="AZ135" s="15"/>
      <c r="BA135" s="15"/>
      <c r="BB135" s="16">
        <f t="shared" si="168"/>
        <v>0</v>
      </c>
    </row>
    <row r="136" spans="1:54" ht="138" outlineLevel="1">
      <c r="A136" s="98"/>
      <c r="B136" s="102"/>
      <c r="C136" s="23"/>
      <c r="D136" s="346" t="s">
        <v>634</v>
      </c>
      <c r="E136" s="56" t="s">
        <v>228</v>
      </c>
      <c r="F136" s="58">
        <v>2021</v>
      </c>
      <c r="G136" s="59">
        <v>2026</v>
      </c>
      <c r="H136" s="277" t="s">
        <v>227</v>
      </c>
      <c r="I136" s="112"/>
      <c r="J136" s="112"/>
      <c r="K136" s="112"/>
      <c r="L136" s="113">
        <f>SUM(L114:L135)</f>
        <v>3133100</v>
      </c>
      <c r="M136" s="113">
        <f>SUM(M114:M135)</f>
        <v>523227.7</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988000</v>
      </c>
      <c r="AC136" s="113">
        <f>SUM(AC114:AC135)</f>
        <v>2662500</v>
      </c>
      <c r="AD136" s="113">
        <f>SUM(AD114:AD135)</f>
        <v>0</v>
      </c>
      <c r="AE136" s="113">
        <f>SUM(AE114:AE135)</f>
        <v>486100</v>
      </c>
      <c r="AF136" s="113">
        <f>SUM(AF114:AF135)</f>
        <v>4136600</v>
      </c>
      <c r="AG136" s="112"/>
      <c r="AH136" s="112"/>
      <c r="AI136" s="112"/>
      <c r="AJ136" s="113">
        <f>SUM(AJ114:AJ135)</f>
        <v>0</v>
      </c>
      <c r="AK136" s="113">
        <f>SUM(AK114:AK135)</f>
        <v>0</v>
      </c>
      <c r="AL136" s="113">
        <f>SUM(AL114:AL135)</f>
        <v>0</v>
      </c>
      <c r="AM136" s="113">
        <f>SUM(AM114:AM135)</f>
        <v>0</v>
      </c>
      <c r="AN136" s="113">
        <f>SUM(AN114:AN135)</f>
        <v>0</v>
      </c>
      <c r="AO136" s="131"/>
      <c r="AP136" s="17"/>
      <c r="AQ136" s="113">
        <f t="shared" ref="AQ136:BB136" si="176">SUM(AQ114:AQ135)</f>
        <v>3656327.7</v>
      </c>
      <c r="AR136" s="113">
        <f t="shared" si="176"/>
        <v>4136600</v>
      </c>
      <c r="AS136" s="113">
        <f t="shared" si="176"/>
        <v>0</v>
      </c>
      <c r="AT136" s="113">
        <f t="shared" si="176"/>
        <v>7792927.7000000002</v>
      </c>
      <c r="AU136" s="113">
        <f t="shared" si="176"/>
        <v>2902445.7</v>
      </c>
      <c r="AV136" s="113">
        <f t="shared" si="176"/>
        <v>0</v>
      </c>
      <c r="AW136" s="113">
        <f t="shared" si="176"/>
        <v>0</v>
      </c>
      <c r="AX136" s="113">
        <f t="shared" si="176"/>
        <v>3002000</v>
      </c>
      <c r="AY136" s="113">
        <f t="shared" si="176"/>
        <v>0</v>
      </c>
      <c r="AZ136" s="113">
        <f t="shared" si="176"/>
        <v>600000</v>
      </c>
      <c r="BA136" s="113">
        <f t="shared" si="176"/>
        <v>0</v>
      </c>
      <c r="BB136" s="113">
        <f t="shared" si="176"/>
        <v>-1288482</v>
      </c>
    </row>
    <row r="137" spans="1:54" ht="78" outlineLevel="2">
      <c r="A137" s="98"/>
      <c r="B137" s="102"/>
      <c r="C137" s="23"/>
      <c r="D137" s="119"/>
      <c r="E137" s="119"/>
      <c r="F137" s="174"/>
      <c r="G137" s="11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v>5400000</v>
      </c>
      <c r="AD137" s="110"/>
      <c r="AE137" s="108"/>
      <c r="AF137" s="108">
        <f t="shared" ref="AF137:AF138" si="177">SUM(AE137,AD137,AC137,AB137,Y137,U137,T137,S137,R137)</f>
        <v>5400000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649</v>
      </c>
      <c r="AQ137" s="14">
        <f t="shared" ref="AQ137:AQ138" si="178">L137+M137</f>
        <v>0</v>
      </c>
      <c r="AR137" s="14">
        <f t="shared" ref="AR137:AR138" si="179">AF137</f>
        <v>5400000</v>
      </c>
      <c r="AS137" s="14">
        <f t="shared" ref="AS137:AS138" si="180">AM137+AN137</f>
        <v>0</v>
      </c>
      <c r="AT137" s="14">
        <f t="shared" ref="AT137:AT138" si="181">SUM(AQ137,AR137,AS137)</f>
        <v>5400000</v>
      </c>
      <c r="AU137" s="15"/>
      <c r="AV137" s="15"/>
      <c r="AW137" s="15"/>
      <c r="AX137" s="15">
        <v>5400000</v>
      </c>
      <c r="AY137" s="15"/>
      <c r="AZ137" s="15"/>
      <c r="BA137" s="15"/>
      <c r="BB137" s="16">
        <f t="shared" ref="BB137:BB138" si="182">SUM(AU137:BA137)-AT137</f>
        <v>0</v>
      </c>
    </row>
    <row r="138" spans="1:54" ht="62.4" outlineLevel="2">
      <c r="A138" s="98"/>
      <c r="B138" s="102"/>
      <c r="C138" s="23"/>
      <c r="D138" s="119"/>
      <c r="E138" s="11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v>200000</v>
      </c>
      <c r="AD138" s="110"/>
      <c r="AE138" s="108"/>
      <c r="AF138" s="108">
        <f t="shared" si="177"/>
        <v>200000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692</v>
      </c>
      <c r="AQ138" s="14">
        <f t="shared" si="178"/>
        <v>0</v>
      </c>
      <c r="AR138" s="14">
        <f t="shared" si="179"/>
        <v>200000</v>
      </c>
      <c r="AS138" s="14">
        <f t="shared" si="180"/>
        <v>0</v>
      </c>
      <c r="AT138" s="14">
        <f t="shared" si="181"/>
        <v>200000</v>
      </c>
      <c r="AU138" s="15"/>
      <c r="AV138" s="15"/>
      <c r="AW138" s="15"/>
      <c r="AX138" s="15">
        <v>200000</v>
      </c>
      <c r="AY138" s="15"/>
      <c r="AZ138" s="15"/>
      <c r="BA138" s="15"/>
      <c r="BB138" s="16">
        <f t="shared" si="182"/>
        <v>0</v>
      </c>
    </row>
    <row r="139" spans="1:54" ht="63.6" customHeight="1" outlineLevel="1">
      <c r="A139" s="98"/>
      <c r="B139" s="102"/>
      <c r="C139" s="23"/>
      <c r="D139" s="56" t="s">
        <v>635</v>
      </c>
      <c r="E139" s="56" t="s">
        <v>231</v>
      </c>
      <c r="F139" s="58">
        <v>2022</v>
      </c>
      <c r="G139" s="59">
        <v>2023</v>
      </c>
      <c r="H139" s="277" t="s">
        <v>230</v>
      </c>
      <c r="I139" s="112"/>
      <c r="J139" s="112"/>
      <c r="K139" s="112"/>
      <c r="L139" s="113">
        <f>SUM(L137:L138)</f>
        <v>0</v>
      </c>
      <c r="M139" s="113">
        <f>SUM(M137:M138)</f>
        <v>0</v>
      </c>
      <c r="N139" s="112"/>
      <c r="O139" s="112"/>
      <c r="P139" s="112"/>
      <c r="Q139" s="112"/>
      <c r="R139" s="113">
        <f t="shared" ref="R139:U139" si="183">SUM(R137:R138)</f>
        <v>0</v>
      </c>
      <c r="S139" s="113">
        <f t="shared" si="183"/>
        <v>0</v>
      </c>
      <c r="T139" s="113">
        <f t="shared" si="183"/>
        <v>0</v>
      </c>
      <c r="U139" s="113">
        <f t="shared" si="183"/>
        <v>0</v>
      </c>
      <c r="V139" s="112"/>
      <c r="W139" s="112"/>
      <c r="X139" s="112"/>
      <c r="Y139" s="113">
        <f>SUM(Y137:Y138)</f>
        <v>0</v>
      </c>
      <c r="Z139" s="112"/>
      <c r="AA139" s="112"/>
      <c r="AB139" s="113">
        <f t="shared" ref="AB139:AF139" si="184">SUM(AB137:AB138)</f>
        <v>0</v>
      </c>
      <c r="AC139" s="113">
        <f t="shared" si="184"/>
        <v>5600000</v>
      </c>
      <c r="AD139" s="113">
        <f t="shared" si="184"/>
        <v>0</v>
      </c>
      <c r="AE139" s="113">
        <f t="shared" si="184"/>
        <v>0</v>
      </c>
      <c r="AF139" s="113">
        <f t="shared" si="184"/>
        <v>5600000</v>
      </c>
      <c r="AG139" s="112"/>
      <c r="AH139" s="112"/>
      <c r="AI139" s="112"/>
      <c r="AJ139" s="113">
        <f t="shared" ref="AJ139:AN139" si="185">SUM(AJ137:AJ138)</f>
        <v>0</v>
      </c>
      <c r="AK139" s="113">
        <f t="shared" si="185"/>
        <v>0</v>
      </c>
      <c r="AL139" s="113">
        <f t="shared" si="185"/>
        <v>0</v>
      </c>
      <c r="AM139" s="113">
        <f t="shared" si="185"/>
        <v>0</v>
      </c>
      <c r="AN139" s="113">
        <f t="shared" si="185"/>
        <v>0</v>
      </c>
      <c r="AO139" s="131"/>
      <c r="AP139" s="17"/>
      <c r="AQ139" s="113">
        <f t="shared" ref="AQ139:BB139" si="186">SUM(AQ137:AQ138)</f>
        <v>0</v>
      </c>
      <c r="AR139" s="113">
        <f t="shared" si="186"/>
        <v>5600000</v>
      </c>
      <c r="AS139" s="113">
        <f t="shared" si="186"/>
        <v>0</v>
      </c>
      <c r="AT139" s="113">
        <f t="shared" si="186"/>
        <v>5600000</v>
      </c>
      <c r="AU139" s="113">
        <f t="shared" si="186"/>
        <v>0</v>
      </c>
      <c r="AV139" s="113">
        <f t="shared" si="186"/>
        <v>0</v>
      </c>
      <c r="AW139" s="113">
        <f t="shared" si="186"/>
        <v>0</v>
      </c>
      <c r="AX139" s="113">
        <f t="shared" si="186"/>
        <v>5600000</v>
      </c>
      <c r="AY139" s="113">
        <f t="shared" si="186"/>
        <v>0</v>
      </c>
      <c r="AZ139" s="113">
        <f t="shared" si="186"/>
        <v>0</v>
      </c>
      <c r="BA139" s="113">
        <f t="shared" si="186"/>
        <v>0</v>
      </c>
      <c r="BB139" s="113">
        <f t="shared" si="186"/>
        <v>0</v>
      </c>
    </row>
    <row r="140" spans="1:54" ht="93.6" outlineLevel="2">
      <c r="A140" s="98"/>
      <c r="B140" s="102"/>
      <c r="C140" s="23"/>
      <c r="D140" s="119"/>
      <c r="E140" s="119"/>
      <c r="F140" s="119"/>
      <c r="G140" s="119"/>
      <c r="H140" s="302" t="s">
        <v>481</v>
      </c>
      <c r="I140" s="104"/>
      <c r="J140" s="105"/>
      <c r="K140" s="105"/>
      <c r="L140" s="106" t="str">
        <f>IF(I140&lt;&gt;0,((VLOOKUP(I140,'1. Standard_Cost'!$B$4:$D$11,2)+VLOOKUP(I140,'1. Standard_Cost'!$B$4:$D$11,3))*J140*K140),"0")</f>
        <v>0</v>
      </c>
      <c r="M140" s="106">
        <f>L140*'1. Standard_Cost'!$F$4</f>
        <v>0</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c r="AB140" s="108">
        <f>+Z140*'1. Standard_Cost'!$B$23+AA140*'1. Standard_Cost'!$C$23</f>
        <v>0</v>
      </c>
      <c r="AC140" s="109"/>
      <c r="AD140" s="110"/>
      <c r="AE140" s="108">
        <f>SUM(AD140,AC140,AB140,Y140,U140,T140,S140,R140)*'1. Standard_Cost'!$B$31</f>
        <v>0</v>
      </c>
      <c r="AF140" s="108">
        <f t="shared" ref="AF140:AF141" si="187">SUM(AE140,AD140,AC140,AB140,Y140,U140,T140,S140,R140)</f>
        <v>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693</v>
      </c>
      <c r="AQ140" s="14">
        <f t="shared" ref="AQ140:AQ141" si="188">L140+M140</f>
        <v>0</v>
      </c>
      <c r="AR140" s="14">
        <f t="shared" ref="AR140:AR141" si="189">AF140</f>
        <v>0</v>
      </c>
      <c r="AS140" s="14">
        <f t="shared" ref="AS140:AS141" si="190">AM140+AN140</f>
        <v>0</v>
      </c>
      <c r="AT140" s="14">
        <f t="shared" ref="AT140:AT141" si="191">SUM(AQ140,AR140,AS140)</f>
        <v>0</v>
      </c>
      <c r="AU140" s="15"/>
      <c r="AV140" s="15"/>
      <c r="AW140" s="15"/>
      <c r="AX140" s="15"/>
      <c r="AY140" s="15"/>
      <c r="AZ140" s="15"/>
      <c r="BA140" s="15"/>
      <c r="BB140" s="16">
        <f t="shared" ref="BB140:BB141" si="192">SUM(AU140:BA140)-AT140</f>
        <v>0</v>
      </c>
    </row>
    <row r="141" spans="1:54" ht="109.2" outlineLevel="2">
      <c r="A141" s="98"/>
      <c r="B141" s="102"/>
      <c r="C141" s="23"/>
      <c r="D141" s="119"/>
      <c r="E141" s="119"/>
      <c r="F141" s="172"/>
      <c r="G141" s="173"/>
      <c r="H141" s="302" t="s">
        <v>482</v>
      </c>
      <c r="I141" s="104"/>
      <c r="J141" s="105"/>
      <c r="K141" s="105"/>
      <c r="L141" s="106" t="str">
        <f>IF(I141&lt;&gt;0,((VLOOKUP(I141,'1. Standard_Cost'!$B$4:$D$11,2)+VLOOKUP(I141,'1. Standard_Cost'!$B$4:$D$11,3))*J141*K141),"0")</f>
        <v>0</v>
      </c>
      <c r="M141" s="106">
        <f>L141*'1. Standard_Cost'!$F$4</f>
        <v>0</v>
      </c>
      <c r="N141" s="107"/>
      <c r="O141" s="107"/>
      <c r="P141" s="107"/>
      <c r="Q141" s="107"/>
      <c r="R141" s="108">
        <f>'1. Standard_Cost'!$B$15*N141*P141</f>
        <v>0</v>
      </c>
      <c r="S141" s="108">
        <f>N141*O141*P141*'1. Standard_Cost'!$C$15</f>
        <v>0</v>
      </c>
      <c r="T141" s="108">
        <f>N141*P141*Q141*'1. Standard_Cost'!$D$15</f>
        <v>0</v>
      </c>
      <c r="U141" s="108">
        <f>N141*O141*'1. Standard_Cost'!$E$15</f>
        <v>0</v>
      </c>
      <c r="V141" s="107"/>
      <c r="W141" s="107"/>
      <c r="X141" s="107"/>
      <c r="Y141" s="108">
        <f>+V141*((X141*'1. Standard_Cost'!$B$19)+(W141*X141*'1. Standard_Cost'!$C$19))</f>
        <v>0</v>
      </c>
      <c r="Z141" s="107"/>
      <c r="AA141" s="107"/>
      <c r="AB141" s="108">
        <f>+Z141*'1. Standard_Cost'!$B$23+AA141*'1. Standard_Cost'!$C$23</f>
        <v>0</v>
      </c>
      <c r="AC141" s="109"/>
      <c r="AD141" s="110"/>
      <c r="AE141" s="108">
        <f>SUM(AD141,AC141,AB141,Y141,U141,T141,S141,R141)*'1. Standard_Cost'!$B$31</f>
        <v>0</v>
      </c>
      <c r="AF141" s="108">
        <f t="shared" si="187"/>
        <v>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88"/>
        <v>0</v>
      </c>
      <c r="AR141" s="14">
        <f t="shared" si="189"/>
        <v>0</v>
      </c>
      <c r="AS141" s="14">
        <f t="shared" si="190"/>
        <v>0</v>
      </c>
      <c r="AT141" s="14">
        <f t="shared" si="191"/>
        <v>0</v>
      </c>
      <c r="AU141" s="15"/>
      <c r="AV141" s="15"/>
      <c r="AW141" s="15"/>
      <c r="AX141" s="15"/>
      <c r="AY141" s="15"/>
      <c r="AZ141" s="15"/>
      <c r="BA141" s="15"/>
      <c r="BB141" s="16">
        <f t="shared" si="192"/>
        <v>0</v>
      </c>
    </row>
    <row r="142" spans="1:54" ht="28.5" customHeight="1" outlineLevel="1">
      <c r="A142" s="98"/>
      <c r="B142" s="102"/>
      <c r="C142" s="23"/>
      <c r="D142" s="56" t="s">
        <v>636</v>
      </c>
      <c r="E142" s="56" t="s">
        <v>232</v>
      </c>
      <c r="F142" s="58">
        <v>2022</v>
      </c>
      <c r="G142" s="59">
        <v>2023</v>
      </c>
      <c r="H142" s="277" t="s">
        <v>230</v>
      </c>
      <c r="I142" s="112"/>
      <c r="J142" s="112"/>
      <c r="K142" s="112"/>
      <c r="L142" s="113">
        <f>SUM(L140:L141)</f>
        <v>0</v>
      </c>
      <c r="M142" s="113">
        <f>SUM(M140:M141)</f>
        <v>0</v>
      </c>
      <c r="N142" s="112"/>
      <c r="O142" s="112"/>
      <c r="P142" s="112"/>
      <c r="Q142" s="112"/>
      <c r="R142" s="113">
        <f t="shared" ref="R142" si="193">SUM(R140:R141)</f>
        <v>0</v>
      </c>
      <c r="S142" s="113">
        <f t="shared" ref="S142" si="194">SUM(S140:S141)</f>
        <v>0</v>
      </c>
      <c r="T142" s="113">
        <f t="shared" ref="T142" si="195">SUM(T140:T141)</f>
        <v>0</v>
      </c>
      <c r="U142" s="113">
        <f t="shared" ref="U142" si="196">SUM(U140:U141)</f>
        <v>0</v>
      </c>
      <c r="V142" s="112"/>
      <c r="W142" s="112"/>
      <c r="X142" s="112"/>
      <c r="Y142" s="113">
        <f>SUM(Y140:Y141)</f>
        <v>0</v>
      </c>
      <c r="Z142" s="112"/>
      <c r="AA142" s="112"/>
      <c r="AB142" s="113">
        <f t="shared" ref="AB142" si="197">SUM(AB140:AB141)</f>
        <v>0</v>
      </c>
      <c r="AC142" s="113">
        <f t="shared" ref="AC142" si="198">SUM(AC140:AC141)</f>
        <v>0</v>
      </c>
      <c r="AD142" s="113">
        <f t="shared" ref="AD142" si="199">SUM(AD140:AD141)</f>
        <v>0</v>
      </c>
      <c r="AE142" s="113">
        <f t="shared" ref="AE142" si="200">SUM(AE140:AE141)</f>
        <v>0</v>
      </c>
      <c r="AF142" s="113">
        <f t="shared" ref="AF142" si="201">SUM(AF140:AF141)</f>
        <v>0</v>
      </c>
      <c r="AG142" s="112"/>
      <c r="AH142" s="112"/>
      <c r="AI142" s="112"/>
      <c r="AJ142" s="113">
        <f t="shared" ref="AJ142" si="202">SUM(AJ140:AJ141)</f>
        <v>0</v>
      </c>
      <c r="AK142" s="113">
        <f t="shared" ref="AK142" si="203">SUM(AK140:AK141)</f>
        <v>0</v>
      </c>
      <c r="AL142" s="113">
        <f t="shared" ref="AL142" si="204">SUM(AL140:AL141)</f>
        <v>0</v>
      </c>
      <c r="AM142" s="113">
        <f t="shared" ref="AM142" si="205">SUM(AM140:AM141)</f>
        <v>0</v>
      </c>
      <c r="AN142" s="113">
        <f t="shared" ref="AN142" si="206">SUM(AN140:AN141)</f>
        <v>0</v>
      </c>
      <c r="AO142" s="131"/>
      <c r="AP142" s="17"/>
      <c r="AQ142" s="113">
        <f t="shared" ref="AQ142" si="207">SUM(AQ140:AQ141)</f>
        <v>0</v>
      </c>
      <c r="AR142" s="113">
        <f t="shared" ref="AR142" si="208">SUM(AR140:AR141)</f>
        <v>0</v>
      </c>
      <c r="AS142" s="113">
        <f t="shared" ref="AS142" si="209">SUM(AS140:AS141)</f>
        <v>0</v>
      </c>
      <c r="AT142" s="113">
        <f t="shared" ref="AT142" si="210">SUM(AT140:AT141)</f>
        <v>0</v>
      </c>
      <c r="AU142" s="113">
        <f t="shared" ref="AU142" si="211">SUM(AU140:AU141)</f>
        <v>0</v>
      </c>
      <c r="AV142" s="113">
        <f t="shared" ref="AV142" si="212">SUM(AV140:AV141)</f>
        <v>0</v>
      </c>
      <c r="AW142" s="113">
        <f t="shared" ref="AW142" si="213">SUM(AW140:AW141)</f>
        <v>0</v>
      </c>
      <c r="AX142" s="113">
        <f t="shared" ref="AX142" si="214">SUM(AX140:AX141)</f>
        <v>0</v>
      </c>
      <c r="AY142" s="113">
        <f t="shared" ref="AY142" si="215">SUM(AY140:AY141)</f>
        <v>0</v>
      </c>
      <c r="AZ142" s="113">
        <f t="shared" ref="AZ142" si="216">SUM(AZ140:AZ141)</f>
        <v>0</v>
      </c>
      <c r="BA142" s="113">
        <f t="shared" ref="BA142" si="217">SUM(BA140:BA141)</f>
        <v>0</v>
      </c>
      <c r="BB142" s="113">
        <f t="shared" ref="BB142" si="218">SUM(BB140:BB141)</f>
        <v>0</v>
      </c>
    </row>
    <row r="143" spans="1:54" s="24" customFormat="1">
      <c r="A143" s="114"/>
      <c r="B143" s="115"/>
      <c r="C143" s="314" t="s">
        <v>233</v>
      </c>
      <c r="D143" s="314"/>
      <c r="E143" s="315"/>
      <c r="F143" s="44"/>
      <c r="G143" s="44"/>
      <c r="H143" s="278" t="s">
        <v>188</v>
      </c>
      <c r="I143" s="116"/>
      <c r="J143" s="116"/>
      <c r="K143" s="116"/>
      <c r="L143" s="117">
        <f>SUM(L168,L178)</f>
        <v>11216160</v>
      </c>
      <c r="M143" s="117">
        <f>SUM(M168,M178)</f>
        <v>1873098.7200000002</v>
      </c>
      <c r="N143" s="116"/>
      <c r="O143" s="116"/>
      <c r="P143" s="116"/>
      <c r="Q143" s="116"/>
      <c r="R143" s="117">
        <f t="shared" ref="R143:U143" si="219">SUM(R168,R178)</f>
        <v>100000</v>
      </c>
      <c r="S143" s="117">
        <f t="shared" si="219"/>
        <v>300000</v>
      </c>
      <c r="T143" s="117">
        <f t="shared" si="219"/>
        <v>125000</v>
      </c>
      <c r="U143" s="117">
        <f t="shared" si="219"/>
        <v>160000</v>
      </c>
      <c r="V143" s="116"/>
      <c r="W143" s="116"/>
      <c r="X143" s="116"/>
      <c r="Y143" s="117">
        <f>SUM(Y168,Y178)</f>
        <v>0</v>
      </c>
      <c r="Z143" s="117"/>
      <c r="AA143" s="117"/>
      <c r="AB143" s="117">
        <f t="shared" ref="AB143:AF143" si="220">SUM(AB168,AB178)</f>
        <v>2460000</v>
      </c>
      <c r="AC143" s="117">
        <f t="shared" si="220"/>
        <v>71978000</v>
      </c>
      <c r="AD143" s="117">
        <f t="shared" si="220"/>
        <v>0</v>
      </c>
      <c r="AE143" s="117">
        <f t="shared" si="220"/>
        <v>12999400</v>
      </c>
      <c r="AF143" s="117">
        <f t="shared" si="220"/>
        <v>88122400</v>
      </c>
      <c r="AG143" s="116"/>
      <c r="AH143" s="116"/>
      <c r="AI143" s="116"/>
      <c r="AJ143" s="117">
        <f t="shared" ref="AJ143:AN143" si="221">SUM(AJ168,AJ178)</f>
        <v>0</v>
      </c>
      <c r="AK143" s="117">
        <f t="shared" si="221"/>
        <v>0</v>
      </c>
      <c r="AL143" s="117">
        <f t="shared" si="221"/>
        <v>0</v>
      </c>
      <c r="AM143" s="117">
        <f t="shared" si="221"/>
        <v>0</v>
      </c>
      <c r="AN143" s="117">
        <f t="shared" si="221"/>
        <v>0</v>
      </c>
      <c r="AO143" s="132"/>
      <c r="AP143" s="25"/>
      <c r="AQ143" s="117">
        <f t="shared" ref="AQ143:BB143" si="222">SUM(AQ168,AQ178)</f>
        <v>13089258.719999999</v>
      </c>
      <c r="AR143" s="117">
        <f t="shared" si="222"/>
        <v>88122400</v>
      </c>
      <c r="AS143" s="117">
        <f t="shared" si="222"/>
        <v>0</v>
      </c>
      <c r="AT143" s="117">
        <f t="shared" si="222"/>
        <v>101211658.72000001</v>
      </c>
      <c r="AU143" s="117">
        <f t="shared" si="222"/>
        <v>14097606.449999999</v>
      </c>
      <c r="AV143" s="117">
        <f t="shared" si="222"/>
        <v>0</v>
      </c>
      <c r="AW143" s="117">
        <f t="shared" si="222"/>
        <v>0</v>
      </c>
      <c r="AX143" s="117">
        <f t="shared" si="222"/>
        <v>2335000</v>
      </c>
      <c r="AY143" s="117">
        <f t="shared" si="222"/>
        <v>0</v>
      </c>
      <c r="AZ143" s="117">
        <f t="shared" si="222"/>
        <v>14236000</v>
      </c>
      <c r="BA143" s="117">
        <f t="shared" si="222"/>
        <v>0</v>
      </c>
      <c r="BB143" s="117">
        <f t="shared" si="222"/>
        <v>-70543052.269999996</v>
      </c>
    </row>
    <row r="144" spans="1:54" ht="93.6" outlineLevel="2">
      <c r="A144" s="98"/>
      <c r="B144" s="102"/>
      <c r="C144" s="23"/>
      <c r="D144" s="103"/>
      <c r="E144" s="123"/>
      <c r="F144" s="53"/>
      <c r="G144" s="139"/>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223">SUM(AE144,AD144,AC144,AB144,Y144,U144,T144,S144,R144)</f>
        <v>1734000</v>
      </c>
      <c r="AG144" s="107"/>
      <c r="AH144" s="107"/>
      <c r="AI144" s="107"/>
      <c r="AJ144" s="111"/>
      <c r="AK144" s="111"/>
      <c r="AL144" s="111"/>
      <c r="AM144" s="108">
        <f>AG144*'1. Standard_Cost'!$B$27+'Incremental_Cost Year 1'!AH144*'1. Standard_Cost'!$C$27+'Incremental_Cost Year 1'!AI144*'1. Standard_Cost'!$D$27+'Incremental_Cost Year 1'!AJ144+'Incremental_Cost Year 1'!AL144+AK144</f>
        <v>0</v>
      </c>
      <c r="AN144" s="108">
        <f>AM144*'1. Standard_Cost'!$C$31</f>
        <v>0</v>
      </c>
      <c r="AO144" s="125" t="s">
        <v>370</v>
      </c>
      <c r="AQ144" s="14">
        <f t="shared" ref="AQ144:AQ167" si="224">L144+M144</f>
        <v>8028960</v>
      </c>
      <c r="AR144" s="14">
        <f t="shared" ref="AR144:AR167" si="225">AF144</f>
        <v>1734000</v>
      </c>
      <c r="AS144" s="14">
        <f t="shared" ref="AS144:AS167" si="226">AM144+AN144</f>
        <v>0</v>
      </c>
      <c r="AT144" s="14">
        <f>SUM(AQ144,AR144,AS144)</f>
        <v>9762960</v>
      </c>
      <c r="AU144" s="15">
        <v>9762960</v>
      </c>
      <c r="AV144" s="15"/>
      <c r="AW144" s="15"/>
      <c r="AX144" s="15"/>
      <c r="AY144" s="15"/>
      <c r="AZ144" s="15"/>
      <c r="BA144" s="15"/>
      <c r="BB144" s="16">
        <f t="shared" ref="BB144:BB167" si="227">SUM(AU144:BA144)-AT144</f>
        <v>0</v>
      </c>
    </row>
    <row r="145" spans="1:54" ht="21.6" customHeight="1" outlineLevel="2">
      <c r="A145" s="98"/>
      <c r="B145" s="102"/>
      <c r="C145" s="23"/>
      <c r="D145" s="119"/>
      <c r="E145" s="12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223"/>
        <v>0</v>
      </c>
      <c r="AG145" s="107"/>
      <c r="AH145" s="107"/>
      <c r="AI145" s="107"/>
      <c r="AJ145" s="111"/>
      <c r="AK145" s="111"/>
      <c r="AL145" s="111"/>
      <c r="AM145" s="108">
        <f>AG145*'1. Standard_Cost'!$B$27+'Incremental_Cost Year 1'!AH145*'1. Standard_Cost'!$C$27+'Incremental_Cost Year 1'!AI145*'1. Standard_Cost'!$D$27+'Incremental_Cost Year 1'!AJ145+'Incremental_Cost Year 1'!AL145+AK145</f>
        <v>0</v>
      </c>
      <c r="AN145" s="108">
        <f>AM145*'1. Standard_Cost'!$C$31</f>
        <v>0</v>
      </c>
      <c r="AO145" s="125"/>
      <c r="AQ145" s="14">
        <f t="shared" si="224"/>
        <v>621777.6</v>
      </c>
      <c r="AR145" s="14">
        <f t="shared" si="225"/>
        <v>0</v>
      </c>
      <c r="AS145" s="14">
        <f t="shared" si="226"/>
        <v>0</v>
      </c>
      <c r="AT145" s="14">
        <f>SUM(AQ145,AR145,AS145)</f>
        <v>621777.6</v>
      </c>
      <c r="AU145" s="15">
        <v>621777.6</v>
      </c>
      <c r="AV145" s="15"/>
      <c r="AW145" s="15"/>
      <c r="AX145" s="15"/>
      <c r="AY145" s="15"/>
      <c r="AZ145" s="15"/>
      <c r="BA145" s="15"/>
      <c r="BB145" s="16">
        <f t="shared" si="227"/>
        <v>0</v>
      </c>
    </row>
    <row r="146" spans="1:54" ht="19.95" customHeight="1" outlineLevel="2">
      <c r="A146" s="98"/>
      <c r="B146" s="102"/>
      <c r="C146" s="23"/>
      <c r="D146" s="119"/>
      <c r="E146" s="12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223"/>
        <v>0</v>
      </c>
      <c r="AG146" s="107"/>
      <c r="AH146" s="107"/>
      <c r="AI146" s="107"/>
      <c r="AJ146" s="111"/>
      <c r="AK146" s="111"/>
      <c r="AL146" s="111"/>
      <c r="AM146" s="108">
        <f>AG146*'1. Standard_Cost'!$B$27+'Incremental_Cost Year 1'!AH146*'1. Standard_Cost'!$C$27+'Incremental_Cost Year 1'!AI146*'1. Standard_Cost'!$D$27+'Incremental_Cost Year 1'!AJ146+'Incremental_Cost Year 1'!AL146+AK146</f>
        <v>0</v>
      </c>
      <c r="AN146" s="108">
        <f>AM146*'1. Standard_Cost'!$C$31</f>
        <v>0</v>
      </c>
      <c r="AO146" s="125"/>
      <c r="AQ146" s="14">
        <f t="shared" si="224"/>
        <v>1507764</v>
      </c>
      <c r="AR146" s="14">
        <f t="shared" si="225"/>
        <v>0</v>
      </c>
      <c r="AS146" s="14">
        <f t="shared" si="226"/>
        <v>0</v>
      </c>
      <c r="AT146" s="14">
        <f>SUM(AQ146,AR146,AS146)</f>
        <v>1507764</v>
      </c>
      <c r="AU146" s="15">
        <v>1507764</v>
      </c>
      <c r="AV146" s="15"/>
      <c r="AW146" s="15"/>
      <c r="AX146" s="15"/>
      <c r="AY146" s="15"/>
      <c r="AZ146" s="15"/>
      <c r="BA146" s="15"/>
      <c r="BB146" s="16">
        <f t="shared" si="227"/>
        <v>0</v>
      </c>
    </row>
    <row r="147" spans="1:54" ht="46.8" outlineLevel="2">
      <c r="A147" s="98"/>
      <c r="B147" s="102"/>
      <c r="C147" s="23"/>
      <c r="D147" s="119"/>
      <c r="E147" s="121"/>
      <c r="F147" s="54"/>
      <c r="G147" s="87"/>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ref="AF147:AF153" si="228">SUM(AE147,AD147,AC147,AB147,Y147,U147,T147,S147,R147)</f>
        <v>0</v>
      </c>
      <c r="AG147" s="107"/>
      <c r="AH147" s="107"/>
      <c r="AI147" s="107"/>
      <c r="AJ147" s="111"/>
      <c r="AK147" s="111"/>
      <c r="AL147" s="111"/>
      <c r="AM147" s="108">
        <f>AG147*'1. Standard_Cost'!$B$27+'Incremental_Cost Year 1'!AH147*'1. Standard_Cost'!$C$27+'Incremental_Cost Year 1'!AI147*'1. Standard_Cost'!$D$27+'Incremental_Cost Year 1'!AJ147+'Incremental_Cost Year 1'!AL147+AK147</f>
        <v>0</v>
      </c>
      <c r="AN147" s="108">
        <f>AM147*'1. Standard_Cost'!$C$31</f>
        <v>0</v>
      </c>
      <c r="AO147" s="125" t="s">
        <v>371</v>
      </c>
      <c r="AQ147" s="14">
        <f t="shared" ref="AQ147:AQ153" si="229">L147+M147</f>
        <v>0</v>
      </c>
      <c r="AR147" s="14">
        <f t="shared" ref="AR147:AR153" si="230">AF147</f>
        <v>0</v>
      </c>
      <c r="AS147" s="14">
        <f t="shared" ref="AS147:AS153" si="231">AM147+AN147</f>
        <v>0</v>
      </c>
      <c r="AT147" s="14">
        <f t="shared" ref="AT147:AT153" si="232">SUM(AQ147,AR147,AS147)</f>
        <v>0</v>
      </c>
      <c r="AU147" s="15"/>
      <c r="AV147" s="15"/>
      <c r="AW147" s="15"/>
      <c r="AX147" s="15"/>
      <c r="AY147" s="15"/>
      <c r="AZ147" s="15"/>
      <c r="BA147" s="15"/>
      <c r="BB147" s="16">
        <f t="shared" ref="BB147:BB153" si="233">SUM(AU147:BA147)-AT147</f>
        <v>0</v>
      </c>
    </row>
    <row r="148" spans="1:54" ht="124.2" customHeight="1" outlineLevel="2">
      <c r="A148" s="98"/>
      <c r="B148" s="102"/>
      <c r="C148" s="23"/>
      <c r="D148" s="119"/>
      <c r="E148" s="12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f>1000*6000+3936000</f>
        <v>9936000</v>
      </c>
      <c r="AD148" s="110"/>
      <c r="AE148" s="108">
        <v>0</v>
      </c>
      <c r="AF148" s="108">
        <f t="shared" si="228"/>
        <v>9936000</v>
      </c>
      <c r="AG148" s="107"/>
      <c r="AH148" s="107"/>
      <c r="AI148" s="107"/>
      <c r="AJ148" s="111"/>
      <c r="AK148" s="111"/>
      <c r="AL148" s="111"/>
      <c r="AM148" s="108">
        <f>AG148*'1. Standard_Cost'!$B$27+'Incremental_Cost Year 1'!AH148*'1. Standard_Cost'!$C$27+'Incremental_Cost Year 1'!AI148*'1. Standard_Cost'!$D$27+'Incremental_Cost Year 1'!AJ148+'Incremental_Cost Year 1'!AL148+AK148</f>
        <v>0</v>
      </c>
      <c r="AN148" s="108">
        <f>AM148*'1. Standard_Cost'!$C$31</f>
        <v>0</v>
      </c>
      <c r="AO148" s="125" t="s">
        <v>487</v>
      </c>
      <c r="AQ148" s="14">
        <f t="shared" si="229"/>
        <v>0</v>
      </c>
      <c r="AR148" s="14">
        <f t="shared" si="230"/>
        <v>9936000</v>
      </c>
      <c r="AS148" s="14">
        <f t="shared" si="231"/>
        <v>0</v>
      </c>
      <c r="AT148" s="14">
        <f t="shared" si="232"/>
        <v>9936000</v>
      </c>
      <c r="AU148" s="15"/>
      <c r="AV148" s="15"/>
      <c r="AW148" s="15"/>
      <c r="AX148" s="15"/>
      <c r="AY148" s="15"/>
      <c r="AZ148" s="15">
        <v>9936000</v>
      </c>
      <c r="BA148" s="15"/>
      <c r="BB148" s="16">
        <f t="shared" si="233"/>
        <v>0</v>
      </c>
    </row>
    <row r="149" spans="1:54" ht="93.6" outlineLevel="2">
      <c r="A149" s="98"/>
      <c r="B149" s="102"/>
      <c r="C149" s="23"/>
      <c r="D149" s="119"/>
      <c r="E149" s="121"/>
      <c r="F149" s="54"/>
      <c r="G149" s="87"/>
      <c r="H149" s="302" t="s">
        <v>492</v>
      </c>
      <c r="I149" s="104" t="s">
        <v>4</v>
      </c>
      <c r="J149" s="105">
        <v>2</v>
      </c>
      <c r="K149" s="105">
        <v>2</v>
      </c>
      <c r="L149" s="106">
        <f>IF(I149&lt;&gt;0,((VLOOKUP(I149,'1. Standard_Cost'!$B$4:$D$11,2)+VLOOKUP(I149,'1. Standard_Cost'!$B$4:$D$11,3))*J149*K149),"0")</f>
        <v>323000</v>
      </c>
      <c r="M149" s="106">
        <f>L149*'1. Standard_Cost'!$F$4</f>
        <v>53941</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v>10</v>
      </c>
      <c r="AB149" s="108">
        <f>+Z149*'1. Standard_Cost'!$B$23+AA149*'1. Standard_Cost'!$C$23</f>
        <v>190000</v>
      </c>
      <c r="AC149" s="109">
        <f>2*10*300</f>
        <v>6000</v>
      </c>
      <c r="AD149" s="110"/>
      <c r="AE149" s="108">
        <f>SUM(AD149,AC149,AB149,Y149,U149,T149,S149,R149)*'1. Standard_Cost'!$B$31</f>
        <v>39200</v>
      </c>
      <c r="AF149" s="108">
        <f t="shared" si="228"/>
        <v>235200</v>
      </c>
      <c r="AG149" s="107"/>
      <c r="AH149" s="107"/>
      <c r="AI149" s="107"/>
      <c r="AJ149" s="111"/>
      <c r="AK149" s="111"/>
      <c r="AL149" s="111"/>
      <c r="AM149" s="108">
        <f>AG149*'1. Standard_Cost'!$B$27+'Incremental_Cost Year 1'!AH149*'1. Standard_Cost'!$C$27+'Incremental_Cost Year 1'!AI149*'1. Standard_Cost'!$D$27+'Incremental_Cost Year 1'!AJ149+'Incremental_Cost Year 1'!AL149+AK149</f>
        <v>0</v>
      </c>
      <c r="AN149" s="108">
        <f>AM149*'1. Standard_Cost'!$C$31</f>
        <v>0</v>
      </c>
      <c r="AO149" s="125" t="s">
        <v>372</v>
      </c>
      <c r="AQ149" s="14">
        <f t="shared" si="229"/>
        <v>376941</v>
      </c>
      <c r="AR149" s="14">
        <f t="shared" si="230"/>
        <v>235200</v>
      </c>
      <c r="AS149" s="14">
        <f t="shared" si="231"/>
        <v>0</v>
      </c>
      <c r="AT149" s="14">
        <f t="shared" si="232"/>
        <v>612141</v>
      </c>
      <c r="AU149" s="15">
        <v>376941</v>
      </c>
      <c r="AV149" s="15"/>
      <c r="AW149" s="15"/>
      <c r="AX149" s="15"/>
      <c r="AY149" s="15"/>
      <c r="AZ149" s="15"/>
      <c r="BA149" s="15"/>
      <c r="BB149" s="16">
        <f t="shared" si="233"/>
        <v>-235200</v>
      </c>
    </row>
    <row r="150" spans="1:54" ht="124.8" outlineLevel="2">
      <c r="A150" s="98"/>
      <c r="B150" s="102"/>
      <c r="C150" s="23"/>
      <c r="D150" s="119"/>
      <c r="E150" s="121"/>
      <c r="F150" s="54"/>
      <c r="G150" s="87"/>
      <c r="H150" s="302" t="s">
        <v>493</v>
      </c>
      <c r="I150" s="104" t="s">
        <v>4</v>
      </c>
      <c r="J150" s="105">
        <v>2</v>
      </c>
      <c r="K150" s="105">
        <v>2</v>
      </c>
      <c r="L150" s="106">
        <f>IF(I150&lt;&gt;0,((VLOOKUP(I150,'1. Standard_Cost'!$B$4:$D$11,2)+VLOOKUP(I150,'1. Standard_Cost'!$B$4:$D$11,3))*J150*K150),"0")</f>
        <v>323000</v>
      </c>
      <c r="M150" s="106">
        <f>L150*'1. Standard_Cost'!$F$4</f>
        <v>53941</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v>5</v>
      </c>
      <c r="AB150" s="108">
        <f>+Z150*'1. Standard_Cost'!$B$23+AA150*'1. Standard_Cost'!$C$23</f>
        <v>95000</v>
      </c>
      <c r="AC150" s="109"/>
      <c r="AD150" s="110"/>
      <c r="AE150" s="108"/>
      <c r="AF150" s="108">
        <f t="shared" si="228"/>
        <v>95000</v>
      </c>
      <c r="AG150" s="107"/>
      <c r="AH150" s="107"/>
      <c r="AI150" s="107"/>
      <c r="AJ150" s="111"/>
      <c r="AK150" s="111"/>
      <c r="AL150" s="111"/>
      <c r="AM150" s="108">
        <f>AG150*'1. Standard_Cost'!$B$27+'Incremental_Cost Year 1'!AH150*'1. Standard_Cost'!$C$27+'Incremental_Cost Year 1'!AI150*'1. Standard_Cost'!$D$27+'Incremental_Cost Year 1'!AJ150+'Incremental_Cost Year 1'!AL150+AK150</f>
        <v>0</v>
      </c>
      <c r="AN150" s="108">
        <f>AM150*'1. Standard_Cost'!$C$31</f>
        <v>0</v>
      </c>
      <c r="AO150" s="125" t="s">
        <v>694</v>
      </c>
      <c r="AQ150" s="14">
        <f t="shared" si="229"/>
        <v>376941</v>
      </c>
      <c r="AR150" s="14">
        <f t="shared" si="230"/>
        <v>95000</v>
      </c>
      <c r="AS150" s="14">
        <f t="shared" si="231"/>
        <v>0</v>
      </c>
      <c r="AT150" s="14">
        <f t="shared" si="232"/>
        <v>471941</v>
      </c>
      <c r="AU150" s="15">
        <v>376941</v>
      </c>
      <c r="AV150" s="15"/>
      <c r="AW150" s="15"/>
      <c r="AX150" s="15">
        <v>95000</v>
      </c>
      <c r="AY150" s="15"/>
      <c r="AZ150" s="15"/>
      <c r="BA150" s="15"/>
      <c r="BB150" s="16">
        <f t="shared" si="233"/>
        <v>0</v>
      </c>
    </row>
    <row r="151" spans="1:54" ht="78" outlineLevel="2">
      <c r="A151" s="98"/>
      <c r="B151" s="102"/>
      <c r="C151" s="23"/>
      <c r="D151" s="119"/>
      <c r="E151" s="121"/>
      <c r="F151" s="54"/>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v>5</v>
      </c>
      <c r="AA151" s="107"/>
      <c r="AB151" s="108">
        <f>+Z151*'1. Standard_Cost'!$B$23+AA151*'1. Standard_Cost'!$C$23</f>
        <v>370000</v>
      </c>
      <c r="AC151" s="109"/>
      <c r="AD151" s="110"/>
      <c r="AE151" s="108">
        <f>SUM(AD151,AC151,AB151,Y151,U151,T151,S151,R151)*'1. Standard_Cost'!$B$31</f>
        <v>74000</v>
      </c>
      <c r="AF151" s="108">
        <f t="shared" si="228"/>
        <v>444000</v>
      </c>
      <c r="AG151" s="107"/>
      <c r="AH151" s="107"/>
      <c r="AI151" s="107"/>
      <c r="AJ151" s="111"/>
      <c r="AK151" s="111"/>
      <c r="AL151" s="111"/>
      <c r="AM151" s="108">
        <f>AG151*'1. Standard_Cost'!$B$27+'Incremental_Cost Year 1'!AH151*'1. Standard_Cost'!$C$27+'Incremental_Cost Year 1'!AI151*'1. Standard_Cost'!$D$27+'Incremental_Cost Year 1'!AJ151+'Incremental_Cost Year 1'!AL151+AK151</f>
        <v>0</v>
      </c>
      <c r="AN151" s="108">
        <f>AM151*'1. Standard_Cost'!$C$31</f>
        <v>0</v>
      </c>
      <c r="AO151" s="125" t="s">
        <v>695</v>
      </c>
      <c r="AQ151" s="14">
        <f t="shared" si="229"/>
        <v>0</v>
      </c>
      <c r="AR151" s="14">
        <f t="shared" si="230"/>
        <v>444000</v>
      </c>
      <c r="AS151" s="14">
        <f t="shared" si="231"/>
        <v>0</v>
      </c>
      <c r="AT151" s="14">
        <f t="shared" si="232"/>
        <v>444000</v>
      </c>
      <c r="AU151" s="15"/>
      <c r="AV151" s="15"/>
      <c r="AW151" s="15"/>
      <c r="AX151" s="15">
        <v>444000</v>
      </c>
      <c r="AY151" s="15"/>
      <c r="AZ151" s="15"/>
      <c r="BA151" s="15"/>
      <c r="BB151" s="16">
        <f t="shared" si="233"/>
        <v>0</v>
      </c>
    </row>
    <row r="152" spans="1:54" ht="41.4" customHeight="1" outlineLevel="2">
      <c r="A152" s="98"/>
      <c r="B152" s="102"/>
      <c r="C152" s="23"/>
      <c r="D152" s="119"/>
      <c r="E152" s="121"/>
      <c r="F152" s="161"/>
      <c r="G152" s="161"/>
      <c r="H152" s="303" t="s">
        <v>488</v>
      </c>
      <c r="I152" s="104" t="s">
        <v>4</v>
      </c>
      <c r="J152" s="105">
        <v>1</v>
      </c>
      <c r="K152" s="105">
        <v>3</v>
      </c>
      <c r="L152" s="106">
        <f>IF(I152&lt;&gt;0,((VLOOKUP(I152,'1. Standard_Cost'!$B$4:$D$11,2)+VLOOKUP(I152,'1. Standard_Cost'!$B$4:$D$11,3))*J152*K152),"0")</f>
        <v>242250</v>
      </c>
      <c r="M152" s="106">
        <f>L152*'1. Standard_Cost'!$F$4</f>
        <v>40455.75</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228"/>
        <v>0</v>
      </c>
      <c r="AG152" s="107"/>
      <c r="AH152" s="107"/>
      <c r="AI152" s="107"/>
      <c r="AJ152" s="111"/>
      <c r="AK152" s="111"/>
      <c r="AL152" s="111"/>
      <c r="AM152" s="108">
        <f>AG152*'1. Standard_Cost'!$B$27+'Incremental_Cost Year 1'!AH152*'1. Standard_Cost'!$C$27+'Incremental_Cost Year 1'!AI152*'1. Standard_Cost'!$D$27+'Incremental_Cost Year 1'!AJ152+'Incremental_Cost Year 1'!AL152+AK152</f>
        <v>0</v>
      </c>
      <c r="AN152" s="108">
        <f>AM152*'1. Standard_Cost'!$C$31</f>
        <v>0</v>
      </c>
      <c r="AO152" s="125" t="s">
        <v>374</v>
      </c>
      <c r="AQ152" s="14">
        <f t="shared" si="229"/>
        <v>282705.75</v>
      </c>
      <c r="AR152" s="14">
        <f t="shared" si="230"/>
        <v>0</v>
      </c>
      <c r="AS152" s="14">
        <f t="shared" si="231"/>
        <v>0</v>
      </c>
      <c r="AT152" s="14">
        <f t="shared" si="232"/>
        <v>282705.75</v>
      </c>
      <c r="AU152" s="15">
        <v>282705.75</v>
      </c>
      <c r="AV152" s="15"/>
      <c r="AW152" s="15"/>
      <c r="AX152" s="15"/>
      <c r="AY152" s="15"/>
      <c r="AZ152" s="15"/>
      <c r="BA152" s="15"/>
      <c r="BB152" s="16">
        <f t="shared" si="233"/>
        <v>0</v>
      </c>
    </row>
    <row r="153" spans="1:54" ht="234" outlineLevel="2">
      <c r="A153" s="98"/>
      <c r="B153" s="102"/>
      <c r="C153" s="23"/>
      <c r="D153" s="119"/>
      <c r="E153" s="121"/>
      <c r="F153" s="54"/>
      <c r="G153" s="87"/>
      <c r="H153" s="302" t="s">
        <v>495</v>
      </c>
      <c r="I153" s="104" t="s">
        <v>4</v>
      </c>
      <c r="J153" s="105">
        <v>0.4</v>
      </c>
      <c r="K153" s="105">
        <v>3</v>
      </c>
      <c r="L153" s="106">
        <f>IF(I153&lt;&gt;0,((VLOOKUP(I153,'1. Standard_Cost'!$B$4:$D$11,2)+VLOOKUP(I153,'1. Standard_Cost'!$B$4:$D$11,3))*J153*K153),"0")</f>
        <v>96900</v>
      </c>
      <c r="M153" s="106">
        <f>L153*'1. Standard_Cost'!$F$4</f>
        <v>16182.300000000001</v>
      </c>
      <c r="N153" s="107"/>
      <c r="O153" s="107"/>
      <c r="P153" s="107"/>
      <c r="Q153" s="107"/>
      <c r="R153" s="108">
        <f>'1. Standard_Cost'!$B$15*N153*P153</f>
        <v>0</v>
      </c>
      <c r="S153" s="108">
        <f>N153*O153*P153*'1. Standard_Cost'!$C$15</f>
        <v>0</v>
      </c>
      <c r="T153" s="108">
        <f>N153*P153*Q153*'1. Standard_Cost'!$D$15</f>
        <v>0</v>
      </c>
      <c r="U153" s="108">
        <f>N153*O153*'1. Standard_Cost'!$E$15</f>
        <v>0</v>
      </c>
      <c r="V153" s="107"/>
      <c r="W153" s="107"/>
      <c r="X153" s="107"/>
      <c r="Y153" s="108">
        <f>+V153*((X153*'1. Standard_Cost'!$B$19)+(W153*X153*'1. Standard_Cost'!$C$19))</f>
        <v>0</v>
      </c>
      <c r="Z153" s="107"/>
      <c r="AA153" s="107">
        <v>20</v>
      </c>
      <c r="AB153" s="108">
        <f>+Z153*'1. Standard_Cost'!$B$23+AA153*'1. Standard_Cost'!$C$23</f>
        <v>380000</v>
      </c>
      <c r="AC153" s="109">
        <f>700000+500000</f>
        <v>1200000</v>
      </c>
      <c r="AD153" s="110"/>
      <c r="AE153" s="108">
        <f>SUM(AD153,AC153,AB153,Y153,U153,T153,S153,R153)*'1. Standard_Cost'!$B$31</f>
        <v>316000</v>
      </c>
      <c r="AF153" s="108">
        <f t="shared" si="228"/>
        <v>1896000</v>
      </c>
      <c r="AG153" s="107"/>
      <c r="AH153" s="107"/>
      <c r="AI153" s="107"/>
      <c r="AJ153" s="111"/>
      <c r="AK153" s="111"/>
      <c r="AL153" s="111"/>
      <c r="AM153" s="108">
        <f>AG153*'1. Standard_Cost'!$B$27+'Incremental_Cost Year 1'!AH153*'1. Standard_Cost'!$C$27+'Incremental_Cost Year 1'!AI153*'1. Standard_Cost'!$D$27+'Incremental_Cost Year 1'!AJ153+'Incremental_Cost Year 1'!AL153+AK153</f>
        <v>0</v>
      </c>
      <c r="AN153" s="108">
        <f>AM153*'1. Standard_Cost'!$C$31</f>
        <v>0</v>
      </c>
      <c r="AO153" s="125" t="s">
        <v>696</v>
      </c>
      <c r="AQ153" s="14">
        <f t="shared" si="229"/>
        <v>113082.3</v>
      </c>
      <c r="AR153" s="14">
        <f t="shared" si="230"/>
        <v>1896000</v>
      </c>
      <c r="AS153" s="14">
        <f t="shared" si="231"/>
        <v>0</v>
      </c>
      <c r="AT153" s="14">
        <f t="shared" si="232"/>
        <v>2009082.3</v>
      </c>
      <c r="AU153" s="15">
        <v>113082.3</v>
      </c>
      <c r="AV153" s="15"/>
      <c r="AW153" s="15"/>
      <c r="AX153" s="15">
        <v>1796000</v>
      </c>
      <c r="AY153" s="15"/>
      <c r="AZ153" s="15">
        <v>100000</v>
      </c>
      <c r="BA153" s="15"/>
      <c r="BB153" s="16">
        <f t="shared" si="233"/>
        <v>0</v>
      </c>
    </row>
    <row r="154" spans="1:54" ht="140.4" outlineLevel="2">
      <c r="A154" s="98"/>
      <c r="B154" s="102"/>
      <c r="C154" s="23"/>
      <c r="D154" s="119"/>
      <c r="E154" s="121"/>
      <c r="F154" s="54"/>
      <c r="G154" s="87"/>
      <c r="H154" s="302" t="s">
        <v>496</v>
      </c>
      <c r="I154" s="104" t="s">
        <v>4</v>
      </c>
      <c r="J154" s="105">
        <v>2</v>
      </c>
      <c r="K154" s="105">
        <v>2</v>
      </c>
      <c r="L154" s="106">
        <f>IF(I154&lt;&gt;0,((VLOOKUP(I154,'1. Standard_Cost'!$B$4:$D$11,2)+VLOOKUP(I154,'1. Standard_Cost'!$B$4:$D$11,3))*J154*K154),"0")</f>
        <v>323000</v>
      </c>
      <c r="M154" s="106">
        <f>L154*'1. Standard_Cost'!$F$4</f>
        <v>53941</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v>5</v>
      </c>
      <c r="AB154" s="108">
        <f>+Z154*'1. Standard_Cost'!$B$23+AA154*'1. Standard_Cost'!$C$23</f>
        <v>95000</v>
      </c>
      <c r="AC154" s="109"/>
      <c r="AD154" s="110"/>
      <c r="AE154" s="108">
        <f>SUM(AD154,AC154,AB154,Y154,U154,T154,S154,R154)*'1. Standard_Cost'!$B$31</f>
        <v>19000</v>
      </c>
      <c r="AF154" s="108">
        <f t="shared" si="223"/>
        <v>114000</v>
      </c>
      <c r="AG154" s="107"/>
      <c r="AH154" s="107"/>
      <c r="AI154" s="107"/>
      <c r="AJ154" s="111"/>
      <c r="AK154" s="111"/>
      <c r="AL154" s="111"/>
      <c r="AM154" s="108">
        <f>AG154*'1. Standard_Cost'!$B$27+'Incremental_Cost Year 1'!AH154*'1. Standard_Cost'!$C$27+'Incremental_Cost Year 1'!AI154*'1. Standard_Cost'!$D$27+'Incremental_Cost Year 1'!AJ154+'Incremental_Cost Year 1'!AL154+AK154</f>
        <v>0</v>
      </c>
      <c r="AN154" s="108">
        <f>AM154*'1. Standard_Cost'!$C$31</f>
        <v>0</v>
      </c>
      <c r="AO154" s="125" t="s">
        <v>375</v>
      </c>
      <c r="AQ154" s="14">
        <f t="shared" si="224"/>
        <v>376941</v>
      </c>
      <c r="AR154" s="14">
        <f t="shared" si="225"/>
        <v>114000</v>
      </c>
      <c r="AS154" s="14">
        <f t="shared" si="226"/>
        <v>0</v>
      </c>
      <c r="AT154" s="14">
        <f t="shared" ref="AT154:AT167" si="234">SUM(AQ154,AR154,AS154)</f>
        <v>490941</v>
      </c>
      <c r="AU154" s="15">
        <v>376941</v>
      </c>
      <c r="AV154" s="15"/>
      <c r="AW154" s="15"/>
      <c r="AX154" s="15"/>
      <c r="AY154" s="15"/>
      <c r="AZ154" s="15"/>
      <c r="BA154" s="15"/>
      <c r="BB154" s="16">
        <f t="shared" si="227"/>
        <v>-114000</v>
      </c>
    </row>
    <row r="155" spans="1:54" ht="31.2" outlineLevel="2">
      <c r="A155" s="98"/>
      <c r="B155" s="102"/>
      <c r="C155" s="23"/>
      <c r="D155" s="119"/>
      <c r="E155" s="121"/>
      <c r="F155" s="54"/>
      <c r="G155" s="87"/>
      <c r="H155" s="304" t="s">
        <v>489</v>
      </c>
      <c r="I155" s="104"/>
      <c r="J155" s="105"/>
      <c r="K155" s="105"/>
      <c r="L155" s="106" t="str">
        <f>IF(I155&lt;&gt;0,((VLOOKUP(I155,'1. Standard_Cost'!$B$4:$D$11,2)+VLOOKUP(I155,'1. Standard_Cost'!$B$4:$D$11,3))*J155*K155),"0")</f>
        <v>0</v>
      </c>
      <c r="M155" s="106">
        <f>L155*'1. Standard_Cost'!$F$4</f>
        <v>0</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c r="AB155" s="108">
        <f>+Z155*'[1]1. Standard_Cost'!$B$23+AA155*'[1]1. Standard_Cost'!$C$23</f>
        <v>0</v>
      </c>
      <c r="AC155" s="109"/>
      <c r="AD155" s="110"/>
      <c r="AE155" s="108">
        <f>SUM(AD155,AC155,AB155,Y155,U155,T155,S155,R155)*'[1]1. Standard_Cost'!$B$31</f>
        <v>0</v>
      </c>
      <c r="AF155" s="108">
        <f t="shared" si="223"/>
        <v>0</v>
      </c>
      <c r="AG155" s="107"/>
      <c r="AH155" s="107"/>
      <c r="AI155" s="107"/>
      <c r="AJ155" s="111"/>
      <c r="AK155" s="111"/>
      <c r="AL155" s="111"/>
      <c r="AM155" s="108">
        <f>AG155*'1. Standard_Cost'!$B$27+'Incremental_Cost Year 1'!AH155*'1. Standard_Cost'!$C$27+'Incremental_Cost Year 1'!AI155*'1. Standard_Cost'!$D$27+'Incremental_Cost Year 1'!AJ155+'Incremental_Cost Year 1'!AL155+AK155</f>
        <v>0</v>
      </c>
      <c r="AN155" s="108">
        <f>AM155*'1. Standard_Cost'!$C$31</f>
        <v>0</v>
      </c>
      <c r="AO155" s="125" t="s">
        <v>376</v>
      </c>
      <c r="AQ155" s="14">
        <f t="shared" si="224"/>
        <v>0</v>
      </c>
      <c r="AR155" s="14">
        <f t="shared" si="225"/>
        <v>0</v>
      </c>
      <c r="AS155" s="14">
        <f t="shared" si="226"/>
        <v>0</v>
      </c>
      <c r="AT155" s="14">
        <f t="shared" si="234"/>
        <v>0</v>
      </c>
      <c r="AU155" s="15"/>
      <c r="AV155" s="15"/>
      <c r="AW155" s="15"/>
      <c r="AX155" s="15"/>
      <c r="AY155" s="15"/>
      <c r="AZ155" s="15"/>
      <c r="BA155" s="15"/>
      <c r="BB155" s="16">
        <f t="shared" si="227"/>
        <v>0</v>
      </c>
    </row>
    <row r="156" spans="1:54" ht="78" outlineLevel="2">
      <c r="A156" s="98"/>
      <c r="B156" s="102"/>
      <c r="C156" s="23"/>
      <c r="D156" s="119"/>
      <c r="E156" s="121"/>
      <c r="F156" s="54"/>
      <c r="G156" s="87"/>
      <c r="H156" s="302" t="s">
        <v>497</v>
      </c>
      <c r="I156" s="104"/>
      <c r="J156" s="105"/>
      <c r="K156" s="105"/>
      <c r="L156" s="106" t="str">
        <f>IF(I156&lt;&gt;0,((VLOOKUP(I156,'1. Standard_Cost'!$B$4:$D$11,2)+VLOOKUP(I156,'1. Standard_Cost'!$B$4:$D$11,3))*J156*K156),"0")</f>
        <v>0</v>
      </c>
      <c r="M156" s="106">
        <f>L156*'1. Standard_Cost'!$F$4</f>
        <v>0</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c r="AB156" s="108">
        <f>+Z156*'1. Standard_Cost'!$B$23+AA156*'1. Standard_Cost'!$C$23</f>
        <v>0</v>
      </c>
      <c r="AC156" s="109"/>
      <c r="AD156" s="110"/>
      <c r="AE156" s="108">
        <f>SUM(AD156,AC156,AB156,Y156,U156,T156,S156,R156)*'1. Standard_Cost'!$B$31</f>
        <v>0</v>
      </c>
      <c r="AF156" s="108">
        <f t="shared" si="223"/>
        <v>0</v>
      </c>
      <c r="AG156" s="107"/>
      <c r="AH156" s="107"/>
      <c r="AI156" s="107"/>
      <c r="AJ156" s="111"/>
      <c r="AK156" s="111"/>
      <c r="AL156" s="111"/>
      <c r="AM156" s="108">
        <f>AG156*'1. Standard_Cost'!$B$27+'Incremental_Cost Year 1'!AH156*'1. Standard_Cost'!$C$27+'Incremental_Cost Year 1'!AI156*'1. Standard_Cost'!$D$27+'Incremental_Cost Year 1'!AJ156+'Incremental_Cost Year 1'!AL156+AK156</f>
        <v>0</v>
      </c>
      <c r="AN156" s="108">
        <f>AM156*'1. Standard_Cost'!$C$31</f>
        <v>0</v>
      </c>
      <c r="AO156" s="125" t="s">
        <v>650</v>
      </c>
      <c r="AQ156" s="14">
        <f t="shared" si="224"/>
        <v>0</v>
      </c>
      <c r="AR156" s="14">
        <f t="shared" si="225"/>
        <v>0</v>
      </c>
      <c r="AS156" s="14">
        <f t="shared" si="226"/>
        <v>0</v>
      </c>
      <c r="AT156" s="14">
        <f t="shared" si="234"/>
        <v>0</v>
      </c>
      <c r="AU156" s="15"/>
      <c r="AV156" s="15"/>
      <c r="AW156" s="15"/>
      <c r="AX156" s="15"/>
      <c r="AY156" s="15"/>
      <c r="AZ156" s="15"/>
      <c r="BA156" s="15"/>
      <c r="BB156" s="16">
        <f t="shared" si="227"/>
        <v>0</v>
      </c>
    </row>
    <row r="157" spans="1:54" ht="93.6" outlineLevel="2">
      <c r="A157" s="98"/>
      <c r="B157" s="102"/>
      <c r="C157" s="23"/>
      <c r="D157" s="119"/>
      <c r="E157" s="121"/>
      <c r="F157" s="54"/>
      <c r="G157" s="87"/>
      <c r="H157" s="302" t="s">
        <v>498</v>
      </c>
      <c r="I157" s="104" t="s">
        <v>4</v>
      </c>
      <c r="J157" s="105">
        <v>0.5</v>
      </c>
      <c r="K157" s="105">
        <v>4</v>
      </c>
      <c r="L157" s="106">
        <f>IF(I157&lt;&gt;0,((VLOOKUP(I157,'1. Standard_Cost'!$B$4:$D$11,2)+VLOOKUP(I157,'1. Standard_Cost'!$B$4:$D$11,3))*J157*K157),"0")</f>
        <v>161500</v>
      </c>
      <c r="M157" s="106">
        <f>L157*'1. Standard_Cost'!$F$4</f>
        <v>26970.5</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223"/>
        <v>0</v>
      </c>
      <c r="AG157" s="107"/>
      <c r="AH157" s="107"/>
      <c r="AI157" s="107"/>
      <c r="AJ157" s="111"/>
      <c r="AK157" s="111"/>
      <c r="AL157" s="111"/>
      <c r="AM157" s="108">
        <f>AG157*'1. Standard_Cost'!$B$27+'Incremental_Cost Year 1'!AH157*'1. Standard_Cost'!$C$27+'Incremental_Cost Year 1'!AI157*'1. Standard_Cost'!$D$27+'Incremental_Cost Year 1'!AJ157+'Incremental_Cost Year 1'!AL157+AK157</f>
        <v>0</v>
      </c>
      <c r="AN157" s="108">
        <f>AM157*'1. Standard_Cost'!$C$31</f>
        <v>0</v>
      </c>
      <c r="AO157" s="125" t="s">
        <v>378</v>
      </c>
      <c r="AQ157" s="14">
        <f t="shared" si="224"/>
        <v>188470.5</v>
      </c>
      <c r="AR157" s="14">
        <f t="shared" si="225"/>
        <v>0</v>
      </c>
      <c r="AS157" s="14">
        <f t="shared" si="226"/>
        <v>0</v>
      </c>
      <c r="AT157" s="14">
        <f t="shared" si="234"/>
        <v>188470.5</v>
      </c>
      <c r="AU157" s="15"/>
      <c r="AV157" s="15"/>
      <c r="AW157" s="15"/>
      <c r="AX157" s="15"/>
      <c r="AY157" s="15"/>
      <c r="AZ157" s="15"/>
      <c r="BA157" s="15"/>
      <c r="BB157" s="16">
        <f t="shared" si="227"/>
        <v>-188470.5</v>
      </c>
    </row>
    <row r="158" spans="1:54" ht="109.2" outlineLevel="2">
      <c r="A158" s="98"/>
      <c r="B158" s="102"/>
      <c r="C158" s="23"/>
      <c r="D158" s="119"/>
      <c r="E158" s="121"/>
      <c r="F158" s="54"/>
      <c r="G158" s="87"/>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15</v>
      </c>
      <c r="AB158" s="108">
        <f>+Z158*'1. Standard_Cost'!$B$23+AA158*'1. Standard_Cost'!$C$23</f>
        <v>285000</v>
      </c>
      <c r="AC158" s="109">
        <v>570000</v>
      </c>
      <c r="AD158" s="110"/>
      <c r="AE158" s="108">
        <f>SUM(AD158,AC158,AB158,Y158,U158,T158,S158,R158)*'1. Standard_Cost'!$B$31</f>
        <v>171000</v>
      </c>
      <c r="AF158" s="108">
        <f t="shared" si="223"/>
        <v>1026000</v>
      </c>
      <c r="AG158" s="107"/>
      <c r="AH158" s="107"/>
      <c r="AI158" s="107"/>
      <c r="AJ158" s="111"/>
      <c r="AK158" s="111"/>
      <c r="AL158" s="111"/>
      <c r="AM158" s="108">
        <f>AG158*'1. Standard_Cost'!$B$27+'Incremental_Cost Year 1'!AH158*'1. Standard_Cost'!$C$27+'Incremental_Cost Year 1'!AI158*'1. Standard_Cost'!$D$27+'Incremental_Cost Year 1'!AJ158+'Incremental_Cost Year 1'!AL158+AK158</f>
        <v>0</v>
      </c>
      <c r="AN158" s="108">
        <f>AM158*'1. Standard_Cost'!$C$31</f>
        <v>0</v>
      </c>
      <c r="AO158" s="125" t="s">
        <v>379</v>
      </c>
      <c r="AQ158" s="14">
        <f t="shared" si="224"/>
        <v>37694.1</v>
      </c>
      <c r="AR158" s="14">
        <f t="shared" si="225"/>
        <v>1026000</v>
      </c>
      <c r="AS158" s="14">
        <f t="shared" si="226"/>
        <v>0</v>
      </c>
      <c r="AT158" s="14">
        <f t="shared" si="234"/>
        <v>1063694.1000000001</v>
      </c>
      <c r="AU158" s="15">
        <v>37694.1</v>
      </c>
      <c r="AV158" s="15"/>
      <c r="AW158" s="15"/>
      <c r="AX158" s="15"/>
      <c r="AY158" s="15"/>
      <c r="AZ158" s="15"/>
      <c r="BA158" s="15"/>
      <c r="BB158" s="16">
        <f t="shared" si="227"/>
        <v>-1026000.0000000001</v>
      </c>
    </row>
    <row r="159" spans="1:54" ht="124.8" outlineLevel="2">
      <c r="A159" s="98"/>
      <c r="B159" s="102"/>
      <c r="C159" s="23"/>
      <c r="D159" s="119"/>
      <c r="E159" s="121"/>
      <c r="F159" s="54"/>
      <c r="G159" s="87"/>
      <c r="H159" s="302" t="s">
        <v>500</v>
      </c>
      <c r="I159" s="104" t="s">
        <v>559</v>
      </c>
      <c r="J159" s="105">
        <v>2</v>
      </c>
      <c r="K159" s="105">
        <v>2</v>
      </c>
      <c r="L159" s="106">
        <f>IF(I159&lt;&gt;0,((VLOOKUP(I159,'1. Standard_Cost'!$B$4:$D$11,2)+VLOOKUP(I159,'1. Standard_Cost'!$B$4:$D$11,3))*J159*K159),"0")</f>
        <v>323000</v>
      </c>
      <c r="M159" s="106">
        <f>L159*'1. Standard_Cost'!$F$4</f>
        <v>53941</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v>5</v>
      </c>
      <c r="AB159" s="108">
        <f>+Z159*'1. Standard_Cost'!$B$23+AA159*'1. Standard_Cost'!$C$23</f>
        <v>95000</v>
      </c>
      <c r="AC159" s="109">
        <v>6000</v>
      </c>
      <c r="AD159" s="110"/>
      <c r="AE159" s="108">
        <f>SUM(AD159,AC159,AB159,Y159,U159,T159,S159,R159)*'1. Standard_Cost'!$B$31</f>
        <v>20200</v>
      </c>
      <c r="AF159" s="108">
        <f t="shared" si="223"/>
        <v>121200</v>
      </c>
      <c r="AG159" s="107"/>
      <c r="AH159" s="107"/>
      <c r="AI159" s="107"/>
      <c r="AJ159" s="111"/>
      <c r="AK159" s="111"/>
      <c r="AL159" s="111"/>
      <c r="AM159" s="108">
        <f>AG159*'1. Standard_Cost'!$B$27+'Incremental_Cost Year 1'!AH159*'1. Standard_Cost'!$C$27+'Incremental_Cost Year 1'!AI159*'1. Standard_Cost'!$D$27+'Incremental_Cost Year 1'!AJ159+'Incremental_Cost Year 1'!AL159+AK159</f>
        <v>0</v>
      </c>
      <c r="AN159" s="108">
        <f>AM159*'1. Standard_Cost'!$C$31</f>
        <v>0</v>
      </c>
      <c r="AO159" s="125" t="s">
        <v>380</v>
      </c>
      <c r="AQ159" s="14">
        <f t="shared" si="224"/>
        <v>376941</v>
      </c>
      <c r="AR159" s="14">
        <f t="shared" si="225"/>
        <v>121200</v>
      </c>
      <c r="AS159" s="14">
        <f t="shared" si="226"/>
        <v>0</v>
      </c>
      <c r="AT159" s="14">
        <f t="shared" si="234"/>
        <v>498141</v>
      </c>
      <c r="AU159" s="15">
        <v>376941</v>
      </c>
      <c r="AV159" s="15"/>
      <c r="AW159" s="15"/>
      <c r="AX159" s="15"/>
      <c r="AY159" s="15"/>
      <c r="AZ159" s="15"/>
      <c r="BA159" s="15"/>
      <c r="BB159" s="16">
        <f t="shared" si="227"/>
        <v>-121200</v>
      </c>
    </row>
    <row r="160" spans="1:54" ht="62.4" outlineLevel="2">
      <c r="A160" s="98"/>
      <c r="B160" s="102"/>
      <c r="C160" s="23"/>
      <c r="D160" s="119"/>
      <c r="E160" s="121"/>
      <c r="F160" s="54"/>
      <c r="G160" s="177"/>
      <c r="H160" s="302" t="s">
        <v>501</v>
      </c>
      <c r="I160" s="104"/>
      <c r="J160" s="105"/>
      <c r="K160" s="105"/>
      <c r="L160" s="106" t="str">
        <f>IF(I160&lt;&gt;0,((VLOOKUP(I160,'1. Standard_Cost'!$B$4:$D$11,2)+VLOOKUP(I160,'1. Standard_Cost'!$B$4:$D$11,3))*J160*K160),"0")</f>
        <v>0</v>
      </c>
      <c r="M160" s="106">
        <f>L160*'1. Standard_Cost'!$F$4</f>
        <v>0</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c r="AB160" s="108">
        <f>+Z160*'1. Standard_Cost'!$B$23+AA160*'1. Standard_Cost'!$C$23</f>
        <v>0</v>
      </c>
      <c r="AC160" s="109"/>
      <c r="AD160" s="110"/>
      <c r="AE160" s="108">
        <f>SUM(AD160,AC160,AB160,Y160,U160,T160,S160,R160)*'1. Standard_Cost'!$B$31</f>
        <v>0</v>
      </c>
      <c r="AF160" s="108">
        <f t="shared" si="223"/>
        <v>0</v>
      </c>
      <c r="AG160" s="107"/>
      <c r="AH160" s="107"/>
      <c r="AI160" s="107"/>
      <c r="AJ160" s="111"/>
      <c r="AK160" s="111"/>
      <c r="AL160" s="111"/>
      <c r="AM160" s="108">
        <f>AG160*'1. Standard_Cost'!$B$27+'Incremental_Cost Year 1'!AH160*'1. Standard_Cost'!$C$27+'Incremental_Cost Year 1'!AI160*'1. Standard_Cost'!$D$27+'Incremental_Cost Year 1'!AJ160+'Incremental_Cost Year 1'!AL160+AK160</f>
        <v>0</v>
      </c>
      <c r="AN160" s="108">
        <f>AM160*'1. Standard_Cost'!$C$31</f>
        <v>0</v>
      </c>
      <c r="AO160" s="125" t="s">
        <v>381</v>
      </c>
      <c r="AQ160" s="14">
        <f t="shared" si="224"/>
        <v>0</v>
      </c>
      <c r="AR160" s="14">
        <f t="shared" si="225"/>
        <v>0</v>
      </c>
      <c r="AS160" s="14">
        <f t="shared" si="226"/>
        <v>0</v>
      </c>
      <c r="AT160" s="14">
        <f t="shared" si="234"/>
        <v>0</v>
      </c>
      <c r="AU160" s="15"/>
      <c r="AV160" s="15"/>
      <c r="AW160" s="15"/>
      <c r="AX160" s="15"/>
      <c r="AY160" s="15"/>
      <c r="AZ160" s="15"/>
      <c r="BA160" s="15"/>
      <c r="BB160" s="16">
        <f t="shared" si="227"/>
        <v>0</v>
      </c>
    </row>
    <row r="161" spans="1:54" ht="78" outlineLevel="2">
      <c r="A161" s="98"/>
      <c r="B161" s="102"/>
      <c r="C161" s="23"/>
      <c r="D161" s="119"/>
      <c r="E161" s="121"/>
      <c r="F161" s="54"/>
      <c r="G161" s="87"/>
      <c r="H161" s="302" t="s">
        <v>502</v>
      </c>
      <c r="I161" s="104"/>
      <c r="J161" s="105"/>
      <c r="K161" s="105"/>
      <c r="L161" s="106" t="str">
        <f>IF(I161&lt;&gt;0,((VLOOKUP(I161,'1. Standard_Cost'!$B$4:$D$11,2)+VLOOKUP(I161,'1. Standard_Cost'!$B$4:$D$11,3))*J161*K161),"0")</f>
        <v>0</v>
      </c>
      <c r="M161" s="106">
        <f>L161*'1. Standard_Cost'!$F$4</f>
        <v>0</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c r="AD161" s="110"/>
      <c r="AE161" s="108">
        <f>SUM(AD161,AC161,AB161,Y161,U161,T161,S161,R161)*'1. Standard_Cost'!$B$31</f>
        <v>0</v>
      </c>
      <c r="AF161" s="108">
        <f t="shared" ref="AF161" si="235">SUM(AE161,AD161,AC161,AB161,Y161,U161,T161,S161,R161)</f>
        <v>0</v>
      </c>
      <c r="AG161" s="107"/>
      <c r="AH161" s="107"/>
      <c r="AI161" s="107"/>
      <c r="AJ161" s="111"/>
      <c r="AK161" s="111"/>
      <c r="AL161" s="111"/>
      <c r="AM161" s="108">
        <f>AG161*'1. Standard_Cost'!$B$27+'Incremental_Cost Year 1'!AH161*'1. Standard_Cost'!$C$27+'Incremental_Cost Year 1'!AI161*'1. Standard_Cost'!$D$27+'Incremental_Cost Year 1'!AJ161+'Incremental_Cost Year 1'!AL161+AK161</f>
        <v>0</v>
      </c>
      <c r="AN161" s="108">
        <f>AM161*'1. Standard_Cost'!$C$31</f>
        <v>0</v>
      </c>
      <c r="AO161" s="125" t="s">
        <v>277</v>
      </c>
      <c r="AQ161" s="14">
        <f t="shared" ref="AQ161" si="236">L161+M161</f>
        <v>0</v>
      </c>
      <c r="AR161" s="14">
        <f t="shared" ref="AR161" si="237">AF161</f>
        <v>0</v>
      </c>
      <c r="AS161" s="14">
        <f t="shared" ref="AS161" si="238">AM161+AN161</f>
        <v>0</v>
      </c>
      <c r="AT161" s="14">
        <f t="shared" ref="AT161" si="239">SUM(AQ161,AR161,AS161)</f>
        <v>0</v>
      </c>
      <c r="AU161" s="15"/>
      <c r="AV161" s="15"/>
      <c r="AW161" s="15"/>
      <c r="AX161" s="15"/>
      <c r="AY161" s="15"/>
      <c r="AZ161" s="15"/>
      <c r="BA161" s="15"/>
      <c r="BB161" s="16">
        <f t="shared" ref="BB161" si="240">SUM(AU161:BA161)-AT161</f>
        <v>0</v>
      </c>
    </row>
    <row r="162" spans="1:54" ht="78" outlineLevel="2">
      <c r="A162" s="98"/>
      <c r="B162" s="102"/>
      <c r="C162" s="23"/>
      <c r="D162" s="55"/>
      <c r="E162" s="55"/>
      <c r="F162" s="55"/>
      <c r="G162" s="54"/>
      <c r="H162" s="302" t="s">
        <v>503</v>
      </c>
      <c r="I162" s="104" t="s">
        <v>5</v>
      </c>
      <c r="J162" s="105">
        <v>0.4</v>
      </c>
      <c r="K162" s="105">
        <v>2</v>
      </c>
      <c r="L162" s="106">
        <f>IF(I162&lt;&gt;0,((VLOOKUP(I162,'1. Standard_Cost'!$B$4:$D$11,2)+VLOOKUP(I162,'1. Standard_Cost'!$B$4:$D$11,3))*J162*K162),"0")</f>
        <v>56560</v>
      </c>
      <c r="M162" s="106">
        <f>L162*'1. Standard_Cost'!$F$4</f>
        <v>9445.52</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260">
        <v>5</v>
      </c>
      <c r="AB162" s="108">
        <f>+Z162*'1. Standard_Cost'!$B$23+AA162*'1. Standard_Cost'!$C$23</f>
        <v>95000</v>
      </c>
      <c r="AC162" s="109"/>
      <c r="AD162" s="110"/>
      <c r="AE162" s="108">
        <f>SUM(AD162,AC162,AB162,Y162,U162,T162,S162,R162)*'1. Standard_Cost'!$B$31</f>
        <v>19000</v>
      </c>
      <c r="AF162" s="108">
        <f t="shared" si="223"/>
        <v>114000</v>
      </c>
      <c r="AG162" s="107"/>
      <c r="AH162" s="107"/>
      <c r="AI162" s="107"/>
      <c r="AJ162" s="111"/>
      <c r="AK162" s="111"/>
      <c r="AL162" s="111"/>
      <c r="AM162" s="108">
        <f>AG162*'1. Standard_Cost'!$B$27+'Incremental_Cost Year 1'!AH162*'1. Standard_Cost'!$C$27+'Incremental_Cost Year 1'!AI162*'1. Standard_Cost'!$D$27+'Incremental_Cost Year 1'!AJ162+'Incremental_Cost Year 1'!AL162+AK162</f>
        <v>0</v>
      </c>
      <c r="AN162" s="108">
        <f>AM162*'1. Standard_Cost'!$C$31</f>
        <v>0</v>
      </c>
      <c r="AO162" s="125" t="s">
        <v>382</v>
      </c>
      <c r="AQ162" s="14">
        <f t="shared" si="224"/>
        <v>66005.52</v>
      </c>
      <c r="AR162" s="14">
        <f t="shared" si="225"/>
        <v>114000</v>
      </c>
      <c r="AS162" s="14">
        <f t="shared" si="226"/>
        <v>0</v>
      </c>
      <c r="AT162" s="14">
        <f t="shared" si="234"/>
        <v>180005.52000000002</v>
      </c>
      <c r="AU162" s="15"/>
      <c r="AV162" s="15"/>
      <c r="AW162" s="15"/>
      <c r="AX162" s="15"/>
      <c r="AY162" s="15"/>
      <c r="AZ162" s="15"/>
      <c r="BA162" s="15"/>
      <c r="BB162" s="16">
        <f t="shared" si="227"/>
        <v>-180005.52000000002</v>
      </c>
    </row>
    <row r="163" spans="1:54" ht="32.25" customHeight="1" outlineLevel="2">
      <c r="A163" s="98"/>
      <c r="B163" s="102"/>
      <c r="C163" s="23"/>
      <c r="D163" s="55"/>
      <c r="E163" s="55"/>
      <c r="F163" s="55"/>
      <c r="G163" s="54"/>
      <c r="H163" s="302" t="s">
        <v>504</v>
      </c>
      <c r="I163" s="104"/>
      <c r="J163" s="105"/>
      <c r="K163" s="105"/>
      <c r="L163" s="106" t="str">
        <f>IF(I163&lt;&gt;0,((VLOOKUP(I163,'1. Standard_Cost'!$B$4:$D$11,2)+VLOOKUP(I163,'1. Standard_Cost'!$B$4:$D$11,3))*J163*K163),"0")</f>
        <v>0</v>
      </c>
      <c r="M163" s="106">
        <f>L163*'1. Standard_Cost'!$F$4</f>
        <v>0</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223"/>
        <v>0</v>
      </c>
      <c r="AG163" s="107"/>
      <c r="AH163" s="107"/>
      <c r="AI163" s="107"/>
      <c r="AJ163" s="111"/>
      <c r="AK163" s="111"/>
      <c r="AL163" s="111"/>
      <c r="AM163" s="108">
        <f>AG163*'1. Standard_Cost'!$B$27+'Incremental_Cost Year 1'!AH163*'1. Standard_Cost'!$C$27+'Incremental_Cost Year 1'!AI163*'1. Standard_Cost'!$D$27+'Incremental_Cost Year 1'!AJ163+'Incremental_Cost Year 1'!AL163+AK163</f>
        <v>0</v>
      </c>
      <c r="AN163" s="108">
        <f>AM163*'1. Standard_Cost'!$C$31</f>
        <v>0</v>
      </c>
      <c r="AO163" s="125" t="s">
        <v>383</v>
      </c>
      <c r="AQ163" s="14">
        <f t="shared" si="224"/>
        <v>0</v>
      </c>
      <c r="AR163" s="14">
        <f t="shared" si="225"/>
        <v>0</v>
      </c>
      <c r="AS163" s="14">
        <f t="shared" si="226"/>
        <v>0</v>
      </c>
      <c r="AT163" s="14">
        <f t="shared" si="234"/>
        <v>0</v>
      </c>
      <c r="AU163" s="15"/>
      <c r="AV163" s="15"/>
      <c r="AW163" s="15"/>
      <c r="AX163" s="15"/>
      <c r="AY163" s="15"/>
      <c r="AZ163" s="15"/>
      <c r="BA163" s="15"/>
      <c r="BB163" s="16">
        <f t="shared" si="227"/>
        <v>0</v>
      </c>
    </row>
    <row r="164" spans="1:54" ht="45" customHeight="1" outlineLevel="2">
      <c r="A164" s="98"/>
      <c r="B164" s="102"/>
      <c r="C164" s="23"/>
      <c r="D164" s="55"/>
      <c r="E164" s="55"/>
      <c r="F164" s="55"/>
      <c r="G164" s="54"/>
      <c r="H164" s="302" t="s">
        <v>505</v>
      </c>
      <c r="I164" s="104"/>
      <c r="J164" s="105"/>
      <c r="K164" s="105"/>
      <c r="L164" s="106" t="str">
        <f>IF(I164&lt;&gt;0,((VLOOKUP(I164,'1. Standard_Cost'!$B$4:$D$11,2)+VLOOKUP(I164,'1. Standard_Cost'!$B$4:$D$11,3))*J164*K164),"0")</f>
        <v>0</v>
      </c>
      <c r="M164" s="106">
        <f>L164*'1. Standard_Cost'!$F$4</f>
        <v>0</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c r="AB164" s="108">
        <f>+Z164*'1. Standard_Cost'!$B$23+AA164*'1. Standard_Cost'!$C$23</f>
        <v>0</v>
      </c>
      <c r="AC164" s="109"/>
      <c r="AD164" s="110"/>
      <c r="AE164" s="108">
        <f>SUM(AD164,AC164,AB164,Y164,U164,T164,S164,R164)*'1. Standard_Cost'!$B$31</f>
        <v>0</v>
      </c>
      <c r="AF164" s="108">
        <f t="shared" si="223"/>
        <v>0</v>
      </c>
      <c r="AG164" s="107"/>
      <c r="AH164" s="107"/>
      <c r="AI164" s="107"/>
      <c r="AJ164" s="111"/>
      <c r="AK164" s="111"/>
      <c r="AL164" s="111"/>
      <c r="AM164" s="108">
        <f>AG164*'1. Standard_Cost'!$B$27+'Incremental_Cost Year 1'!AH164*'1. Standard_Cost'!$C$27+'Incremental_Cost Year 1'!AI164*'1. Standard_Cost'!$D$27+'Incremental_Cost Year 1'!AJ164+'Incremental_Cost Year 1'!AL164+AK164</f>
        <v>0</v>
      </c>
      <c r="AN164" s="108">
        <f>AM164*'1. Standard_Cost'!$C$31</f>
        <v>0</v>
      </c>
      <c r="AO164" s="125" t="s">
        <v>384</v>
      </c>
      <c r="AQ164" s="14">
        <f t="shared" si="224"/>
        <v>0</v>
      </c>
      <c r="AR164" s="14">
        <f t="shared" si="225"/>
        <v>0</v>
      </c>
      <c r="AS164" s="14">
        <f t="shared" si="226"/>
        <v>0</v>
      </c>
      <c r="AT164" s="14">
        <f t="shared" si="234"/>
        <v>0</v>
      </c>
      <c r="AU164" s="15"/>
      <c r="AV164" s="15"/>
      <c r="AW164" s="15"/>
      <c r="AX164" s="15"/>
      <c r="AY164" s="15"/>
      <c r="AZ164" s="15"/>
      <c r="BA164" s="15"/>
      <c r="BB164" s="16">
        <f t="shared" si="227"/>
        <v>0</v>
      </c>
    </row>
    <row r="165" spans="1:54" ht="138" outlineLevel="2">
      <c r="A165" s="98"/>
      <c r="B165" s="102"/>
      <c r="C165" s="23"/>
      <c r="D165" s="55"/>
      <c r="E165" s="55"/>
      <c r="F165" s="55"/>
      <c r="G165" s="54"/>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v>56000000</v>
      </c>
      <c r="AD165" s="110"/>
      <c r="AE165" s="108">
        <f>SUM(AD165,AC165,AB165,Y165,U165,T165,S165,R165)*'1. Standard_Cost'!$B$31</f>
        <v>11200000</v>
      </c>
      <c r="AF165" s="108">
        <f t="shared" si="223"/>
        <v>67200000</v>
      </c>
      <c r="AG165" s="107"/>
      <c r="AH165" s="107"/>
      <c r="AI165" s="107"/>
      <c r="AJ165" s="111"/>
      <c r="AK165" s="111"/>
      <c r="AL165" s="111"/>
      <c r="AM165" s="108">
        <f>AG165*'1. Standard_Cost'!$B$27+'Incremental_Cost Year 1'!AH165*'1. Standard_Cost'!$C$27+'Incremental_Cost Year 1'!AI165*'1. Standard_Cost'!$D$27+'Incremental_Cost Year 1'!AJ165+'Incremental_Cost Year 1'!AL165+AK165</f>
        <v>0</v>
      </c>
      <c r="AN165" s="108">
        <f>AM165*'1. Standard_Cost'!$C$31</f>
        <v>0</v>
      </c>
      <c r="AO165" s="125" t="s">
        <v>697</v>
      </c>
      <c r="AQ165" s="14">
        <f t="shared" si="224"/>
        <v>282705.75</v>
      </c>
      <c r="AR165" s="14">
        <f t="shared" si="225"/>
        <v>67200000</v>
      </c>
      <c r="AS165" s="14">
        <f t="shared" si="226"/>
        <v>0</v>
      </c>
      <c r="AT165" s="14">
        <f t="shared" si="234"/>
        <v>67482705.75</v>
      </c>
      <c r="AU165" s="15"/>
      <c r="AV165" s="15"/>
      <c r="AW165" s="15"/>
      <c r="AX165" s="15"/>
      <c r="AY165" s="15"/>
      <c r="AZ165" s="15"/>
      <c r="BA165" s="15"/>
      <c r="BB165" s="16">
        <f t="shared" si="227"/>
        <v>-67482705.75</v>
      </c>
    </row>
    <row r="166" spans="1:54" ht="161.4" customHeight="1" outlineLevel="2">
      <c r="A166" s="98"/>
      <c r="B166" s="102"/>
      <c r="C166" s="23"/>
      <c r="D166" s="55"/>
      <c r="E166" s="55"/>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3500000</v>
      </c>
      <c r="AD166" s="110"/>
      <c r="AE166" s="108">
        <f>SUM(AD166,AC166,AB166,Y166,U166,T166,S166,R166)*'[1]1. Standard_Cost'!$B$31</f>
        <v>700000</v>
      </c>
      <c r="AF166" s="108">
        <f t="shared" si="223"/>
        <v>4200000</v>
      </c>
      <c r="AG166" s="107"/>
      <c r="AH166" s="107"/>
      <c r="AI166" s="107"/>
      <c r="AJ166" s="111"/>
      <c r="AK166" s="111"/>
      <c r="AL166" s="111"/>
      <c r="AM166" s="108">
        <f>AG166*'1. Standard_Cost'!$B$27+'Incremental_Cost Year 1'!AH166*'1. Standard_Cost'!$C$27+'Incremental_Cost Year 1'!AI166*'1. Standard_Cost'!$D$27+'Incremental_Cost Year 1'!AJ166+'Incremental_Cost Year 1'!AL166+AK166</f>
        <v>0</v>
      </c>
      <c r="AN166" s="108">
        <f>AM166*'1. Standard_Cost'!$C$31</f>
        <v>0</v>
      </c>
      <c r="AO166" s="125" t="s">
        <v>509</v>
      </c>
      <c r="AQ166" s="14">
        <f t="shared" si="224"/>
        <v>0</v>
      </c>
      <c r="AR166" s="14">
        <f t="shared" si="225"/>
        <v>4200000</v>
      </c>
      <c r="AS166" s="14">
        <f t="shared" si="226"/>
        <v>0</v>
      </c>
      <c r="AT166" s="14">
        <f t="shared" si="234"/>
        <v>4200000</v>
      </c>
      <c r="AU166" s="15"/>
      <c r="AV166" s="15"/>
      <c r="AW166" s="15"/>
      <c r="AX166" s="15"/>
      <c r="AY166" s="15"/>
      <c r="AZ166" s="15">
        <v>4200000</v>
      </c>
      <c r="BA166" s="15"/>
      <c r="BB166" s="16">
        <f t="shared" si="227"/>
        <v>0</v>
      </c>
    </row>
    <row r="167" spans="1:54" ht="32.25" customHeight="1" outlineLevel="2">
      <c r="A167" s="98"/>
      <c r="B167" s="102"/>
      <c r="C167" s="23"/>
      <c r="D167" s="55"/>
      <c r="E167" s="55"/>
      <c r="F167" s="55"/>
      <c r="G167" s="54"/>
      <c r="H167" s="302" t="s">
        <v>508</v>
      </c>
      <c r="I167" s="104" t="s">
        <v>4</v>
      </c>
      <c r="J167" s="105">
        <v>1</v>
      </c>
      <c r="K167" s="105">
        <v>2</v>
      </c>
      <c r="L167" s="106">
        <f>IF(I167&lt;&gt;0,((VLOOKUP(I167,'1. Standard_Cost'!$B$4:$D$11,2)+VLOOKUP(I167,'1. Standard_Cost'!$B$4:$D$11,3))*J167*K167),"0")</f>
        <v>161500</v>
      </c>
      <c r="M167" s="106">
        <f>L167*'1. Standard_Cost'!$F$4</f>
        <v>26970.5</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v>5</v>
      </c>
      <c r="AB167" s="108">
        <f>+Z167*'1. Standard_Cost'!$B$23+AA167*'1. Standard_Cost'!$C$23</f>
        <v>95000</v>
      </c>
      <c r="AC167" s="109"/>
      <c r="AD167" s="110"/>
      <c r="AE167" s="108">
        <v>0</v>
      </c>
      <c r="AF167" s="108">
        <f t="shared" si="223"/>
        <v>95000</v>
      </c>
      <c r="AG167" s="107"/>
      <c r="AH167" s="107"/>
      <c r="AI167" s="107"/>
      <c r="AJ167" s="111"/>
      <c r="AK167" s="111"/>
      <c r="AL167" s="111"/>
      <c r="AM167" s="108">
        <f>AG167*'1. Standard_Cost'!$B$27+'Incremental_Cost Year 1'!AH167*'1. Standard_Cost'!$C$27+'Incremental_Cost Year 1'!AI167*'1. Standard_Cost'!$D$27+'Incremental_Cost Year 1'!AJ167+'Incremental_Cost Year 1'!AL167+AK167</f>
        <v>0</v>
      </c>
      <c r="AN167" s="108">
        <f>AM167*'1. Standard_Cost'!$C$31</f>
        <v>0</v>
      </c>
      <c r="AO167" s="137" t="s">
        <v>651</v>
      </c>
      <c r="AQ167" s="14">
        <f t="shared" si="224"/>
        <v>188470.5</v>
      </c>
      <c r="AR167" s="14">
        <f t="shared" si="225"/>
        <v>95000</v>
      </c>
      <c r="AS167" s="14">
        <f t="shared" si="226"/>
        <v>0</v>
      </c>
      <c r="AT167" s="14">
        <f t="shared" si="234"/>
        <v>283470.5</v>
      </c>
      <c r="AU167" s="15"/>
      <c r="AV167" s="15"/>
      <c r="AW167" s="15"/>
      <c r="AX167" s="15"/>
      <c r="AY167" s="15"/>
      <c r="AZ167" s="15"/>
      <c r="BA167" s="15"/>
      <c r="BB167" s="16">
        <f t="shared" si="227"/>
        <v>-283470.5</v>
      </c>
    </row>
    <row r="168" spans="1:54" ht="27.6" outlineLevel="1">
      <c r="A168" s="98"/>
      <c r="B168" s="102"/>
      <c r="C168" s="23"/>
      <c r="D168" s="56" t="s">
        <v>637</v>
      </c>
      <c r="E168" s="56" t="s">
        <v>234</v>
      </c>
      <c r="F168" s="58">
        <v>2021</v>
      </c>
      <c r="G168" s="59">
        <v>2026</v>
      </c>
      <c r="H168" s="279" t="s">
        <v>189</v>
      </c>
      <c r="I168" s="112"/>
      <c r="J168" s="112"/>
      <c r="K168" s="112"/>
      <c r="L168" s="113">
        <f>SUM(L144:L167)</f>
        <v>10990060</v>
      </c>
      <c r="M168" s="113">
        <f>SUM(M144:M167)</f>
        <v>1835340.0200000003</v>
      </c>
      <c r="N168" s="112"/>
      <c r="O168" s="112"/>
      <c r="P168" s="112"/>
      <c r="Q168" s="112"/>
      <c r="R168" s="113">
        <f t="shared" ref="R168:U168" si="241">SUM(R144:R167)</f>
        <v>100000</v>
      </c>
      <c r="S168" s="113">
        <f t="shared" si="241"/>
        <v>300000</v>
      </c>
      <c r="T168" s="113">
        <f t="shared" si="241"/>
        <v>125000</v>
      </c>
      <c r="U168" s="113">
        <f t="shared" si="241"/>
        <v>160000</v>
      </c>
      <c r="V168" s="112"/>
      <c r="W168" s="112"/>
      <c r="X168" s="112"/>
      <c r="Y168" s="113">
        <f>SUM(Y144:Y167)</f>
        <v>0</v>
      </c>
      <c r="Z168" s="113"/>
      <c r="AA168" s="112"/>
      <c r="AB168" s="113">
        <f t="shared" ref="AB168:AF168" si="242">SUM(AB144:AB167)</f>
        <v>1700000</v>
      </c>
      <c r="AC168" s="113">
        <f t="shared" si="242"/>
        <v>71978000</v>
      </c>
      <c r="AD168" s="113">
        <f t="shared" si="242"/>
        <v>0</v>
      </c>
      <c r="AE168" s="113">
        <f t="shared" si="242"/>
        <v>12847400</v>
      </c>
      <c r="AF168" s="113">
        <f t="shared" si="242"/>
        <v>87210400</v>
      </c>
      <c r="AG168" s="112"/>
      <c r="AH168" s="112"/>
      <c r="AI168" s="112"/>
      <c r="AJ168" s="113">
        <f t="shared" ref="AJ168:AN168" si="243">SUM(AJ144:AJ167)</f>
        <v>0</v>
      </c>
      <c r="AK168" s="113">
        <f t="shared" si="243"/>
        <v>0</v>
      </c>
      <c r="AL168" s="113">
        <f t="shared" si="243"/>
        <v>0</v>
      </c>
      <c r="AM168" s="113">
        <f t="shared" si="243"/>
        <v>0</v>
      </c>
      <c r="AN168" s="113">
        <f t="shared" si="243"/>
        <v>0</v>
      </c>
      <c r="AO168" s="131"/>
      <c r="AP168" s="17"/>
      <c r="AQ168" s="113">
        <f t="shared" ref="AQ168:AT168" si="244">SUM(AQ144:AQ167)</f>
        <v>12825400.02</v>
      </c>
      <c r="AR168" s="113">
        <f t="shared" si="244"/>
        <v>87210400</v>
      </c>
      <c r="AS168" s="113">
        <f t="shared" si="244"/>
        <v>0</v>
      </c>
      <c r="AT168" s="113">
        <f t="shared" si="244"/>
        <v>100035800.02000001</v>
      </c>
      <c r="AU168" s="113">
        <f t="shared" ref="AU168:BB168" si="245">SUM(AU144:AU167)</f>
        <v>13833747.75</v>
      </c>
      <c r="AV168" s="113">
        <f t="shared" si="245"/>
        <v>0</v>
      </c>
      <c r="AW168" s="113">
        <f t="shared" si="245"/>
        <v>0</v>
      </c>
      <c r="AX168" s="113">
        <f t="shared" si="245"/>
        <v>2335000</v>
      </c>
      <c r="AY168" s="113">
        <f t="shared" si="245"/>
        <v>0</v>
      </c>
      <c r="AZ168" s="113">
        <f t="shared" si="245"/>
        <v>14236000</v>
      </c>
      <c r="BA168" s="113">
        <f t="shared" si="245"/>
        <v>0</v>
      </c>
      <c r="BB168" s="113">
        <f t="shared" si="245"/>
        <v>-69631052.269999996</v>
      </c>
    </row>
    <row r="169" spans="1:54" ht="93.6" outlineLevel="2">
      <c r="A169" s="98"/>
      <c r="B169" s="102"/>
      <c r="C169" s="23"/>
      <c r="D169" s="103"/>
      <c r="E169" s="123"/>
      <c r="F169" s="53"/>
      <c r="G169" s="139"/>
      <c r="H169" s="302" t="s">
        <v>511</v>
      </c>
      <c r="I169" s="104"/>
      <c r="J169" s="105"/>
      <c r="K169" s="105"/>
      <c r="L169" s="106" t="str">
        <f>IF(I169&lt;&gt;0,((VLOOKUP(I169,'1. Standard_Cost'!$B$4:$D$11,2)+VLOOKUP(I169,'1. Standard_Cost'!$B$4:$D$11,3))*J169*K169),"0")</f>
        <v>0</v>
      </c>
      <c r="M169" s="106">
        <f>L169*'1. Standard_Cost'!$F$4</f>
        <v>0</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c r="AB169" s="108">
        <f>+Z169*'1. Standard_Cost'!$B$23+AA169*'1. Standard_Cost'!$C$23</f>
        <v>0</v>
      </c>
      <c r="AC169" s="109"/>
      <c r="AD169" s="110"/>
      <c r="AE169" s="108">
        <f>SUM(AD169,AC169,AB169,Y169,U169,T169,S169,R169)*'1. Standard_Cost'!$B$31</f>
        <v>0</v>
      </c>
      <c r="AF169" s="108">
        <f t="shared" ref="AF169:AF177" si="246">SUM(AE169,AD169,AC169,AB169,Y169,U169,T169,S169,R169)</f>
        <v>0</v>
      </c>
      <c r="AG169" s="107"/>
      <c r="AH169" s="107"/>
      <c r="AI169" s="107"/>
      <c r="AJ169" s="111"/>
      <c r="AK169" s="111"/>
      <c r="AL169" s="111"/>
      <c r="AM169" s="108">
        <f>AG169*'1. Standard_Cost'!$B$27+'Incremental_Cost Year 1'!AH169*'1. Standard_Cost'!$C$27+'Incremental_Cost Year 1'!AI169*'1. Standard_Cost'!$D$27+'Incremental_Cost Year 1'!AJ169+'Incremental_Cost Year 1'!AL169+AK169</f>
        <v>0</v>
      </c>
      <c r="AN169" s="108">
        <f>AM169*'1. Standard_Cost'!$C$31</f>
        <v>0</v>
      </c>
      <c r="AO169" s="125" t="s">
        <v>387</v>
      </c>
      <c r="AQ169" s="14">
        <f t="shared" ref="AQ169:AQ177" si="247">L169+M169</f>
        <v>0</v>
      </c>
      <c r="AR169" s="14">
        <f t="shared" ref="AR169:AR177" si="248">AF169</f>
        <v>0</v>
      </c>
      <c r="AS169" s="14">
        <f t="shared" ref="AS169:AS177" si="249">AM169+AN169</f>
        <v>0</v>
      </c>
      <c r="AT169" s="14">
        <f>SUM(AQ169,AR169,AS169)</f>
        <v>0</v>
      </c>
      <c r="AU169" s="15"/>
      <c r="AV169" s="15"/>
      <c r="AW169" s="15"/>
      <c r="AX169" s="15"/>
      <c r="AY169" s="15"/>
      <c r="AZ169" s="15"/>
      <c r="BA169" s="15"/>
      <c r="BB169" s="16">
        <f t="shared" ref="BB169:BB177" si="250">SUM(AU169:BA169)-AT169</f>
        <v>0</v>
      </c>
    </row>
    <row r="170" spans="1:54" ht="46.8" outlineLevel="2">
      <c r="A170" s="98"/>
      <c r="B170" s="102"/>
      <c r="C170" s="23"/>
      <c r="D170" s="119"/>
      <c r="E170" s="121"/>
      <c r="F170" s="54"/>
      <c r="G170" s="87"/>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246"/>
        <v>0</v>
      </c>
      <c r="AG170" s="107"/>
      <c r="AH170" s="107"/>
      <c r="AI170" s="107"/>
      <c r="AJ170" s="111"/>
      <c r="AK170" s="111"/>
      <c r="AL170" s="111"/>
      <c r="AM170" s="108">
        <f>AG170*'1. Standard_Cost'!$B$27+'Incremental_Cost Year 1'!AH170*'1. Standard_Cost'!$C$27+'Incremental_Cost Year 1'!AI170*'1. Standard_Cost'!$D$27+'Incremental_Cost Year 1'!AJ170+'Incremental_Cost Year 1'!AL170+AK170</f>
        <v>0</v>
      </c>
      <c r="AN170" s="108">
        <f>AM170*'1. Standard_Cost'!$C$31</f>
        <v>0</v>
      </c>
      <c r="AO170" s="125" t="s">
        <v>388</v>
      </c>
      <c r="AQ170" s="14">
        <f t="shared" si="247"/>
        <v>0</v>
      </c>
      <c r="AR170" s="14">
        <f t="shared" si="248"/>
        <v>0</v>
      </c>
      <c r="AS170" s="14">
        <f t="shared" si="249"/>
        <v>0</v>
      </c>
      <c r="AT170" s="14">
        <f t="shared" ref="AT170:AT177" si="251">SUM(AQ170,AR170,AS170)</f>
        <v>0</v>
      </c>
      <c r="AU170" s="15"/>
      <c r="AV170" s="15"/>
      <c r="AW170" s="15"/>
      <c r="AX170" s="15"/>
      <c r="AY170" s="15"/>
      <c r="AZ170" s="15"/>
      <c r="BA170" s="15"/>
      <c r="BB170" s="16">
        <f t="shared" si="250"/>
        <v>0</v>
      </c>
    </row>
    <row r="171" spans="1:54" ht="78" outlineLevel="2">
      <c r="A171" s="98"/>
      <c r="B171" s="102"/>
      <c r="C171" s="23"/>
      <c r="D171" s="119"/>
      <c r="E171" s="121"/>
      <c r="F171" s="54"/>
      <c r="G171" s="87"/>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246"/>
        <v>0</v>
      </c>
      <c r="AG171" s="107"/>
      <c r="AH171" s="107"/>
      <c r="AI171" s="107"/>
      <c r="AJ171" s="111"/>
      <c r="AK171" s="111"/>
      <c r="AL171" s="111"/>
      <c r="AM171" s="108">
        <f>AG171*'1. Standard_Cost'!$B$27+'Incremental_Cost Year 1'!AH171*'1. Standard_Cost'!$C$27+'Incremental_Cost Year 1'!AI171*'1. Standard_Cost'!$D$27+'Incremental_Cost Year 1'!AJ171+'Incremental_Cost Year 1'!AL171+AK171</f>
        <v>0</v>
      </c>
      <c r="AN171" s="108">
        <f>AM171*'1. Standard_Cost'!$C$31</f>
        <v>0</v>
      </c>
      <c r="AO171" s="125" t="s">
        <v>389</v>
      </c>
      <c r="AQ171" s="14">
        <f t="shared" si="247"/>
        <v>0</v>
      </c>
      <c r="AR171" s="14">
        <f t="shared" si="248"/>
        <v>0</v>
      </c>
      <c r="AS171" s="14">
        <f t="shared" si="249"/>
        <v>0</v>
      </c>
      <c r="AT171" s="14">
        <f t="shared" si="251"/>
        <v>0</v>
      </c>
      <c r="AU171" s="15"/>
      <c r="AV171" s="15"/>
      <c r="AW171" s="15"/>
      <c r="AX171" s="15"/>
      <c r="AY171" s="15"/>
      <c r="AZ171" s="15"/>
      <c r="BA171" s="15"/>
      <c r="BB171" s="16">
        <f t="shared" si="250"/>
        <v>0</v>
      </c>
    </row>
    <row r="172" spans="1:54" ht="46.8" outlineLevel="2">
      <c r="A172" s="98"/>
      <c r="B172" s="102"/>
      <c r="C172" s="23"/>
      <c r="D172" s="119"/>
      <c r="E172" s="121"/>
      <c r="F172" s="54"/>
      <c r="G172" s="87"/>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246"/>
        <v>0</v>
      </c>
      <c r="AG172" s="107"/>
      <c r="AH172" s="107"/>
      <c r="AI172" s="107"/>
      <c r="AJ172" s="111"/>
      <c r="AK172" s="111"/>
      <c r="AL172" s="111"/>
      <c r="AM172" s="108">
        <f>AG172*'1. Standard_Cost'!$B$27+'Incremental_Cost Year 1'!AH172*'1. Standard_Cost'!$C$27+'Incremental_Cost Year 1'!AI172*'1. Standard_Cost'!$D$27+'Incremental_Cost Year 1'!AJ172+'Incremental_Cost Year 1'!AL172+AK172</f>
        <v>0</v>
      </c>
      <c r="AN172" s="108">
        <f>AM172*'1. Standard_Cost'!$C$31</f>
        <v>0</v>
      </c>
      <c r="AO172" s="125" t="s">
        <v>390</v>
      </c>
      <c r="AQ172" s="14">
        <f t="shared" si="247"/>
        <v>0</v>
      </c>
      <c r="AR172" s="14">
        <f t="shared" si="248"/>
        <v>0</v>
      </c>
      <c r="AS172" s="14">
        <f t="shared" si="249"/>
        <v>0</v>
      </c>
      <c r="AT172" s="14">
        <f t="shared" si="251"/>
        <v>0</v>
      </c>
      <c r="AU172" s="15"/>
      <c r="AV172" s="15"/>
      <c r="AW172" s="15"/>
      <c r="AX172" s="15"/>
      <c r="AY172" s="15"/>
      <c r="AZ172" s="15"/>
      <c r="BA172" s="15"/>
      <c r="BB172" s="16">
        <f t="shared" si="250"/>
        <v>0</v>
      </c>
    </row>
    <row r="173" spans="1:54" ht="46.8" outlineLevel="2">
      <c r="A173" s="98"/>
      <c r="B173" s="102"/>
      <c r="C173" s="23"/>
      <c r="D173" s="119"/>
      <c r="E173" s="121"/>
      <c r="F173" s="54"/>
      <c r="G173" s="87"/>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246"/>
        <v>0</v>
      </c>
      <c r="AG173" s="107"/>
      <c r="AH173" s="107"/>
      <c r="AI173" s="107"/>
      <c r="AJ173" s="111"/>
      <c r="AK173" s="111"/>
      <c r="AL173" s="111"/>
      <c r="AM173" s="108">
        <f>AG173*'1. Standard_Cost'!$B$27+'Incremental_Cost Year 1'!AH173*'1. Standard_Cost'!$C$27+'Incremental_Cost Year 1'!AI173*'1. Standard_Cost'!$D$27+'Incremental_Cost Year 1'!AJ173+'Incremental_Cost Year 1'!AL173+AK173</f>
        <v>0</v>
      </c>
      <c r="AN173" s="108">
        <f>AM173*'1. Standard_Cost'!$C$31</f>
        <v>0</v>
      </c>
      <c r="AO173" s="125" t="s">
        <v>391</v>
      </c>
      <c r="AQ173" s="14">
        <f t="shared" si="247"/>
        <v>0</v>
      </c>
      <c r="AR173" s="14">
        <f t="shared" si="248"/>
        <v>0</v>
      </c>
      <c r="AS173" s="14">
        <f t="shared" si="249"/>
        <v>0</v>
      </c>
      <c r="AT173" s="14">
        <f t="shared" si="251"/>
        <v>0</v>
      </c>
      <c r="AU173" s="15"/>
      <c r="AV173" s="15"/>
      <c r="AW173" s="15"/>
      <c r="AX173" s="15"/>
      <c r="AY173" s="15"/>
      <c r="AZ173" s="15"/>
      <c r="BA173" s="15"/>
      <c r="BB173" s="16">
        <f t="shared" si="250"/>
        <v>0</v>
      </c>
    </row>
    <row r="174" spans="1:54" ht="46.8" outlineLevel="2">
      <c r="A174" s="98"/>
      <c r="B174" s="102"/>
      <c r="C174" s="23"/>
      <c r="D174" s="119"/>
      <c r="E174" s="121"/>
      <c r="F174" s="54"/>
      <c r="G174" s="87"/>
      <c r="H174" s="302" t="s">
        <v>512</v>
      </c>
      <c r="I174" s="104" t="s">
        <v>4</v>
      </c>
      <c r="J174" s="105">
        <v>1</v>
      </c>
      <c r="K174" s="105">
        <v>2</v>
      </c>
      <c r="L174" s="106">
        <f>IF(I174&lt;&gt;0,((VLOOKUP(I174,'1. Standard_Cost'!$B$4:$D$11,2)+VLOOKUP(I174,'1. Standard_Cost'!$B$4:$D$11,3))*J174*K174),"0")</f>
        <v>161500</v>
      </c>
      <c r="M174" s="106">
        <f>L174*'1. Standard_Cost'!$F$4</f>
        <v>26970.5</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v>20</v>
      </c>
      <c r="AB174" s="108">
        <f>+Z174*'1. Standard_Cost'!$B$23+AA174*'1. Standard_Cost'!$C$23</f>
        <v>380000</v>
      </c>
      <c r="AC174" s="109"/>
      <c r="AD174" s="110"/>
      <c r="AE174" s="108">
        <f>SUM(AD174,AC174,AB174,Y174,U174,T174,S174,R174)*'1. Standard_Cost'!$B$31</f>
        <v>76000</v>
      </c>
      <c r="AF174" s="108">
        <f t="shared" si="246"/>
        <v>456000</v>
      </c>
      <c r="AG174" s="107"/>
      <c r="AH174" s="107"/>
      <c r="AI174" s="107"/>
      <c r="AJ174" s="111"/>
      <c r="AK174" s="111"/>
      <c r="AL174" s="111"/>
      <c r="AM174" s="108">
        <f>AG174*'1. Standard_Cost'!$B$27+'Incremental_Cost Year 1'!AH174*'1. Standard_Cost'!$C$27+'Incremental_Cost Year 1'!AI174*'1. Standard_Cost'!$D$27+'Incremental_Cost Year 1'!AJ174+'Incremental_Cost Year 1'!AL174+AK174</f>
        <v>0</v>
      </c>
      <c r="AN174" s="108">
        <f>AM174*'1. Standard_Cost'!$C$31</f>
        <v>0</v>
      </c>
      <c r="AO174" s="125" t="s">
        <v>392</v>
      </c>
      <c r="AQ174" s="14">
        <f t="shared" si="247"/>
        <v>188470.5</v>
      </c>
      <c r="AR174" s="14">
        <f t="shared" si="248"/>
        <v>456000</v>
      </c>
      <c r="AS174" s="14">
        <f t="shared" si="249"/>
        <v>0</v>
      </c>
      <c r="AT174" s="14">
        <f t="shared" si="251"/>
        <v>644470.5</v>
      </c>
      <c r="AU174" s="15">
        <v>188470.5</v>
      </c>
      <c r="AV174" s="15"/>
      <c r="AW174" s="15"/>
      <c r="AX174" s="15"/>
      <c r="AY174" s="15"/>
      <c r="AZ174" s="15"/>
      <c r="BA174" s="15"/>
      <c r="BB174" s="16">
        <f t="shared" si="250"/>
        <v>-456000</v>
      </c>
    </row>
    <row r="175" spans="1:54" ht="140.4" outlineLevel="2">
      <c r="A175" s="98"/>
      <c r="B175" s="102"/>
      <c r="C175" s="23"/>
      <c r="D175" s="119"/>
      <c r="E175" s="121"/>
      <c r="F175" s="54"/>
      <c r="G175" s="87"/>
      <c r="H175" s="302" t="s">
        <v>513</v>
      </c>
      <c r="I175" s="104" t="s">
        <v>4</v>
      </c>
      <c r="J175" s="105">
        <v>0.4</v>
      </c>
      <c r="K175" s="105">
        <v>1</v>
      </c>
      <c r="L175" s="106">
        <f>IF(I175&lt;&gt;0,((VLOOKUP(I175,'1. Standard_Cost'!$B$4:$D$11,2)+VLOOKUP(I175,'1. Standard_Cost'!$B$4:$D$11,3))*J175*K175),"0")</f>
        <v>32300</v>
      </c>
      <c r="M175" s="106">
        <f>L175*'1. Standard_Cost'!$F$4</f>
        <v>5394.1</v>
      </c>
      <c r="N175" s="107"/>
      <c r="O175" s="107"/>
      <c r="P175" s="107"/>
      <c r="Q175" s="107"/>
      <c r="R175" s="108">
        <f>'1. Standard_Cost'!$B$15*N175*P175</f>
        <v>0</v>
      </c>
      <c r="S175" s="108">
        <f>N175*O175*P175*'1. Standard_Cost'!$C$15</f>
        <v>0</v>
      </c>
      <c r="T175" s="108">
        <f>N175*P175*Q175*'1. Standard_Cost'!$D$15</f>
        <v>0</v>
      </c>
      <c r="U175" s="108">
        <f>N175*O175*'1. Standard_Cost'!$E$15</f>
        <v>0</v>
      </c>
      <c r="V175" s="107"/>
      <c r="W175" s="107"/>
      <c r="X175" s="107"/>
      <c r="Y175" s="108">
        <f>+V175*((X175*'1. Standard_Cost'!$B$19)+(W175*X175*'1. Standard_Cost'!$C$19))</f>
        <v>0</v>
      </c>
      <c r="Z175" s="107"/>
      <c r="AA175" s="107">
        <f>10</f>
        <v>10</v>
      </c>
      <c r="AB175" s="108">
        <f>+Z175*'1. Standard_Cost'!$B$23+AA175*'1. Standard_Cost'!$C$23</f>
        <v>190000</v>
      </c>
      <c r="AC175" s="109"/>
      <c r="AD175" s="110"/>
      <c r="AE175" s="108">
        <f>SUM(AD175,AC175,AB175,Y175,U175,T175,S175,R175)*'1. Standard_Cost'!$B$31</f>
        <v>38000</v>
      </c>
      <c r="AF175" s="108">
        <f t="shared" si="246"/>
        <v>228000</v>
      </c>
      <c r="AG175" s="107"/>
      <c r="AH175" s="107"/>
      <c r="AI175" s="107"/>
      <c r="AJ175" s="111"/>
      <c r="AK175" s="111"/>
      <c r="AL175" s="111"/>
      <c r="AM175" s="108">
        <f>AG175*'1. Standard_Cost'!$B$27+'Incremental_Cost Year 1'!AH175*'1. Standard_Cost'!$C$27+'Incremental_Cost Year 1'!AI175*'1. Standard_Cost'!$D$27+'Incremental_Cost Year 1'!AJ175+'Incremental_Cost Year 1'!AL175+AK175</f>
        <v>0</v>
      </c>
      <c r="AN175" s="108">
        <f>AM175*'1. Standard_Cost'!$C$31</f>
        <v>0</v>
      </c>
      <c r="AO175" s="125" t="s">
        <v>393</v>
      </c>
      <c r="AQ175" s="14">
        <f t="shared" si="247"/>
        <v>37694.1</v>
      </c>
      <c r="AR175" s="14">
        <f t="shared" si="248"/>
        <v>228000</v>
      </c>
      <c r="AS175" s="14">
        <f t="shared" si="249"/>
        <v>0</v>
      </c>
      <c r="AT175" s="14">
        <f t="shared" si="251"/>
        <v>265694.09999999998</v>
      </c>
      <c r="AU175" s="15">
        <v>37694.1</v>
      </c>
      <c r="AV175" s="15"/>
      <c r="AW175" s="15"/>
      <c r="AX175" s="15"/>
      <c r="AY175" s="15"/>
      <c r="AZ175" s="15"/>
      <c r="BA175" s="15"/>
      <c r="BB175" s="16">
        <f t="shared" si="250"/>
        <v>-227999.99999999997</v>
      </c>
    </row>
    <row r="176" spans="1:54" ht="25.2" customHeight="1" outlineLevel="2">
      <c r="A176" s="98"/>
      <c r="B176" s="102"/>
      <c r="C176" s="23"/>
      <c r="D176" s="119"/>
      <c r="E176" s="121"/>
      <c r="F176" s="12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c r="AB176" s="108">
        <f>+Z176*'[1]1. Standard_Cost'!$B$23+AA176*'[1]1. Standard_Cost'!$C$23</f>
        <v>0</v>
      </c>
      <c r="AC176" s="109"/>
      <c r="AD176" s="110"/>
      <c r="AE176" s="108">
        <f>SUM(AD176,AC176,AB176,Y176,U176,T176,S176,R176)*'[1]1. Standard_Cost'!$B$31</f>
        <v>0</v>
      </c>
      <c r="AF176" s="108">
        <f t="shared" si="246"/>
        <v>0</v>
      </c>
      <c r="AG176" s="107"/>
      <c r="AH176" s="107"/>
      <c r="AI176" s="107"/>
      <c r="AJ176" s="111"/>
      <c r="AK176" s="111"/>
      <c r="AL176" s="111"/>
      <c r="AM176" s="108">
        <f>AG176*'1. Standard_Cost'!$B$27+'Incremental_Cost Year 1'!AH176*'1. Standard_Cost'!$C$27+'Incremental_Cost Year 1'!AI176*'1. Standard_Cost'!$D$27+'Incremental_Cost Year 1'!AJ176+'Incremental_Cost Year 1'!AL176+AK176</f>
        <v>0</v>
      </c>
      <c r="AN176" s="108">
        <f>AM176*'1. Standard_Cost'!$C$31</f>
        <v>0</v>
      </c>
      <c r="AO176" s="125" t="s">
        <v>393</v>
      </c>
      <c r="AQ176" s="14">
        <f t="shared" si="247"/>
        <v>0</v>
      </c>
      <c r="AR176" s="14">
        <f t="shared" si="248"/>
        <v>0</v>
      </c>
      <c r="AS176" s="14">
        <f t="shared" si="249"/>
        <v>0</v>
      </c>
      <c r="AT176" s="14">
        <f t="shared" si="251"/>
        <v>0</v>
      </c>
      <c r="AU176" s="15"/>
      <c r="AV176" s="15"/>
      <c r="AW176" s="15"/>
      <c r="AX176" s="15"/>
      <c r="AY176" s="15"/>
      <c r="AZ176" s="15"/>
      <c r="BA176" s="15"/>
      <c r="BB176" s="16">
        <f t="shared" si="250"/>
        <v>0</v>
      </c>
    </row>
    <row r="177" spans="1:54" ht="156" outlineLevel="2">
      <c r="A177" s="98"/>
      <c r="B177" s="102"/>
      <c r="C177" s="23"/>
      <c r="D177" s="119"/>
      <c r="E177" s="121"/>
      <c r="F177" s="54"/>
      <c r="G177" s="87"/>
      <c r="H177" s="302" t="s">
        <v>514</v>
      </c>
      <c r="I177" s="104" t="s">
        <v>4</v>
      </c>
      <c r="J177" s="105">
        <v>0.4</v>
      </c>
      <c r="K177" s="105">
        <v>1</v>
      </c>
      <c r="L177" s="106">
        <f>IF(I177&lt;&gt;0,((VLOOKUP(I177,'1. Standard_Cost'!$B$4:$D$11,2)+VLOOKUP(I177,'1. Standard_Cost'!$B$4:$D$11,3))*J177*K177),"0")</f>
        <v>32300</v>
      </c>
      <c r="M177" s="106">
        <f>L177*'1. Standard_Cost'!$F$4</f>
        <v>5394.1</v>
      </c>
      <c r="N177" s="107"/>
      <c r="O177" s="107"/>
      <c r="P177" s="107"/>
      <c r="Q177" s="107"/>
      <c r="R177" s="108">
        <f>'1. Standard_Cost'!$B$15*N177*P177</f>
        <v>0</v>
      </c>
      <c r="S177" s="108">
        <f>N177*O177*P177*'1. Standard_Cost'!$C$15</f>
        <v>0</v>
      </c>
      <c r="T177" s="108">
        <f>N177*P177*Q177*'1. Standard_Cost'!$D$15</f>
        <v>0</v>
      </c>
      <c r="U177" s="108">
        <f>N177*O177*'1. Standard_Cost'!$E$15</f>
        <v>0</v>
      </c>
      <c r="V177" s="107"/>
      <c r="W177" s="107"/>
      <c r="X177" s="107"/>
      <c r="Y177" s="108">
        <f>+V177*((X177*'1. Standard_Cost'!$B$19)+(W177*X177*'1. Standard_Cost'!$C$19))</f>
        <v>0</v>
      </c>
      <c r="Z177" s="107"/>
      <c r="AA177" s="107">
        <v>10</v>
      </c>
      <c r="AB177" s="108">
        <f>+Z177*'1. Standard_Cost'!$B$23+AA177*'1. Standard_Cost'!$C$23</f>
        <v>190000</v>
      </c>
      <c r="AC177" s="109"/>
      <c r="AD177" s="110"/>
      <c r="AE177" s="108">
        <f>SUM(AD177,AC177,AB177,Y177,U177,T177,S177,R177)*'1. Standard_Cost'!$B$31</f>
        <v>38000</v>
      </c>
      <c r="AF177" s="108">
        <f t="shared" si="246"/>
        <v>228000</v>
      </c>
      <c r="AG177" s="107"/>
      <c r="AH177" s="107"/>
      <c r="AI177" s="107"/>
      <c r="AJ177" s="111"/>
      <c r="AK177" s="111"/>
      <c r="AL177" s="111"/>
      <c r="AM177" s="108">
        <f>AG177*'1. Standard_Cost'!$B$27+'Incremental_Cost Year 1'!AH177*'1. Standard_Cost'!$C$27+'Incremental_Cost Year 1'!AI177*'1. Standard_Cost'!$D$27+'Incremental_Cost Year 1'!AJ177+'Incremental_Cost Year 1'!AL177+AK177</f>
        <v>0</v>
      </c>
      <c r="AN177" s="108">
        <f>AM177*'1. Standard_Cost'!$C$31</f>
        <v>0</v>
      </c>
      <c r="AO177" s="310" t="s">
        <v>652</v>
      </c>
      <c r="AQ177" s="14">
        <f t="shared" si="247"/>
        <v>37694.1</v>
      </c>
      <c r="AR177" s="14">
        <f t="shared" si="248"/>
        <v>228000</v>
      </c>
      <c r="AS177" s="14">
        <f t="shared" si="249"/>
        <v>0</v>
      </c>
      <c r="AT177" s="14">
        <f t="shared" si="251"/>
        <v>265694.09999999998</v>
      </c>
      <c r="AU177" s="15">
        <v>37694.1</v>
      </c>
      <c r="AV177" s="15"/>
      <c r="AW177" s="15"/>
      <c r="AX177" s="15"/>
      <c r="AY177" s="15"/>
      <c r="AZ177" s="15"/>
      <c r="BA177" s="15"/>
      <c r="BB177" s="16">
        <f t="shared" si="250"/>
        <v>-227999.99999999997</v>
      </c>
    </row>
    <row r="178" spans="1:54" ht="27.6" outlineLevel="1">
      <c r="A178" s="98"/>
      <c r="B178" s="102"/>
      <c r="C178" s="23"/>
      <c r="D178" s="31" t="s">
        <v>638</v>
      </c>
      <c r="E178" s="56" t="s">
        <v>239</v>
      </c>
      <c r="F178" s="58">
        <v>2021</v>
      </c>
      <c r="G178" s="59">
        <v>2026</v>
      </c>
      <c r="H178" s="279" t="s">
        <v>240</v>
      </c>
      <c r="I178" s="112"/>
      <c r="J178" s="112"/>
      <c r="K178" s="112"/>
      <c r="L178" s="113">
        <f>SUM(L169:L177)</f>
        <v>226100</v>
      </c>
      <c r="M178" s="113">
        <f>SUM(M169:M177)</f>
        <v>37758.699999999997</v>
      </c>
      <c r="N178" s="112"/>
      <c r="O178" s="112"/>
      <c r="P178" s="112"/>
      <c r="Q178" s="112"/>
      <c r="R178" s="113">
        <f>SUM(R169:R177)</f>
        <v>0</v>
      </c>
      <c r="S178" s="113">
        <f>SUM(S169:S177)</f>
        <v>0</v>
      </c>
      <c r="T178" s="113">
        <f>SUM(T169:T177)</f>
        <v>0</v>
      </c>
      <c r="U178" s="113">
        <f>SUM(U169:U177)</f>
        <v>0</v>
      </c>
      <c r="V178" s="112"/>
      <c r="W178" s="112"/>
      <c r="X178" s="112"/>
      <c r="Y178" s="113">
        <f>SUM(Y169:Y177)</f>
        <v>0</v>
      </c>
      <c r="Z178" s="113"/>
      <c r="AA178" s="112"/>
      <c r="AB178" s="113">
        <f>SUM(AB169:AB177)</f>
        <v>760000</v>
      </c>
      <c r="AC178" s="113">
        <f>SUM(AC169:AC177)</f>
        <v>0</v>
      </c>
      <c r="AD178" s="113">
        <f>SUM(AD169:AD177)</f>
        <v>0</v>
      </c>
      <c r="AE178" s="113">
        <f>SUM(AE169:AE177)</f>
        <v>152000</v>
      </c>
      <c r="AF178" s="113">
        <f>SUM(AF169:AF177)</f>
        <v>912000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BB178" si="252">SUM(AQ169:AQ177)</f>
        <v>263858.7</v>
      </c>
      <c r="AR178" s="113">
        <f t="shared" si="252"/>
        <v>912000</v>
      </c>
      <c r="AS178" s="113">
        <f t="shared" si="252"/>
        <v>0</v>
      </c>
      <c r="AT178" s="113">
        <f t="shared" si="252"/>
        <v>1175858.7</v>
      </c>
      <c r="AU178" s="113">
        <f t="shared" si="252"/>
        <v>263858.7</v>
      </c>
      <c r="AV178" s="113">
        <f t="shared" si="252"/>
        <v>0</v>
      </c>
      <c r="AW178" s="113">
        <f t="shared" si="252"/>
        <v>0</v>
      </c>
      <c r="AX178" s="113">
        <f t="shared" si="252"/>
        <v>0</v>
      </c>
      <c r="AY178" s="113">
        <f t="shared" si="252"/>
        <v>0</v>
      </c>
      <c r="AZ178" s="113">
        <f t="shared" si="252"/>
        <v>0</v>
      </c>
      <c r="BA178" s="113">
        <f t="shared" si="252"/>
        <v>0</v>
      </c>
      <c r="BB178" s="113">
        <f t="shared" si="252"/>
        <v>-912000</v>
      </c>
    </row>
    <row r="179" spans="1:54" s="24" customFormat="1">
      <c r="A179" s="114"/>
      <c r="B179" s="115"/>
      <c r="C179" s="314" t="s">
        <v>241</v>
      </c>
      <c r="D179" s="314"/>
      <c r="E179" s="315"/>
      <c r="F179" s="44"/>
      <c r="G179" s="44"/>
      <c r="H179" s="278" t="s">
        <v>242</v>
      </c>
      <c r="I179" s="116"/>
      <c r="J179" s="116"/>
      <c r="K179" s="116"/>
      <c r="L179" s="117">
        <f>SUM(L201)</f>
        <v>19591450</v>
      </c>
      <c r="M179" s="117">
        <f>SUM(M201)</f>
        <v>3271772.15</v>
      </c>
      <c r="N179" s="116"/>
      <c r="O179" s="116"/>
      <c r="P179" s="116"/>
      <c r="Q179" s="116"/>
      <c r="R179" s="117">
        <f t="shared" ref="R179:U179" si="253">SUM(R201)</f>
        <v>0</v>
      </c>
      <c r="S179" s="117">
        <f t="shared" si="253"/>
        <v>0</v>
      </c>
      <c r="T179" s="117">
        <f t="shared" si="253"/>
        <v>0</v>
      </c>
      <c r="U179" s="117">
        <f t="shared" si="253"/>
        <v>0</v>
      </c>
      <c r="V179" s="116"/>
      <c r="W179" s="116"/>
      <c r="X179" s="116"/>
      <c r="Y179" s="117">
        <f>SUM(Y201)</f>
        <v>0</v>
      </c>
      <c r="Z179" s="117"/>
      <c r="AA179" s="117"/>
      <c r="AB179" s="117">
        <f t="shared" ref="AB179:AF179" si="254">SUM(AB201)</f>
        <v>1368000</v>
      </c>
      <c r="AC179" s="117">
        <f t="shared" si="254"/>
        <v>1582000</v>
      </c>
      <c r="AD179" s="117">
        <f t="shared" si="254"/>
        <v>0</v>
      </c>
      <c r="AE179" s="117">
        <f t="shared" si="254"/>
        <v>390000</v>
      </c>
      <c r="AF179" s="117">
        <f t="shared" si="254"/>
        <v>3340000</v>
      </c>
      <c r="AG179" s="116"/>
      <c r="AH179" s="116"/>
      <c r="AI179" s="116"/>
      <c r="AJ179" s="117">
        <f t="shared" ref="AJ179:AN179" si="255">SUM(AJ201)</f>
        <v>0</v>
      </c>
      <c r="AK179" s="117">
        <f t="shared" si="255"/>
        <v>0</v>
      </c>
      <c r="AL179" s="117">
        <f t="shared" si="255"/>
        <v>0</v>
      </c>
      <c r="AM179" s="117">
        <f t="shared" si="255"/>
        <v>0</v>
      </c>
      <c r="AN179" s="117">
        <f t="shared" si="255"/>
        <v>0</v>
      </c>
      <c r="AO179" s="132"/>
      <c r="AP179" s="25"/>
      <c r="AQ179" s="117">
        <f t="shared" ref="AQ179:BB179" si="256">SUM(AQ201)</f>
        <v>22863222.149999999</v>
      </c>
      <c r="AR179" s="117">
        <f t="shared" si="256"/>
        <v>3340000</v>
      </c>
      <c r="AS179" s="117">
        <f t="shared" si="256"/>
        <v>0</v>
      </c>
      <c r="AT179" s="117">
        <f t="shared" si="256"/>
        <v>26203222.149999999</v>
      </c>
      <c r="AU179" s="117">
        <f t="shared" si="256"/>
        <v>22863222.149999999</v>
      </c>
      <c r="AV179" s="117">
        <f t="shared" si="256"/>
        <v>0</v>
      </c>
      <c r="AW179" s="117">
        <f t="shared" si="256"/>
        <v>0</v>
      </c>
      <c r="AX179" s="117">
        <f t="shared" si="256"/>
        <v>1000000</v>
      </c>
      <c r="AY179" s="117">
        <f t="shared" si="256"/>
        <v>0</v>
      </c>
      <c r="AZ179" s="117">
        <f t="shared" si="256"/>
        <v>0</v>
      </c>
      <c r="BA179" s="117">
        <f t="shared" si="256"/>
        <v>0</v>
      </c>
      <c r="BB179" s="117">
        <f t="shared" si="256"/>
        <v>-2340000</v>
      </c>
    </row>
    <row r="180" spans="1:54" ht="109.2" outlineLevel="2">
      <c r="A180" s="98"/>
      <c r="B180" s="102"/>
      <c r="C180" s="23"/>
      <c r="D180" s="103"/>
      <c r="E180" s="123"/>
      <c r="F180" s="53"/>
      <c r="G180" s="139"/>
      <c r="H180" s="302" t="s">
        <v>516</v>
      </c>
      <c r="I180" s="104"/>
      <c r="J180" s="105"/>
      <c r="K180" s="105"/>
      <c r="L180" s="106" t="str">
        <f>IF(I180&lt;&gt;0,((VLOOKUP(I180,'1. Standard_Cost'!$B$4:$D$11,2)+VLOOKUP(I180,'1. Standard_Cost'!$B$4:$D$11,3))*J180*K180),"0")</f>
        <v>0</v>
      </c>
      <c r="M180" s="106">
        <f>L180*'1. Standard_Cost'!$F$4</f>
        <v>0</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c r="AB180" s="108">
        <f>+Z180*'1. Standard_Cost'!$B$23+AA180*'1. Standard_Cost'!$C$23</f>
        <v>0</v>
      </c>
      <c r="AC180" s="109"/>
      <c r="AD180" s="110"/>
      <c r="AE180" s="108">
        <f>SUM(AD180,AC180,AB180,Y180,U180,T180,S180,R180)*'1. Standard_Cost'!$B$31</f>
        <v>0</v>
      </c>
      <c r="AF180" s="108">
        <f t="shared" ref="AF180:AF200" si="257">SUM(AE180,AD180,AC180,AB180,Y180,U180,T180,S180,R180)</f>
        <v>0</v>
      </c>
      <c r="AG180" s="107"/>
      <c r="AH180" s="107"/>
      <c r="AI180" s="107"/>
      <c r="AJ180" s="111"/>
      <c r="AK180" s="111"/>
      <c r="AL180" s="111"/>
      <c r="AM180" s="108">
        <f>AG180*'1. Standard_Cost'!$B$27+'Incremental_Cost Year 1'!AH180*'1. Standard_Cost'!$C$27+'Incremental_Cost Year 1'!AI180*'1. Standard_Cost'!$D$27+'Incremental_Cost Year 1'!AJ180+'Incremental_Cost Year 1'!AL180+AK180</f>
        <v>0</v>
      </c>
      <c r="AN180" s="108">
        <f>AM180*'1. Standard_Cost'!$C$31</f>
        <v>0</v>
      </c>
      <c r="AO180" s="125" t="s">
        <v>395</v>
      </c>
      <c r="AQ180" s="14">
        <f t="shared" ref="AQ180:AQ200" si="258">L180+M180</f>
        <v>0</v>
      </c>
      <c r="AR180" s="14">
        <f t="shared" ref="AR180:AR200" si="259">AF180</f>
        <v>0</v>
      </c>
      <c r="AS180" s="14">
        <f t="shared" ref="AS180:AS200" si="260">AM180+AN180</f>
        <v>0</v>
      </c>
      <c r="AT180" s="14">
        <f>SUM(AQ180,AR180,AS180)</f>
        <v>0</v>
      </c>
      <c r="AU180" s="15"/>
      <c r="AV180" s="15"/>
      <c r="AW180" s="15"/>
      <c r="AX180" s="15"/>
      <c r="AY180" s="15"/>
      <c r="AZ180" s="15"/>
      <c r="BA180" s="15"/>
      <c r="BB180" s="16">
        <f t="shared" ref="BB180:BB200" si="261">SUM(AU180:BA180)-AT180</f>
        <v>0</v>
      </c>
    </row>
    <row r="181" spans="1:54" ht="171.6" outlineLevel="2">
      <c r="A181" s="98"/>
      <c r="B181" s="102"/>
      <c r="C181" s="23"/>
      <c r="D181" s="119"/>
      <c r="E181" s="121"/>
      <c r="F181" s="54"/>
      <c r="G181" s="87"/>
      <c r="H181" s="302" t="s">
        <v>517</v>
      </c>
      <c r="I181" s="104" t="s">
        <v>3</v>
      </c>
      <c r="J181" s="105">
        <v>0.4</v>
      </c>
      <c r="K181" s="105">
        <v>10</v>
      </c>
      <c r="L181" s="106">
        <f>IF(I181&lt;&gt;0,((VLOOKUP(I181,'1. Standard_Cost'!$B$4:$D$11,2)+VLOOKUP(I181,'1. Standard_Cost'!$B$4:$D$11,3))*J181*K181),"0")</f>
        <v>403200</v>
      </c>
      <c r="M181" s="106">
        <f>L181*'1. Standard_Cost'!$F$4</f>
        <v>67334.400000000009</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v>20</v>
      </c>
      <c r="AB181" s="108">
        <f>+Z181*'1. Standard_Cost'!$B$23+AA181*'1. Standard_Cost'!$C$23</f>
        <v>380000</v>
      </c>
      <c r="AC181" s="109">
        <f>2*20*300</f>
        <v>12000</v>
      </c>
      <c r="AD181" s="110"/>
      <c r="AE181" s="108">
        <f>SUM(AD181,AC181,AB181,Y181,U181,T181,S181,R181)*'1. Standard_Cost'!$B$31</f>
        <v>78400</v>
      </c>
      <c r="AF181" s="108">
        <f t="shared" si="257"/>
        <v>470400</v>
      </c>
      <c r="AG181" s="107"/>
      <c r="AH181" s="107"/>
      <c r="AI181" s="107"/>
      <c r="AJ181" s="111"/>
      <c r="AK181" s="111"/>
      <c r="AL181" s="111"/>
      <c r="AM181" s="108">
        <f>AG181*'1. Standard_Cost'!$B$27+'Incremental_Cost Year 1'!AH181*'1. Standard_Cost'!$C$27+'Incremental_Cost Year 1'!AI181*'1. Standard_Cost'!$D$27+'Incremental_Cost Year 1'!AJ181+'Incremental_Cost Year 1'!AL181+AK181</f>
        <v>0</v>
      </c>
      <c r="AN181" s="108">
        <f>AM181*'1. Standard_Cost'!$C$31</f>
        <v>0</v>
      </c>
      <c r="AO181" s="125" t="s">
        <v>698</v>
      </c>
      <c r="AQ181" s="14">
        <f t="shared" si="258"/>
        <v>470534.40000000002</v>
      </c>
      <c r="AR181" s="14">
        <f t="shared" si="259"/>
        <v>470400</v>
      </c>
      <c r="AS181" s="14">
        <f t="shared" si="260"/>
        <v>0</v>
      </c>
      <c r="AT181" s="14">
        <f t="shared" ref="AT181:AT200" si="262">SUM(AQ181,AR181,AS181)</f>
        <v>940934.4</v>
      </c>
      <c r="AU181" s="15">
        <v>470534.40000000002</v>
      </c>
      <c r="AV181" s="15"/>
      <c r="AW181" s="15"/>
      <c r="AX181" s="15"/>
      <c r="AY181" s="15"/>
      <c r="AZ181" s="15"/>
      <c r="BA181" s="15"/>
      <c r="BB181" s="16">
        <f t="shared" si="261"/>
        <v>-470400</v>
      </c>
    </row>
    <row r="182" spans="1:54" ht="124.8" outlineLevel="2">
      <c r="A182" s="98"/>
      <c r="B182" s="102"/>
      <c r="C182" s="23"/>
      <c r="D182" s="119"/>
      <c r="E182" s="121"/>
      <c r="F182" s="54"/>
      <c r="G182" s="87"/>
      <c r="H182" s="302" t="s">
        <v>518</v>
      </c>
      <c r="I182" s="104"/>
      <c r="J182" s="105"/>
      <c r="K182" s="105"/>
      <c r="L182" s="106" t="str">
        <f>IF(I182&lt;&gt;0,((VLOOKUP(I182,'1. Standard_Cost'!$B$4:$D$11,2)+VLOOKUP(I182,'1. Standard_Cost'!$B$4:$D$11,3))*J182*K182),"0")</f>
        <v>0</v>
      </c>
      <c r="M182" s="106">
        <f>L182*'1. Standard_Cost'!$F$4</f>
        <v>0</v>
      </c>
      <c r="N182" s="107"/>
      <c r="O182" s="107"/>
      <c r="P182" s="107"/>
      <c r="Q182" s="107"/>
      <c r="R182" s="108">
        <f>'1. Standard_Cost'!$B$15*N182*P182</f>
        <v>0</v>
      </c>
      <c r="S182" s="108">
        <f>N182*O182*P182*'1. Standard_Cost'!$C$15</f>
        <v>0</v>
      </c>
      <c r="T182" s="108">
        <f>N182*P182*Q182*'1. Standard_Cost'!$D$15</f>
        <v>0</v>
      </c>
      <c r="U182" s="108">
        <f>N182*O182*'1. Standard_Cost'!$E$15</f>
        <v>0</v>
      </c>
      <c r="V182" s="107"/>
      <c r="W182" s="107"/>
      <c r="X182" s="107"/>
      <c r="Y182" s="108">
        <f>+V182*((X182*'1. Standard_Cost'!$B$19)+(W182*X182*'1. Standard_Cost'!$C$19))</f>
        <v>0</v>
      </c>
      <c r="Z182" s="107"/>
      <c r="AA182" s="107"/>
      <c r="AB182" s="108">
        <f>+Z182*'1. Standard_Cost'!$B$23+AA182*'1. Standard_Cost'!$C$23</f>
        <v>0</v>
      </c>
      <c r="AC182" s="109"/>
      <c r="AD182" s="110"/>
      <c r="AE182" s="108">
        <f>SUM(AD182,AC182,AB182,Y182,U182,T182,S182,R182)*'1. Standard_Cost'!$B$31</f>
        <v>0</v>
      </c>
      <c r="AF182" s="108">
        <f t="shared" ref="AF182" si="263">SUM(AE182,AD182,AC182,AB182,Y182,U182,T182,S182,R182)</f>
        <v>0</v>
      </c>
      <c r="AG182" s="107"/>
      <c r="AH182" s="107"/>
      <c r="AI182" s="107"/>
      <c r="AJ182" s="111"/>
      <c r="AK182" s="111"/>
      <c r="AL182" s="111"/>
      <c r="AM182" s="108">
        <f>AG182*'1. Standard_Cost'!$B$27+'Incremental_Cost Year 1'!AH182*'1. Standard_Cost'!$C$27+'Incremental_Cost Year 1'!AI182*'1. Standard_Cost'!$D$27+'Incremental_Cost Year 1'!AJ182+'Incremental_Cost Year 1'!AL182+AK182</f>
        <v>0</v>
      </c>
      <c r="AN182" s="108">
        <f>AM182*'1. Standard_Cost'!$C$31</f>
        <v>0</v>
      </c>
      <c r="AO182" s="125" t="s">
        <v>397</v>
      </c>
      <c r="AQ182" s="14">
        <f t="shared" ref="AQ182" si="264">L182+M182</f>
        <v>0</v>
      </c>
      <c r="AR182" s="14">
        <f t="shared" ref="AR182" si="265">AF182</f>
        <v>0</v>
      </c>
      <c r="AS182" s="14">
        <f t="shared" ref="AS182" si="266">AM182+AN182</f>
        <v>0</v>
      </c>
      <c r="AT182" s="14">
        <f t="shared" ref="AT182" si="267">SUM(AQ182,AR182,AS182)</f>
        <v>0</v>
      </c>
      <c r="AU182" s="15"/>
      <c r="AV182" s="15"/>
      <c r="AW182" s="15"/>
      <c r="AX182" s="15"/>
      <c r="AY182" s="15"/>
      <c r="AZ182" s="15"/>
      <c r="BA182" s="15"/>
      <c r="BB182" s="16">
        <f t="shared" ref="BB182" si="268">SUM(AU182:BA182)-AT182</f>
        <v>0</v>
      </c>
    </row>
    <row r="183" spans="1:54" ht="93.6" outlineLevel="2">
      <c r="A183" s="98"/>
      <c r="B183" s="102"/>
      <c r="C183" s="23"/>
      <c r="D183" s="119"/>
      <c r="E183" s="121"/>
      <c r="F183" s="54"/>
      <c r="G183" s="87"/>
      <c r="H183" s="302" t="s">
        <v>519</v>
      </c>
      <c r="I183" s="104"/>
      <c r="J183" s="105"/>
      <c r="K183" s="105"/>
      <c r="L183" s="106" t="str">
        <f>IF(I183&lt;&gt;0,((VLOOKUP(I183,'1. Standard_Cost'!$B$4:$D$11,2)+VLOOKUP(I183,'1. Standard_Cost'!$B$4:$D$11,3))*J183*K183),"0")</f>
        <v>0</v>
      </c>
      <c r="M183" s="106">
        <f>L183*'1. Standard_Cost'!$F$4</f>
        <v>0</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c r="AD183" s="110"/>
      <c r="AE183" s="108">
        <f>SUM(AD183,AC183,AB183,Y183,U183,T183,S183,R183)*'1. Standard_Cost'!$B$31</f>
        <v>0</v>
      </c>
      <c r="AF183" s="108">
        <f t="shared" si="257"/>
        <v>0</v>
      </c>
      <c r="AG183" s="107"/>
      <c r="AH183" s="107"/>
      <c r="AI183" s="107"/>
      <c r="AJ183" s="111"/>
      <c r="AK183" s="111"/>
      <c r="AL183" s="111"/>
      <c r="AM183" s="108">
        <f>AG183*'1. Standard_Cost'!$B$27+'Incremental_Cost Year 1'!AH183*'1. Standard_Cost'!$C$27+'Incremental_Cost Year 1'!AI183*'1. Standard_Cost'!$D$27+'Incremental_Cost Year 1'!AJ183+'Incremental_Cost Year 1'!AL183+AK183</f>
        <v>0</v>
      </c>
      <c r="AN183" s="108">
        <f>AM183*'1. Standard_Cost'!$C$31</f>
        <v>0</v>
      </c>
      <c r="AO183" s="125" t="s">
        <v>398</v>
      </c>
      <c r="AQ183" s="14">
        <f t="shared" si="258"/>
        <v>0</v>
      </c>
      <c r="AR183" s="14">
        <f t="shared" si="259"/>
        <v>0</v>
      </c>
      <c r="AS183" s="14">
        <f t="shared" si="260"/>
        <v>0</v>
      </c>
      <c r="AT183" s="14">
        <f t="shared" si="262"/>
        <v>0</v>
      </c>
      <c r="AU183" s="15"/>
      <c r="AV183" s="15"/>
      <c r="AW183" s="15"/>
      <c r="AX183" s="15"/>
      <c r="AY183" s="15"/>
      <c r="AZ183" s="15"/>
      <c r="BA183" s="15"/>
      <c r="BB183" s="16">
        <f t="shared" si="261"/>
        <v>0</v>
      </c>
    </row>
    <row r="184" spans="1:54" ht="171.6" outlineLevel="2">
      <c r="A184" s="98"/>
      <c r="B184" s="102"/>
      <c r="C184" s="23"/>
      <c r="D184" s="119"/>
      <c r="E184" s="121"/>
      <c r="F184" s="54"/>
      <c r="G184" s="87"/>
      <c r="H184" s="302" t="s">
        <v>520</v>
      </c>
      <c r="I184" s="104"/>
      <c r="J184" s="105"/>
      <c r="K184" s="105"/>
      <c r="L184" s="106" t="str">
        <f>IF(I184&lt;&gt;0,((VLOOKUP(I184,'1. Standard_Cost'!$B$4:$D$11,2)+VLOOKUP(I184,'1. Standard_Cost'!$B$4:$D$11,3))*J184*K184),"0")</f>
        <v>0</v>
      </c>
      <c r="M184" s="106">
        <f>L184*'1. Standard_Cost'!$F$4</f>
        <v>0</v>
      </c>
      <c r="N184" s="107"/>
      <c r="O184" s="107"/>
      <c r="P184" s="107"/>
      <c r="Q184" s="107"/>
      <c r="R184" s="108">
        <f>'1. Standard_Cost'!$B$15*N184*P184</f>
        <v>0</v>
      </c>
      <c r="S184" s="108">
        <f>N184*O184*P184*'1. Standard_Cost'!$C$15</f>
        <v>0</v>
      </c>
      <c r="T184" s="108">
        <f>N184*P184*Q184*'1. Standard_Cost'!$D$15</f>
        <v>0</v>
      </c>
      <c r="U184" s="108">
        <f>N184*O184*'1. Standard_Cost'!$E$15</f>
        <v>0</v>
      </c>
      <c r="V184" s="107"/>
      <c r="W184" s="107"/>
      <c r="X184" s="107"/>
      <c r="Y184" s="108">
        <f>+V184*((X184*'1. Standard_Cost'!$B$19)+(W184*X184*'1. Standard_Cost'!$C$19))</f>
        <v>0</v>
      </c>
      <c r="Z184" s="107"/>
      <c r="AA184" s="107"/>
      <c r="AB184" s="108">
        <f>+Z184*'1. Standard_Cost'!$B$23+AA184*'1. Standard_Cost'!$C$23</f>
        <v>0</v>
      </c>
      <c r="AC184" s="109"/>
      <c r="AD184" s="110"/>
      <c r="AE184" s="108">
        <f>SUM(AD184,AC184,AB184,Y184,U184,T184,S184,R184)*'1. Standard_Cost'!$B$31</f>
        <v>0</v>
      </c>
      <c r="AF184" s="108">
        <f t="shared" si="257"/>
        <v>0</v>
      </c>
      <c r="AG184" s="107"/>
      <c r="AH184" s="107"/>
      <c r="AI184" s="107"/>
      <c r="AJ184" s="111"/>
      <c r="AK184" s="111"/>
      <c r="AL184" s="111"/>
      <c r="AM184" s="108">
        <f>AG184*'1. Standard_Cost'!$B$27+'Incremental_Cost Year 1'!AH184*'1. Standard_Cost'!$C$27+'Incremental_Cost Year 1'!AI184*'1. Standard_Cost'!$D$27+'Incremental_Cost Year 1'!AJ184+'Incremental_Cost Year 1'!AL184+AK184</f>
        <v>0</v>
      </c>
      <c r="AN184" s="108">
        <f>AM184*'1. Standard_Cost'!$C$31</f>
        <v>0</v>
      </c>
      <c r="AO184" s="311" t="s">
        <v>653</v>
      </c>
      <c r="AQ184" s="14">
        <f t="shared" si="258"/>
        <v>0</v>
      </c>
      <c r="AR184" s="14">
        <f t="shared" si="259"/>
        <v>0</v>
      </c>
      <c r="AS184" s="14">
        <f t="shared" si="260"/>
        <v>0</v>
      </c>
      <c r="AT184" s="14">
        <f t="shared" si="262"/>
        <v>0</v>
      </c>
      <c r="AU184" s="15"/>
      <c r="AV184" s="15"/>
      <c r="AW184" s="15"/>
      <c r="AX184" s="15"/>
      <c r="AY184" s="15"/>
      <c r="AZ184" s="15"/>
      <c r="BA184" s="15"/>
      <c r="BB184" s="16">
        <f t="shared" si="261"/>
        <v>0</v>
      </c>
    </row>
    <row r="185" spans="1:54" ht="124.8" outlineLevel="2">
      <c r="A185" s="98"/>
      <c r="B185" s="102"/>
      <c r="C185" s="23"/>
      <c r="D185" s="119"/>
      <c r="E185" s="121"/>
      <c r="F185" s="54"/>
      <c r="G185" s="87"/>
      <c r="H185" s="302" t="s">
        <v>521</v>
      </c>
      <c r="I185" s="104"/>
      <c r="J185" s="105"/>
      <c r="K185" s="105"/>
      <c r="L185" s="106" t="str">
        <f>IF(I185&lt;&gt;0,((VLOOKUP(I185,'1. Standard_Cost'!$B$4:$D$11,2)+VLOOKUP(I185,'1. Standard_Cost'!$B$4:$D$11,3))*J185*K185),"0")</f>
        <v>0</v>
      </c>
      <c r="M185" s="106">
        <f>L185*'1. Standard_Cost'!$F$4</f>
        <v>0</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c r="AD185" s="110"/>
      <c r="AE185" s="108">
        <f>SUM(AD185,AC185,AB185,Y185,U185,T185,S185,R185)*'1. Standard_Cost'!$B$31</f>
        <v>0</v>
      </c>
      <c r="AF185" s="108">
        <f t="shared" si="257"/>
        <v>0</v>
      </c>
      <c r="AG185" s="107"/>
      <c r="AH185" s="107"/>
      <c r="AI185" s="107"/>
      <c r="AJ185" s="111"/>
      <c r="AK185" s="111"/>
      <c r="AL185" s="111"/>
      <c r="AM185" s="108">
        <f>AG185*'1. Standard_Cost'!$B$27+'Incremental_Cost Year 1'!AH185*'1. Standard_Cost'!$C$27+'Incremental_Cost Year 1'!AI185*'1. Standard_Cost'!$D$27+'Incremental_Cost Year 1'!AJ185+'Incremental_Cost Year 1'!AL185+AK185</f>
        <v>0</v>
      </c>
      <c r="AN185" s="108">
        <f>AM185*'1. Standard_Cost'!$C$31</f>
        <v>0</v>
      </c>
      <c r="AO185" s="312" t="s">
        <v>654</v>
      </c>
      <c r="AQ185" s="14">
        <f t="shared" si="258"/>
        <v>0</v>
      </c>
      <c r="AR185" s="14">
        <f t="shared" si="259"/>
        <v>0</v>
      </c>
      <c r="AS185" s="14">
        <f t="shared" si="260"/>
        <v>0</v>
      </c>
      <c r="AT185" s="14">
        <f t="shared" si="262"/>
        <v>0</v>
      </c>
      <c r="AU185" s="15"/>
      <c r="AV185" s="15"/>
      <c r="AW185" s="15"/>
      <c r="AX185" s="15"/>
      <c r="AY185" s="15"/>
      <c r="AZ185" s="15"/>
      <c r="BA185" s="15"/>
      <c r="BB185" s="16">
        <f t="shared" si="261"/>
        <v>0</v>
      </c>
    </row>
    <row r="186" spans="1:54" ht="62.4" outlineLevel="2">
      <c r="A186" s="98"/>
      <c r="B186" s="102"/>
      <c r="C186" s="23"/>
      <c r="D186" s="119"/>
      <c r="E186" s="121"/>
      <c r="F186" s="54"/>
      <c r="G186" s="87"/>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257"/>
        <v>0</v>
      </c>
      <c r="AG186" s="107"/>
      <c r="AH186" s="107"/>
      <c r="AI186" s="107"/>
      <c r="AJ186" s="111"/>
      <c r="AK186" s="111"/>
      <c r="AL186" s="111"/>
      <c r="AM186" s="108">
        <f>AG186*'1. Standard_Cost'!$B$27+'Incremental_Cost Year 1'!AH186*'1. Standard_Cost'!$C$27+'Incremental_Cost Year 1'!AI186*'1. Standard_Cost'!$D$27+'Incremental_Cost Year 1'!AJ186+'Incremental_Cost Year 1'!AL186+AK186</f>
        <v>0</v>
      </c>
      <c r="AN186" s="108">
        <f>AM186*'1. Standard_Cost'!$C$31</f>
        <v>0</v>
      </c>
      <c r="AO186" s="125" t="s">
        <v>401</v>
      </c>
      <c r="AQ186" s="14">
        <f t="shared" si="258"/>
        <v>0</v>
      </c>
      <c r="AR186" s="14">
        <f t="shared" si="259"/>
        <v>0</v>
      </c>
      <c r="AS186" s="14">
        <f t="shared" si="260"/>
        <v>0</v>
      </c>
      <c r="AT186" s="14">
        <f t="shared" si="262"/>
        <v>0</v>
      </c>
      <c r="AU186" s="15"/>
      <c r="AV186" s="15"/>
      <c r="AW186" s="15"/>
      <c r="AX186" s="15"/>
      <c r="AY186" s="15"/>
      <c r="AZ186" s="15"/>
      <c r="BA186" s="15"/>
      <c r="BB186" s="16">
        <f t="shared" si="261"/>
        <v>0</v>
      </c>
    </row>
    <row r="187" spans="1:54" ht="109.2" outlineLevel="2">
      <c r="A187" s="98"/>
      <c r="B187" s="102"/>
      <c r="C187" s="23"/>
      <c r="D187" s="119"/>
      <c r="E187" s="121"/>
      <c r="F187" s="54"/>
      <c r="G187" s="87"/>
      <c r="H187" s="302" t="s">
        <v>523</v>
      </c>
      <c r="I187" s="104"/>
      <c r="J187" s="105"/>
      <c r="K187" s="105"/>
      <c r="L187" s="106" t="str">
        <f>IF(I187&lt;&gt;0,((VLOOKUP(I187,'1. Standard_Cost'!$B$4:$D$11,2)+VLOOKUP(I187,'1. Standard_Cost'!$B$4:$D$11,3))*J187*K187),"0")</f>
        <v>0</v>
      </c>
      <c r="M187" s="106">
        <f>L187*'1. Standard_Cost'!$F$4</f>
        <v>0</v>
      </c>
      <c r="N187" s="107"/>
      <c r="O187" s="107"/>
      <c r="P187" s="107"/>
      <c r="Q187" s="107"/>
      <c r="R187" s="108">
        <f>'1. Standard_Cost'!$B$15*N187*P187</f>
        <v>0</v>
      </c>
      <c r="S187" s="108">
        <f>N187*O187*P187*'1. Standard_Cost'!$C$15</f>
        <v>0</v>
      </c>
      <c r="T187" s="108">
        <f>N187*P187*Q187*'1. Standard_Cost'!$D$15</f>
        <v>0</v>
      </c>
      <c r="U187" s="108">
        <f>N187*O187*'1. Standard_Cost'!$E$15</f>
        <v>0</v>
      </c>
      <c r="V187" s="107"/>
      <c r="W187" s="107"/>
      <c r="X187" s="107"/>
      <c r="Y187" s="108">
        <f>+V187*((X187*'1. Standard_Cost'!$B$19)+(W187*X187*'1. Standard_Cost'!$C$19))</f>
        <v>0</v>
      </c>
      <c r="Z187" s="107"/>
      <c r="AA187" s="107"/>
      <c r="AB187" s="108">
        <f>+Z187*'1. Standard_Cost'!$B$23+AA187*'1. Standard_Cost'!$C$23</f>
        <v>0</v>
      </c>
      <c r="AC187" s="109"/>
      <c r="AD187" s="110"/>
      <c r="AE187" s="108">
        <f>SUM(AD187,AC187,AB187,Y187,U187,T187,S187,R187)*'1. Standard_Cost'!$B$31</f>
        <v>0</v>
      </c>
      <c r="AF187" s="108">
        <f t="shared" si="257"/>
        <v>0</v>
      </c>
      <c r="AG187" s="107"/>
      <c r="AH187" s="107"/>
      <c r="AI187" s="107"/>
      <c r="AJ187" s="111"/>
      <c r="AK187" s="111"/>
      <c r="AL187" s="111"/>
      <c r="AM187" s="108">
        <f>AG187*'1. Standard_Cost'!$B$27+'Incremental_Cost Year 1'!AH187*'1. Standard_Cost'!$C$27+'Incremental_Cost Year 1'!AI187*'1. Standard_Cost'!$D$27+'Incremental_Cost Year 1'!AJ187+'Incremental_Cost Year 1'!AL187+AK187</f>
        <v>0</v>
      </c>
      <c r="AN187" s="108">
        <f>AM187*'1. Standard_Cost'!$C$31</f>
        <v>0</v>
      </c>
      <c r="AO187" s="125" t="s">
        <v>402</v>
      </c>
      <c r="AQ187" s="14">
        <f t="shared" si="258"/>
        <v>0</v>
      </c>
      <c r="AR187" s="14">
        <f t="shared" si="259"/>
        <v>0</v>
      </c>
      <c r="AS187" s="14">
        <f t="shared" si="260"/>
        <v>0</v>
      </c>
      <c r="AT187" s="14">
        <f t="shared" si="262"/>
        <v>0</v>
      </c>
      <c r="AU187" s="15"/>
      <c r="AV187" s="15"/>
      <c r="AW187" s="15"/>
      <c r="AX187" s="15"/>
      <c r="AY187" s="15"/>
      <c r="AZ187" s="15"/>
      <c r="BA187" s="15"/>
      <c r="BB187" s="16">
        <f t="shared" si="261"/>
        <v>0</v>
      </c>
    </row>
    <row r="188" spans="1:54" ht="124.8" outlineLevel="2">
      <c r="A188" s="98"/>
      <c r="B188" s="102"/>
      <c r="C188" s="23"/>
      <c r="D188" s="119"/>
      <c r="E188" s="121"/>
      <c r="F188" s="54"/>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f>SUM(AD188,AC188,AB188,Y188,U188,T188,S188,R188)*'1. Standard_Cost'!$B$31</f>
        <v>114000</v>
      </c>
      <c r="AF188" s="108">
        <f t="shared" si="257"/>
        <v>684000</v>
      </c>
      <c r="AG188" s="107"/>
      <c r="AH188" s="107"/>
      <c r="AI188" s="107"/>
      <c r="AJ188" s="111"/>
      <c r="AK188" s="111"/>
      <c r="AL188" s="111"/>
      <c r="AM188" s="108">
        <f>AG188*'1. Standard_Cost'!$B$27+'Incremental_Cost Year 1'!AH188*'1. Standard_Cost'!$C$27+'Incremental_Cost Year 1'!AI188*'1. Standard_Cost'!$D$27+'Incremental_Cost Year 1'!AJ188+'Incremental_Cost Year 1'!AL188+AK188</f>
        <v>0</v>
      </c>
      <c r="AN188" s="108">
        <f>AM188*'1. Standard_Cost'!$C$31</f>
        <v>0</v>
      </c>
      <c r="AO188" s="125" t="s">
        <v>335</v>
      </c>
      <c r="AQ188" s="14">
        <f t="shared" si="258"/>
        <v>282705.75</v>
      </c>
      <c r="AR188" s="14">
        <f t="shared" si="259"/>
        <v>684000</v>
      </c>
      <c r="AS188" s="14">
        <f t="shared" si="260"/>
        <v>0</v>
      </c>
      <c r="AT188" s="14">
        <f t="shared" si="262"/>
        <v>966705.75</v>
      </c>
      <c r="AU188" s="15">
        <v>282705.75</v>
      </c>
      <c r="AV188" s="15"/>
      <c r="AW188" s="15"/>
      <c r="AX188" s="15"/>
      <c r="AY188" s="15"/>
      <c r="AZ188" s="15"/>
      <c r="BA188" s="15"/>
      <c r="BB188" s="16">
        <f t="shared" si="261"/>
        <v>-684000</v>
      </c>
    </row>
    <row r="189" spans="1:54" ht="46.8" outlineLevel="2">
      <c r="A189" s="98"/>
      <c r="B189" s="102"/>
      <c r="C189" s="23"/>
      <c r="D189" s="119"/>
      <c r="E189" s="121"/>
      <c r="F189" s="54"/>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257"/>
        <v>0</v>
      </c>
      <c r="AG189" s="107"/>
      <c r="AH189" s="107"/>
      <c r="AI189" s="107"/>
      <c r="AJ189" s="111"/>
      <c r="AK189" s="111"/>
      <c r="AL189" s="111"/>
      <c r="AM189" s="108">
        <f>AG189*'1. Standard_Cost'!$B$27+'Incremental_Cost Year 1'!AH189*'1. Standard_Cost'!$C$27+'Incremental_Cost Year 1'!AI189*'1. Standard_Cost'!$D$27+'Incremental_Cost Year 1'!AJ189+'Incremental_Cost Year 1'!AL189+AK189</f>
        <v>0</v>
      </c>
      <c r="AN189" s="108">
        <f>AM189*'1. Standard_Cost'!$C$31</f>
        <v>0</v>
      </c>
      <c r="AO189" s="125" t="s">
        <v>403</v>
      </c>
      <c r="AQ189" s="14">
        <f t="shared" si="258"/>
        <v>423621</v>
      </c>
      <c r="AR189" s="14">
        <f t="shared" si="259"/>
        <v>0</v>
      </c>
      <c r="AS189" s="14">
        <f t="shared" si="260"/>
        <v>0</v>
      </c>
      <c r="AT189" s="14">
        <f t="shared" si="262"/>
        <v>423621</v>
      </c>
      <c r="AU189" s="15">
        <v>423621</v>
      </c>
      <c r="AV189" s="15"/>
      <c r="AW189" s="15"/>
      <c r="AX189" s="15"/>
      <c r="AY189" s="15"/>
      <c r="AZ189" s="15"/>
      <c r="BA189" s="15"/>
      <c r="BB189" s="16">
        <f t="shared" si="261"/>
        <v>0</v>
      </c>
    </row>
    <row r="190" spans="1:54" ht="124.8" outlineLevel="2">
      <c r="A190" s="98"/>
      <c r="B190" s="102"/>
      <c r="C190" s="23"/>
      <c r="D190" s="119"/>
      <c r="E190" s="121"/>
      <c r="F190" s="54"/>
      <c r="G190" s="87"/>
      <c r="H190" s="302" t="s">
        <v>526</v>
      </c>
      <c r="I190" s="104"/>
      <c r="J190" s="105"/>
      <c r="K190" s="105"/>
      <c r="L190" s="106" t="str">
        <f>IF(I190&lt;&gt;0,((VLOOKUP(I190,'1. Standard_Cost'!$B$4:$D$11,2)+VLOOKUP(I190,'1. Standard_Cost'!$B$4:$D$11,3))*J190*K190),"0")</f>
        <v>0</v>
      </c>
      <c r="M190" s="106">
        <f>L190*'1. Standard_Cost'!$F$4</f>
        <v>0</v>
      </c>
      <c r="N190" s="107"/>
      <c r="O190" s="107"/>
      <c r="P190" s="107"/>
      <c r="Q190" s="107"/>
      <c r="R190" s="108">
        <f>'1. Standard_Cost'!$B$15*N190*P190</f>
        <v>0</v>
      </c>
      <c r="S190" s="108">
        <f>N190*O190*P190*'1. Standard_Cost'!$C$15</f>
        <v>0</v>
      </c>
      <c r="T190" s="108">
        <f>N190*P190*Q190*'1. Standard_Cost'!$D$15</f>
        <v>0</v>
      </c>
      <c r="U190" s="108">
        <f>N190*O190*'1. Standard_Cost'!$E$15</f>
        <v>0</v>
      </c>
      <c r="V190" s="107"/>
      <c r="W190" s="107"/>
      <c r="X190" s="107"/>
      <c r="Y190" s="108">
        <f>+V190*((X190*'1. Standard_Cost'!$B$19)+(W190*X190*'1. Standard_Cost'!$C$19))</f>
        <v>0</v>
      </c>
      <c r="Z190" s="107"/>
      <c r="AA190" s="107"/>
      <c r="AB190" s="108">
        <f>+Z190*'1. Standard_Cost'!$B$23+AA190*'1. Standard_Cost'!$C$23</f>
        <v>0</v>
      </c>
      <c r="AC190" s="109"/>
      <c r="AD190" s="110"/>
      <c r="AE190" s="108">
        <f>SUM(AD190,AC190,AB190,Y190,U190,T190,S190,R190)*'1. Standard_Cost'!$B$31</f>
        <v>0</v>
      </c>
      <c r="AF190" s="108">
        <f t="shared" si="257"/>
        <v>0</v>
      </c>
      <c r="AG190" s="107"/>
      <c r="AH190" s="107"/>
      <c r="AI190" s="107"/>
      <c r="AJ190" s="111"/>
      <c r="AK190" s="111"/>
      <c r="AL190" s="111"/>
      <c r="AM190" s="108">
        <f>AG190*'1. Standard_Cost'!$B$27+'Incremental_Cost Year 1'!AH190*'1. Standard_Cost'!$C$27+'Incremental_Cost Year 1'!AI190*'1. Standard_Cost'!$D$27+'Incremental_Cost Year 1'!AJ190+'Incremental_Cost Year 1'!AL190+AK190</f>
        <v>0</v>
      </c>
      <c r="AN190" s="108">
        <f>AM190*'1. Standard_Cost'!$C$31</f>
        <v>0</v>
      </c>
      <c r="AO190" s="125" t="s">
        <v>404</v>
      </c>
      <c r="AQ190" s="14">
        <f t="shared" si="258"/>
        <v>0</v>
      </c>
      <c r="AR190" s="14">
        <f t="shared" si="259"/>
        <v>0</v>
      </c>
      <c r="AS190" s="14">
        <f t="shared" si="260"/>
        <v>0</v>
      </c>
      <c r="AT190" s="14">
        <f t="shared" si="262"/>
        <v>0</v>
      </c>
      <c r="AU190" s="15"/>
      <c r="AV190" s="15"/>
      <c r="AW190" s="15"/>
      <c r="AX190" s="15"/>
      <c r="AY190" s="15"/>
      <c r="AZ190" s="15"/>
      <c r="BA190" s="15"/>
      <c r="BB190" s="16">
        <f t="shared" si="261"/>
        <v>0</v>
      </c>
    </row>
    <row r="191" spans="1:54" ht="109.2" outlineLevel="2">
      <c r="A191" s="98"/>
      <c r="B191" s="102"/>
      <c r="C191" s="23"/>
      <c r="D191" s="119"/>
      <c r="E191" s="121"/>
      <c r="F191" s="54"/>
      <c r="G191" s="87"/>
      <c r="H191" s="302" t="s">
        <v>527</v>
      </c>
      <c r="I191" s="104" t="s">
        <v>4</v>
      </c>
      <c r="J191" s="105">
        <v>1</v>
      </c>
      <c r="K191" s="105">
        <v>10</v>
      </c>
      <c r="L191" s="106">
        <f>IF(I191&lt;&gt;0,((VLOOKUP(I191,'1. Standard_Cost'!$B$4:$D$11,2)+VLOOKUP(I191,'1. Standard_Cost'!$B$4:$D$11,3))*J191*K191),"0")</f>
        <v>807500</v>
      </c>
      <c r="M191" s="106">
        <f>L191*'1. Standard_Cost'!$F$4</f>
        <v>134852.5</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v>15</v>
      </c>
      <c r="AB191" s="108">
        <f>+Z191*'1. Standard_Cost'!$B$23+AA191*'1. Standard_Cost'!$C$23</f>
        <v>285000</v>
      </c>
      <c r="AC191" s="109"/>
      <c r="AD191" s="110"/>
      <c r="AE191" s="108">
        <f>SUM(AD191,AC191,AB191,Y191,U191,T191,S191,R191)*'1. Standard_Cost'!$B$31</f>
        <v>57000</v>
      </c>
      <c r="AF191" s="108">
        <f t="shared" si="257"/>
        <v>342000</v>
      </c>
      <c r="AG191" s="107"/>
      <c r="AH191" s="107"/>
      <c r="AI191" s="107"/>
      <c r="AJ191" s="111"/>
      <c r="AK191" s="111"/>
      <c r="AL191" s="111"/>
      <c r="AM191" s="108">
        <f>AG191*'1. Standard_Cost'!$B$27+'Incremental_Cost Year 1'!AH191*'1. Standard_Cost'!$C$27+'Incremental_Cost Year 1'!AI191*'1. Standard_Cost'!$D$27+'Incremental_Cost Year 1'!AJ191+'Incremental_Cost Year 1'!AL191+AK191</f>
        <v>0</v>
      </c>
      <c r="AN191" s="108">
        <f>AM191*'1. Standard_Cost'!$C$31</f>
        <v>0</v>
      </c>
      <c r="AO191" s="125" t="s">
        <v>405</v>
      </c>
      <c r="AQ191" s="14">
        <f t="shared" si="258"/>
        <v>942352.5</v>
      </c>
      <c r="AR191" s="14">
        <f t="shared" si="259"/>
        <v>342000</v>
      </c>
      <c r="AS191" s="14">
        <f t="shared" si="260"/>
        <v>0</v>
      </c>
      <c r="AT191" s="14">
        <f t="shared" si="262"/>
        <v>1284352.5</v>
      </c>
      <c r="AU191" s="15">
        <f>AQ191</f>
        <v>942352.5</v>
      </c>
      <c r="AV191" s="15"/>
      <c r="AW191" s="15"/>
      <c r="AX191" s="15"/>
      <c r="AY191" s="15"/>
      <c r="AZ191" s="15"/>
      <c r="BA191" s="15"/>
      <c r="BB191" s="16">
        <f t="shared" si="261"/>
        <v>-342000</v>
      </c>
    </row>
    <row r="192" spans="1:54" ht="62.4" outlineLevel="2">
      <c r="A192" s="98"/>
      <c r="B192" s="102"/>
      <c r="C192" s="23"/>
      <c r="D192" s="119"/>
      <c r="E192" s="121"/>
      <c r="F192" s="54"/>
      <c r="G192" s="87"/>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257"/>
        <v>0</v>
      </c>
      <c r="AG192" s="107"/>
      <c r="AH192" s="107"/>
      <c r="AI192" s="107"/>
      <c r="AJ192" s="111"/>
      <c r="AK192" s="111"/>
      <c r="AL192" s="111"/>
      <c r="AM192" s="108">
        <f>AG192*'1. Standard_Cost'!$B$27+'Incremental_Cost Year 1'!AH192*'1. Standard_Cost'!$C$27+'Incremental_Cost Year 1'!AI192*'1. Standard_Cost'!$D$27+'Incremental_Cost Year 1'!AJ192+'Incremental_Cost Year 1'!AL192+AK192</f>
        <v>0</v>
      </c>
      <c r="AN192" s="108">
        <f>AM192*'1. Standard_Cost'!$C$31</f>
        <v>0</v>
      </c>
      <c r="AO192" s="125" t="s">
        <v>406</v>
      </c>
      <c r="AQ192" s="14">
        <f t="shared" si="258"/>
        <v>19801656</v>
      </c>
      <c r="AR192" s="14">
        <f t="shared" si="259"/>
        <v>0</v>
      </c>
      <c r="AS192" s="14">
        <f t="shared" si="260"/>
        <v>0</v>
      </c>
      <c r="AT192" s="14">
        <f t="shared" si="262"/>
        <v>19801656</v>
      </c>
      <c r="AU192" s="15">
        <f>AT192</f>
        <v>19801656</v>
      </c>
      <c r="AV192" s="15"/>
      <c r="AW192" s="15"/>
      <c r="AX192" s="15"/>
      <c r="AY192" s="15"/>
      <c r="AZ192" s="15"/>
      <c r="BA192" s="15"/>
      <c r="BB192" s="16">
        <f t="shared" si="261"/>
        <v>0</v>
      </c>
    </row>
    <row r="193" spans="1:54" ht="78" outlineLevel="2">
      <c r="A193" s="98"/>
      <c r="B193" s="102"/>
      <c r="C193" s="23"/>
      <c r="D193" s="119"/>
      <c r="E193" s="121"/>
      <c r="F193" s="54"/>
      <c r="G193" s="87"/>
      <c r="H193" s="302" t="s">
        <v>529</v>
      </c>
      <c r="I193" s="104" t="s">
        <v>4</v>
      </c>
      <c r="J193" s="105">
        <v>1</v>
      </c>
      <c r="K193" s="105">
        <v>5</v>
      </c>
      <c r="L193" s="106">
        <f>IF(I193&lt;&gt;0,((VLOOKUP(I193,'1. Standard_Cost'!$B$4:$D$11,2)+VLOOKUP(I193,'1. Standard_Cost'!$B$4:$D$11,3))*J193*K193),"0")</f>
        <v>403750</v>
      </c>
      <c r="M193" s="106">
        <f>L193*'1. Standard_Cost'!$F$4</f>
        <v>67426.25</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v>15</v>
      </c>
      <c r="AB193" s="108">
        <f>+Z193*'1. Standard_Cost'!$B$23+AA193*'1. Standard_Cost'!$C$23</f>
        <v>285000</v>
      </c>
      <c r="AC193" s="109"/>
      <c r="AD193" s="110"/>
      <c r="AE193" s="108">
        <f>SUM(AD193,AC193,AB193,Y193,U193,T193,S193,R193)*'1. Standard_Cost'!$B$31</f>
        <v>57000</v>
      </c>
      <c r="AF193" s="108">
        <f t="shared" si="257"/>
        <v>342000</v>
      </c>
      <c r="AG193" s="107"/>
      <c r="AH193" s="107"/>
      <c r="AI193" s="107"/>
      <c r="AJ193" s="111"/>
      <c r="AK193" s="111"/>
      <c r="AL193" s="111"/>
      <c r="AM193" s="108">
        <f>AG193*'1. Standard_Cost'!$B$27+'Incremental_Cost Year 1'!AH193*'1. Standard_Cost'!$C$27+'Incremental_Cost Year 1'!AI193*'1. Standard_Cost'!$D$27+'Incremental_Cost Year 1'!AJ193+'Incremental_Cost Year 1'!AL193+AK193</f>
        <v>0</v>
      </c>
      <c r="AN193" s="108">
        <f>AM193*'1. Standard_Cost'!$C$31</f>
        <v>0</v>
      </c>
      <c r="AO193" s="125" t="s">
        <v>407</v>
      </c>
      <c r="AQ193" s="14">
        <f t="shared" si="258"/>
        <v>471176.25</v>
      </c>
      <c r="AR193" s="14">
        <f t="shared" si="259"/>
        <v>342000</v>
      </c>
      <c r="AS193" s="14">
        <f t="shared" si="260"/>
        <v>0</v>
      </c>
      <c r="AT193" s="14">
        <f t="shared" si="262"/>
        <v>813176.25</v>
      </c>
      <c r="AU193" s="15">
        <v>471176.25</v>
      </c>
      <c r="AV193" s="15"/>
      <c r="AW193" s="15"/>
      <c r="AX193" s="15"/>
      <c r="AY193" s="15"/>
      <c r="AZ193" s="15"/>
      <c r="BA193" s="15"/>
      <c r="BB193" s="16">
        <f t="shared" si="261"/>
        <v>-342000</v>
      </c>
    </row>
    <row r="194" spans="1:54" ht="36" customHeight="1" outlineLevel="2">
      <c r="A194" s="98"/>
      <c r="B194" s="102"/>
      <c r="C194" s="23"/>
      <c r="D194" s="55"/>
      <c r="E194" s="55"/>
      <c r="F194" s="55"/>
      <c r="G194" s="54"/>
      <c r="H194" s="302" t="s">
        <v>530</v>
      </c>
      <c r="I194" s="104"/>
      <c r="J194" s="105"/>
      <c r="K194" s="105"/>
      <c r="L194" s="106" t="str">
        <f>IF(I194&lt;&gt;0,((VLOOKUP(I194,'1. Standard_Cost'!$B$4:$D$11,2)+VLOOKUP(I194,'1. Standard_Cost'!$B$4:$D$11,3))*J194*K194),"0")</f>
        <v>0</v>
      </c>
      <c r="M194" s="106">
        <f>L194*'1. Standard_Cost'!$F$4</f>
        <v>0</v>
      </c>
      <c r="N194" s="107"/>
      <c r="O194" s="107"/>
      <c r="P194" s="107"/>
      <c r="Q194" s="107"/>
      <c r="R194" s="108">
        <f>'1. Standard_Cost'!$B$15*N194*P194</f>
        <v>0</v>
      </c>
      <c r="S194" s="108">
        <f>N194*O194*P194*'1. Standard_Cost'!$C$15</f>
        <v>0</v>
      </c>
      <c r="T194" s="108">
        <f>N194*P194*Q194*'1. Standard_Cost'!$D$15</f>
        <v>0</v>
      </c>
      <c r="U194" s="108">
        <f>N194*O194*'1. Standard_Cost'!$E$15</f>
        <v>0</v>
      </c>
      <c r="V194" s="107"/>
      <c r="W194" s="107"/>
      <c r="X194" s="107"/>
      <c r="Y194" s="108">
        <f>+V194*((X194*'1. Standard_Cost'!$B$19)+(W194*X194*'1. Standard_Cost'!$C$19))</f>
        <v>0</v>
      </c>
      <c r="Z194" s="107"/>
      <c r="AA194" s="107"/>
      <c r="AB194" s="108">
        <f>+Z194*'1. Standard_Cost'!$B$23+AA194*'1. Standard_Cost'!$C$23</f>
        <v>0</v>
      </c>
      <c r="AC194" s="109"/>
      <c r="AD194" s="110"/>
      <c r="AE194" s="108">
        <f>SUM(AD194,AC194,AB194,Y194,U194,T194,S194,R194)*'1. Standard_Cost'!$B$31</f>
        <v>0</v>
      </c>
      <c r="AF194" s="108">
        <f t="shared" si="257"/>
        <v>0</v>
      </c>
      <c r="AG194" s="107"/>
      <c r="AH194" s="107"/>
      <c r="AI194" s="107"/>
      <c r="AJ194" s="111"/>
      <c r="AK194" s="111"/>
      <c r="AL194" s="111"/>
      <c r="AM194" s="108">
        <f>AG194*'1. Standard_Cost'!$B$27+'Incremental_Cost Year 1'!AH194*'1. Standard_Cost'!$C$27+'Incremental_Cost Year 1'!AI194*'1. Standard_Cost'!$D$27+'Incremental_Cost Year 1'!AJ194+'Incremental_Cost Year 1'!AL194+AK194</f>
        <v>0</v>
      </c>
      <c r="AN194" s="108">
        <f>AM194*'1. Standard_Cost'!$C$31</f>
        <v>0</v>
      </c>
      <c r="AO194" s="125" t="s">
        <v>408</v>
      </c>
      <c r="AQ194" s="14">
        <f t="shared" si="258"/>
        <v>0</v>
      </c>
      <c r="AR194" s="14">
        <f t="shared" si="259"/>
        <v>0</v>
      </c>
      <c r="AS194" s="14">
        <f t="shared" si="260"/>
        <v>0</v>
      </c>
      <c r="AT194" s="14">
        <f t="shared" si="262"/>
        <v>0</v>
      </c>
      <c r="AU194" s="15"/>
      <c r="AV194" s="15"/>
      <c r="AW194" s="15"/>
      <c r="AX194" s="15"/>
      <c r="AY194" s="15"/>
      <c r="AZ194" s="15"/>
      <c r="BA194" s="15"/>
      <c r="BB194" s="16">
        <f t="shared" si="261"/>
        <v>0</v>
      </c>
    </row>
    <row r="195" spans="1:54" ht="28.95" customHeight="1" outlineLevel="2">
      <c r="A195" s="98"/>
      <c r="B195" s="102"/>
      <c r="C195" s="23"/>
      <c r="D195" s="55"/>
      <c r="E195" s="55"/>
      <c r="F195" s="119"/>
      <c r="G195" s="12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c r="AB195" s="108">
        <f>+Z195*'[1]1. Standard_Cost'!$B$23+AA195*'[1]1. Standard_Cost'!$C$23</f>
        <v>0</v>
      </c>
      <c r="AC195" s="109"/>
      <c r="AD195" s="110"/>
      <c r="AE195" s="108">
        <f>SUM(AD195,AC195,AB195,Y195,U195,T195,S195,R195)*'[1]1. Standard_Cost'!$B$31</f>
        <v>0</v>
      </c>
      <c r="AF195" s="108">
        <f t="shared" si="257"/>
        <v>0</v>
      </c>
      <c r="AG195" s="107"/>
      <c r="AH195" s="107"/>
      <c r="AI195" s="107"/>
      <c r="AJ195" s="111"/>
      <c r="AK195" s="111"/>
      <c r="AL195" s="111"/>
      <c r="AM195" s="108">
        <f>AG195*'1. Standard_Cost'!$B$27+'Incremental_Cost Year 1'!AH195*'1. Standard_Cost'!$C$27+'Incremental_Cost Year 1'!AI195*'1. Standard_Cost'!$D$27+'Incremental_Cost Year 1'!AJ195+'Incremental_Cost Year 1'!AL195+AK195</f>
        <v>0</v>
      </c>
      <c r="AN195" s="108">
        <f>AM195*'1. Standard_Cost'!$C$31</f>
        <v>0</v>
      </c>
      <c r="AO195" s="125" t="s">
        <v>408</v>
      </c>
      <c r="AQ195" s="14">
        <f t="shared" si="258"/>
        <v>0</v>
      </c>
      <c r="AR195" s="14">
        <f t="shared" si="259"/>
        <v>0</v>
      </c>
      <c r="AS195" s="14">
        <f t="shared" si="260"/>
        <v>0</v>
      </c>
      <c r="AT195" s="14">
        <f t="shared" si="262"/>
        <v>0</v>
      </c>
      <c r="AU195" s="15"/>
      <c r="AV195" s="15"/>
      <c r="AW195" s="15"/>
      <c r="AX195" s="15"/>
      <c r="AY195" s="15"/>
      <c r="AZ195" s="15"/>
      <c r="BA195" s="15"/>
      <c r="BB195" s="16">
        <f t="shared" si="261"/>
        <v>0</v>
      </c>
    </row>
    <row r="196" spans="1:54" ht="32.25" customHeight="1" outlineLevel="2">
      <c r="A196" s="98"/>
      <c r="B196" s="102"/>
      <c r="C196" s="23"/>
      <c r="D196" s="55"/>
      <c r="E196" s="55"/>
      <c r="F196" s="55"/>
      <c r="G196" s="54"/>
      <c r="H196" s="302" t="s">
        <v>531</v>
      </c>
      <c r="I196" s="104" t="s">
        <v>4</v>
      </c>
      <c r="J196" s="105">
        <v>1</v>
      </c>
      <c r="K196" s="105">
        <v>5</v>
      </c>
      <c r="L196" s="106">
        <f>IF(I196&lt;&gt;0,((VLOOKUP(I196,'1. Standard_Cost'!$B$4:$D$11,2)+VLOOKUP(I196,'1. Standard_Cost'!$B$4:$D$11,3))*J196*K196),"0")</f>
        <v>403750</v>
      </c>
      <c r="M196" s="106">
        <f>L196*'1. Standard_Cost'!$F$4</f>
        <v>67426.25</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v>22</v>
      </c>
      <c r="AB196" s="108">
        <f>+Z196*'1. Standard_Cost'!$B$23+AA196*'1. Standard_Cost'!$C$23</f>
        <v>418000</v>
      </c>
      <c r="AC196" s="109"/>
      <c r="AD196" s="110"/>
      <c r="AE196" s="108">
        <f>SUM(AD196,AC196,AB196,Y196,U196,T196,S196,R196)*'1. Standard_Cost'!$B$31</f>
        <v>83600</v>
      </c>
      <c r="AF196" s="108">
        <f t="shared" si="257"/>
        <v>501600</v>
      </c>
      <c r="AG196" s="107"/>
      <c r="AH196" s="107"/>
      <c r="AI196" s="107"/>
      <c r="AJ196" s="111"/>
      <c r="AK196" s="111"/>
      <c r="AL196" s="111"/>
      <c r="AM196" s="108">
        <f>AG196*'1. Standard_Cost'!$B$27+'Incremental_Cost Year 1'!AH196*'1. Standard_Cost'!$C$27+'Incremental_Cost Year 1'!AI196*'1. Standard_Cost'!$D$27+'Incremental_Cost Year 1'!AJ196+'Incremental_Cost Year 1'!AL196+AK196</f>
        <v>0</v>
      </c>
      <c r="AN196" s="108">
        <f>AM196*'1. Standard_Cost'!$C$31</f>
        <v>0</v>
      </c>
      <c r="AO196" s="125" t="s">
        <v>409</v>
      </c>
      <c r="AQ196" s="14">
        <f t="shared" si="258"/>
        <v>471176.25</v>
      </c>
      <c r="AR196" s="14">
        <f t="shared" si="259"/>
        <v>501600</v>
      </c>
      <c r="AS196" s="14">
        <f t="shared" si="260"/>
        <v>0</v>
      </c>
      <c r="AT196" s="14">
        <f t="shared" si="262"/>
        <v>972776.25</v>
      </c>
      <c r="AU196" s="15">
        <f>AQ196</f>
        <v>471176.25</v>
      </c>
      <c r="AV196" s="15"/>
      <c r="AW196" s="15"/>
      <c r="AX196" s="15"/>
      <c r="AY196" s="15"/>
      <c r="AZ196" s="15"/>
      <c r="BA196" s="15"/>
      <c r="BB196" s="16">
        <f t="shared" si="261"/>
        <v>-501600</v>
      </c>
    </row>
    <row r="197" spans="1:54" ht="45" customHeight="1" outlineLevel="2">
      <c r="A197" s="98"/>
      <c r="B197" s="102"/>
      <c r="C197" s="23"/>
      <c r="D197" s="55"/>
      <c r="E197" s="55"/>
      <c r="F197" s="55"/>
      <c r="G197" s="54"/>
      <c r="H197" s="302" t="s">
        <v>532</v>
      </c>
      <c r="I197" s="104"/>
      <c r="J197" s="105"/>
      <c r="K197" s="105"/>
      <c r="L197" s="106" t="str">
        <f>IF(I197&lt;&gt;0,((VLOOKUP(I197,'1. Standard_Cost'!$B$4:$D$11,2)+VLOOKUP(I197,'1. Standard_Cost'!$B$4:$D$11,3))*J197*K197),"0")</f>
        <v>0</v>
      </c>
      <c r="M197" s="106">
        <f>L197*'1. Standard_Cost'!$F$4</f>
        <v>0</v>
      </c>
      <c r="N197" s="107"/>
      <c r="O197" s="107"/>
      <c r="P197" s="107"/>
      <c r="Q197" s="107"/>
      <c r="R197" s="108">
        <f>'1. Standard_Cost'!$B$15*N197*P197</f>
        <v>0</v>
      </c>
      <c r="S197" s="108">
        <f>N197*O197*P197*'1. Standard_Cost'!$C$15</f>
        <v>0</v>
      </c>
      <c r="T197" s="108">
        <f>N197*P197*Q197*'1. Standard_Cost'!$D$15</f>
        <v>0</v>
      </c>
      <c r="U197" s="108">
        <f>N197*O197*'1. Standard_Cost'!$E$15</f>
        <v>0</v>
      </c>
      <c r="V197" s="107"/>
      <c r="W197" s="107"/>
      <c r="X197" s="107"/>
      <c r="Y197" s="108">
        <f>+V197*((X197*'1. Standard_Cost'!$B$19)+(W197*X197*'1. Standard_Cost'!$C$19))</f>
        <v>0</v>
      </c>
      <c r="Z197" s="107"/>
      <c r="AA197" s="107"/>
      <c r="AB197" s="108">
        <f>+Z197*'1. Standard_Cost'!$B$23+AA197*'1. Standard_Cost'!$C$23</f>
        <v>0</v>
      </c>
      <c r="AC197" s="109"/>
      <c r="AD197" s="110"/>
      <c r="AE197" s="108">
        <f>SUM(AD197,AC197,AB197,Y197,U197,T197,S197,R197)*'1. Standard_Cost'!$B$31</f>
        <v>0</v>
      </c>
      <c r="AF197" s="108">
        <f t="shared" si="257"/>
        <v>0</v>
      </c>
      <c r="AG197" s="107"/>
      <c r="AH197" s="107"/>
      <c r="AI197" s="107"/>
      <c r="AJ197" s="111"/>
      <c r="AK197" s="111"/>
      <c r="AL197" s="111"/>
      <c r="AM197" s="108">
        <f>AG197*'1. Standard_Cost'!$B$27+'Incremental_Cost Year 1'!AH197*'1. Standard_Cost'!$C$27+'Incremental_Cost Year 1'!AI197*'1. Standard_Cost'!$D$27+'Incremental_Cost Year 1'!AJ197+'Incremental_Cost Year 1'!AL197+AK197</f>
        <v>0</v>
      </c>
      <c r="AN197" s="108">
        <f>AM197*'1. Standard_Cost'!$C$31</f>
        <v>0</v>
      </c>
      <c r="AO197" s="125" t="s">
        <v>699</v>
      </c>
      <c r="AQ197" s="14">
        <f t="shared" si="258"/>
        <v>0</v>
      </c>
      <c r="AR197" s="14">
        <f t="shared" si="259"/>
        <v>0</v>
      </c>
      <c r="AS197" s="14">
        <f t="shared" si="260"/>
        <v>0</v>
      </c>
      <c r="AT197" s="14">
        <f t="shared" si="262"/>
        <v>0</v>
      </c>
      <c r="AU197" s="15"/>
      <c r="AV197" s="15"/>
      <c r="AW197" s="15"/>
      <c r="AX197" s="15"/>
      <c r="AY197" s="15"/>
      <c r="AZ197" s="15"/>
      <c r="BA197" s="15"/>
      <c r="BB197" s="16">
        <f t="shared" si="261"/>
        <v>0</v>
      </c>
    </row>
    <row r="198" spans="1:54" ht="34.950000000000003" customHeight="1" outlineLevel="2">
      <c r="A198" s="98"/>
      <c r="B198" s="102"/>
      <c r="C198" s="23"/>
      <c r="D198" s="55"/>
      <c r="E198" s="55"/>
      <c r="F198" s="119"/>
      <c r="G198" s="12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c r="AB198" s="108">
        <f>+Z198*'[1]1. Standard_Cost'!$B$23+AA198*'[1]1. Standard_Cost'!$C$23</f>
        <v>0</v>
      </c>
      <c r="AC198" s="109"/>
      <c r="AD198" s="110"/>
      <c r="AE198" s="108">
        <f>SUM(AD198,AC198,AB198,Y198,U198,T198,S198,R198)*'[1]1. Standard_Cost'!$B$31</f>
        <v>0</v>
      </c>
      <c r="AF198" s="108">
        <f t="shared" si="257"/>
        <v>0</v>
      </c>
      <c r="AG198" s="107"/>
      <c r="AH198" s="107"/>
      <c r="AI198" s="107"/>
      <c r="AJ198" s="111"/>
      <c r="AK198" s="111"/>
      <c r="AL198" s="111"/>
      <c r="AM198" s="108">
        <f>AG198*'1. Standard_Cost'!$B$27+'Incremental_Cost Year 1'!AH198*'1. Standard_Cost'!$C$27+'Incremental_Cost Year 1'!AI198*'1. Standard_Cost'!$D$27+'Incremental_Cost Year 1'!AJ198+'Incremental_Cost Year 1'!AL198+AK198</f>
        <v>0</v>
      </c>
      <c r="AN198" s="108">
        <f>AM198*'1. Standard_Cost'!$C$31</f>
        <v>0</v>
      </c>
      <c r="AO198" s="125" t="s">
        <v>410</v>
      </c>
      <c r="AQ198" s="14">
        <f t="shared" si="258"/>
        <v>0</v>
      </c>
      <c r="AR198" s="14">
        <f t="shared" si="259"/>
        <v>0</v>
      </c>
      <c r="AS198" s="14">
        <f t="shared" si="260"/>
        <v>0</v>
      </c>
      <c r="AT198" s="14">
        <f t="shared" si="262"/>
        <v>0</v>
      </c>
      <c r="AU198" s="15"/>
      <c r="AV198" s="15"/>
      <c r="AW198" s="15"/>
      <c r="AX198" s="15"/>
      <c r="AY198" s="15"/>
      <c r="AZ198" s="15"/>
      <c r="BA198" s="15"/>
      <c r="BB198" s="16">
        <f t="shared" si="261"/>
        <v>0</v>
      </c>
    </row>
    <row r="199" spans="1:54" ht="140.4" outlineLevel="2">
      <c r="A199" s="98"/>
      <c r="B199" s="102"/>
      <c r="C199" s="23"/>
      <c r="D199" s="55"/>
      <c r="E199" s="55"/>
      <c r="F199" s="55"/>
      <c r="G199" s="54"/>
      <c r="H199" s="302" t="s">
        <v>533</v>
      </c>
      <c r="I199" s="104"/>
      <c r="J199" s="105"/>
      <c r="K199" s="105"/>
      <c r="L199" s="106" t="str">
        <f>IF(I199&lt;&gt;0,((VLOOKUP(I199,'1. Standard_Cost'!$B$4:$D$11,2)+VLOOKUP(I199,'1. Standard_Cost'!$B$4:$D$11,3))*J199*K199),"0")</f>
        <v>0</v>
      </c>
      <c r="M199" s="106">
        <f>L199*'1. Standard_Cost'!$F$4</f>
        <v>0</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c r="AB199" s="108">
        <f>+Z199*'1. Standard_Cost'!$B$23+AA199*'1. Standard_Cost'!$C$23</f>
        <v>0</v>
      </c>
      <c r="AC199" s="109"/>
      <c r="AD199" s="110"/>
      <c r="AE199" s="108">
        <f>SUM(AD199,AC199,AB199,Y199,U199,T199,S199,R199)*'1. Standard_Cost'!$B$31</f>
        <v>0</v>
      </c>
      <c r="AF199" s="108">
        <f t="shared" si="257"/>
        <v>0</v>
      </c>
      <c r="AG199" s="107"/>
      <c r="AH199" s="107"/>
      <c r="AI199" s="107"/>
      <c r="AJ199" s="111"/>
      <c r="AK199" s="111"/>
      <c r="AL199" s="111"/>
      <c r="AM199" s="108">
        <f>AG199*'1. Standard_Cost'!$B$27+'Incremental_Cost Year 1'!AH199*'1. Standard_Cost'!$C$27+'Incremental_Cost Year 1'!AI199*'1. Standard_Cost'!$D$27+'Incremental_Cost Year 1'!AJ199+'Incremental_Cost Year 1'!AL199+AK199</f>
        <v>0</v>
      </c>
      <c r="AN199" s="108">
        <f>AM199*'1. Standard_Cost'!$C$31</f>
        <v>0</v>
      </c>
      <c r="AO199" s="125" t="s">
        <v>700</v>
      </c>
      <c r="AQ199" s="14">
        <f t="shared" si="258"/>
        <v>0</v>
      </c>
      <c r="AR199" s="14">
        <f t="shared" si="259"/>
        <v>0</v>
      </c>
      <c r="AS199" s="14">
        <f t="shared" si="260"/>
        <v>0</v>
      </c>
      <c r="AT199" s="14">
        <f t="shared" si="262"/>
        <v>0</v>
      </c>
      <c r="AU199" s="15"/>
      <c r="AV199" s="15"/>
      <c r="AW199" s="15"/>
      <c r="AX199" s="15"/>
      <c r="AY199" s="15"/>
      <c r="AZ199" s="15"/>
      <c r="BA199" s="15"/>
      <c r="BB199" s="16">
        <f t="shared" si="261"/>
        <v>0</v>
      </c>
    </row>
    <row r="200" spans="1:54" ht="32.25" customHeight="1" outlineLevel="2">
      <c r="A200" s="98"/>
      <c r="B200" s="102"/>
      <c r="C200" s="23"/>
      <c r="D200" s="55"/>
      <c r="E200" s="55"/>
      <c r="F200" s="172"/>
      <c r="G200" s="54"/>
      <c r="H200" s="302" t="s">
        <v>534</v>
      </c>
      <c r="I200" s="104"/>
      <c r="J200" s="105"/>
      <c r="K200" s="105"/>
      <c r="L200" s="106" t="str">
        <f>IF(I200&lt;&gt;0,((VLOOKUP(I200,'1. Standard_Cost'!$B$4:$D$11,2)+VLOOKUP(I200,'1. Standard_Cost'!$B$4:$D$11,3))*J200*K200),"0")</f>
        <v>0</v>
      </c>
      <c r="M200" s="106">
        <f>L200*'1. Standard_Cost'!$F$4</f>
        <v>0</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c r="AB200" s="108">
        <f>+Z200*'1. Standard_Cost'!$B$23+AA200*'1. Standard_Cost'!$C$23</f>
        <v>0</v>
      </c>
      <c r="AC200" s="109">
        <f>1000000</f>
        <v>1000000</v>
      </c>
      <c r="AD200" s="110"/>
      <c r="AE200" s="108">
        <v>0</v>
      </c>
      <c r="AF200" s="108">
        <f t="shared" si="257"/>
        <v>1000000</v>
      </c>
      <c r="AG200" s="107"/>
      <c r="AH200" s="107"/>
      <c r="AI200" s="107"/>
      <c r="AJ200" s="111"/>
      <c r="AK200" s="111"/>
      <c r="AL200" s="111"/>
      <c r="AM200" s="108">
        <f>AG200*'1. Standard_Cost'!$B$27+'Incremental_Cost Year 1'!AH200*'1. Standard_Cost'!$C$27+'Incremental_Cost Year 1'!AI200*'1. Standard_Cost'!$D$27+'Incremental_Cost Year 1'!AJ200+'Incremental_Cost Year 1'!AL200+AK200</f>
        <v>0</v>
      </c>
      <c r="AN200" s="108">
        <f>AM200*'1. Standard_Cost'!$C$31</f>
        <v>0</v>
      </c>
      <c r="AO200" s="137" t="s">
        <v>701</v>
      </c>
      <c r="AQ200" s="14">
        <f t="shared" si="258"/>
        <v>0</v>
      </c>
      <c r="AR200" s="14">
        <f t="shared" si="259"/>
        <v>1000000</v>
      </c>
      <c r="AS200" s="14">
        <f t="shared" si="260"/>
        <v>0</v>
      </c>
      <c r="AT200" s="14">
        <f t="shared" si="262"/>
        <v>1000000</v>
      </c>
      <c r="AU200" s="15"/>
      <c r="AV200" s="15"/>
      <c r="AW200" s="15"/>
      <c r="AX200" s="15">
        <f>AT200</f>
        <v>1000000</v>
      </c>
      <c r="AY200" s="15"/>
      <c r="AZ200" s="15"/>
      <c r="BA200" s="15"/>
      <c r="BB200" s="16">
        <f t="shared" si="261"/>
        <v>0</v>
      </c>
    </row>
    <row r="201" spans="1:54" ht="193.2" outlineLevel="1">
      <c r="A201" s="98"/>
      <c r="B201" s="102"/>
      <c r="C201" s="23"/>
      <c r="D201" s="31" t="s">
        <v>639</v>
      </c>
      <c r="E201" s="56" t="s">
        <v>243</v>
      </c>
      <c r="F201" s="58"/>
      <c r="G201" s="59"/>
      <c r="H201" s="279" t="s">
        <v>244</v>
      </c>
      <c r="I201" s="112"/>
      <c r="J201" s="112"/>
      <c r="K201" s="112"/>
      <c r="L201" s="113">
        <f>SUM(L180:L200)</f>
        <v>19591450</v>
      </c>
      <c r="M201" s="113">
        <f>SUM(M180:M200)</f>
        <v>3271772.15</v>
      </c>
      <c r="N201" s="112"/>
      <c r="O201" s="112"/>
      <c r="P201" s="112"/>
      <c r="Q201" s="112"/>
      <c r="R201" s="113">
        <f>SUM(R180:R200)</f>
        <v>0</v>
      </c>
      <c r="S201" s="113">
        <f>SUM(S180:S200)</f>
        <v>0</v>
      </c>
      <c r="T201" s="113">
        <f>SUM(T180:T200)</f>
        <v>0</v>
      </c>
      <c r="U201" s="113">
        <f>SUM(U180:U200)</f>
        <v>0</v>
      </c>
      <c r="V201" s="112"/>
      <c r="W201" s="112"/>
      <c r="X201" s="112"/>
      <c r="Y201" s="113">
        <f>SUM(Y180:Y200)</f>
        <v>0</v>
      </c>
      <c r="Z201" s="113"/>
      <c r="AA201" s="112"/>
      <c r="AB201" s="113">
        <f>SUM(AB180:AB200)</f>
        <v>1368000</v>
      </c>
      <c r="AC201" s="113">
        <f>SUM(AC180:AC200)</f>
        <v>1582000</v>
      </c>
      <c r="AD201" s="113">
        <f>SUM(AD180:AD200)</f>
        <v>0</v>
      </c>
      <c r="AE201" s="113">
        <f>SUM(AE180:AE200)</f>
        <v>390000</v>
      </c>
      <c r="AF201" s="113">
        <f>SUM(AF180:AF200)</f>
        <v>3340000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BB201" si="269">SUM(AQ180:AQ200)</f>
        <v>22863222.149999999</v>
      </c>
      <c r="AR201" s="113">
        <f t="shared" si="269"/>
        <v>3340000</v>
      </c>
      <c r="AS201" s="113">
        <f t="shared" si="269"/>
        <v>0</v>
      </c>
      <c r="AT201" s="113">
        <f t="shared" si="269"/>
        <v>26203222.149999999</v>
      </c>
      <c r="AU201" s="113">
        <f t="shared" si="269"/>
        <v>22863222.149999999</v>
      </c>
      <c r="AV201" s="113">
        <f t="shared" si="269"/>
        <v>0</v>
      </c>
      <c r="AW201" s="113">
        <f t="shared" si="269"/>
        <v>0</v>
      </c>
      <c r="AX201" s="113">
        <f t="shared" si="269"/>
        <v>1000000</v>
      </c>
      <c r="AY201" s="113">
        <f t="shared" si="269"/>
        <v>0</v>
      </c>
      <c r="AZ201" s="113">
        <f t="shared" si="269"/>
        <v>0</v>
      </c>
      <c r="BA201" s="113">
        <f t="shared" si="269"/>
        <v>0</v>
      </c>
      <c r="BB201" s="113">
        <f t="shared" si="269"/>
        <v>-2340000</v>
      </c>
    </row>
    <row r="202" spans="1:54" s="24" customFormat="1">
      <c r="A202" s="114"/>
      <c r="B202" s="115"/>
      <c r="C202" s="314" t="s">
        <v>246</v>
      </c>
      <c r="D202" s="314"/>
      <c r="E202" s="315"/>
      <c r="F202" s="44"/>
      <c r="G202" s="44"/>
      <c r="H202" s="278" t="s">
        <v>245</v>
      </c>
      <c r="I202" s="116"/>
      <c r="J202" s="116"/>
      <c r="K202" s="116"/>
      <c r="L202" s="117">
        <f>SUM(L222)</f>
        <v>3673210</v>
      </c>
      <c r="M202" s="117">
        <f>SUM(M222)</f>
        <v>613426.07000000007</v>
      </c>
      <c r="N202" s="116"/>
      <c r="O202" s="116"/>
      <c r="P202" s="116"/>
      <c r="Q202" s="116"/>
      <c r="R202" s="117">
        <f t="shared" ref="R202:U202" si="270">SUM(R222)</f>
        <v>0</v>
      </c>
      <c r="S202" s="117">
        <f t="shared" si="270"/>
        <v>0</v>
      </c>
      <c r="T202" s="117">
        <f t="shared" si="270"/>
        <v>0</v>
      </c>
      <c r="U202" s="117">
        <f t="shared" si="270"/>
        <v>0</v>
      </c>
      <c r="V202" s="116"/>
      <c r="W202" s="116"/>
      <c r="X202" s="116"/>
      <c r="Y202" s="117">
        <f>SUM(Y222)</f>
        <v>0</v>
      </c>
      <c r="Z202" s="117"/>
      <c r="AA202" s="117"/>
      <c r="AB202" s="117">
        <f t="shared" ref="AB202:AF202" si="271">SUM(AB222)</f>
        <v>931000</v>
      </c>
      <c r="AC202" s="117">
        <f t="shared" si="271"/>
        <v>1622000</v>
      </c>
      <c r="AD202" s="117">
        <f t="shared" si="271"/>
        <v>0</v>
      </c>
      <c r="AE202" s="117">
        <f t="shared" si="271"/>
        <v>310600</v>
      </c>
      <c r="AF202" s="117">
        <f t="shared" si="271"/>
        <v>2863600</v>
      </c>
      <c r="AG202" s="116"/>
      <c r="AH202" s="116"/>
      <c r="AI202" s="116"/>
      <c r="AJ202" s="117">
        <f t="shared" ref="AJ202:AN202" si="272">SUM(AJ222)</f>
        <v>0</v>
      </c>
      <c r="AK202" s="117">
        <f t="shared" si="272"/>
        <v>0</v>
      </c>
      <c r="AL202" s="117">
        <f t="shared" si="272"/>
        <v>0</v>
      </c>
      <c r="AM202" s="117">
        <f t="shared" si="272"/>
        <v>0</v>
      </c>
      <c r="AN202" s="117">
        <f t="shared" si="272"/>
        <v>0</v>
      </c>
      <c r="AO202" s="132"/>
      <c r="AP202" s="25"/>
      <c r="AQ202" s="117">
        <f t="shared" ref="AQ202:BB202" si="273">SUM(AQ222)</f>
        <v>4286636.07</v>
      </c>
      <c r="AR202" s="117">
        <f t="shared" si="273"/>
        <v>2863600</v>
      </c>
      <c r="AS202" s="117">
        <f t="shared" si="273"/>
        <v>0</v>
      </c>
      <c r="AT202" s="117">
        <f t="shared" si="273"/>
        <v>7150236.0700000003</v>
      </c>
      <c r="AU202" s="117">
        <f t="shared" si="273"/>
        <v>4286636.07</v>
      </c>
      <c r="AV202" s="117">
        <f t="shared" si="273"/>
        <v>0</v>
      </c>
      <c r="AW202" s="117">
        <f t="shared" si="273"/>
        <v>122250.69</v>
      </c>
      <c r="AX202" s="117">
        <f t="shared" si="273"/>
        <v>2483600</v>
      </c>
      <c r="AY202" s="117">
        <f t="shared" si="273"/>
        <v>0</v>
      </c>
      <c r="AZ202" s="117">
        <f t="shared" si="273"/>
        <v>0</v>
      </c>
      <c r="BA202" s="117">
        <f t="shared" si="273"/>
        <v>0</v>
      </c>
      <c r="BB202" s="117">
        <f t="shared" si="273"/>
        <v>-257749.30999999994</v>
      </c>
    </row>
    <row r="203" spans="1:54" ht="78" outlineLevel="2">
      <c r="A203" s="98"/>
      <c r="B203" s="102"/>
      <c r="C203" s="23"/>
      <c r="D203" s="103"/>
      <c r="E203" s="123"/>
      <c r="F203" s="53"/>
      <c r="G203" s="139"/>
      <c r="H203" s="302" t="s">
        <v>538</v>
      </c>
      <c r="I203" s="104" t="s">
        <v>4</v>
      </c>
      <c r="J203" s="105">
        <v>1</v>
      </c>
      <c r="K203" s="105">
        <v>3</v>
      </c>
      <c r="L203" s="106">
        <f>IF(I203&lt;&gt;0,((VLOOKUP(I203,'1. Standard_Cost'!$B$4:$D$11,2)+VLOOKUP(I203,'1. Standard_Cost'!$B$4:$D$11,3))*J203*K203),"0")</f>
        <v>242250</v>
      </c>
      <c r="M203" s="106">
        <f>L203*'1. Standard_Cost'!$F$4</f>
        <v>40455.75</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v>10</v>
      </c>
      <c r="AB203" s="108">
        <f>+Z203*'1. Standard_Cost'!$B$23+AA203*'1. Standard_Cost'!$C$23</f>
        <v>190000</v>
      </c>
      <c r="AC203" s="109"/>
      <c r="AD203" s="110"/>
      <c r="AE203" s="108">
        <f>SUM(AD203,AC203,AB203,Y203,U203,T203,S203,R203)*'1. Standard_Cost'!$B$31</f>
        <v>38000</v>
      </c>
      <c r="AF203" s="108">
        <f t="shared" ref="AF203:AF221" si="274">SUM(AE203,AD203,AC203,AB203,Y203,U203,T203,S203,R203)</f>
        <v>228000</v>
      </c>
      <c r="AG203" s="107"/>
      <c r="AH203" s="107"/>
      <c r="AI203" s="107"/>
      <c r="AJ203" s="111"/>
      <c r="AK203" s="111"/>
      <c r="AL203" s="111"/>
      <c r="AM203" s="108">
        <f>AG203*'1. Standard_Cost'!$B$27+'Incremental_Cost Year 1'!AH203*'1. Standard_Cost'!$C$27+'Incremental_Cost Year 1'!AI203*'1. Standard_Cost'!$D$27+'Incremental_Cost Year 1'!AJ203+'Incremental_Cost Year 1'!AL203+AK203</f>
        <v>0</v>
      </c>
      <c r="AN203" s="108">
        <f>AM203*'1. Standard_Cost'!$C$31</f>
        <v>0</v>
      </c>
      <c r="AO203" s="125" t="s">
        <v>702</v>
      </c>
      <c r="AQ203" s="14">
        <f t="shared" ref="AQ203:AQ221" si="275">L203+M203</f>
        <v>282705.75</v>
      </c>
      <c r="AR203" s="14">
        <f t="shared" ref="AR203:AR221" si="276">AF203</f>
        <v>228000</v>
      </c>
      <c r="AS203" s="14">
        <f t="shared" ref="AS203:AS221" si="277">AM203+AN203</f>
        <v>0</v>
      </c>
      <c r="AT203" s="14">
        <f>SUM(AQ203,AR203,AS203)</f>
        <v>510705.75</v>
      </c>
      <c r="AU203" s="15">
        <v>282705.75</v>
      </c>
      <c r="AV203" s="15"/>
      <c r="AW203" s="15"/>
      <c r="AX203" s="15">
        <v>228000</v>
      </c>
      <c r="AY203" s="15"/>
      <c r="AZ203" s="15"/>
      <c r="BA203" s="15"/>
      <c r="BB203" s="16">
        <f t="shared" ref="BB203:BB221" si="278">SUM(AU203:BA203)-AT203</f>
        <v>0</v>
      </c>
    </row>
    <row r="204" spans="1:54" ht="140.4" outlineLevel="2">
      <c r="A204" s="98"/>
      <c r="B204" s="102"/>
      <c r="C204" s="23"/>
      <c r="D204" s="119"/>
      <c r="E204" s="121"/>
      <c r="F204" s="54"/>
      <c r="G204" s="87"/>
      <c r="H204" s="302" t="s">
        <v>539</v>
      </c>
      <c r="I204" s="104" t="s">
        <v>5</v>
      </c>
      <c r="J204" s="105">
        <v>12</v>
      </c>
      <c r="K204" s="105">
        <v>4</v>
      </c>
      <c r="L204" s="106">
        <f>IF(I204&lt;&gt;0,((VLOOKUP(I204,'1. Standard_Cost'!$B$4:$D$11,2)+VLOOKUP(I204,'1. Standard_Cost'!$B$4:$D$11,3))*J204*K204),"0")</f>
        <v>3393600</v>
      </c>
      <c r="M204" s="106">
        <f>L204*'1. Standard_Cost'!$F$4</f>
        <v>566731.20000000007</v>
      </c>
      <c r="N204" s="107"/>
      <c r="O204" s="107"/>
      <c r="P204" s="107"/>
      <c r="Q204" s="107"/>
      <c r="R204" s="108">
        <f>'1. Standard_Cost'!$B$15*N204*P204</f>
        <v>0</v>
      </c>
      <c r="S204" s="108">
        <f>N204*O204*P204*'1. Standard_Cost'!$C$15</f>
        <v>0</v>
      </c>
      <c r="T204" s="108">
        <f>N204*P204*Q204*'1. Standard_Cost'!$D$15</f>
        <v>0</v>
      </c>
      <c r="U204" s="108">
        <f>N204*O204*'1. Standard_Cost'!$E$15</f>
        <v>0</v>
      </c>
      <c r="V204" s="107"/>
      <c r="W204" s="107"/>
      <c r="X204" s="107"/>
      <c r="Y204" s="108">
        <f>+V204*((X204*'1. Standard_Cost'!$B$19)+(W204*X204*'1. Standard_Cost'!$C$19))</f>
        <v>0</v>
      </c>
      <c r="Z204" s="107"/>
      <c r="AA204" s="107">
        <v>10</v>
      </c>
      <c r="AB204" s="108">
        <f>+Z204*'1. Standard_Cost'!$B$23+AA204*'1. Standard_Cost'!$C$23</f>
        <v>190000</v>
      </c>
      <c r="AC204" s="109"/>
      <c r="AD204" s="110"/>
      <c r="AE204" s="108">
        <f>SUM(AD204,AC204,AB204,Y204,U204,T204,S204,R204)*'1. Standard_Cost'!$B$31</f>
        <v>38000</v>
      </c>
      <c r="AF204" s="108">
        <f t="shared" si="274"/>
        <v>228000</v>
      </c>
      <c r="AG204" s="107"/>
      <c r="AH204" s="107"/>
      <c r="AI204" s="107"/>
      <c r="AJ204" s="111"/>
      <c r="AK204" s="111"/>
      <c r="AL204" s="111"/>
      <c r="AM204" s="108">
        <f>AG204*'1. Standard_Cost'!$B$27+'Incremental_Cost Year 1'!AH204*'1. Standard_Cost'!$C$27+'Incremental_Cost Year 1'!AI204*'1. Standard_Cost'!$D$27+'Incremental_Cost Year 1'!AJ204+'Incremental_Cost Year 1'!AL204+AK204</f>
        <v>0</v>
      </c>
      <c r="AN204" s="108">
        <f>AM204*'1. Standard_Cost'!$C$31</f>
        <v>0</v>
      </c>
      <c r="AO204" s="125" t="s">
        <v>703</v>
      </c>
      <c r="AQ204" s="14">
        <f t="shared" si="275"/>
        <v>3960331.2</v>
      </c>
      <c r="AR204" s="14">
        <f t="shared" si="276"/>
        <v>228000</v>
      </c>
      <c r="AS204" s="14">
        <f t="shared" si="277"/>
        <v>0</v>
      </c>
      <c r="AT204" s="14">
        <f t="shared" ref="AT204:AT221" si="279">SUM(AQ204,AR204,AS204)</f>
        <v>4188331.2</v>
      </c>
      <c r="AU204" s="15">
        <v>3960331.2</v>
      </c>
      <c r="AV204" s="15"/>
      <c r="AW204" s="15"/>
      <c r="AX204" s="15">
        <v>228000</v>
      </c>
      <c r="AY204" s="15"/>
      <c r="AZ204" s="15"/>
      <c r="BA204" s="15"/>
      <c r="BB204" s="16">
        <f t="shared" si="278"/>
        <v>0</v>
      </c>
    </row>
    <row r="205" spans="1:54" ht="31.2" customHeight="1" outlineLevel="2">
      <c r="A205" s="98"/>
      <c r="B205" s="102"/>
      <c r="C205" s="23"/>
      <c r="D205" s="119"/>
      <c r="E205" s="121"/>
      <c r="F205" s="12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c r="AB205" s="108">
        <f>+Z205*'[1]1. Standard_Cost'!$B$23+AA205*'[1]1. Standard_Cost'!$C$23</f>
        <v>0</v>
      </c>
      <c r="AC205" s="109"/>
      <c r="AD205" s="110"/>
      <c r="AE205" s="108">
        <f>SUM(AD205,AC205,AB205,Y205,U205,T205,S205,R205)*'[1]1. Standard_Cost'!$B$31</f>
        <v>0</v>
      </c>
      <c r="AF205" s="108">
        <f t="shared" si="274"/>
        <v>0</v>
      </c>
      <c r="AG205" s="107"/>
      <c r="AH205" s="107"/>
      <c r="AI205" s="107"/>
      <c r="AJ205" s="111"/>
      <c r="AK205" s="111"/>
      <c r="AL205" s="111"/>
      <c r="AM205" s="108">
        <f>AG205*'1. Standard_Cost'!$B$27+'Incremental_Cost Year 1'!AH205*'1. Standard_Cost'!$C$27+'Incremental_Cost Year 1'!AI205*'1. Standard_Cost'!$D$27+'Incremental_Cost Year 1'!AJ205+'Incremental_Cost Year 1'!AL205+AK205</f>
        <v>0</v>
      </c>
      <c r="AN205" s="108">
        <f>AM205*'1. Standard_Cost'!$C$31</f>
        <v>0</v>
      </c>
      <c r="AO205" s="125"/>
      <c r="AQ205" s="14">
        <f t="shared" si="275"/>
        <v>0</v>
      </c>
      <c r="AR205" s="14">
        <f t="shared" si="276"/>
        <v>0</v>
      </c>
      <c r="AS205" s="14">
        <f t="shared" si="277"/>
        <v>0</v>
      </c>
      <c r="AT205" s="14">
        <f t="shared" si="279"/>
        <v>0</v>
      </c>
      <c r="AU205" s="15"/>
      <c r="AV205" s="15"/>
      <c r="AW205" s="15"/>
      <c r="AX205" s="15"/>
      <c r="AY205" s="15"/>
      <c r="AZ205" s="15"/>
      <c r="BA205" s="15"/>
      <c r="BB205" s="16">
        <f t="shared" si="278"/>
        <v>0</v>
      </c>
    </row>
    <row r="206" spans="1:54" ht="82.8" outlineLevel="2">
      <c r="A206" s="98"/>
      <c r="B206" s="102"/>
      <c r="C206" s="23"/>
      <c r="D206" s="119"/>
      <c r="E206" s="121"/>
      <c r="F206" s="54"/>
      <c r="G206" s="87"/>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274"/>
        <v>0</v>
      </c>
      <c r="AG206" s="107"/>
      <c r="AH206" s="107"/>
      <c r="AI206" s="107"/>
      <c r="AJ206" s="111"/>
      <c r="AK206" s="111"/>
      <c r="AL206" s="111"/>
      <c r="AM206" s="108">
        <f>AG206*'1. Standard_Cost'!$B$27+'Incremental_Cost Year 1'!AH206*'1. Standard_Cost'!$C$27+'Incremental_Cost Year 1'!AI206*'1. Standard_Cost'!$D$27+'Incremental_Cost Year 1'!AJ206+'Incremental_Cost Year 1'!AL206+AK206</f>
        <v>0</v>
      </c>
      <c r="AN206" s="108">
        <f>AM206*'1. Standard_Cost'!$C$31</f>
        <v>0</v>
      </c>
      <c r="AO206" s="125" t="s">
        <v>704</v>
      </c>
      <c r="AQ206" s="14">
        <f t="shared" si="275"/>
        <v>0</v>
      </c>
      <c r="AR206" s="14">
        <f t="shared" si="276"/>
        <v>0</v>
      </c>
      <c r="AS206" s="14">
        <f t="shared" si="277"/>
        <v>0</v>
      </c>
      <c r="AT206" s="14">
        <f t="shared" si="279"/>
        <v>0</v>
      </c>
      <c r="AU206" s="15"/>
      <c r="AV206" s="15"/>
      <c r="AW206" s="15"/>
      <c r="AX206" s="15"/>
      <c r="AY206" s="15"/>
      <c r="AZ206" s="15"/>
      <c r="BA206" s="15"/>
      <c r="BB206" s="16">
        <f t="shared" si="278"/>
        <v>0</v>
      </c>
    </row>
    <row r="207" spans="1:54" ht="36" customHeight="1" outlineLevel="2">
      <c r="A207" s="98"/>
      <c r="B207" s="102"/>
      <c r="C207" s="23"/>
      <c r="D207" s="119"/>
      <c r="E207" s="121"/>
      <c r="F207" s="54"/>
      <c r="G207" s="87"/>
      <c r="H207" s="302" t="s">
        <v>541</v>
      </c>
      <c r="I207" s="104"/>
      <c r="J207" s="105"/>
      <c r="K207" s="105"/>
      <c r="L207" s="106" t="str">
        <f>IF(I207&lt;&gt;0,((VLOOKUP(I207,'1. Standard_Cost'!$B$4:$D$11,2)+VLOOKUP(I207,'1. Standard_Cost'!$B$4:$D$11,3))*J207*K207),"0")</f>
        <v>0</v>
      </c>
      <c r="M207" s="106">
        <f>L207*'1. Standard_Cost'!$F$4</f>
        <v>0</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c r="AB207" s="108">
        <f>+Z207*'1. Standard_Cost'!$B$23+AA207*'1. Standard_Cost'!$C$23</f>
        <v>0</v>
      </c>
      <c r="AC207" s="109"/>
      <c r="AD207" s="110"/>
      <c r="AE207" s="108">
        <f>SUM(AD207,AC207,AB207,Y207,U207,T207,S207,R207)*'1. Standard_Cost'!$B$31</f>
        <v>0</v>
      </c>
      <c r="AF207" s="108">
        <f t="shared" si="274"/>
        <v>0</v>
      </c>
      <c r="AG207" s="107"/>
      <c r="AH207" s="107"/>
      <c r="AI207" s="107"/>
      <c r="AJ207" s="111"/>
      <c r="AK207" s="111"/>
      <c r="AL207" s="111"/>
      <c r="AM207" s="108">
        <f>AG207*'1. Standard_Cost'!$B$27+'Incremental_Cost Year 1'!AH207*'1. Standard_Cost'!$C$27+'Incremental_Cost Year 1'!AI207*'1. Standard_Cost'!$D$27+'Incremental_Cost Year 1'!AJ207+'Incremental_Cost Year 1'!AL207+AK207</f>
        <v>0</v>
      </c>
      <c r="AN207" s="108">
        <f>AM207*'1. Standard_Cost'!$C$31</f>
        <v>0</v>
      </c>
      <c r="AO207" s="125" t="s">
        <v>416</v>
      </c>
      <c r="AQ207" s="14">
        <f t="shared" si="275"/>
        <v>0</v>
      </c>
      <c r="AR207" s="14">
        <f t="shared" si="276"/>
        <v>0</v>
      </c>
      <c r="AS207" s="14">
        <f t="shared" si="277"/>
        <v>0</v>
      </c>
      <c r="AT207" s="14">
        <f t="shared" si="279"/>
        <v>0</v>
      </c>
      <c r="AU207" s="15"/>
      <c r="AV207" s="15"/>
      <c r="AW207" s="15"/>
      <c r="AX207" s="15"/>
      <c r="AY207" s="15"/>
      <c r="AZ207" s="15"/>
      <c r="BA207" s="15"/>
      <c r="BB207" s="16">
        <f t="shared" si="278"/>
        <v>0</v>
      </c>
    </row>
    <row r="208" spans="1:54" ht="109.2" outlineLevel="2">
      <c r="A208" s="98"/>
      <c r="B208" s="102"/>
      <c r="C208" s="23"/>
      <c r="D208" s="119"/>
      <c r="E208" s="121"/>
      <c r="F208" s="54"/>
      <c r="G208" s="87"/>
      <c r="H208" s="302" t="s">
        <v>542</v>
      </c>
      <c r="I208" s="104"/>
      <c r="J208" s="105"/>
      <c r="K208" s="105"/>
      <c r="L208" s="106" t="str">
        <f>IF(I208&lt;&gt;0,((VLOOKUP(I208,'1. Standard_Cost'!$B$4:$D$11,2)+VLOOKUP(I208,'1. Standard_Cost'!$B$4:$D$11,3))*J208*K208),"0")</f>
        <v>0</v>
      </c>
      <c r="M208" s="106">
        <f>L208*'1. Standard_Cost'!$F$4</f>
        <v>0</v>
      </c>
      <c r="N208" s="107"/>
      <c r="O208" s="107"/>
      <c r="P208" s="107"/>
      <c r="Q208" s="107"/>
      <c r="R208" s="108">
        <f>'1. Standard_Cost'!$B$15*N208*P208</f>
        <v>0</v>
      </c>
      <c r="S208" s="108">
        <f>N208*O208*P208*'1. Standard_Cost'!$C$15</f>
        <v>0</v>
      </c>
      <c r="T208" s="108">
        <f>N208*P208*Q208*'1. Standard_Cost'!$D$15</f>
        <v>0</v>
      </c>
      <c r="U208" s="108">
        <f>N208*O208*'1. Standard_Cost'!$E$15</f>
        <v>0</v>
      </c>
      <c r="V208" s="107"/>
      <c r="W208" s="107"/>
      <c r="X208" s="107"/>
      <c r="Y208" s="108">
        <f>+V208*((X208*'1. Standard_Cost'!$B$19)+(W208*X208*'1. Standard_Cost'!$C$19))</f>
        <v>0</v>
      </c>
      <c r="Z208" s="107"/>
      <c r="AA208" s="107">
        <v>10</v>
      </c>
      <c r="AB208" s="108">
        <f>+Z208*'1. Standard_Cost'!$B$23+AA208*'1. Standard_Cost'!$C$23</f>
        <v>190000</v>
      </c>
      <c r="AC208" s="109"/>
      <c r="AD208" s="110"/>
      <c r="AE208" s="108">
        <f>SUM(AD208,AC208,AB208,Y208,U208,T208,S208,R208)*'1. Standard_Cost'!$B$31</f>
        <v>38000</v>
      </c>
      <c r="AF208" s="108">
        <f t="shared" si="274"/>
        <v>228000</v>
      </c>
      <c r="AG208" s="107"/>
      <c r="AH208" s="107"/>
      <c r="AI208" s="107"/>
      <c r="AJ208" s="111"/>
      <c r="AK208" s="111"/>
      <c r="AL208" s="111"/>
      <c r="AM208" s="108">
        <f>AG208*'1. Standard_Cost'!$B$27+'Incremental_Cost Year 1'!AH208*'1. Standard_Cost'!$C$27+'Incremental_Cost Year 1'!AI208*'1. Standard_Cost'!$D$27+'Incremental_Cost Year 1'!AJ208+'Incremental_Cost Year 1'!AL208+AK208</f>
        <v>0</v>
      </c>
      <c r="AN208" s="108">
        <f>AM208*'1. Standard_Cost'!$C$31</f>
        <v>0</v>
      </c>
      <c r="AO208" s="125" t="s">
        <v>417</v>
      </c>
      <c r="AQ208" s="14">
        <f t="shared" si="275"/>
        <v>0</v>
      </c>
      <c r="AR208" s="14">
        <f t="shared" si="276"/>
        <v>228000</v>
      </c>
      <c r="AS208" s="14">
        <f t="shared" si="277"/>
        <v>0</v>
      </c>
      <c r="AT208" s="14">
        <f t="shared" si="279"/>
        <v>228000</v>
      </c>
      <c r="AU208" s="15"/>
      <c r="AV208" s="15"/>
      <c r="AW208" s="15"/>
      <c r="AX208" s="15"/>
      <c r="AY208" s="15"/>
      <c r="AZ208" s="15"/>
      <c r="BA208" s="15"/>
      <c r="BB208" s="16">
        <f t="shared" si="278"/>
        <v>-228000</v>
      </c>
    </row>
    <row r="209" spans="1:54" ht="15.6" outlineLevel="2">
      <c r="A209" s="98"/>
      <c r="B209" s="102"/>
      <c r="C209" s="23"/>
      <c r="D209" s="119"/>
      <c r="E209" s="121"/>
      <c r="F209" s="12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c r="AB209" s="108">
        <f>+Z209*'[1]1. Standard_Cost'!$B$23+AA209*'[1]1. Standard_Cost'!$C$23</f>
        <v>0</v>
      </c>
      <c r="AC209" s="109"/>
      <c r="AD209" s="110"/>
      <c r="AE209" s="108">
        <f>SUM(AD209,AC209,AB209,Y209,U209,T209,S209,R209)*'[1]1. Standard_Cost'!$B$31</f>
        <v>0</v>
      </c>
      <c r="AF209" s="108">
        <f t="shared" si="274"/>
        <v>0</v>
      </c>
      <c r="AG209" s="107"/>
      <c r="AH209" s="107"/>
      <c r="AI209" s="107"/>
      <c r="AJ209" s="111"/>
      <c r="AK209" s="111"/>
      <c r="AL209" s="111"/>
      <c r="AM209" s="108">
        <f>AG209*'1. Standard_Cost'!$B$27+'Incremental_Cost Year 1'!AH209*'1. Standard_Cost'!$C$27+'Incremental_Cost Year 1'!AI209*'1. Standard_Cost'!$D$27+'Incremental_Cost Year 1'!AJ209+'Incremental_Cost Year 1'!AL209+AK209</f>
        <v>0</v>
      </c>
      <c r="AN209" s="108">
        <f>AM209*'1. Standard_Cost'!$C$31</f>
        <v>0</v>
      </c>
      <c r="AO209" s="125" t="s">
        <v>418</v>
      </c>
      <c r="AQ209" s="14">
        <f t="shared" si="275"/>
        <v>0</v>
      </c>
      <c r="AR209" s="14">
        <f t="shared" si="276"/>
        <v>0</v>
      </c>
      <c r="AS209" s="14">
        <f t="shared" si="277"/>
        <v>0</v>
      </c>
      <c r="AT209" s="14">
        <f t="shared" si="279"/>
        <v>0</v>
      </c>
      <c r="AU209" s="15"/>
      <c r="AV209" s="15"/>
      <c r="AW209" s="15"/>
      <c r="AX209" s="15"/>
      <c r="AY209" s="15"/>
      <c r="AZ209" s="15"/>
      <c r="BA209" s="15"/>
      <c r="BB209" s="16">
        <f t="shared" si="278"/>
        <v>0</v>
      </c>
    </row>
    <row r="210" spans="1:54" ht="109.2" outlineLevel="2">
      <c r="A210" s="98"/>
      <c r="B210" s="102"/>
      <c r="C210" s="23"/>
      <c r="D210" s="119"/>
      <c r="E210" s="121"/>
      <c r="F210" s="54"/>
      <c r="G210" s="87"/>
      <c r="H210" s="302" t="s">
        <v>543</v>
      </c>
      <c r="I210" s="104"/>
      <c r="J210" s="105"/>
      <c r="K210" s="105"/>
      <c r="L210" s="106" t="str">
        <f>IF(I210&lt;&gt;0,((VLOOKUP(I210,'1. Standard_Cost'!$B$4:$D$11,2)+VLOOKUP(I210,'1. Standard_Cost'!$B$4:$D$11,3))*J210*K210),"0")</f>
        <v>0</v>
      </c>
      <c r="M210" s="106">
        <f>L210*'1. Standard_Cost'!$F$4</f>
        <v>0</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c r="AB210" s="108">
        <f>+Z210*'1. Standard_Cost'!$B$23+AA210*'1. Standard_Cost'!$C$23</f>
        <v>0</v>
      </c>
      <c r="AC210" s="109"/>
      <c r="AD210" s="110"/>
      <c r="AE210" s="108">
        <f>SUM(AD210,AC210,AB210,Y210,U210,T210,S210,R210)*'1. Standard_Cost'!$B$31</f>
        <v>0</v>
      </c>
      <c r="AF210" s="108">
        <f t="shared" si="274"/>
        <v>0</v>
      </c>
      <c r="AG210" s="107"/>
      <c r="AH210" s="107"/>
      <c r="AI210" s="107"/>
      <c r="AJ210" s="111"/>
      <c r="AK210" s="111"/>
      <c r="AL210" s="111"/>
      <c r="AM210" s="108">
        <f>AG210*'1. Standard_Cost'!$B$27+'Incremental_Cost Year 1'!AH210*'1. Standard_Cost'!$C$27+'Incremental_Cost Year 1'!AI210*'1. Standard_Cost'!$D$27+'Incremental_Cost Year 1'!AJ210+'Incremental_Cost Year 1'!AL210+AK210</f>
        <v>0</v>
      </c>
      <c r="AN210" s="108">
        <f>AM210*'1. Standard_Cost'!$C$31</f>
        <v>0</v>
      </c>
      <c r="AO210" s="125" t="s">
        <v>418</v>
      </c>
      <c r="AQ210" s="14">
        <f t="shared" si="275"/>
        <v>0</v>
      </c>
      <c r="AR210" s="14">
        <f t="shared" si="276"/>
        <v>0</v>
      </c>
      <c r="AS210" s="14">
        <f t="shared" si="277"/>
        <v>0</v>
      </c>
      <c r="AT210" s="14">
        <f t="shared" si="279"/>
        <v>0</v>
      </c>
      <c r="AU210" s="15"/>
      <c r="AV210" s="15"/>
      <c r="AW210" s="15"/>
      <c r="AX210" s="15"/>
      <c r="AY210" s="15"/>
      <c r="AZ210" s="15"/>
      <c r="BA210" s="15"/>
      <c r="BB210" s="16">
        <f t="shared" si="278"/>
        <v>0</v>
      </c>
    </row>
    <row r="211" spans="1:54" ht="96.6" outlineLevel="2">
      <c r="A211" s="98"/>
      <c r="B211" s="102"/>
      <c r="C211" s="23"/>
      <c r="D211" s="119"/>
      <c r="E211" s="121"/>
      <c r="F211" s="54"/>
      <c r="G211" s="87"/>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v>1000000</v>
      </c>
      <c r="AD211" s="110"/>
      <c r="AE211" s="108">
        <v>0</v>
      </c>
      <c r="AF211" s="108">
        <f t="shared" si="274"/>
        <v>1000000</v>
      </c>
      <c r="AG211" s="107"/>
      <c r="AH211" s="107"/>
      <c r="AI211" s="107"/>
      <c r="AJ211" s="111"/>
      <c r="AK211" s="111"/>
      <c r="AL211" s="111"/>
      <c r="AM211" s="108">
        <f>AG211*'1. Standard_Cost'!$B$27+'Incremental_Cost Year 1'!AH211*'1. Standard_Cost'!$C$27+'Incremental_Cost Year 1'!AI211*'1. Standard_Cost'!$D$27+'Incremental_Cost Year 1'!AJ211+'Incremental_Cost Year 1'!AL211+AK211</f>
        <v>0</v>
      </c>
      <c r="AN211" s="108">
        <f>AM211*'1. Standard_Cost'!$C$31</f>
        <v>0</v>
      </c>
      <c r="AO211" s="125" t="s">
        <v>705</v>
      </c>
      <c r="AQ211" s="14">
        <f t="shared" si="275"/>
        <v>0</v>
      </c>
      <c r="AR211" s="14">
        <f t="shared" si="276"/>
        <v>1000000</v>
      </c>
      <c r="AS211" s="14">
        <f t="shared" si="277"/>
        <v>0</v>
      </c>
      <c r="AT211" s="14">
        <f t="shared" si="279"/>
        <v>1000000</v>
      </c>
      <c r="AU211" s="15"/>
      <c r="AV211" s="15"/>
      <c r="AW211" s="15"/>
      <c r="AX211" s="15">
        <v>1000000</v>
      </c>
      <c r="AY211" s="15"/>
      <c r="AZ211" s="15"/>
      <c r="BA211" s="15"/>
      <c r="BB211" s="16">
        <f t="shared" si="278"/>
        <v>0</v>
      </c>
    </row>
    <row r="212" spans="1:54" ht="109.2" outlineLevel="2">
      <c r="A212" s="98"/>
      <c r="B212" s="102"/>
      <c r="C212" s="23"/>
      <c r="D212" s="119"/>
      <c r="E212" s="121"/>
      <c r="F212" s="54"/>
      <c r="G212" s="87"/>
      <c r="H212" s="302" t="s">
        <v>545</v>
      </c>
      <c r="I212" s="104"/>
      <c r="J212" s="105"/>
      <c r="K212" s="105"/>
      <c r="L212" s="106" t="str">
        <f>IF(I212&lt;&gt;0,((VLOOKUP(I212,'1. Standard_Cost'!$B$4:$D$11,2)+VLOOKUP(I212,'1. Standard_Cost'!$B$4:$D$11,3))*J212*K212),"0")</f>
        <v>0</v>
      </c>
      <c r="M212" s="106">
        <f>L212*'1. Standard_Cost'!$F$4</f>
        <v>0</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c r="AB212" s="108">
        <f>+Z212*'1. Standard_Cost'!$B$23+AA212*'1. Standard_Cost'!$C$23</f>
        <v>0</v>
      </c>
      <c r="AC212" s="109"/>
      <c r="AD212" s="110"/>
      <c r="AE212" s="108">
        <f>SUM(AD212,AC212,AB212,Y212,U212,T212,S212,R212)*'1. Standard_Cost'!$B$31</f>
        <v>0</v>
      </c>
      <c r="AF212" s="108">
        <f t="shared" si="274"/>
        <v>0</v>
      </c>
      <c r="AG212" s="107"/>
      <c r="AH212" s="107"/>
      <c r="AI212" s="107"/>
      <c r="AJ212" s="111"/>
      <c r="AK212" s="111"/>
      <c r="AL212" s="111"/>
      <c r="AM212" s="108">
        <f>AG212*'1. Standard_Cost'!$B$27+'Incremental_Cost Year 1'!AH212*'1. Standard_Cost'!$C$27+'Incremental_Cost Year 1'!AI212*'1. Standard_Cost'!$D$27+'Incremental_Cost Year 1'!AJ212+'Incremental_Cost Year 1'!AL212+AK212</f>
        <v>0</v>
      </c>
      <c r="AN212" s="108">
        <f>AM212*'1. Standard_Cost'!$C$31</f>
        <v>0</v>
      </c>
      <c r="AO212" s="125" t="s">
        <v>706</v>
      </c>
      <c r="AQ212" s="14">
        <f t="shared" si="275"/>
        <v>0</v>
      </c>
      <c r="AR212" s="14">
        <f t="shared" si="276"/>
        <v>0</v>
      </c>
      <c r="AS212" s="14">
        <f t="shared" si="277"/>
        <v>0</v>
      </c>
      <c r="AT212" s="14">
        <f t="shared" si="279"/>
        <v>0</v>
      </c>
      <c r="AU212" s="15"/>
      <c r="AV212" s="15"/>
      <c r="AW212" s="15"/>
      <c r="AX212" s="15"/>
      <c r="AY212" s="15"/>
      <c r="AZ212" s="15"/>
      <c r="BA212" s="15"/>
      <c r="BB212" s="16">
        <f t="shared" si="278"/>
        <v>0</v>
      </c>
    </row>
    <row r="213" spans="1:54" ht="93.6" outlineLevel="2">
      <c r="A213" s="98"/>
      <c r="B213" s="102"/>
      <c r="C213" s="23"/>
      <c r="D213" s="119"/>
      <c r="E213" s="121"/>
      <c r="F213" s="54"/>
      <c r="G213" s="87"/>
      <c r="H213" s="302" t="s">
        <v>546</v>
      </c>
      <c r="I213" s="104" t="s">
        <v>5</v>
      </c>
      <c r="J213" s="105">
        <v>0.1</v>
      </c>
      <c r="K213" s="105">
        <v>1</v>
      </c>
      <c r="L213" s="106">
        <f>IF(I213&lt;&gt;0,((VLOOKUP(I213,'1. Standard_Cost'!$B$4:$D$11,2)+VLOOKUP(I213,'1. Standard_Cost'!$B$4:$D$11,3))*J213*K213),"0")</f>
        <v>7070</v>
      </c>
      <c r="M213" s="106">
        <f>L213*'1. Standard_Cost'!$F$4</f>
        <v>1180.69</v>
      </c>
      <c r="N213" s="107"/>
      <c r="O213" s="107"/>
      <c r="P213" s="107"/>
      <c r="Q213" s="107"/>
      <c r="R213" s="108">
        <f>'1. Standard_Cost'!$B$15*N213*P213</f>
        <v>0</v>
      </c>
      <c r="S213" s="108">
        <f>N213*O213*P213*'1. Standard_Cost'!$C$15</f>
        <v>0</v>
      </c>
      <c r="T213" s="108">
        <f>N213*P213*Q213*'1. Standard_Cost'!$D$15</f>
        <v>0</v>
      </c>
      <c r="U213" s="108">
        <f>N213*O213*'1. Standard_Cost'!$E$15</f>
        <v>0</v>
      </c>
      <c r="V213" s="107"/>
      <c r="W213" s="107"/>
      <c r="X213" s="107"/>
      <c r="Y213" s="108">
        <f>+V213*((X213*'1. Standard_Cost'!$B$19)+(W213*X213*'1. Standard_Cost'!$C$19))</f>
        <v>0</v>
      </c>
      <c r="Z213" s="107"/>
      <c r="AA213" s="107">
        <v>5</v>
      </c>
      <c r="AB213" s="108">
        <f>+Z213*'1. Standard_Cost'!$B$23+AA213*'1. Standard_Cost'!$C$23</f>
        <v>95000</v>
      </c>
      <c r="AC213" s="109"/>
      <c r="AD213" s="110"/>
      <c r="AE213" s="108">
        <f>SUM(AD213,AC213,AB213,Y213,U213,T213,S213,R213)*'1. Standard_Cost'!$B$31</f>
        <v>19000</v>
      </c>
      <c r="AF213" s="108">
        <f t="shared" si="274"/>
        <v>114000</v>
      </c>
      <c r="AG213" s="107"/>
      <c r="AH213" s="107"/>
      <c r="AI213" s="107"/>
      <c r="AJ213" s="111"/>
      <c r="AK213" s="111"/>
      <c r="AL213" s="111"/>
      <c r="AM213" s="108">
        <f>AG213*'1. Standard_Cost'!$B$27+'Incremental_Cost Year 1'!AH213*'1. Standard_Cost'!$C$27+'Incremental_Cost Year 1'!AI213*'1. Standard_Cost'!$D$27+'Incremental_Cost Year 1'!AJ213+'Incremental_Cost Year 1'!AL213+AK213</f>
        <v>0</v>
      </c>
      <c r="AN213" s="108">
        <f>AM213*'1. Standard_Cost'!$C$31</f>
        <v>0</v>
      </c>
      <c r="AO213" s="125" t="s">
        <v>707</v>
      </c>
      <c r="AQ213" s="14">
        <f t="shared" si="275"/>
        <v>8250.69</v>
      </c>
      <c r="AR213" s="14">
        <f t="shared" si="276"/>
        <v>114000</v>
      </c>
      <c r="AS213" s="14">
        <f t="shared" si="277"/>
        <v>0</v>
      </c>
      <c r="AT213" s="14">
        <f t="shared" si="279"/>
        <v>122250.69</v>
      </c>
      <c r="AU213" s="15">
        <v>8250.69</v>
      </c>
      <c r="AV213" s="15"/>
      <c r="AW213" s="15">
        <v>122250.69</v>
      </c>
      <c r="AX213" s="15"/>
      <c r="AY213" s="15"/>
      <c r="AZ213" s="15"/>
      <c r="BA213" s="15"/>
      <c r="BB213" s="16">
        <f t="shared" si="278"/>
        <v>8250.6900000000023</v>
      </c>
    </row>
    <row r="214" spans="1:54" ht="21" customHeight="1" outlineLevel="2">
      <c r="A214" s="98"/>
      <c r="B214" s="102"/>
      <c r="C214" s="23"/>
      <c r="D214" s="119"/>
      <c r="E214" s="121"/>
      <c r="F214" s="12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c r="AB214" s="108">
        <f>+Z214*'[1]1. Standard_Cost'!$B$23+AA214*'[1]1. Standard_Cost'!$C$23</f>
        <v>0</v>
      </c>
      <c r="AC214" s="109"/>
      <c r="AD214" s="110"/>
      <c r="AE214" s="108">
        <f>SUM(AD214,AC214,AB214,Y214,U214,T214,S214,R214)*'[1]1. Standard_Cost'!$B$31</f>
        <v>0</v>
      </c>
      <c r="AF214" s="108">
        <f t="shared" si="274"/>
        <v>0</v>
      </c>
      <c r="AG214" s="107"/>
      <c r="AH214" s="107"/>
      <c r="AI214" s="107"/>
      <c r="AJ214" s="111"/>
      <c r="AK214" s="111"/>
      <c r="AL214" s="111"/>
      <c r="AM214" s="108">
        <f>AG214*'1. Standard_Cost'!$B$27+'Incremental_Cost Year 1'!AH214*'1. Standard_Cost'!$C$27+'Incremental_Cost Year 1'!AI214*'1. Standard_Cost'!$D$27+'Incremental_Cost Year 1'!AJ214+'Incremental_Cost Year 1'!AL214+AK214</f>
        <v>0</v>
      </c>
      <c r="AN214" s="108">
        <f>AM214*'1. Standard_Cost'!$C$31</f>
        <v>0</v>
      </c>
      <c r="AO214" s="125" t="s">
        <v>421</v>
      </c>
      <c r="AQ214" s="14">
        <f t="shared" si="275"/>
        <v>0</v>
      </c>
      <c r="AR214" s="14">
        <f t="shared" si="276"/>
        <v>0</v>
      </c>
      <c r="AS214" s="14">
        <f t="shared" si="277"/>
        <v>0</v>
      </c>
      <c r="AT214" s="14">
        <f t="shared" si="279"/>
        <v>0</v>
      </c>
      <c r="AU214" s="15"/>
      <c r="AV214" s="15"/>
      <c r="AW214" s="15"/>
      <c r="AX214" s="15"/>
      <c r="AY214" s="15"/>
      <c r="AZ214" s="15"/>
      <c r="BA214" s="15"/>
      <c r="BB214" s="16">
        <f t="shared" si="278"/>
        <v>0</v>
      </c>
    </row>
    <row r="215" spans="1:54" ht="187.2" outlineLevel="2">
      <c r="A215" s="98"/>
      <c r="B215" s="102"/>
      <c r="C215" s="23"/>
      <c r="D215" s="119"/>
      <c r="E215" s="121"/>
      <c r="F215" s="54"/>
      <c r="G215" s="87"/>
      <c r="H215" s="302" t="s">
        <v>547</v>
      </c>
      <c r="I215" s="104" t="s">
        <v>4</v>
      </c>
      <c r="J215" s="105">
        <v>0.2</v>
      </c>
      <c r="K215" s="105">
        <v>1</v>
      </c>
      <c r="L215" s="106">
        <f>IF(I215&lt;&gt;0,((VLOOKUP(I215,'1. Standard_Cost'!$B$4:$D$11,2)+VLOOKUP(I215,'1. Standard_Cost'!$B$4:$D$11,3))*J215*K215),"0")</f>
        <v>16150</v>
      </c>
      <c r="M215" s="106">
        <f>L215*'1. Standard_Cost'!$F$4</f>
        <v>2697.05</v>
      </c>
      <c r="N215" s="107"/>
      <c r="O215" s="107"/>
      <c r="P215" s="107"/>
      <c r="Q215" s="107"/>
      <c r="R215" s="108">
        <f>'1. Standard_Cost'!$B$15*N215*P215</f>
        <v>0</v>
      </c>
      <c r="S215" s="108">
        <f>N215*O215*P215*'1. Standard_Cost'!$C$15</f>
        <v>0</v>
      </c>
      <c r="T215" s="108">
        <f>N215*P215*Q215*'1. Standard_Cost'!$D$15</f>
        <v>0</v>
      </c>
      <c r="U215" s="108">
        <f>N215*O215*'1. Standard_Cost'!$E$15</f>
        <v>0</v>
      </c>
      <c r="V215" s="107"/>
      <c r="W215" s="107"/>
      <c r="X215" s="107"/>
      <c r="Y215" s="108">
        <f>+V215*((X215*'1. Standard_Cost'!$B$19)+(W215*X215*'1. Standard_Cost'!$C$19))</f>
        <v>0</v>
      </c>
      <c r="Z215" s="107"/>
      <c r="AA215" s="107">
        <v>10</v>
      </c>
      <c r="AB215" s="108">
        <f>+Z215*'1. Standard_Cost'!$B$23+AA215*'1. Standard_Cost'!$C$23</f>
        <v>190000</v>
      </c>
      <c r="AC215" s="109"/>
      <c r="AD215" s="110"/>
      <c r="AE215" s="108">
        <f>SUM(AD215,AC215,AB215,Y215,U215,T215,S215,R215)*'1. Standard_Cost'!$B$31</f>
        <v>38000</v>
      </c>
      <c r="AF215" s="108">
        <f t="shared" si="274"/>
        <v>228000</v>
      </c>
      <c r="AG215" s="107"/>
      <c r="AH215" s="107"/>
      <c r="AI215" s="107"/>
      <c r="AJ215" s="111"/>
      <c r="AK215" s="111"/>
      <c r="AL215" s="111"/>
      <c r="AM215" s="108">
        <f>AG215*'1. Standard_Cost'!$B$27+'Incremental_Cost Year 1'!AH215*'1. Standard_Cost'!$C$27+'Incremental_Cost Year 1'!AI215*'1. Standard_Cost'!$D$27+'Incremental_Cost Year 1'!AJ215+'Incremental_Cost Year 1'!AL215+AK215</f>
        <v>0</v>
      </c>
      <c r="AN215" s="108">
        <f>AM215*'1. Standard_Cost'!$C$31</f>
        <v>0</v>
      </c>
      <c r="AO215" s="125" t="s">
        <v>708</v>
      </c>
      <c r="AQ215" s="14">
        <f t="shared" si="275"/>
        <v>18847.05</v>
      </c>
      <c r="AR215" s="14">
        <f t="shared" si="276"/>
        <v>228000</v>
      </c>
      <c r="AS215" s="14">
        <f t="shared" si="277"/>
        <v>0</v>
      </c>
      <c r="AT215" s="14">
        <f t="shared" si="279"/>
        <v>246847.05</v>
      </c>
      <c r="AU215" s="15">
        <v>18847.05</v>
      </c>
      <c r="AV215" s="15"/>
      <c r="AW215" s="15"/>
      <c r="AX215" s="15">
        <v>190000</v>
      </c>
      <c r="AY215" s="15"/>
      <c r="AZ215" s="15"/>
      <c r="BA215" s="15"/>
      <c r="BB215" s="16">
        <f t="shared" si="278"/>
        <v>-38000</v>
      </c>
    </row>
    <row r="216" spans="1:54" ht="41.4" outlineLevel="2">
      <c r="A216" s="98"/>
      <c r="B216" s="102"/>
      <c r="C216" s="23"/>
      <c r="D216" s="119"/>
      <c r="E216" s="121"/>
      <c r="F216" s="54"/>
      <c r="G216" s="87"/>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274"/>
        <v>0</v>
      </c>
      <c r="AG216" s="107"/>
      <c r="AH216" s="107"/>
      <c r="AI216" s="107"/>
      <c r="AJ216" s="111"/>
      <c r="AK216" s="111"/>
      <c r="AL216" s="111"/>
      <c r="AM216" s="108">
        <f>AG216*'1. Standard_Cost'!$B$27+'Incremental_Cost Year 1'!AH216*'1. Standard_Cost'!$C$27+'Incremental_Cost Year 1'!AI216*'1. Standard_Cost'!$D$27+'Incremental_Cost Year 1'!AJ216+'Incremental_Cost Year 1'!AL216+AK216</f>
        <v>0</v>
      </c>
      <c r="AN216" s="108">
        <f>AM216*'1. Standard_Cost'!$C$31</f>
        <v>0</v>
      </c>
      <c r="AO216" s="125" t="s">
        <v>422</v>
      </c>
      <c r="AQ216" s="14">
        <f t="shared" si="275"/>
        <v>0</v>
      </c>
      <c r="AR216" s="14">
        <f t="shared" si="276"/>
        <v>0</v>
      </c>
      <c r="AS216" s="14">
        <f t="shared" si="277"/>
        <v>0</v>
      </c>
      <c r="AT216" s="14">
        <f t="shared" si="279"/>
        <v>0</v>
      </c>
      <c r="AU216" s="15"/>
      <c r="AV216" s="15"/>
      <c r="AW216" s="15"/>
      <c r="AX216" s="15"/>
      <c r="AY216" s="15"/>
      <c r="AZ216" s="15"/>
      <c r="BA216" s="15"/>
      <c r="BB216" s="16">
        <f t="shared" si="278"/>
        <v>0</v>
      </c>
    </row>
    <row r="217" spans="1:54" ht="124.8" outlineLevel="2">
      <c r="A217" s="98"/>
      <c r="B217" s="102"/>
      <c r="C217" s="23"/>
      <c r="D217" s="119"/>
      <c r="E217" s="121"/>
      <c r="F217" s="54"/>
      <c r="G217" s="87"/>
      <c r="H217" s="302" t="s">
        <v>548</v>
      </c>
      <c r="I217" s="104" t="s">
        <v>5</v>
      </c>
      <c r="J217" s="105">
        <v>0.2</v>
      </c>
      <c r="K217" s="105">
        <v>1</v>
      </c>
      <c r="L217" s="106">
        <f>IF(I217&lt;&gt;0,((VLOOKUP(I217,'1. Standard_Cost'!$B$4:$D$11,2)+VLOOKUP(I217,'1. Standard_Cost'!$B$4:$D$11,3))*J217*K217),"0")</f>
        <v>14140</v>
      </c>
      <c r="M217" s="106">
        <f>L217*'1. Standard_Cost'!$F$4</f>
        <v>2361.38</v>
      </c>
      <c r="N217" s="107">
        <v>1</v>
      </c>
      <c r="O217" s="107">
        <v>3</v>
      </c>
      <c r="P217" s="107">
        <v>30</v>
      </c>
      <c r="Q217" s="107"/>
      <c r="R217" s="108">
        <v>0</v>
      </c>
      <c r="S217" s="108">
        <v>0</v>
      </c>
      <c r="T217" s="108">
        <f>N217*P217*Q217*'1. Standard_Cost'!$D$15</f>
        <v>0</v>
      </c>
      <c r="U217" s="108">
        <v>0</v>
      </c>
      <c r="V217" s="107"/>
      <c r="W217" s="107"/>
      <c r="X217" s="107"/>
      <c r="Y217" s="108">
        <f>+V217*((X217*'1. Standard_Cost'!$B$19)+(W217*X217*'1. Standard_Cost'!$C$19))</f>
        <v>0</v>
      </c>
      <c r="Z217" s="107"/>
      <c r="AA217" s="107">
        <v>4</v>
      </c>
      <c r="AB217" s="108">
        <f>+Z217*'1. Standard_Cost'!$B$23+AA217*'1. Standard_Cost'!$C$23</f>
        <v>76000</v>
      </c>
      <c r="AC217" s="109">
        <v>622000</v>
      </c>
      <c r="AD217" s="110"/>
      <c r="AE217" s="108">
        <f>SUM(AD217,AC217,AB217,Y217,U217,T217,S217,R217)*'1. Standard_Cost'!$B$31</f>
        <v>139600</v>
      </c>
      <c r="AF217" s="108">
        <f t="shared" si="274"/>
        <v>837600</v>
      </c>
      <c r="AG217" s="107"/>
      <c r="AH217" s="107"/>
      <c r="AI217" s="107"/>
      <c r="AJ217" s="111"/>
      <c r="AK217" s="111"/>
      <c r="AL217" s="111"/>
      <c r="AM217" s="108">
        <f>AG217*'1. Standard_Cost'!$B$27+'Incremental_Cost Year 1'!AH217*'1. Standard_Cost'!$C$27+'Incremental_Cost Year 1'!AI217*'1. Standard_Cost'!$D$27+'Incremental_Cost Year 1'!AJ217+'Incremental_Cost Year 1'!AL217+AK217</f>
        <v>0</v>
      </c>
      <c r="AN217" s="108">
        <f>AM217*'1. Standard_Cost'!$C$31</f>
        <v>0</v>
      </c>
      <c r="AO217" s="125" t="s">
        <v>709</v>
      </c>
      <c r="AQ217" s="14">
        <f t="shared" si="275"/>
        <v>16501.38</v>
      </c>
      <c r="AR217" s="14">
        <f t="shared" si="276"/>
        <v>837600</v>
      </c>
      <c r="AS217" s="14">
        <f t="shared" si="277"/>
        <v>0</v>
      </c>
      <c r="AT217" s="14">
        <f t="shared" si="279"/>
        <v>854101.38</v>
      </c>
      <c r="AU217" s="15"/>
      <c r="AV217" s="15"/>
      <c r="AW217" s="15"/>
      <c r="AX217" s="15"/>
      <c r="AY217" s="15"/>
      <c r="AZ217" s="15"/>
      <c r="BA217" s="15"/>
      <c r="BB217" s="16">
        <f t="shared" si="278"/>
        <v>-854101.38</v>
      </c>
    </row>
    <row r="218" spans="1:54" ht="234" outlineLevel="2">
      <c r="A218" s="98"/>
      <c r="B218" s="102"/>
      <c r="C218" s="23"/>
      <c r="D218" s="119"/>
      <c r="E218" s="121"/>
      <c r="F218" s="54"/>
      <c r="G218" s="87"/>
      <c r="H218" s="302" t="s">
        <v>549</v>
      </c>
      <c r="I218" s="104"/>
      <c r="J218" s="105"/>
      <c r="K218" s="105"/>
      <c r="L218" s="106" t="str">
        <f>IF(I218&lt;&gt;0,((VLOOKUP(I218,'1. Standard_Cost'!$B$4:$D$11,2)+VLOOKUP(I218,'1. Standard_Cost'!$B$4:$D$11,3))*J218*K218),"0")</f>
        <v>0</v>
      </c>
      <c r="M218" s="106">
        <f>L218*'1. Standard_Cost'!$F$4</f>
        <v>0</v>
      </c>
      <c r="N218" s="107"/>
      <c r="O218" s="107"/>
      <c r="P218" s="107"/>
      <c r="Q218" s="107"/>
      <c r="R218" s="108">
        <f>'1. Standard_Cost'!$B$15*N218*P218</f>
        <v>0</v>
      </c>
      <c r="S218" s="108">
        <f>N218*O218*P218*'1. Standard_Cost'!$C$15</f>
        <v>0</v>
      </c>
      <c r="T218" s="108">
        <f>N218*P218*Q218*'1. Standard_Cost'!$D$15</f>
        <v>0</v>
      </c>
      <c r="U218" s="108">
        <f>N218*O218*'1. Standard_Cost'!$E$15</f>
        <v>0</v>
      </c>
      <c r="V218" s="107"/>
      <c r="W218" s="107"/>
      <c r="X218" s="107"/>
      <c r="Y218" s="108">
        <f>+V218*((X218*'1. Standard_Cost'!$B$19)+(W218*X218*'1. Standard_Cost'!$C$19))</f>
        <v>0</v>
      </c>
      <c r="Z218" s="107"/>
      <c r="AA218" s="107"/>
      <c r="AB218" s="108">
        <f>+Z218*'1. Standard_Cost'!$B$23+AA218*'1. Standard_Cost'!$C$23</f>
        <v>0</v>
      </c>
      <c r="AC218" s="109"/>
      <c r="AD218" s="110"/>
      <c r="AE218" s="108">
        <f>SUM(AD218,AC218,AB218,Y218,U218,T218,S218,R218)*'1. Standard_Cost'!$B$31</f>
        <v>0</v>
      </c>
      <c r="AF218" s="108">
        <f t="shared" si="274"/>
        <v>0</v>
      </c>
      <c r="AG218" s="107"/>
      <c r="AH218" s="107"/>
      <c r="AI218" s="107"/>
      <c r="AJ218" s="111"/>
      <c r="AK218" s="111"/>
      <c r="AL218" s="111"/>
      <c r="AM218" s="108">
        <f>AG218*'1. Standard_Cost'!$B$27+'Incremental_Cost Year 1'!AH218*'1. Standard_Cost'!$C$27+'Incremental_Cost Year 1'!AI218*'1. Standard_Cost'!$D$27+'Incremental_Cost Year 1'!AJ218+'Incremental_Cost Year 1'!AL218+AK218</f>
        <v>0</v>
      </c>
      <c r="AN218" s="108">
        <f>AM218*'1. Standard_Cost'!$C$31</f>
        <v>0</v>
      </c>
      <c r="AO218" s="125" t="s">
        <v>710</v>
      </c>
      <c r="AQ218" s="14">
        <f t="shared" si="275"/>
        <v>0</v>
      </c>
      <c r="AR218" s="14">
        <f t="shared" si="276"/>
        <v>0</v>
      </c>
      <c r="AS218" s="14">
        <f t="shared" si="277"/>
        <v>0</v>
      </c>
      <c r="AT218" s="14">
        <f t="shared" si="279"/>
        <v>0</v>
      </c>
      <c r="AU218" s="15">
        <v>16501.38</v>
      </c>
      <c r="AV218" s="15"/>
      <c r="AW218" s="15"/>
      <c r="AX218" s="15">
        <v>837600</v>
      </c>
      <c r="AY218" s="15"/>
      <c r="AZ218" s="15"/>
      <c r="BA218" s="15"/>
      <c r="BB218" s="16">
        <f t="shared" si="278"/>
        <v>854101.38</v>
      </c>
    </row>
    <row r="219" spans="1:54" ht="36" customHeight="1" outlineLevel="2">
      <c r="A219" s="98"/>
      <c r="B219" s="102"/>
      <c r="C219" s="23"/>
      <c r="D219" s="55"/>
      <c r="E219" s="55"/>
      <c r="F219" s="55"/>
      <c r="G219" s="54"/>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274"/>
        <v>0</v>
      </c>
      <c r="AG219" s="107"/>
      <c r="AH219" s="107"/>
      <c r="AI219" s="107"/>
      <c r="AJ219" s="111"/>
      <c r="AK219" s="111"/>
      <c r="AL219" s="111"/>
      <c r="AM219" s="108">
        <f>AG219*'1. Standard_Cost'!$B$27+'Incremental_Cost Year 1'!AH219*'1. Standard_Cost'!$C$27+'Incremental_Cost Year 1'!AI219*'1. Standard_Cost'!$D$27+'Incremental_Cost Year 1'!AJ219+'Incremental_Cost Year 1'!AL219+AK219</f>
        <v>0</v>
      </c>
      <c r="AN219" s="108">
        <f>AM219*'1. Standard_Cost'!$C$31</f>
        <v>0</v>
      </c>
      <c r="AO219" s="125" t="s">
        <v>425</v>
      </c>
      <c r="AQ219" s="14">
        <f t="shared" si="275"/>
        <v>0</v>
      </c>
      <c r="AR219" s="14">
        <f t="shared" si="276"/>
        <v>0</v>
      </c>
      <c r="AS219" s="14">
        <f t="shared" si="277"/>
        <v>0</v>
      </c>
      <c r="AT219" s="14">
        <f t="shared" si="279"/>
        <v>0</v>
      </c>
      <c r="AU219" s="15"/>
      <c r="AV219" s="15"/>
      <c r="AW219" s="15"/>
      <c r="AX219" s="15"/>
      <c r="AY219" s="15"/>
      <c r="AZ219" s="15"/>
      <c r="BA219" s="15"/>
      <c r="BB219" s="16">
        <f t="shared" si="278"/>
        <v>0</v>
      </c>
    </row>
    <row r="220" spans="1:54" ht="32.25" customHeight="1" outlineLevel="2">
      <c r="A220" s="98"/>
      <c r="B220" s="102"/>
      <c r="C220" s="23"/>
      <c r="D220" s="55"/>
      <c r="E220" s="55"/>
      <c r="F220" s="55"/>
      <c r="G220" s="54"/>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274"/>
        <v>0</v>
      </c>
      <c r="AG220" s="107"/>
      <c r="AH220" s="107"/>
      <c r="AI220" s="107"/>
      <c r="AJ220" s="111"/>
      <c r="AK220" s="111"/>
      <c r="AL220" s="111"/>
      <c r="AM220" s="108">
        <f>AG220*'1. Standard_Cost'!$B$27+'Incremental_Cost Year 1'!AH220*'1. Standard_Cost'!$C$27+'Incremental_Cost Year 1'!AI220*'1. Standard_Cost'!$D$27+'Incremental_Cost Year 1'!AJ220+'Incremental_Cost Year 1'!AL220+AK220</f>
        <v>0</v>
      </c>
      <c r="AN220" s="108">
        <f>AM220*'1. Standard_Cost'!$C$31</f>
        <v>0</v>
      </c>
      <c r="AO220" s="125" t="s">
        <v>426</v>
      </c>
      <c r="AQ220" s="14">
        <f t="shared" si="275"/>
        <v>0</v>
      </c>
      <c r="AR220" s="14">
        <f t="shared" si="276"/>
        <v>0</v>
      </c>
      <c r="AS220" s="14">
        <f t="shared" si="277"/>
        <v>0</v>
      </c>
      <c r="AT220" s="14">
        <f t="shared" si="279"/>
        <v>0</v>
      </c>
      <c r="AU220" s="15"/>
      <c r="AV220" s="15"/>
      <c r="AW220" s="15"/>
      <c r="AX220" s="15"/>
      <c r="AY220" s="15"/>
      <c r="AZ220" s="15"/>
      <c r="BA220" s="15"/>
      <c r="BB220" s="16">
        <f t="shared" si="278"/>
        <v>0</v>
      </c>
    </row>
    <row r="221" spans="1:54" ht="45" customHeight="1" outlineLevel="2">
      <c r="A221" s="98"/>
      <c r="B221" s="102"/>
      <c r="C221" s="23"/>
      <c r="D221" s="55"/>
      <c r="E221" s="55"/>
      <c r="F221" s="55"/>
      <c r="G221" s="54"/>
      <c r="H221" s="302" t="s">
        <v>550</v>
      </c>
      <c r="I221" s="104"/>
      <c r="J221" s="105"/>
      <c r="K221" s="105"/>
      <c r="L221" s="106" t="str">
        <f>IF(I221&lt;&gt;0,((VLOOKUP(I221,'1. Standard_Cost'!$B$4:$D$11,2)+VLOOKUP(I221,'1. Standard_Cost'!$B$4:$D$11,3))*J221*K221),"0")</f>
        <v>0</v>
      </c>
      <c r="M221" s="106">
        <f>L221*'1. Standard_Cost'!$F$4</f>
        <v>0</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274"/>
        <v>0</v>
      </c>
      <c r="AG221" s="107"/>
      <c r="AH221" s="107"/>
      <c r="AI221" s="107"/>
      <c r="AJ221" s="111"/>
      <c r="AK221" s="111"/>
      <c r="AL221" s="111"/>
      <c r="AM221" s="108">
        <f>AG221*'1. Standard_Cost'!$B$27+'Incremental_Cost Year 1'!AH221*'1. Standard_Cost'!$C$27+'Incremental_Cost Year 1'!AI221*'1. Standard_Cost'!$D$27+'Incremental_Cost Year 1'!AJ221+'Incremental_Cost Year 1'!AL221+AK221</f>
        <v>0</v>
      </c>
      <c r="AN221" s="108">
        <f>AM221*'1. Standard_Cost'!$C$31</f>
        <v>0</v>
      </c>
      <c r="AO221" s="125" t="s">
        <v>427</v>
      </c>
      <c r="AQ221" s="14">
        <f t="shared" si="275"/>
        <v>0</v>
      </c>
      <c r="AR221" s="14">
        <f t="shared" si="276"/>
        <v>0</v>
      </c>
      <c r="AS221" s="14">
        <f t="shared" si="277"/>
        <v>0</v>
      </c>
      <c r="AT221" s="14">
        <f t="shared" si="279"/>
        <v>0</v>
      </c>
      <c r="AU221" s="15"/>
      <c r="AV221" s="15"/>
      <c r="AW221" s="15"/>
      <c r="AX221" s="15"/>
      <c r="AY221" s="15"/>
      <c r="AZ221" s="15"/>
      <c r="BA221" s="15"/>
      <c r="BB221" s="16">
        <f t="shared" si="278"/>
        <v>0</v>
      </c>
    </row>
    <row r="222" spans="1:54" ht="82.8" outlineLevel="1">
      <c r="A222" s="98"/>
      <c r="B222" s="102"/>
      <c r="C222" s="23"/>
      <c r="D222" s="31" t="s">
        <v>712</v>
      </c>
      <c r="E222" s="56" t="s">
        <v>247</v>
      </c>
      <c r="F222" s="58">
        <v>2021</v>
      </c>
      <c r="G222" s="59">
        <v>2026</v>
      </c>
      <c r="H222" s="279" t="s">
        <v>248</v>
      </c>
      <c r="I222" s="112"/>
      <c r="J222" s="112"/>
      <c r="K222" s="112"/>
      <c r="L222" s="113">
        <f>SUM(L203:L221)</f>
        <v>3673210</v>
      </c>
      <c r="M222" s="113">
        <f>SUM(M203:M221)</f>
        <v>613426.07000000007</v>
      </c>
      <c r="N222" s="112"/>
      <c r="O222" s="112"/>
      <c r="P222" s="112"/>
      <c r="Q222" s="112"/>
      <c r="R222" s="113">
        <f>SUM(R203:R221)</f>
        <v>0</v>
      </c>
      <c r="S222" s="113">
        <f>SUM(S203:S221)</f>
        <v>0</v>
      </c>
      <c r="T222" s="113">
        <f>SUM(T203:T221)</f>
        <v>0</v>
      </c>
      <c r="U222" s="113">
        <f>SUM(U203:U221)</f>
        <v>0</v>
      </c>
      <c r="V222" s="112"/>
      <c r="W222" s="112"/>
      <c r="X222" s="112"/>
      <c r="Y222" s="113">
        <f>SUM(Y203:Y221)</f>
        <v>0</v>
      </c>
      <c r="Z222" s="113"/>
      <c r="AA222" s="112"/>
      <c r="AB222" s="113">
        <f>SUM(AB203:AB221)</f>
        <v>931000</v>
      </c>
      <c r="AC222" s="113">
        <f>SUM(AC203:AC221)</f>
        <v>1622000</v>
      </c>
      <c r="AD222" s="113">
        <f>SUM(AD203:AD221)</f>
        <v>0</v>
      </c>
      <c r="AE222" s="113">
        <f>SUM(AE203:AE221)</f>
        <v>310600</v>
      </c>
      <c r="AF222" s="113">
        <f>SUM(AF203:AF221)</f>
        <v>2863600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BB222" si="280">SUM(AQ203:AQ221)</f>
        <v>4286636.07</v>
      </c>
      <c r="AR222" s="113">
        <f t="shared" si="280"/>
        <v>2863600</v>
      </c>
      <c r="AS222" s="113">
        <f t="shared" si="280"/>
        <v>0</v>
      </c>
      <c r="AT222" s="113">
        <f t="shared" si="280"/>
        <v>7150236.0700000003</v>
      </c>
      <c r="AU222" s="113">
        <f t="shared" si="280"/>
        <v>4286636.07</v>
      </c>
      <c r="AV222" s="113">
        <f t="shared" si="280"/>
        <v>0</v>
      </c>
      <c r="AW222" s="113">
        <f t="shared" si="280"/>
        <v>122250.69</v>
      </c>
      <c r="AX222" s="113">
        <f t="shared" si="280"/>
        <v>2483600</v>
      </c>
      <c r="AY222" s="113">
        <f t="shared" si="280"/>
        <v>0</v>
      </c>
      <c r="AZ222" s="113">
        <f t="shared" si="280"/>
        <v>0</v>
      </c>
      <c r="BA222" s="113">
        <f t="shared" si="280"/>
        <v>0</v>
      </c>
      <c r="BB222" s="113">
        <f t="shared" si="280"/>
        <v>-257749.30999999994</v>
      </c>
    </row>
    <row r="223" spans="1:54" s="13" customFormat="1">
      <c r="A223" s="101"/>
      <c r="B223" s="316" t="s">
        <v>253</v>
      </c>
      <c r="C223" s="317"/>
      <c r="D223" s="317"/>
      <c r="E223" s="318"/>
      <c r="F223" s="38"/>
      <c r="G223" s="38"/>
      <c r="H223" s="241" t="s">
        <v>252</v>
      </c>
      <c r="I223" s="40"/>
      <c r="J223" s="40"/>
      <c r="K223" s="40"/>
      <c r="L223" s="41">
        <f>SUM(L224)</f>
        <v>248350</v>
      </c>
      <c r="M223" s="41">
        <f>SUM(M224)</f>
        <v>41474.449999999997</v>
      </c>
      <c r="N223" s="40"/>
      <c r="O223" s="40"/>
      <c r="P223" s="40"/>
      <c r="Q223" s="40"/>
      <c r="R223" s="41">
        <f t="shared" ref="R223:U223" si="281">SUM(R224)</f>
        <v>0</v>
      </c>
      <c r="S223" s="41">
        <f t="shared" si="281"/>
        <v>0</v>
      </c>
      <c r="T223" s="41">
        <f t="shared" si="281"/>
        <v>0</v>
      </c>
      <c r="U223" s="41">
        <f t="shared" si="281"/>
        <v>0</v>
      </c>
      <c r="V223" s="40"/>
      <c r="W223" s="40"/>
      <c r="X223" s="40"/>
      <c r="Y223" s="41">
        <f t="shared" ref="Y223:Z223" si="282">SUM(Y224)</f>
        <v>0</v>
      </c>
      <c r="Z223" s="41">
        <f t="shared" si="282"/>
        <v>0</v>
      </c>
      <c r="AA223" s="40"/>
      <c r="AB223" s="41">
        <f t="shared" ref="AB223:AF223" si="283">SUM(AB224)</f>
        <v>931000</v>
      </c>
      <c r="AC223" s="41">
        <f t="shared" si="283"/>
        <v>746000</v>
      </c>
      <c r="AD223" s="41">
        <f t="shared" si="283"/>
        <v>0</v>
      </c>
      <c r="AE223" s="41">
        <f t="shared" si="283"/>
        <v>278400</v>
      </c>
      <c r="AF223" s="41">
        <f t="shared" si="283"/>
        <v>1955400</v>
      </c>
      <c r="AG223" s="40"/>
      <c r="AH223" s="40"/>
      <c r="AI223" s="40"/>
      <c r="AJ223" s="41">
        <f t="shared" ref="AJ223:AN223" si="284">SUM(AJ224)</f>
        <v>0</v>
      </c>
      <c r="AK223" s="41">
        <f t="shared" si="284"/>
        <v>0</v>
      </c>
      <c r="AL223" s="41">
        <f t="shared" si="284"/>
        <v>1800000</v>
      </c>
      <c r="AM223" s="41">
        <f t="shared" si="284"/>
        <v>2700000</v>
      </c>
      <c r="AN223" s="41">
        <f t="shared" si="284"/>
        <v>405000</v>
      </c>
      <c r="AO223" s="129"/>
      <c r="AQ223" s="41">
        <f t="shared" ref="AQ223:BB223" si="285">SUM(AQ224)</f>
        <v>289824.44999999995</v>
      </c>
      <c r="AR223" s="41">
        <f t="shared" si="285"/>
        <v>1955400</v>
      </c>
      <c r="AS223" s="41">
        <f t="shared" si="285"/>
        <v>3105000</v>
      </c>
      <c r="AT223" s="41">
        <f t="shared" si="285"/>
        <v>5350224.45</v>
      </c>
      <c r="AU223" s="41">
        <f t="shared" si="285"/>
        <v>56541.149999999994</v>
      </c>
      <c r="AV223" s="41">
        <f t="shared" si="285"/>
        <v>0</v>
      </c>
      <c r="AW223" s="41">
        <f t="shared" si="285"/>
        <v>0</v>
      </c>
      <c r="AX223" s="41">
        <f t="shared" si="285"/>
        <v>4161506.9</v>
      </c>
      <c r="AY223" s="41">
        <f t="shared" si="285"/>
        <v>0</v>
      </c>
      <c r="AZ223" s="41">
        <f t="shared" si="285"/>
        <v>0</v>
      </c>
      <c r="BA223" s="41">
        <f t="shared" si="285"/>
        <v>0</v>
      </c>
      <c r="BB223" s="41">
        <f t="shared" si="285"/>
        <v>-1132176.3999999999</v>
      </c>
    </row>
    <row r="224" spans="1:54" s="24" customFormat="1">
      <c r="A224" s="114"/>
      <c r="B224" s="115"/>
      <c r="C224" s="314" t="s">
        <v>254</v>
      </c>
      <c r="D224" s="314"/>
      <c r="E224" s="315"/>
      <c r="F224" s="44"/>
      <c r="G224" s="44"/>
      <c r="H224" s="278" t="s">
        <v>255</v>
      </c>
      <c r="I224" s="116"/>
      <c r="J224" s="116"/>
      <c r="K224" s="116"/>
      <c r="L224" s="117">
        <f>SUM(L232,L236,L242)</f>
        <v>248350</v>
      </c>
      <c r="M224" s="117">
        <f>SUM(M232,M236,M242)</f>
        <v>41474.449999999997</v>
      </c>
      <c r="N224" s="116"/>
      <c r="O224" s="116"/>
      <c r="P224" s="116"/>
      <c r="Q224" s="116"/>
      <c r="R224" s="117">
        <f t="shared" ref="R224:U224" si="286">SUM(R232,R236,R242)</f>
        <v>0</v>
      </c>
      <c r="S224" s="117">
        <f t="shared" si="286"/>
        <v>0</v>
      </c>
      <c r="T224" s="117">
        <f t="shared" si="286"/>
        <v>0</v>
      </c>
      <c r="U224" s="117">
        <f t="shared" si="286"/>
        <v>0</v>
      </c>
      <c r="V224" s="116"/>
      <c r="W224" s="116"/>
      <c r="X224" s="116"/>
      <c r="Y224" s="117">
        <f>SUM(Y232,Y236,Y242)</f>
        <v>0</v>
      </c>
      <c r="Z224" s="116"/>
      <c r="AA224" s="116"/>
      <c r="AB224" s="117">
        <f t="shared" ref="AB224:AF224" si="287">SUM(AB232,AB236,AB242)</f>
        <v>931000</v>
      </c>
      <c r="AC224" s="117">
        <f t="shared" si="287"/>
        <v>746000</v>
      </c>
      <c r="AD224" s="117">
        <f t="shared" si="287"/>
        <v>0</v>
      </c>
      <c r="AE224" s="117">
        <f t="shared" si="287"/>
        <v>278400</v>
      </c>
      <c r="AF224" s="117">
        <f t="shared" si="287"/>
        <v>1955400</v>
      </c>
      <c r="AG224" s="116"/>
      <c r="AH224" s="116"/>
      <c r="AI224" s="116"/>
      <c r="AJ224" s="117">
        <f t="shared" ref="AJ224:AN224" si="288">SUM(AJ232,AJ236,AJ242)</f>
        <v>0</v>
      </c>
      <c r="AK224" s="117">
        <f t="shared" si="288"/>
        <v>0</v>
      </c>
      <c r="AL224" s="117">
        <f t="shared" si="288"/>
        <v>1800000</v>
      </c>
      <c r="AM224" s="117">
        <f t="shared" si="288"/>
        <v>2700000</v>
      </c>
      <c r="AN224" s="117">
        <f t="shared" si="288"/>
        <v>405000</v>
      </c>
      <c r="AO224" s="132"/>
      <c r="AP224" s="25"/>
      <c r="AQ224" s="117">
        <f t="shared" ref="AQ224:BB224" si="289">SUM(AQ232,AQ236,AQ242)</f>
        <v>289824.44999999995</v>
      </c>
      <c r="AR224" s="117">
        <f t="shared" si="289"/>
        <v>1955400</v>
      </c>
      <c r="AS224" s="117">
        <f t="shared" si="289"/>
        <v>3105000</v>
      </c>
      <c r="AT224" s="117">
        <f t="shared" si="289"/>
        <v>5350224.45</v>
      </c>
      <c r="AU224" s="117">
        <f t="shared" si="289"/>
        <v>56541.149999999994</v>
      </c>
      <c r="AV224" s="117">
        <f t="shared" si="289"/>
        <v>0</v>
      </c>
      <c r="AW224" s="117">
        <f t="shared" si="289"/>
        <v>0</v>
      </c>
      <c r="AX224" s="117">
        <f t="shared" si="289"/>
        <v>4161506.9</v>
      </c>
      <c r="AY224" s="117">
        <f t="shared" si="289"/>
        <v>0</v>
      </c>
      <c r="AZ224" s="117">
        <f t="shared" si="289"/>
        <v>0</v>
      </c>
      <c r="BA224" s="117">
        <f t="shared" si="289"/>
        <v>0</v>
      </c>
      <c r="BB224" s="117">
        <f t="shared" si="289"/>
        <v>-1132176.3999999999</v>
      </c>
    </row>
    <row r="225" spans="1:54" ht="46.8" outlineLevel="2">
      <c r="A225" s="98"/>
      <c r="B225" s="102"/>
      <c r="C225" s="23"/>
      <c r="D225" s="103"/>
      <c r="E225" s="103"/>
      <c r="F225" s="103"/>
      <c r="G225" s="103"/>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290">SUM(AE225,AD225,AC225,AB225,Y225,U225,T225,S225,R225)</f>
        <v>0</v>
      </c>
      <c r="AG225" s="107"/>
      <c r="AH225" s="107"/>
      <c r="AI225" s="107"/>
      <c r="AJ225" s="111"/>
      <c r="AK225" s="111"/>
      <c r="AL225" s="111"/>
      <c r="AM225" s="108">
        <f>AG225*'1. Standard_Cost'!$B$27+'Incremental_Cost Year 1'!AH225*'1. Standard_Cost'!$C$27+'Incremental_Cost Year 1'!AI225*'1. Standard_Cost'!$D$27+'Incremental_Cost Year 1'!AJ225+'Incremental_Cost Year 1'!AL225+AK225</f>
        <v>0</v>
      </c>
      <c r="AN225" s="108">
        <f>AM225*'1. Standard_Cost'!$C$31</f>
        <v>0</v>
      </c>
      <c r="AO225" s="125" t="s">
        <v>428</v>
      </c>
      <c r="AQ225" s="14">
        <f t="shared" ref="AQ225:AQ230" si="291">L225+M225</f>
        <v>0</v>
      </c>
      <c r="AR225" s="14">
        <f t="shared" ref="AR225:AR230" si="292">AF225</f>
        <v>0</v>
      </c>
      <c r="AS225" s="14">
        <f t="shared" ref="AS225:AS230" si="293">AM225+AN225</f>
        <v>0</v>
      </c>
      <c r="AT225" s="14">
        <f>SUM(AQ225,AR225,AS225)</f>
        <v>0</v>
      </c>
      <c r="AU225" s="15"/>
      <c r="AV225" s="15"/>
      <c r="AW225" s="15"/>
      <c r="AX225" s="15"/>
      <c r="AY225" s="15"/>
      <c r="AZ225" s="15"/>
      <c r="BA225" s="15"/>
      <c r="BB225" s="16">
        <f t="shared" ref="BB225:BB231" si="294">SUM(AU225:BA225)-AT225</f>
        <v>0</v>
      </c>
    </row>
    <row r="226" spans="1:54" ht="202.8" outlineLevel="2">
      <c r="A226" s="98"/>
      <c r="B226" s="102"/>
      <c r="C226" s="23"/>
      <c r="D226" s="119"/>
      <c r="E226" s="119"/>
      <c r="F226" s="119"/>
      <c r="G226" s="119"/>
      <c r="H226" s="302" t="s">
        <v>552</v>
      </c>
      <c r="I226" s="104"/>
      <c r="J226" s="105"/>
      <c r="K226" s="105"/>
      <c r="L226" s="106" t="str">
        <f>IF(I226&lt;&gt;0,((VLOOKUP(I226,'1. Standard_Cost'!$B$4:$D$11,2)+VLOOKUP(I226,'1. Standard_Cost'!$B$4:$D$11,3))*J226*K226),"0")</f>
        <v>0</v>
      </c>
      <c r="M226" s="106">
        <f>L226*'1. Standard_Cost'!$F$4</f>
        <v>0</v>
      </c>
      <c r="N226" s="107"/>
      <c r="O226" s="107"/>
      <c r="P226" s="107"/>
      <c r="Q226" s="107"/>
      <c r="R226" s="108">
        <f>'1. Standard_Cost'!$B$15*N226*P226</f>
        <v>0</v>
      </c>
      <c r="S226" s="108">
        <f>N226*O226*P226*'1. Standard_Cost'!$C$15</f>
        <v>0</v>
      </c>
      <c r="T226" s="108">
        <f>N226*P226*Q226*'1. Standard_Cost'!$D$15</f>
        <v>0</v>
      </c>
      <c r="U226" s="108">
        <f>N226*O226*'1. Standard_Cost'!$E$15</f>
        <v>0</v>
      </c>
      <c r="V226" s="107"/>
      <c r="W226" s="107"/>
      <c r="X226" s="107"/>
      <c r="Y226" s="108">
        <f>+V226*((X226*'1. Standard_Cost'!$B$19)+(W226*X226*'1. Standard_Cost'!$C$19))</f>
        <v>0</v>
      </c>
      <c r="Z226" s="107"/>
      <c r="AA226" s="260">
        <v>5</v>
      </c>
      <c r="AB226" s="108">
        <f>+Z226*'1. Standard_Cost'!$B$23+AA226*'1. Standard_Cost'!$C$23</f>
        <v>95000</v>
      </c>
      <c r="AC226" s="109"/>
      <c r="AD226" s="110"/>
      <c r="AE226" s="108">
        <f>SUM(AD226,AC226,AB226,Y226,U226,T226,S226,R226)*'1. Standard_Cost'!$B$31</f>
        <v>19000</v>
      </c>
      <c r="AF226" s="108">
        <f t="shared" si="290"/>
        <v>114000</v>
      </c>
      <c r="AG226" s="107">
        <v>10</v>
      </c>
      <c r="AH226" s="107"/>
      <c r="AI226" s="107"/>
      <c r="AJ226" s="111"/>
      <c r="AK226" s="111"/>
      <c r="AL226" s="111"/>
      <c r="AM226" s="108">
        <f>AG226*'1. Standard_Cost'!$B$27+'Incremental_Cost Year 1'!AH226*'1. Standard_Cost'!$C$27+'Incremental_Cost Year 1'!AI226*'1. Standard_Cost'!$D$27+'Incremental_Cost Year 1'!AJ226+'Incremental_Cost Year 1'!AL226+AK226</f>
        <v>900000</v>
      </c>
      <c r="AN226" s="108">
        <f>AM226*'1. Standard_Cost'!$C$31</f>
        <v>135000</v>
      </c>
      <c r="AO226" s="125" t="s">
        <v>711</v>
      </c>
      <c r="AQ226" s="14">
        <f t="shared" si="291"/>
        <v>0</v>
      </c>
      <c r="AR226" s="14">
        <f t="shared" si="292"/>
        <v>114000</v>
      </c>
      <c r="AS226" s="14">
        <f t="shared" si="293"/>
        <v>1035000</v>
      </c>
      <c r="AT226" s="14">
        <f t="shared" ref="AT226:AT230" si="295">SUM(AQ226,AR226,AS226)</f>
        <v>1149000</v>
      </c>
      <c r="AU226" s="15"/>
      <c r="AV226" s="15"/>
      <c r="AW226" s="15"/>
      <c r="AX226" s="15">
        <v>1724000</v>
      </c>
      <c r="AY226" s="15"/>
      <c r="AZ226" s="15"/>
      <c r="BA226" s="15"/>
      <c r="BB226" s="16">
        <f t="shared" si="294"/>
        <v>575000</v>
      </c>
    </row>
    <row r="227" spans="1:54" ht="27.6" outlineLevel="2">
      <c r="A227" s="98"/>
      <c r="B227" s="102"/>
      <c r="C227" s="23"/>
      <c r="D227" s="119"/>
      <c r="E227" s="119"/>
      <c r="F227" s="119"/>
      <c r="G227" s="119"/>
      <c r="H227" s="305" t="s">
        <v>551</v>
      </c>
      <c r="I227" s="104"/>
      <c r="J227" s="105"/>
      <c r="K227" s="105"/>
      <c r="L227" s="106" t="str">
        <f>IF(I227&lt;&gt;0,((VLOOKUP(I227,'[1]1. Standard_Cost'!$B$4:$D$11,2)+VLOOKUP(I227,'[1]1. Standard_Cost'!$B$4:$D$11,3))*J227*K227),"0")</f>
        <v>0</v>
      </c>
      <c r="M227" s="106">
        <f>L227*'[1]1. Standard_Cost'!$F$4</f>
        <v>0</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290"/>
        <v>0</v>
      </c>
      <c r="AG227" s="107"/>
      <c r="AH227" s="107"/>
      <c r="AI227" s="107"/>
      <c r="AJ227" s="111"/>
      <c r="AK227" s="111"/>
      <c r="AL227" s="111"/>
      <c r="AM227" s="108">
        <f>AG227*'1. Standard_Cost'!$B$27+'Incremental_Cost Year 1'!AH227*'1. Standard_Cost'!$C$27+'Incremental_Cost Year 1'!AI227*'1. Standard_Cost'!$D$27+'Incremental_Cost Year 1'!AJ227+'Incremental_Cost Year 1'!AL227+AK227</f>
        <v>0</v>
      </c>
      <c r="AN227" s="108">
        <f>AM227*'1. Standard_Cost'!$C$31</f>
        <v>0</v>
      </c>
      <c r="AO227" s="125" t="s">
        <v>430</v>
      </c>
      <c r="AQ227" s="14">
        <f t="shared" si="291"/>
        <v>0</v>
      </c>
      <c r="AR227" s="14">
        <f t="shared" si="292"/>
        <v>0</v>
      </c>
      <c r="AS227" s="14">
        <f t="shared" si="293"/>
        <v>0</v>
      </c>
      <c r="AT227" s="14">
        <f t="shared" si="295"/>
        <v>0</v>
      </c>
      <c r="AU227" s="15"/>
      <c r="AV227" s="15"/>
      <c r="AW227" s="15"/>
      <c r="AX227" s="15"/>
      <c r="AY227" s="15"/>
      <c r="AZ227" s="15"/>
      <c r="BA227" s="15"/>
      <c r="BB227" s="16">
        <f t="shared" si="294"/>
        <v>0</v>
      </c>
    </row>
    <row r="228" spans="1:54" ht="78" outlineLevel="2">
      <c r="A228" s="98"/>
      <c r="B228" s="102"/>
      <c r="C228" s="23"/>
      <c r="D228" s="119"/>
      <c r="E228" s="119"/>
      <c r="F228" s="119"/>
      <c r="G228" s="11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290"/>
        <v>0</v>
      </c>
      <c r="AG228" s="107"/>
      <c r="AH228" s="107"/>
      <c r="AI228" s="107"/>
      <c r="AJ228" s="111"/>
      <c r="AK228" s="111"/>
      <c r="AL228" s="111"/>
      <c r="AM228" s="108">
        <f>AG228*'1. Standard_Cost'!$B$27+'Incremental_Cost Year 1'!AH228*'1. Standard_Cost'!$C$27+'Incremental_Cost Year 1'!AI228*'1. Standard_Cost'!$D$27+'Incremental_Cost Year 1'!AJ228+'Incremental_Cost Year 1'!AL228+AK228</f>
        <v>0</v>
      </c>
      <c r="AN228" s="108">
        <f>AM228*'1. Standard_Cost'!$C$31</f>
        <v>0</v>
      </c>
      <c r="AO228" s="125" t="s">
        <v>430</v>
      </c>
      <c r="AQ228" s="14">
        <f t="shared" si="291"/>
        <v>0</v>
      </c>
      <c r="AR228" s="14">
        <f t="shared" si="292"/>
        <v>0</v>
      </c>
      <c r="AS228" s="14">
        <f t="shared" si="293"/>
        <v>0</v>
      </c>
      <c r="AT228" s="14">
        <f t="shared" si="295"/>
        <v>0</v>
      </c>
      <c r="AU228" s="15"/>
      <c r="AV228" s="15"/>
      <c r="AW228" s="15"/>
      <c r="AX228" s="15"/>
      <c r="AY228" s="15"/>
      <c r="AZ228" s="15"/>
      <c r="BA228" s="15"/>
      <c r="BB228" s="16">
        <f t="shared" si="294"/>
        <v>0</v>
      </c>
    </row>
    <row r="229" spans="1:54" ht="31.2" outlineLevel="2">
      <c r="A229" s="98"/>
      <c r="B229" s="102"/>
      <c r="C229" s="23"/>
      <c r="D229" s="119"/>
      <c r="E229" s="119"/>
      <c r="F229" s="119"/>
      <c r="G229" s="11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290"/>
        <v>0</v>
      </c>
      <c r="AG229" s="107"/>
      <c r="AH229" s="107"/>
      <c r="AI229" s="107"/>
      <c r="AJ229" s="111"/>
      <c r="AK229" s="111"/>
      <c r="AL229" s="111"/>
      <c r="AM229" s="108">
        <f>AG229*'1. Standard_Cost'!$B$27+'Incremental_Cost Year 1'!AH229*'1. Standard_Cost'!$C$27+'Incremental_Cost Year 1'!AI229*'1. Standard_Cost'!$D$27+'Incremental_Cost Year 1'!AJ229+'Incremental_Cost Year 1'!AL229+AK229</f>
        <v>0</v>
      </c>
      <c r="AN229" s="108">
        <f>AM229*'1. Standard_Cost'!$C$31</f>
        <v>0</v>
      </c>
      <c r="AO229" s="125" t="s">
        <v>431</v>
      </c>
      <c r="AQ229" s="14">
        <f t="shared" si="291"/>
        <v>0</v>
      </c>
      <c r="AR229" s="14">
        <f t="shared" si="292"/>
        <v>0</v>
      </c>
      <c r="AS229" s="14">
        <f t="shared" si="293"/>
        <v>0</v>
      </c>
      <c r="AT229" s="14">
        <f t="shared" si="295"/>
        <v>0</v>
      </c>
      <c r="AU229" s="15"/>
      <c r="AV229" s="15"/>
      <c r="AW229" s="15"/>
      <c r="AX229" s="15"/>
      <c r="AY229" s="15"/>
      <c r="AZ229" s="15"/>
      <c r="BA229" s="15"/>
      <c r="BB229" s="16">
        <f t="shared" si="294"/>
        <v>0</v>
      </c>
    </row>
    <row r="230" spans="1:54" ht="78" outlineLevel="2">
      <c r="A230" s="98"/>
      <c r="B230" s="102"/>
      <c r="C230" s="23"/>
      <c r="D230" s="119"/>
      <c r="E230" s="119"/>
      <c r="F230" s="119"/>
      <c r="G230" s="119"/>
      <c r="H230" s="302" t="s">
        <v>553</v>
      </c>
      <c r="I230" s="104" t="s">
        <v>5</v>
      </c>
      <c r="J230" s="105">
        <v>0.2</v>
      </c>
      <c r="K230" s="105">
        <v>5</v>
      </c>
      <c r="L230" s="106">
        <f>IF(I230&lt;&gt;0,((VLOOKUP(I230,'1. Standard_Cost'!$B$4:$D$11,2)+VLOOKUP(I230,'1. Standard_Cost'!$B$4:$D$11,3))*J230*K230),"0")</f>
        <v>70700</v>
      </c>
      <c r="M230" s="106">
        <f>L230*'1. Standard_Cost'!$F$4</f>
        <v>11806.900000000001</v>
      </c>
      <c r="N230" s="107"/>
      <c r="O230" s="107"/>
      <c r="P230" s="107"/>
      <c r="Q230" s="107"/>
      <c r="R230" s="108">
        <f>'1. Standard_Cost'!$B$15*N230*P230</f>
        <v>0</v>
      </c>
      <c r="S230" s="108">
        <f>N230*O230*P230*'1. Standard_Cost'!$C$15</f>
        <v>0</v>
      </c>
      <c r="T230" s="108">
        <f>N230*P230*Q230*'1. Standard_Cost'!$D$15</f>
        <v>0</v>
      </c>
      <c r="U230" s="108">
        <f>N230*O230*'1. Standard_Cost'!$E$15</f>
        <v>0</v>
      </c>
      <c r="V230" s="107"/>
      <c r="W230" s="107"/>
      <c r="X230" s="107"/>
      <c r="Y230" s="108">
        <f>+V230*((X230*'1. Standard_Cost'!$B$19)+(W230*X230*'1. Standard_Cost'!$C$19))</f>
        <v>0</v>
      </c>
      <c r="Z230" s="107"/>
      <c r="AA230" s="107"/>
      <c r="AB230" s="108">
        <f>+Z230*'1. Standard_Cost'!$B$23+AA230*'1. Standard_Cost'!$C$23</f>
        <v>0</v>
      </c>
      <c r="AC230" s="109"/>
      <c r="AD230" s="110"/>
      <c r="AE230" s="108">
        <f>SUM(AD230,AC230,AB230,Y230,U230,T230,S230,R230)*'1. Standard_Cost'!$B$31</f>
        <v>0</v>
      </c>
      <c r="AF230" s="108">
        <f t="shared" si="290"/>
        <v>0</v>
      </c>
      <c r="AG230" s="107"/>
      <c r="AH230" s="107"/>
      <c r="AI230" s="107"/>
      <c r="AJ230" s="111"/>
      <c r="AK230" s="111"/>
      <c r="AL230" s="111"/>
      <c r="AM230" s="108">
        <f>AG230*'1. Standard_Cost'!$B$27+'Incremental_Cost Year 1'!AH230*'1. Standard_Cost'!$C$27+'Incremental_Cost Year 1'!AI230*'1. Standard_Cost'!$D$27+'Incremental_Cost Year 1'!AJ230+'Incremental_Cost Year 1'!AL230+AK230</f>
        <v>0</v>
      </c>
      <c r="AN230" s="108">
        <f>AM230*'1. Standard_Cost'!$C$31</f>
        <v>0</v>
      </c>
      <c r="AO230" s="125" t="s">
        <v>432</v>
      </c>
      <c r="AQ230" s="14">
        <f t="shared" si="291"/>
        <v>82506.899999999994</v>
      </c>
      <c r="AR230" s="14">
        <f t="shared" si="292"/>
        <v>0</v>
      </c>
      <c r="AS230" s="14">
        <f t="shared" si="293"/>
        <v>0</v>
      </c>
      <c r="AT230" s="14">
        <f t="shared" si="295"/>
        <v>82506.899999999994</v>
      </c>
      <c r="AU230" s="15"/>
      <c r="AV230" s="15"/>
      <c r="AW230" s="15"/>
      <c r="AX230" s="15">
        <v>82506.899999999994</v>
      </c>
      <c r="AY230" s="15"/>
      <c r="AZ230" s="15"/>
      <c r="BA230" s="15"/>
      <c r="BB230" s="16">
        <f t="shared" si="294"/>
        <v>0</v>
      </c>
    </row>
    <row r="231" spans="1:54" ht="78" outlineLevel="2">
      <c r="A231" s="98"/>
      <c r="B231" s="102"/>
      <c r="C231" s="23"/>
      <c r="D231" s="119"/>
      <c r="E231" s="119"/>
      <c r="F231" s="119"/>
      <c r="G231" s="11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15</v>
      </c>
      <c r="AB231" s="108">
        <f>+Z231*'1. Standard_Cost'!$B$23+AA231*'1. Standard_Cost'!$C$23</f>
        <v>285000</v>
      </c>
      <c r="AC231" s="109"/>
      <c r="AD231" s="110"/>
      <c r="AE231" s="108"/>
      <c r="AF231" s="108">
        <f t="shared" si="290"/>
        <v>285000</v>
      </c>
      <c r="AG231" s="107"/>
      <c r="AH231" s="107"/>
      <c r="AI231" s="107"/>
      <c r="AJ231" s="111"/>
      <c r="AK231" s="111"/>
      <c r="AL231" s="111">
        <v>1800000</v>
      </c>
      <c r="AM231" s="108">
        <f>AG231*'1. Standard_Cost'!$B$27+'Incremental_Cost Year 1'!AH231*'1. Standard_Cost'!$C$27+'Incremental_Cost Year 1'!AI231*'1. Standard_Cost'!$D$27+'Incremental_Cost Year 1'!AJ231+'Incremental_Cost Year 1'!AL231+AK231</f>
        <v>1800000</v>
      </c>
      <c r="AN231" s="108">
        <f>AM231*'1. Standard_Cost'!$C$31</f>
        <v>270000</v>
      </c>
      <c r="AO231" s="125" t="s">
        <v>655</v>
      </c>
      <c r="AQ231" s="14">
        <f t="shared" ref="AQ231" si="296">L231+M231</f>
        <v>0</v>
      </c>
      <c r="AR231" s="14">
        <f t="shared" ref="AR231" si="297">AF231</f>
        <v>285000</v>
      </c>
      <c r="AS231" s="14">
        <f t="shared" ref="AS231" si="298">AM231+AN231</f>
        <v>2070000</v>
      </c>
      <c r="AT231" s="14">
        <f t="shared" ref="AT231" si="299">SUM(AQ231,AR231,AS231)</f>
        <v>2355000</v>
      </c>
      <c r="AU231" s="15"/>
      <c r="AV231" s="15"/>
      <c r="AW231" s="15"/>
      <c r="AX231" s="15">
        <v>2355000</v>
      </c>
      <c r="AY231" s="15"/>
      <c r="AZ231" s="15"/>
      <c r="BA231" s="15"/>
      <c r="BB231" s="16">
        <f t="shared" si="294"/>
        <v>0</v>
      </c>
    </row>
    <row r="232" spans="1:54" ht="82.8" outlineLevel="1">
      <c r="A232" s="98"/>
      <c r="B232" s="102"/>
      <c r="C232" s="23"/>
      <c r="D232" s="31" t="s">
        <v>640</v>
      </c>
      <c r="E232" s="56" t="s">
        <v>259</v>
      </c>
      <c r="F232" s="58">
        <v>2021</v>
      </c>
      <c r="G232" s="59">
        <v>2026</v>
      </c>
      <c r="H232" s="277" t="s">
        <v>260</v>
      </c>
      <c r="I232" s="112"/>
      <c r="J232" s="112"/>
      <c r="K232" s="112"/>
      <c r="L232" s="113">
        <f>SUM(L225:L231)</f>
        <v>70700</v>
      </c>
      <c r="M232" s="113">
        <f>SUM(M225:M231)</f>
        <v>11806.900000000001</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380000</v>
      </c>
      <c r="AC232" s="113">
        <f>SUM(AC225:AC231)</f>
        <v>0</v>
      </c>
      <c r="AD232" s="113">
        <f>SUM(AD225:AD231)</f>
        <v>0</v>
      </c>
      <c r="AE232" s="113">
        <f>SUM(AE225:AE231)</f>
        <v>19000</v>
      </c>
      <c r="AF232" s="113">
        <f>SUM(AF225:AF231)</f>
        <v>399000</v>
      </c>
      <c r="AG232" s="112"/>
      <c r="AH232" s="112"/>
      <c r="AI232" s="112"/>
      <c r="AJ232" s="113">
        <f>SUM(AJ225:AJ231)</f>
        <v>0</v>
      </c>
      <c r="AK232" s="113">
        <f>SUM(AK225:AK231)</f>
        <v>0</v>
      </c>
      <c r="AL232" s="113">
        <f>SUM(AL225:AL231)</f>
        <v>1800000</v>
      </c>
      <c r="AM232" s="113">
        <f>SUM(AM225:AM231)</f>
        <v>2700000</v>
      </c>
      <c r="AN232" s="113">
        <f>SUM(AN225:AN231)</f>
        <v>405000</v>
      </c>
      <c r="AO232" s="131"/>
      <c r="AP232" s="17"/>
      <c r="AQ232" s="113">
        <f t="shared" ref="AQ232:BB232" si="300">SUM(AQ225:AQ231)</f>
        <v>82506.899999999994</v>
      </c>
      <c r="AR232" s="113">
        <f t="shared" si="300"/>
        <v>399000</v>
      </c>
      <c r="AS232" s="113">
        <f t="shared" si="300"/>
        <v>3105000</v>
      </c>
      <c r="AT232" s="113">
        <f t="shared" si="300"/>
        <v>3586506.9</v>
      </c>
      <c r="AU232" s="113">
        <f t="shared" si="300"/>
        <v>0</v>
      </c>
      <c r="AV232" s="113">
        <f t="shared" si="300"/>
        <v>0</v>
      </c>
      <c r="AW232" s="113">
        <f t="shared" si="300"/>
        <v>0</v>
      </c>
      <c r="AX232" s="113">
        <f t="shared" si="300"/>
        <v>4161506.9</v>
      </c>
      <c r="AY232" s="113">
        <f t="shared" si="300"/>
        <v>0</v>
      </c>
      <c r="AZ232" s="113">
        <f t="shared" si="300"/>
        <v>0</v>
      </c>
      <c r="BA232" s="113">
        <f t="shared" si="300"/>
        <v>0</v>
      </c>
      <c r="BB232" s="113">
        <f t="shared" si="300"/>
        <v>575000</v>
      </c>
    </row>
    <row r="233" spans="1:54" ht="156" outlineLevel="2">
      <c r="A233" s="98"/>
      <c r="B233" s="102"/>
      <c r="C233" s="23"/>
      <c r="D233" s="103"/>
      <c r="E233" s="103"/>
      <c r="F233" s="103"/>
      <c r="G233" s="103"/>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301">SUM(AE233,AD233,AC233,AB233,Y233,U233,T233,S233,R233)</f>
        <v>0</v>
      </c>
      <c r="AG233" s="107"/>
      <c r="AH233" s="107"/>
      <c r="AI233" s="107"/>
      <c r="AJ233" s="111"/>
      <c r="AK233" s="111"/>
      <c r="AL233" s="111"/>
      <c r="AM233" s="108">
        <f>AG233*'1. Standard_Cost'!$B$27+'Incremental_Cost Year 1'!AH233*'1. Standard_Cost'!$C$27+'Incremental_Cost Year 1'!AI233*'1. Standard_Cost'!$D$27+'Incremental_Cost Year 1'!AJ233+'Incremental_Cost Year 1'!AL233+AK233</f>
        <v>0</v>
      </c>
      <c r="AN233" s="108">
        <f>AM233*'1. Standard_Cost'!$C$31</f>
        <v>0</v>
      </c>
      <c r="AO233" s="125" t="s">
        <v>434</v>
      </c>
      <c r="AQ233" s="14">
        <f t="shared" ref="AQ233:AQ235" si="302">L233+M233</f>
        <v>0</v>
      </c>
      <c r="AR233" s="14">
        <f t="shared" ref="AR233:AR235" si="303">AF233</f>
        <v>0</v>
      </c>
      <c r="AS233" s="14">
        <f t="shared" ref="AS233:AS235" si="304">AM233+AN233</f>
        <v>0</v>
      </c>
      <c r="AT233" s="14">
        <f>SUM(AQ233,AR233,AS233)</f>
        <v>0</v>
      </c>
      <c r="AU233" s="15"/>
      <c r="AV233" s="15"/>
      <c r="AW233" s="15"/>
      <c r="AX233" s="15"/>
      <c r="AY233" s="15"/>
      <c r="AZ233" s="15"/>
      <c r="BA233" s="15"/>
      <c r="BB233" s="16">
        <f t="shared" ref="BB233:BB235" si="305">SUM(AU233:BA233)-AT233</f>
        <v>0</v>
      </c>
    </row>
    <row r="234" spans="1:54" ht="62.4" outlineLevel="2">
      <c r="A234" s="98"/>
      <c r="B234" s="102"/>
      <c r="C234" s="23"/>
      <c r="D234" s="119"/>
      <c r="E234" s="119"/>
      <c r="F234" s="119"/>
      <c r="G234" s="11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301"/>
        <v>0</v>
      </c>
      <c r="AG234" s="107"/>
      <c r="AH234" s="107"/>
      <c r="AI234" s="107"/>
      <c r="AJ234" s="111"/>
      <c r="AK234" s="111"/>
      <c r="AL234" s="111"/>
      <c r="AM234" s="108">
        <f>AG234*'1. Standard_Cost'!$B$27+'Incremental_Cost Year 1'!AH234*'1. Standard_Cost'!$C$27+'Incremental_Cost Year 1'!AI234*'1. Standard_Cost'!$D$27+'Incremental_Cost Year 1'!AJ234+'Incremental_Cost Year 1'!AL234+AK234</f>
        <v>0</v>
      </c>
      <c r="AN234" s="108">
        <f>AM234*'1. Standard_Cost'!$C$31</f>
        <v>0</v>
      </c>
      <c r="AO234" s="125" t="s">
        <v>435</v>
      </c>
      <c r="AQ234" s="14">
        <f t="shared" si="302"/>
        <v>0</v>
      </c>
      <c r="AR234" s="14">
        <f t="shared" si="303"/>
        <v>0</v>
      </c>
      <c r="AS234" s="14">
        <f t="shared" si="304"/>
        <v>0</v>
      </c>
      <c r="AT234" s="14">
        <f t="shared" ref="AT234:AT235" si="306">SUM(AQ234,AR234,AS234)</f>
        <v>0</v>
      </c>
      <c r="AU234" s="15"/>
      <c r="AV234" s="15"/>
      <c r="AW234" s="15"/>
      <c r="AX234" s="15"/>
      <c r="AY234" s="15"/>
      <c r="AZ234" s="15"/>
      <c r="BA234" s="15"/>
      <c r="BB234" s="16">
        <f t="shared" si="305"/>
        <v>0</v>
      </c>
    </row>
    <row r="235" spans="1:54" ht="124.8" outlineLevel="2">
      <c r="A235" s="98"/>
      <c r="B235" s="102"/>
      <c r="C235" s="23"/>
      <c r="D235" s="119"/>
      <c r="E235" s="119"/>
      <c r="F235" s="119"/>
      <c r="G235" s="174"/>
      <c r="H235" s="302" t="s">
        <v>555</v>
      </c>
      <c r="I235" s="104" t="s">
        <v>4</v>
      </c>
      <c r="J235" s="105">
        <v>0.4</v>
      </c>
      <c r="K235" s="105">
        <v>1</v>
      </c>
      <c r="L235" s="106">
        <f>IF(I235&lt;&gt;0,((VLOOKUP(I235,'1. Standard_Cost'!$B$4:$D$11,2)+VLOOKUP(I235,'1. Standard_Cost'!$B$4:$D$11,3))*J235*K235),"0")</f>
        <v>32300</v>
      </c>
      <c r="M235" s="106">
        <f>L235*'1. Standard_Cost'!$F$4</f>
        <v>5394.1</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f>10+8+1</f>
        <v>19</v>
      </c>
      <c r="AB235" s="108">
        <f>+Z235*'1. Standard_Cost'!$B$23+AA235*'1. Standard_Cost'!$C$23</f>
        <v>361000</v>
      </c>
      <c r="AC235" s="261">
        <f>100*3500*2+100*400</f>
        <v>740000</v>
      </c>
      <c r="AD235" s="110"/>
      <c r="AE235" s="108">
        <f>SUM(AD235,AC235,AB235,Y235,U235,T235,S235,R235)*'1. Standard_Cost'!$B$31</f>
        <v>220200</v>
      </c>
      <c r="AF235" s="108">
        <f t="shared" si="301"/>
        <v>1321200</v>
      </c>
      <c r="AG235" s="107"/>
      <c r="AH235" s="107"/>
      <c r="AI235" s="107"/>
      <c r="AJ235" s="111"/>
      <c r="AK235" s="111"/>
      <c r="AL235" s="111"/>
      <c r="AM235" s="108">
        <f>AG235*'1. Standard_Cost'!$B$27+'Incremental_Cost Year 1'!AH235*'1. Standard_Cost'!$C$27+'Incremental_Cost Year 1'!AI235*'1. Standard_Cost'!$D$27+'Incremental_Cost Year 1'!AJ235+'Incremental_Cost Year 1'!AL235+AK235</f>
        <v>0</v>
      </c>
      <c r="AN235" s="108">
        <f>AM235*'1. Standard_Cost'!$C$31</f>
        <v>0</v>
      </c>
      <c r="AO235" s="125" t="s">
        <v>436</v>
      </c>
      <c r="AQ235" s="14">
        <f t="shared" si="302"/>
        <v>37694.1</v>
      </c>
      <c r="AR235" s="14">
        <f t="shared" si="303"/>
        <v>1321200</v>
      </c>
      <c r="AS235" s="14">
        <f t="shared" si="304"/>
        <v>0</v>
      </c>
      <c r="AT235" s="14">
        <f t="shared" si="306"/>
        <v>1358894.1</v>
      </c>
      <c r="AU235" s="15">
        <v>37694.1</v>
      </c>
      <c r="AV235" s="15"/>
      <c r="AW235" s="15"/>
      <c r="AX235" s="15"/>
      <c r="AY235" s="15"/>
      <c r="AZ235" s="15"/>
      <c r="BA235" s="15"/>
      <c r="BB235" s="16">
        <f t="shared" si="305"/>
        <v>-1321200</v>
      </c>
    </row>
    <row r="236" spans="1:54" ht="110.4" outlineLevel="1">
      <c r="A236" s="98"/>
      <c r="B236" s="102"/>
      <c r="C236" s="23"/>
      <c r="D236" s="347" t="s">
        <v>641</v>
      </c>
      <c r="E236" s="122" t="s">
        <v>261</v>
      </c>
      <c r="F236" s="58">
        <v>2021</v>
      </c>
      <c r="G236" s="59">
        <v>2026</v>
      </c>
      <c r="H236" s="277" t="s">
        <v>264</v>
      </c>
      <c r="I236" s="112"/>
      <c r="J236" s="112"/>
      <c r="K236" s="112"/>
      <c r="L236" s="113">
        <f>SUM(L233:L235)</f>
        <v>32300</v>
      </c>
      <c r="M236" s="113">
        <f>SUM(M233:M235)</f>
        <v>5394.1</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361000</v>
      </c>
      <c r="AC236" s="113">
        <f>SUM(AC233:AC235)</f>
        <v>740000</v>
      </c>
      <c r="AD236" s="113">
        <f>SUM(AD233:AD235)</f>
        <v>0</v>
      </c>
      <c r="AE236" s="113">
        <f>SUM(AE233:AE235)</f>
        <v>220200</v>
      </c>
      <c r="AF236" s="113">
        <f>SUM(AF233:AF235)</f>
        <v>1321200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307">SUM(AQ233:AQ235)</f>
        <v>37694.1</v>
      </c>
      <c r="AR236" s="113">
        <f t="shared" si="307"/>
        <v>1321200</v>
      </c>
      <c r="AS236" s="113">
        <f t="shared" si="307"/>
        <v>0</v>
      </c>
      <c r="AT236" s="113">
        <f t="shared" si="307"/>
        <v>1358894.1</v>
      </c>
      <c r="AU236" s="113">
        <f t="shared" si="307"/>
        <v>37694.1</v>
      </c>
      <c r="AV236" s="113">
        <f t="shared" si="307"/>
        <v>0</v>
      </c>
      <c r="AW236" s="113">
        <f t="shared" si="307"/>
        <v>0</v>
      </c>
      <c r="AX236" s="113">
        <f t="shared" si="307"/>
        <v>0</v>
      </c>
      <c r="AY236" s="113">
        <f t="shared" si="307"/>
        <v>0</v>
      </c>
      <c r="AZ236" s="113">
        <f t="shared" si="307"/>
        <v>0</v>
      </c>
      <c r="BA236" s="113">
        <f t="shared" si="307"/>
        <v>0</v>
      </c>
      <c r="BB236" s="113">
        <f t="shared" si="307"/>
        <v>-1321200</v>
      </c>
    </row>
    <row r="237" spans="1:54"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308">SUM(AE237,AD237,AC237,AB237,Y237,U237,T237,S237,R237)</f>
        <v>0</v>
      </c>
      <c r="AG237" s="107"/>
      <c r="AH237" s="107"/>
      <c r="AI237" s="107"/>
      <c r="AJ237" s="111"/>
      <c r="AK237" s="111"/>
      <c r="AL237" s="111"/>
      <c r="AM237" s="108">
        <f>AG237*'1. Standard_Cost'!$B$27+'Incremental_Cost Year 1'!AH237*'1. Standard_Cost'!$C$27+'Incremental_Cost Year 1'!AI237*'1. Standard_Cost'!$D$27+'Incremental_Cost Year 1'!AJ237+'Incremental_Cost Year 1'!AL237+AK237</f>
        <v>0</v>
      </c>
      <c r="AN237" s="108">
        <f>AM237*'1. Standard_Cost'!$C$31</f>
        <v>0</v>
      </c>
      <c r="AO237" s="125" t="s">
        <v>437</v>
      </c>
      <c r="AQ237" s="14">
        <f t="shared" ref="AQ237:AQ241" si="309">L237+M237</f>
        <v>0</v>
      </c>
      <c r="AR237" s="14">
        <f t="shared" ref="AR237:AR241" si="310">AF237</f>
        <v>0</v>
      </c>
      <c r="AS237" s="14">
        <f t="shared" ref="AS237:AS241" si="311">AM237+AN237</f>
        <v>0</v>
      </c>
      <c r="AT237" s="14">
        <f>SUM(AQ237,AR237,AS237)</f>
        <v>0</v>
      </c>
      <c r="AU237" s="15"/>
      <c r="AV237" s="15"/>
      <c r="AW237" s="15"/>
      <c r="AX237" s="15"/>
      <c r="AY237" s="15"/>
      <c r="AZ237" s="15"/>
      <c r="BA237" s="15"/>
      <c r="BB237" s="16">
        <f t="shared" ref="BB237:BB241" si="312">SUM(AU237:BA237)-AT237</f>
        <v>0</v>
      </c>
    </row>
    <row r="238" spans="1:54" ht="46.8" outlineLevel="2">
      <c r="A238" s="98"/>
      <c r="B238" s="102"/>
      <c r="C238" s="23"/>
      <c r="D238" s="119"/>
      <c r="E238" s="119"/>
      <c r="F238" s="269"/>
      <c r="G238" s="11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308"/>
        <v>0</v>
      </c>
      <c r="AG238" s="107"/>
      <c r="AH238" s="107"/>
      <c r="AI238" s="107"/>
      <c r="AJ238" s="111"/>
      <c r="AK238" s="111"/>
      <c r="AL238" s="111"/>
      <c r="AM238" s="108">
        <f>AG238*'1. Standard_Cost'!$B$27+'Incremental_Cost Year 1'!AH238*'1. Standard_Cost'!$C$27+'Incremental_Cost Year 1'!AI238*'1. Standard_Cost'!$D$27+'Incremental_Cost Year 1'!AJ238+'Incremental_Cost Year 1'!AL238+AK238</f>
        <v>0</v>
      </c>
      <c r="AN238" s="108">
        <f>AM238*'1. Standard_Cost'!$C$31</f>
        <v>0</v>
      </c>
      <c r="AO238" s="125" t="s">
        <v>438</v>
      </c>
      <c r="AQ238" s="14">
        <f t="shared" si="309"/>
        <v>0</v>
      </c>
      <c r="AR238" s="14">
        <f t="shared" si="310"/>
        <v>0</v>
      </c>
      <c r="AS238" s="14">
        <f t="shared" si="311"/>
        <v>0</v>
      </c>
      <c r="AT238" s="14">
        <f t="shared" ref="AT238:AT241" si="313">SUM(AQ238,AR238,AS238)</f>
        <v>0</v>
      </c>
      <c r="AU238" s="15"/>
      <c r="AV238" s="15"/>
      <c r="AW238" s="15"/>
      <c r="AX238" s="15"/>
      <c r="AY238" s="15"/>
      <c r="AZ238" s="15"/>
      <c r="BA238" s="15"/>
      <c r="BB238" s="16">
        <f t="shared" si="312"/>
        <v>0</v>
      </c>
    </row>
    <row r="239" spans="1:54" ht="62.4" outlineLevel="2">
      <c r="A239" s="98"/>
      <c r="B239" s="102"/>
      <c r="C239" s="23"/>
      <c r="D239" s="119"/>
      <c r="E239" s="119"/>
      <c r="F239" s="119"/>
      <c r="G239" s="11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308"/>
        <v>0</v>
      </c>
      <c r="AG239" s="107"/>
      <c r="AH239" s="107"/>
      <c r="AI239" s="107"/>
      <c r="AJ239" s="111"/>
      <c r="AK239" s="111"/>
      <c r="AL239" s="111"/>
      <c r="AM239" s="108">
        <f>AG239*'1. Standard_Cost'!$B$27+'Incremental_Cost Year 1'!AH239*'1. Standard_Cost'!$C$27+'Incremental_Cost Year 1'!AI239*'1. Standard_Cost'!$D$27+'Incremental_Cost Year 1'!AJ239+'Incremental_Cost Year 1'!AL239+AK239</f>
        <v>0</v>
      </c>
      <c r="AN239" s="108">
        <f>AM239*'1. Standard_Cost'!$C$31</f>
        <v>0</v>
      </c>
      <c r="AO239" s="125" t="s">
        <v>439</v>
      </c>
      <c r="AQ239" s="14">
        <f t="shared" si="309"/>
        <v>0</v>
      </c>
      <c r="AR239" s="14">
        <f t="shared" si="310"/>
        <v>0</v>
      </c>
      <c r="AS239" s="14">
        <f t="shared" si="311"/>
        <v>0</v>
      </c>
      <c r="AT239" s="14">
        <f t="shared" si="313"/>
        <v>0</v>
      </c>
      <c r="AU239" s="15"/>
      <c r="AV239" s="15"/>
      <c r="AW239" s="15"/>
      <c r="AX239" s="15"/>
      <c r="AY239" s="15"/>
      <c r="AZ239" s="15"/>
      <c r="BA239" s="15"/>
      <c r="BB239" s="16">
        <f t="shared" si="312"/>
        <v>0</v>
      </c>
    </row>
    <row r="240" spans="1:54" ht="109.2" outlineLevel="2">
      <c r="A240" s="98"/>
      <c r="B240" s="102"/>
      <c r="C240" s="23"/>
      <c r="D240" s="119"/>
      <c r="E240" s="119"/>
      <c r="F240" s="119"/>
      <c r="G240" s="119"/>
      <c r="H240" s="302" t="s">
        <v>556</v>
      </c>
      <c r="I240" s="258" t="s">
        <v>4</v>
      </c>
      <c r="J240" s="259">
        <v>0.4</v>
      </c>
      <c r="K240" s="259">
        <v>4</v>
      </c>
      <c r="L240" s="106">
        <f>IF(I240&lt;&gt;0,((VLOOKUP(I240,'1. Standard_Cost'!$B$4:$D$11,2)+VLOOKUP(I240,'1. Standard_Cost'!$B$4:$D$11,3))*J240*K240),"0")</f>
        <v>129200</v>
      </c>
      <c r="M240" s="106">
        <f>L240*'1. Standard_Cost'!$F$4</f>
        <v>21576.400000000001</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260">
        <v>5</v>
      </c>
      <c r="AB240" s="108">
        <f>+Z240*'1. Standard_Cost'!$B$23+AA240*'1. Standard_Cost'!$C$23</f>
        <v>95000</v>
      </c>
      <c r="AC240" s="261">
        <f>20*300</f>
        <v>6000</v>
      </c>
      <c r="AD240" s="110"/>
      <c r="AE240" s="108">
        <f>SUM(AD240,AC240,AB240,Y240,U240,T240,S240,R240)*'1. Standard_Cost'!$B$31</f>
        <v>20200</v>
      </c>
      <c r="AF240" s="108">
        <f t="shared" si="308"/>
        <v>121200</v>
      </c>
      <c r="AG240" s="107"/>
      <c r="AH240" s="107"/>
      <c r="AI240" s="107"/>
      <c r="AJ240" s="111"/>
      <c r="AK240" s="111"/>
      <c r="AL240" s="111"/>
      <c r="AM240" s="108">
        <f>AG240*'1. Standard_Cost'!$B$27+'Incremental_Cost Year 1'!AH240*'1. Standard_Cost'!$C$27+'Incremental_Cost Year 1'!AI240*'1. Standard_Cost'!$D$27+'Incremental_Cost Year 1'!AJ240+'Incremental_Cost Year 1'!AL240+AK240</f>
        <v>0</v>
      </c>
      <c r="AN240" s="108">
        <f>AM240*'1. Standard_Cost'!$C$31</f>
        <v>0</v>
      </c>
      <c r="AO240" s="125" t="s">
        <v>440</v>
      </c>
      <c r="AQ240" s="14">
        <f t="shared" si="309"/>
        <v>150776.4</v>
      </c>
      <c r="AR240" s="14">
        <f t="shared" si="310"/>
        <v>121200</v>
      </c>
      <c r="AS240" s="14">
        <f t="shared" si="311"/>
        <v>0</v>
      </c>
      <c r="AT240" s="14">
        <f t="shared" si="313"/>
        <v>271976.40000000002</v>
      </c>
      <c r="AU240" s="15"/>
      <c r="AV240" s="15"/>
      <c r="AW240" s="15"/>
      <c r="AX240" s="15"/>
      <c r="AY240" s="15"/>
      <c r="AZ240" s="15"/>
      <c r="BA240" s="15"/>
      <c r="BB240" s="16">
        <f t="shared" si="312"/>
        <v>-271976.40000000002</v>
      </c>
    </row>
    <row r="241" spans="1:54" ht="140.4" outlineLevel="2">
      <c r="A241" s="98"/>
      <c r="B241" s="102"/>
      <c r="C241" s="23"/>
      <c r="D241" s="119"/>
      <c r="E241" s="119"/>
      <c r="F241" s="119"/>
      <c r="G241" s="119"/>
      <c r="H241" s="302" t="s">
        <v>557</v>
      </c>
      <c r="I241" s="258" t="s">
        <v>4</v>
      </c>
      <c r="J241" s="259">
        <v>0.2</v>
      </c>
      <c r="K241" s="259">
        <v>1</v>
      </c>
      <c r="L241" s="106">
        <f>IF(I241&lt;&gt;0,((VLOOKUP(I241,'1. Standard_Cost'!$B$4:$D$11,2)+VLOOKUP(I241,'1. Standard_Cost'!$B$4:$D$11,3))*J241*K241),"0")</f>
        <v>16150</v>
      </c>
      <c r="M241" s="106">
        <f>L241*'1. Standard_Cost'!$F$4</f>
        <v>2697.05</v>
      </c>
      <c r="N241" s="107"/>
      <c r="O241" s="107"/>
      <c r="P241" s="107"/>
      <c r="Q241" s="107"/>
      <c r="R241" s="108">
        <f>'1. Standard_Cost'!$B$15*N241*P241</f>
        <v>0</v>
      </c>
      <c r="S241" s="108">
        <f>N241*O241*P241*'1. Standard_Cost'!$C$15</f>
        <v>0</v>
      </c>
      <c r="T241" s="108">
        <f>N241*P241*Q241*'1. Standard_Cost'!$D$15</f>
        <v>0</v>
      </c>
      <c r="U241" s="108">
        <f>N241*O241*'1. Standard_Cost'!$E$15</f>
        <v>0</v>
      </c>
      <c r="V241" s="107"/>
      <c r="W241" s="107"/>
      <c r="X241" s="107"/>
      <c r="Y241" s="108">
        <f>+V241*((X241*'1. Standard_Cost'!$B$19)+(W241*X241*'1. Standard_Cost'!$C$19))</f>
        <v>0</v>
      </c>
      <c r="Z241" s="107"/>
      <c r="AA241" s="260">
        <v>5</v>
      </c>
      <c r="AB241" s="108">
        <f>+Z241*'1. Standard_Cost'!$B$23+AA241*'1. Standard_Cost'!$C$23</f>
        <v>95000</v>
      </c>
      <c r="AC241" s="261"/>
      <c r="AD241" s="110"/>
      <c r="AE241" s="108">
        <f>SUM(AD241,AC241,AB241,Y241,U241,T241,S241,R241)*'1. Standard_Cost'!$B$31</f>
        <v>19000</v>
      </c>
      <c r="AF241" s="108">
        <f t="shared" si="308"/>
        <v>114000</v>
      </c>
      <c r="AG241" s="107"/>
      <c r="AH241" s="107"/>
      <c r="AI241" s="107"/>
      <c r="AJ241" s="111"/>
      <c r="AK241" s="111"/>
      <c r="AL241" s="111"/>
      <c r="AM241" s="108">
        <f>AG241*'1. Standard_Cost'!$B$27+'Incremental_Cost Year 1'!AH241*'1. Standard_Cost'!$C$27+'Incremental_Cost Year 1'!AI241*'1. Standard_Cost'!$D$27+'Incremental_Cost Year 1'!AJ241+'Incremental_Cost Year 1'!AL241+AK241</f>
        <v>0</v>
      </c>
      <c r="AN241" s="108">
        <f>AM241*'1. Standard_Cost'!$C$31</f>
        <v>0</v>
      </c>
      <c r="AO241" s="125" t="s">
        <v>441</v>
      </c>
      <c r="AQ241" s="14">
        <f t="shared" si="309"/>
        <v>18847.05</v>
      </c>
      <c r="AR241" s="14">
        <f t="shared" si="310"/>
        <v>114000</v>
      </c>
      <c r="AS241" s="14">
        <f t="shared" si="311"/>
        <v>0</v>
      </c>
      <c r="AT241" s="14">
        <f t="shared" si="313"/>
        <v>132847.04999999999</v>
      </c>
      <c r="AU241" s="15">
        <v>18847.05</v>
      </c>
      <c r="AV241" s="15"/>
      <c r="AW241" s="15"/>
      <c r="AX241" s="15"/>
      <c r="AY241" s="15"/>
      <c r="AZ241" s="15"/>
      <c r="BA241" s="15"/>
      <c r="BB241" s="16">
        <f t="shared" si="312"/>
        <v>-113999.99999999999</v>
      </c>
    </row>
    <row r="242" spans="1:54" ht="69" outlineLevel="1">
      <c r="A242" s="98"/>
      <c r="B242" s="102"/>
      <c r="C242" s="23"/>
      <c r="D242" s="56" t="s">
        <v>713</v>
      </c>
      <c r="E242" s="56" t="s">
        <v>265</v>
      </c>
      <c r="F242" s="58">
        <v>2021</v>
      </c>
      <c r="G242" s="59">
        <v>2026</v>
      </c>
      <c r="H242" s="277" t="s">
        <v>269</v>
      </c>
      <c r="I242" s="112"/>
      <c r="J242" s="112"/>
      <c r="K242" s="112"/>
      <c r="L242" s="113">
        <f>SUM(L237:L241)</f>
        <v>145350</v>
      </c>
      <c r="M242" s="113">
        <f>SUM(M237:M241)</f>
        <v>24273.45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190000</v>
      </c>
      <c r="AC242" s="113">
        <f>SUM(AC237:AC241)</f>
        <v>6000</v>
      </c>
      <c r="AD242" s="113">
        <f>SUM(AD237:AD241)</f>
        <v>0</v>
      </c>
      <c r="AE242" s="113">
        <f>SUM(AE237:AE241)</f>
        <v>39200</v>
      </c>
      <c r="AF242" s="113">
        <f>SUM(AF237:AF241)</f>
        <v>235200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314">SUM(AQ237:AQ241)</f>
        <v>169623.44999999998</v>
      </c>
      <c r="AR242" s="113">
        <f t="shared" si="314"/>
        <v>235200</v>
      </c>
      <c r="AS242" s="113">
        <f t="shared" si="314"/>
        <v>0</v>
      </c>
      <c r="AT242" s="113">
        <f t="shared" si="314"/>
        <v>404823.45</v>
      </c>
      <c r="AU242" s="113">
        <f t="shared" si="314"/>
        <v>18847.05</v>
      </c>
      <c r="AV242" s="113">
        <f t="shared" si="314"/>
        <v>0</v>
      </c>
      <c r="AW242" s="113">
        <f t="shared" si="314"/>
        <v>0</v>
      </c>
      <c r="AX242" s="113">
        <f t="shared" si="314"/>
        <v>0</v>
      </c>
      <c r="AY242" s="113">
        <f t="shared" si="314"/>
        <v>0</v>
      </c>
      <c r="AZ242" s="113">
        <f t="shared" si="314"/>
        <v>0</v>
      </c>
      <c r="BA242" s="113">
        <f t="shared" si="314"/>
        <v>0</v>
      </c>
      <c r="BB242" s="113">
        <f t="shared" si="314"/>
        <v>-385976.4</v>
      </c>
    </row>
  </sheetData>
  <dataConsolidate/>
  <mergeCells count="17">
    <mergeCell ref="C6:E6"/>
    <mergeCell ref="B1:L1"/>
    <mergeCell ref="AQ2:BB2"/>
    <mergeCell ref="B2:E2"/>
    <mergeCell ref="B3:E3"/>
    <mergeCell ref="B5:E5"/>
    <mergeCell ref="C179:E179"/>
    <mergeCell ref="C202:E202"/>
    <mergeCell ref="B223:E223"/>
    <mergeCell ref="C224:E224"/>
    <mergeCell ref="B31:E31"/>
    <mergeCell ref="C143:E143"/>
    <mergeCell ref="B92:E92"/>
    <mergeCell ref="C93:E93"/>
    <mergeCell ref="C32:E32"/>
    <mergeCell ref="C40:E40"/>
    <mergeCell ref="C80:E80"/>
  </mergeCells>
  <conditionalFormatting sqref="BB243:BB286 BB288:BB291 BB293:BB302 BB305:BB308 BB33 BB81:BB82 BB94:BB100 BB7:BB10 BB26:BB29 BB24 BB36:BB38 BB85:BB90 BB16:BB20 BA17:BB18 BB60:BB78 BB183:BB185 BB144:BB146 BB154:BB160 BB162:BB167">
    <cfRule type="cellIs" dxfId="1581" priority="285" operator="lessThan">
      <formula>0</formula>
    </cfRule>
    <cfRule type="cellIs" dxfId="1580" priority="286" operator="lessThan">
      <formula>-105575</formula>
    </cfRule>
  </conditionalFormatting>
  <conditionalFormatting sqref="BB311:BB314 BB316:BB320">
    <cfRule type="cellIs" dxfId="1579" priority="283" operator="lessThan">
      <formula>0</formula>
    </cfRule>
    <cfRule type="cellIs" dxfId="1578" priority="284" operator="lessThan">
      <formula>-105575</formula>
    </cfRule>
  </conditionalFormatting>
  <conditionalFormatting sqref="BB321:BB325">
    <cfRule type="cellIs" dxfId="1577" priority="281" operator="lessThan">
      <formula>0</formula>
    </cfRule>
    <cfRule type="cellIs" dxfId="1576" priority="282" operator="lessThan">
      <formula>-105575</formula>
    </cfRule>
  </conditionalFormatting>
  <conditionalFormatting sqref="BB326:BB330">
    <cfRule type="cellIs" dxfId="1575" priority="279" operator="lessThan">
      <formula>0</formula>
    </cfRule>
    <cfRule type="cellIs" dxfId="1574" priority="280" operator="lessThan">
      <formula>-105575</formula>
    </cfRule>
  </conditionalFormatting>
  <conditionalFormatting sqref="BB332:BB335 BB337:BB341">
    <cfRule type="cellIs" dxfId="1573" priority="277" operator="lessThan">
      <formula>0</formula>
    </cfRule>
    <cfRule type="cellIs" dxfId="1572" priority="278" operator="lessThan">
      <formula>-105575</formula>
    </cfRule>
  </conditionalFormatting>
  <conditionalFormatting sqref="BB342:BB346">
    <cfRule type="cellIs" dxfId="1571" priority="275" operator="lessThan">
      <formula>0</formula>
    </cfRule>
    <cfRule type="cellIs" dxfId="1570" priority="276" operator="lessThan">
      <formula>-105575</formula>
    </cfRule>
  </conditionalFormatting>
  <conditionalFormatting sqref="BB347:BB351">
    <cfRule type="cellIs" dxfId="1569" priority="273" operator="lessThan">
      <formula>0</formula>
    </cfRule>
    <cfRule type="cellIs" dxfId="1568" priority="274" operator="lessThan">
      <formula>-105575</formula>
    </cfRule>
  </conditionalFormatting>
  <conditionalFormatting sqref="BB353:BB356 BB358:BB362">
    <cfRule type="cellIs" dxfId="1567" priority="271" operator="lessThan">
      <formula>0</formula>
    </cfRule>
    <cfRule type="cellIs" dxfId="1566" priority="272" operator="lessThan">
      <formula>-105575</formula>
    </cfRule>
  </conditionalFormatting>
  <conditionalFormatting sqref="BB363:BB367">
    <cfRule type="cellIs" dxfId="1565" priority="269" operator="lessThan">
      <formula>0</formula>
    </cfRule>
    <cfRule type="cellIs" dxfId="1564" priority="270" operator="lessThan">
      <formula>-105575</formula>
    </cfRule>
  </conditionalFormatting>
  <conditionalFormatting sqref="BB370:BB373 BB375:BB379">
    <cfRule type="cellIs" dxfId="1563" priority="267" operator="lessThan">
      <formula>0</formula>
    </cfRule>
    <cfRule type="cellIs" dxfId="1562" priority="268" operator="lessThan">
      <formula>-105575</formula>
    </cfRule>
  </conditionalFormatting>
  <conditionalFormatting sqref="BB381:BB384">
    <cfRule type="cellIs" dxfId="1561" priority="265" operator="lessThan">
      <formula>0</formula>
    </cfRule>
    <cfRule type="cellIs" dxfId="1560" priority="266" operator="lessThan">
      <formula>-105575</formula>
    </cfRule>
  </conditionalFormatting>
  <conditionalFormatting sqref="BB381:BB384 BB386:BB390">
    <cfRule type="cellIs" dxfId="1559" priority="263" operator="lessThan">
      <formula>0</formula>
    </cfRule>
    <cfRule type="cellIs" dxfId="1558" priority="264" operator="lessThan">
      <formula>-105575</formula>
    </cfRule>
  </conditionalFormatting>
  <conditionalFormatting sqref="BB391:BB395">
    <cfRule type="cellIs" dxfId="1557" priority="261" operator="lessThan">
      <formula>0</formula>
    </cfRule>
    <cfRule type="cellIs" dxfId="1556" priority="262" operator="lessThan">
      <formula>-105575</formula>
    </cfRule>
  </conditionalFormatting>
  <conditionalFormatting sqref="BB396:BB400">
    <cfRule type="cellIs" dxfId="1555" priority="259" operator="lessThan">
      <formula>0</formula>
    </cfRule>
    <cfRule type="cellIs" dxfId="1554" priority="260" operator="lessThan">
      <formula>-105575</formula>
    </cfRule>
  </conditionalFormatting>
  <conditionalFormatting sqref="BB401:BB405">
    <cfRule type="cellIs" dxfId="1553" priority="257" operator="lessThan">
      <formula>0</formula>
    </cfRule>
    <cfRule type="cellIs" dxfId="1552" priority="258" operator="lessThan">
      <formula>-105575</formula>
    </cfRule>
  </conditionalFormatting>
  <conditionalFormatting sqref="BB406:BB410">
    <cfRule type="cellIs" dxfId="1551" priority="255" operator="lessThan">
      <formula>0</formula>
    </cfRule>
    <cfRule type="cellIs" dxfId="1550" priority="256" operator="lessThan">
      <formula>-105575</formula>
    </cfRule>
  </conditionalFormatting>
  <conditionalFormatting sqref="BB412:BB415">
    <cfRule type="cellIs" dxfId="1549" priority="253" operator="lessThan">
      <formula>0</formula>
    </cfRule>
    <cfRule type="cellIs" dxfId="1548" priority="254" operator="lessThan">
      <formula>-105575</formula>
    </cfRule>
  </conditionalFormatting>
  <conditionalFormatting sqref="BB412:BB415">
    <cfRule type="cellIs" dxfId="1547" priority="251" operator="lessThan">
      <formula>0</formula>
    </cfRule>
    <cfRule type="cellIs" dxfId="1546" priority="252" operator="lessThan">
      <formula>-105575</formula>
    </cfRule>
  </conditionalFormatting>
  <conditionalFormatting sqref="BB418:BB421">
    <cfRule type="cellIs" dxfId="1545" priority="249" operator="lessThan">
      <formula>0</formula>
    </cfRule>
    <cfRule type="cellIs" dxfId="1544" priority="250" operator="lessThan">
      <formula>-105575</formula>
    </cfRule>
  </conditionalFormatting>
  <conditionalFormatting sqref="BB418:BB421 BB423:BB427">
    <cfRule type="cellIs" dxfId="1543" priority="247" operator="lessThan">
      <formula>0</formula>
    </cfRule>
    <cfRule type="cellIs" dxfId="1542" priority="248" operator="lessThan">
      <formula>-105575</formula>
    </cfRule>
  </conditionalFormatting>
  <conditionalFormatting sqref="BB428:BB432">
    <cfRule type="cellIs" dxfId="1541" priority="245" operator="lessThan">
      <formula>0</formula>
    </cfRule>
    <cfRule type="cellIs" dxfId="1540" priority="246" operator="lessThan">
      <formula>-105575</formula>
    </cfRule>
  </conditionalFormatting>
  <conditionalFormatting sqref="BB433:BB437">
    <cfRule type="cellIs" dxfId="1539" priority="243" operator="lessThan">
      <formula>0</formula>
    </cfRule>
    <cfRule type="cellIs" dxfId="1538" priority="244" operator="lessThan">
      <formula>-105575</formula>
    </cfRule>
  </conditionalFormatting>
  <conditionalFormatting sqref="BB439:BB442">
    <cfRule type="cellIs" dxfId="1537" priority="241" operator="lessThan">
      <formula>0</formula>
    </cfRule>
    <cfRule type="cellIs" dxfId="1536" priority="242" operator="lessThan">
      <formula>-105575</formula>
    </cfRule>
  </conditionalFormatting>
  <conditionalFormatting sqref="BB439:BB442 BB444:BB448">
    <cfRule type="cellIs" dxfId="1535" priority="239" operator="lessThan">
      <formula>0</formula>
    </cfRule>
    <cfRule type="cellIs" dxfId="1534" priority="240" operator="lessThan">
      <formula>-105575</formula>
    </cfRule>
  </conditionalFormatting>
  <conditionalFormatting sqref="BB449:BB453">
    <cfRule type="cellIs" dxfId="1533" priority="237" operator="lessThan">
      <formula>0</formula>
    </cfRule>
    <cfRule type="cellIs" dxfId="1532" priority="238" operator="lessThan">
      <formula>-105575</formula>
    </cfRule>
  </conditionalFormatting>
  <conditionalFormatting sqref="BB454:BB458">
    <cfRule type="cellIs" dxfId="1531" priority="235" operator="lessThan">
      <formula>0</formula>
    </cfRule>
    <cfRule type="cellIs" dxfId="1530" priority="236" operator="lessThan">
      <formula>-105575</formula>
    </cfRule>
  </conditionalFormatting>
  <conditionalFormatting sqref="BB460:BB463">
    <cfRule type="cellIs" dxfId="1529" priority="233" operator="lessThan">
      <formula>0</formula>
    </cfRule>
    <cfRule type="cellIs" dxfId="1528" priority="234" operator="lessThan">
      <formula>-105575</formula>
    </cfRule>
  </conditionalFormatting>
  <conditionalFormatting sqref="BB460:BB463 BB465:BB469">
    <cfRule type="cellIs" dxfId="1527" priority="231" operator="lessThan">
      <formula>0</formula>
    </cfRule>
    <cfRule type="cellIs" dxfId="1526" priority="232" operator="lessThan">
      <formula>-105575</formula>
    </cfRule>
  </conditionalFormatting>
  <conditionalFormatting sqref="BB470:BB474">
    <cfRule type="cellIs" dxfId="1525" priority="229" operator="lessThan">
      <formula>0</formula>
    </cfRule>
    <cfRule type="cellIs" dxfId="1524" priority="230" operator="lessThan">
      <formula>-105575</formula>
    </cfRule>
  </conditionalFormatting>
  <conditionalFormatting sqref="BB475:BB479">
    <cfRule type="cellIs" dxfId="1523" priority="227" operator="lessThan">
      <formula>0</formula>
    </cfRule>
    <cfRule type="cellIs" dxfId="1522" priority="228" operator="lessThan">
      <formula>-105575</formula>
    </cfRule>
  </conditionalFormatting>
  <conditionalFormatting sqref="BB481:BB484">
    <cfRule type="cellIs" dxfId="1521" priority="225" operator="lessThan">
      <formula>0</formula>
    </cfRule>
    <cfRule type="cellIs" dxfId="1520" priority="226" operator="lessThan">
      <formula>-105575</formula>
    </cfRule>
  </conditionalFormatting>
  <conditionalFormatting sqref="BB481:BB484 BB486:BB490">
    <cfRule type="cellIs" dxfId="1519" priority="223" operator="lessThan">
      <formula>0</formula>
    </cfRule>
    <cfRule type="cellIs" dxfId="1518" priority="224" operator="lessThan">
      <formula>-105575</formula>
    </cfRule>
  </conditionalFormatting>
  <conditionalFormatting sqref="BB491:BB495">
    <cfRule type="cellIs" dxfId="1517" priority="221" operator="lessThan">
      <formula>0</formula>
    </cfRule>
    <cfRule type="cellIs" dxfId="1516" priority="222" operator="lessThan">
      <formula>-105575</formula>
    </cfRule>
  </conditionalFormatting>
  <conditionalFormatting sqref="BB144:BB146 BB154:BB160 BB162:BB167">
    <cfRule type="cellIs" dxfId="1515" priority="219" operator="lessThan">
      <formula>0</formula>
    </cfRule>
    <cfRule type="cellIs" dxfId="1514" priority="220" operator="lessThan">
      <formula>-105575</formula>
    </cfRule>
  </conditionalFormatting>
  <conditionalFormatting sqref="BB163:BB164">
    <cfRule type="cellIs" dxfId="1513" priority="213" operator="lessThan">
      <formula>0</formula>
    </cfRule>
    <cfRule type="cellIs" dxfId="1512" priority="214" operator="lessThan">
      <formula>-105575</formula>
    </cfRule>
  </conditionalFormatting>
  <conditionalFormatting sqref="BB34:BB35">
    <cfRule type="cellIs" dxfId="1511" priority="179" operator="lessThan">
      <formula>0</formula>
    </cfRule>
    <cfRule type="cellIs" dxfId="1510" priority="180" operator="lessThan">
      <formula>-105575</formula>
    </cfRule>
  </conditionalFormatting>
  <conditionalFormatting sqref="BB41 BB56:BB58">
    <cfRule type="cellIs" dxfId="1509" priority="159" operator="lessThan">
      <formula>0</formula>
    </cfRule>
    <cfRule type="cellIs" dxfId="1508" priority="160" operator="lessThan">
      <formula>-105575</formula>
    </cfRule>
  </conditionalFormatting>
  <conditionalFormatting sqref="BB14">
    <cfRule type="cellIs" dxfId="1507" priority="187" operator="lessThan">
      <formula>0</formula>
    </cfRule>
    <cfRule type="cellIs" dxfId="1506" priority="188" operator="lessThan">
      <formula>-105575</formula>
    </cfRule>
  </conditionalFormatting>
  <conditionalFormatting sqref="BB11">
    <cfRule type="cellIs" dxfId="1505" priority="185" operator="lessThan">
      <formula>0</formula>
    </cfRule>
    <cfRule type="cellIs" dxfId="1504" priority="186" operator="lessThan">
      <formula>-105575</formula>
    </cfRule>
  </conditionalFormatting>
  <conditionalFormatting sqref="BB54:BB55">
    <cfRule type="cellIs" dxfId="1503" priority="157" operator="lessThan">
      <formula>0</formula>
    </cfRule>
    <cfRule type="cellIs" dxfId="1502" priority="158" operator="lessThan">
      <formula>-105575</formula>
    </cfRule>
  </conditionalFormatting>
  <conditionalFormatting sqref="BB21 BB23">
    <cfRule type="cellIs" dxfId="1501" priority="183" operator="lessThan">
      <formula>0</formula>
    </cfRule>
    <cfRule type="cellIs" dxfId="1500" priority="184" operator="lessThan">
      <formula>-105575</formula>
    </cfRule>
  </conditionalFormatting>
  <conditionalFormatting sqref="BB22">
    <cfRule type="cellIs" dxfId="1499" priority="181" operator="lessThan">
      <formula>0</formula>
    </cfRule>
    <cfRule type="cellIs" dxfId="1498" priority="182" operator="lessThan">
      <formula>-105575</formula>
    </cfRule>
  </conditionalFormatting>
  <conditionalFormatting sqref="BB52:BB53">
    <cfRule type="cellIs" dxfId="1497" priority="155" operator="lessThan">
      <formula>0</formula>
    </cfRule>
    <cfRule type="cellIs" dxfId="1496" priority="156" operator="lessThan">
      <formula>-105575</formula>
    </cfRule>
  </conditionalFormatting>
  <conditionalFormatting sqref="BB50:BB51">
    <cfRule type="cellIs" dxfId="1495" priority="153" operator="lessThan">
      <formula>0</formula>
    </cfRule>
    <cfRule type="cellIs" dxfId="1494" priority="154" operator="lessThan">
      <formula>-105575</formula>
    </cfRule>
  </conditionalFormatting>
  <conditionalFormatting sqref="BB49">
    <cfRule type="cellIs" dxfId="1493" priority="151" operator="lessThan">
      <formula>0</formula>
    </cfRule>
    <cfRule type="cellIs" dxfId="1492" priority="152" operator="lessThan">
      <formula>-105575</formula>
    </cfRule>
  </conditionalFormatting>
  <conditionalFormatting sqref="BB47:BB48">
    <cfRule type="cellIs" dxfId="1491" priority="149" operator="lessThan">
      <formula>0</formula>
    </cfRule>
    <cfRule type="cellIs" dxfId="1490" priority="150" operator="lessThan">
      <formula>-105575</formula>
    </cfRule>
  </conditionalFormatting>
  <conditionalFormatting sqref="BB45:BB46">
    <cfRule type="cellIs" dxfId="1489" priority="147" operator="lessThan">
      <formula>0</formula>
    </cfRule>
    <cfRule type="cellIs" dxfId="1488" priority="148" operator="lessThan">
      <formula>-105575</formula>
    </cfRule>
  </conditionalFormatting>
  <conditionalFormatting sqref="BB42 BB44">
    <cfRule type="cellIs" dxfId="1487" priority="145" operator="lessThan">
      <formula>0</formula>
    </cfRule>
    <cfRule type="cellIs" dxfId="1486" priority="146" operator="lessThan">
      <formula>-105575</formula>
    </cfRule>
  </conditionalFormatting>
  <conditionalFormatting sqref="BB43">
    <cfRule type="cellIs" dxfId="1485" priority="143" operator="lessThan">
      <formula>0</formula>
    </cfRule>
    <cfRule type="cellIs" dxfId="1484" priority="144" operator="lessThan">
      <formula>-105575</formula>
    </cfRule>
  </conditionalFormatting>
  <conditionalFormatting sqref="BB83:BB84">
    <cfRule type="cellIs" dxfId="1483" priority="139" operator="lessThan">
      <formula>0</formula>
    </cfRule>
    <cfRule type="cellIs" dxfId="1482" priority="140" operator="lessThan">
      <formula>-105575</formula>
    </cfRule>
  </conditionalFormatting>
  <conditionalFormatting sqref="BB102:BB106 BB111:BB112">
    <cfRule type="cellIs" dxfId="1481" priority="137" operator="lessThan">
      <formula>0</formula>
    </cfRule>
    <cfRule type="cellIs" dxfId="1480" priority="138" operator="lessThan">
      <formula>-105575</formula>
    </cfRule>
  </conditionalFormatting>
  <conditionalFormatting sqref="BB114 BB134:BB135 BB125:BB128">
    <cfRule type="cellIs" dxfId="1479" priority="133" operator="lessThan">
      <formula>0</formula>
    </cfRule>
    <cfRule type="cellIs" dxfId="1478" priority="134" operator="lessThan">
      <formula>-105575</formula>
    </cfRule>
  </conditionalFormatting>
  <conditionalFormatting sqref="BB107:BB110">
    <cfRule type="cellIs" dxfId="1477" priority="135" operator="lessThan">
      <formula>0</formula>
    </cfRule>
    <cfRule type="cellIs" dxfId="1476" priority="136" operator="lessThan">
      <formula>-105575</formula>
    </cfRule>
  </conditionalFormatting>
  <conditionalFormatting sqref="BB123:BB124 BB115:BB118">
    <cfRule type="cellIs" dxfId="1475" priority="129" operator="lessThan">
      <formula>0</formula>
    </cfRule>
    <cfRule type="cellIs" dxfId="1474" priority="130" operator="lessThan">
      <formula>-105575</formula>
    </cfRule>
  </conditionalFormatting>
  <conditionalFormatting sqref="BB129:BB133">
    <cfRule type="cellIs" dxfId="1473" priority="131" operator="lessThan">
      <formula>0</formula>
    </cfRule>
    <cfRule type="cellIs" dxfId="1472" priority="132" operator="lessThan">
      <formula>-105575</formula>
    </cfRule>
  </conditionalFormatting>
  <conditionalFormatting sqref="BB119:BB122">
    <cfRule type="cellIs" dxfId="1471" priority="127" operator="lessThan">
      <formula>0</formula>
    </cfRule>
    <cfRule type="cellIs" dxfId="1470" priority="128" operator="lessThan">
      <formula>-105575</formula>
    </cfRule>
  </conditionalFormatting>
  <conditionalFormatting sqref="BB137:BB138">
    <cfRule type="cellIs" dxfId="1469" priority="125" operator="lessThan">
      <formula>0</formula>
    </cfRule>
    <cfRule type="cellIs" dxfId="1468" priority="126" operator="lessThan">
      <formula>-105575</formula>
    </cfRule>
  </conditionalFormatting>
  <conditionalFormatting sqref="BB147:BB153">
    <cfRule type="cellIs" dxfId="1467" priority="121" operator="lessThan">
      <formula>0</formula>
    </cfRule>
    <cfRule type="cellIs" dxfId="1466" priority="122" operator="lessThan">
      <formula>-105575</formula>
    </cfRule>
  </conditionalFormatting>
  <conditionalFormatting sqref="BB140:BB141">
    <cfRule type="cellIs" dxfId="1465" priority="123" operator="lessThan">
      <formula>0</formula>
    </cfRule>
    <cfRule type="cellIs" dxfId="1464" priority="124" operator="lessThan">
      <formula>-105575</formula>
    </cfRule>
  </conditionalFormatting>
  <conditionalFormatting sqref="BB161">
    <cfRule type="cellIs" dxfId="1463" priority="117" operator="lessThan">
      <formula>0</formula>
    </cfRule>
    <cfRule type="cellIs" dxfId="1462" priority="118" operator="lessThan">
      <formula>-105575</formula>
    </cfRule>
  </conditionalFormatting>
  <conditionalFormatting sqref="BB147:BB153">
    <cfRule type="cellIs" dxfId="1461" priority="119" operator="lessThan">
      <formula>0</formula>
    </cfRule>
    <cfRule type="cellIs" dxfId="1460" priority="120" operator="lessThan">
      <formula>-105575</formula>
    </cfRule>
  </conditionalFormatting>
  <conditionalFormatting sqref="BB193:BB198">
    <cfRule type="cellIs" dxfId="1459" priority="89" operator="lessThan">
      <formula>0</formula>
    </cfRule>
    <cfRule type="cellIs" dxfId="1458" priority="90" operator="lessThan">
      <formula>-105575</formula>
    </cfRule>
  </conditionalFormatting>
  <conditionalFormatting sqref="BB161">
    <cfRule type="cellIs" dxfId="1457" priority="115" operator="lessThan">
      <formula>0</formula>
    </cfRule>
    <cfRule type="cellIs" dxfId="1456" priority="116" operator="lessThan">
      <formula>-105575</formula>
    </cfRule>
  </conditionalFormatting>
  <conditionalFormatting sqref="BB169 BB175:BB177">
    <cfRule type="cellIs" dxfId="1455" priority="113" operator="lessThan">
      <formula>0</formula>
    </cfRule>
    <cfRule type="cellIs" dxfId="1454" priority="114" operator="lessThan">
      <formula>-105575</formula>
    </cfRule>
  </conditionalFormatting>
  <conditionalFormatting sqref="BB169 BB175:BB177">
    <cfRule type="cellIs" dxfId="1453" priority="111" operator="lessThan">
      <formula>0</formula>
    </cfRule>
    <cfRule type="cellIs" dxfId="1452" priority="112" operator="lessThan">
      <formula>-105575</formula>
    </cfRule>
  </conditionalFormatting>
  <conditionalFormatting sqref="BB170:BB174">
    <cfRule type="cellIs" dxfId="1451" priority="107" operator="lessThan">
      <formula>0</formula>
    </cfRule>
    <cfRule type="cellIs" dxfId="1450" priority="108" operator="lessThan">
      <formula>-105575</formula>
    </cfRule>
  </conditionalFormatting>
  <conditionalFormatting sqref="BB182">
    <cfRule type="cellIs" dxfId="1449" priority="85" operator="lessThan">
      <formula>0</formula>
    </cfRule>
    <cfRule type="cellIs" dxfId="1448" priority="86" operator="lessThan">
      <formula>-105575</formula>
    </cfRule>
  </conditionalFormatting>
  <conditionalFormatting sqref="BB170:BB174">
    <cfRule type="cellIs" dxfId="1447" priority="105" operator="lessThan">
      <formula>0</formula>
    </cfRule>
    <cfRule type="cellIs" dxfId="1446" priority="106" operator="lessThan">
      <formula>-105575</formula>
    </cfRule>
  </conditionalFormatting>
  <conditionalFormatting sqref="BB193:BB198">
    <cfRule type="cellIs" dxfId="1445" priority="87" operator="lessThan">
      <formula>0</formula>
    </cfRule>
    <cfRule type="cellIs" dxfId="1444" priority="88" operator="lessThan">
      <formula>-105575</formula>
    </cfRule>
  </conditionalFormatting>
  <conditionalFormatting sqref="BB180 BB186:BB192 BB199:BB200">
    <cfRule type="cellIs" dxfId="1443" priority="99" operator="lessThan">
      <formula>0</formula>
    </cfRule>
    <cfRule type="cellIs" dxfId="1442" priority="100" operator="lessThan">
      <formula>-105575</formula>
    </cfRule>
  </conditionalFormatting>
  <conditionalFormatting sqref="BB180 BB186:BB192 BB199:BB200">
    <cfRule type="cellIs" dxfId="1441" priority="97" operator="lessThan">
      <formula>0</formula>
    </cfRule>
    <cfRule type="cellIs" dxfId="1440" priority="98" operator="lessThan">
      <formula>-105575</formula>
    </cfRule>
  </conditionalFormatting>
  <conditionalFormatting sqref="BB181">
    <cfRule type="cellIs" dxfId="1439" priority="91" operator="lessThan">
      <formula>0</formula>
    </cfRule>
    <cfRule type="cellIs" dxfId="1438" priority="92" operator="lessThan">
      <formula>-105575</formula>
    </cfRule>
  </conditionalFormatting>
  <conditionalFormatting sqref="BB181">
    <cfRule type="cellIs" dxfId="1437" priority="93" operator="lessThan">
      <formula>0</formula>
    </cfRule>
    <cfRule type="cellIs" dxfId="1436" priority="94" operator="lessThan">
      <formula>-105575</formula>
    </cfRule>
  </conditionalFormatting>
  <conditionalFormatting sqref="BB182">
    <cfRule type="cellIs" dxfId="1435" priority="83" operator="lessThan">
      <formula>0</formula>
    </cfRule>
    <cfRule type="cellIs" dxfId="1434" priority="84" operator="lessThan">
      <formula>-105575</formula>
    </cfRule>
  </conditionalFormatting>
  <conditionalFormatting sqref="BB218">
    <cfRule type="cellIs" dxfId="1433" priority="69" operator="lessThan">
      <formula>0</formula>
    </cfRule>
    <cfRule type="cellIs" dxfId="1432" priority="70" operator="lessThan">
      <formula>-105575</formula>
    </cfRule>
  </conditionalFormatting>
  <conditionalFormatting sqref="BB220:BB221">
    <cfRule type="cellIs" dxfId="1431" priority="75" operator="lessThan">
      <formula>0</formula>
    </cfRule>
    <cfRule type="cellIs" dxfId="1430" priority="76" operator="lessThan">
      <formula>-105575</formula>
    </cfRule>
  </conditionalFormatting>
  <conditionalFormatting sqref="BB218">
    <cfRule type="cellIs" dxfId="1429" priority="67" operator="lessThan">
      <formula>0</formula>
    </cfRule>
    <cfRule type="cellIs" dxfId="1428" priority="68" operator="lessThan">
      <formula>-105575</formula>
    </cfRule>
  </conditionalFormatting>
  <conditionalFormatting sqref="BB203 BB219:BB221 BB210:BB217">
    <cfRule type="cellIs" dxfId="1427" priority="79" operator="lessThan">
      <formula>0</formula>
    </cfRule>
    <cfRule type="cellIs" dxfId="1426" priority="80" operator="lessThan">
      <formula>-105575</formula>
    </cfRule>
  </conditionalFormatting>
  <conditionalFormatting sqref="BB203 BB219:BB221 BB210:BB217">
    <cfRule type="cellIs" dxfId="1425" priority="77" operator="lessThan">
      <formula>0</formula>
    </cfRule>
    <cfRule type="cellIs" dxfId="1424" priority="78" operator="lessThan">
      <formula>-105575</formula>
    </cfRule>
  </conditionalFormatting>
  <conditionalFormatting sqref="BB204:BB209">
    <cfRule type="cellIs" dxfId="1423" priority="71" operator="lessThan">
      <formula>0</formula>
    </cfRule>
    <cfRule type="cellIs" dxfId="1422" priority="72" operator="lessThan">
      <formula>-105575</formula>
    </cfRule>
  </conditionalFormatting>
  <conditionalFormatting sqref="BB204:BB209">
    <cfRule type="cellIs" dxfId="1421" priority="73" operator="lessThan">
      <formula>0</formula>
    </cfRule>
    <cfRule type="cellIs" dxfId="1420" priority="74" operator="lessThan">
      <formula>-105575</formula>
    </cfRule>
  </conditionalFormatting>
  <conditionalFormatting sqref="BB225:BB231">
    <cfRule type="cellIs" dxfId="1419" priority="61" operator="lessThan">
      <formula>0</formula>
    </cfRule>
    <cfRule type="cellIs" dxfId="1418" priority="62" operator="lessThan">
      <formula>-105575</formula>
    </cfRule>
  </conditionalFormatting>
  <conditionalFormatting sqref="BB233:BB235">
    <cfRule type="cellIs" dxfId="1417" priority="59" operator="lessThan">
      <formula>0</formula>
    </cfRule>
    <cfRule type="cellIs" dxfId="1416" priority="60" operator="lessThan">
      <formula>-105575</formula>
    </cfRule>
  </conditionalFormatting>
  <conditionalFormatting sqref="BB237">
    <cfRule type="cellIs" dxfId="1415" priority="55" operator="lessThan">
      <formula>0</formula>
    </cfRule>
    <cfRule type="cellIs" dxfId="1414" priority="56" operator="lessThan">
      <formula>-105575</formula>
    </cfRule>
  </conditionalFormatting>
  <conditionalFormatting sqref="BB238:BB241">
    <cfRule type="cellIs" dxfId="1413" priority="51" operator="lessThan">
      <formula>0</formula>
    </cfRule>
    <cfRule type="cellIs" dxfId="1412" priority="52" operator="lessThan">
      <formula>-105575</formula>
    </cfRule>
  </conditionalFormatting>
  <conditionalFormatting sqref="BB12">
    <cfRule type="cellIs" dxfId="1411" priority="43" operator="lessThan">
      <formula>0</formula>
    </cfRule>
    <cfRule type="cellIs" dxfId="1410" priority="44" operator="lessThan">
      <formula>-105575</formula>
    </cfRule>
  </conditionalFormatting>
  <conditionalFormatting sqref="BB13">
    <cfRule type="cellIs" dxfId="1409" priority="41" operator="lessThan">
      <formula>0</formula>
    </cfRule>
    <cfRule type="cellIs" dxfId="1408" priority="4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I26:I29 I16:I24 I7:I14</xm:sqref>
        </x14:dataValidation>
        <x14:dataValidation type="list" allowBlank="1" showInputMessage="1" showErrorMessage="1">
          <x14:formula1>
            <xm:f>'[2]1. Standard_Cost'!#REF!</xm:f>
          </x14:formula1>
          <xm:sqref>I33:I34 I36</xm:sqref>
        </x14:dataValidation>
      </x14:dataValidations>
    </ext>
  </extLst>
</worksheet>
</file>

<file path=xl/worksheets/sheet3.xml><?xml version="1.0" encoding="utf-8"?>
<worksheet xmlns="http://schemas.openxmlformats.org/spreadsheetml/2006/main" xmlns:r="http://schemas.openxmlformats.org/officeDocument/2006/relationships">
  <dimension ref="A1:BF242"/>
  <sheetViews>
    <sheetView topLeftCell="A7" zoomScale="60" zoomScaleNormal="60" workbookViewId="0">
      <selection activeCell="F14" sqref="F14"/>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18" width="14.33203125" style="5" customWidth="1" outlineLevel="2"/>
    <col min="19" max="20" width="14.5546875" style="5" customWidth="1" outlineLevel="2"/>
    <col min="21" max="21" width="14.664062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13.21875" style="5" customWidth="1" outlineLevel="2"/>
    <col min="37" max="37" width="9" style="5" bestFit="1" customWidth="1" outlineLevel="2"/>
    <col min="38" max="38" width="13.44140625" style="5"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5" width="14.88671875" style="5" customWidth="1"/>
    <col min="46" max="46" width="18" style="5" customWidth="1"/>
    <col min="47" max="53" width="15" style="4" customWidth="1"/>
    <col min="54" max="54" width="20.88671875" style="4" customWidth="1"/>
    <col min="55" max="55" width="8.88671875" style="5"/>
    <col min="56" max="56" width="11.88671875" style="5" customWidth="1"/>
    <col min="57" max="57" width="8.88671875" style="5"/>
    <col min="58" max="58" width="13.21875" style="5" bestFit="1" customWidth="1"/>
    <col min="59" max="16384" width="8.88671875" style="5"/>
  </cols>
  <sheetData>
    <row r="1" spans="1:56"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6"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197</v>
      </c>
      <c r="AR2" s="327"/>
      <c r="AS2" s="327"/>
      <c r="AT2" s="327"/>
      <c r="AU2" s="327"/>
      <c r="AV2" s="327"/>
      <c r="AW2" s="327"/>
      <c r="AX2" s="327"/>
      <c r="AY2" s="327"/>
      <c r="AZ2" s="327"/>
      <c r="BA2" s="327"/>
      <c r="BB2" s="328"/>
    </row>
    <row r="3" spans="1:56"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6"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6" s="13" customFormat="1" ht="30" customHeight="1">
      <c r="A5" s="101"/>
      <c r="B5" s="316" t="s">
        <v>203</v>
      </c>
      <c r="C5" s="317"/>
      <c r="D5" s="317"/>
      <c r="E5" s="318"/>
      <c r="F5" s="241"/>
      <c r="G5" s="241"/>
      <c r="H5" s="241" t="s">
        <v>61</v>
      </c>
      <c r="I5" s="40"/>
      <c r="J5" s="40"/>
      <c r="K5" s="40"/>
      <c r="L5" s="41">
        <f>SUM(L6)</f>
        <v>4564225</v>
      </c>
      <c r="M5" s="41">
        <f>SUM(M6)</f>
        <v>762225.57500000007</v>
      </c>
      <c r="N5" s="40"/>
      <c r="O5" s="40"/>
      <c r="P5" s="40"/>
      <c r="Q5" s="40"/>
      <c r="R5" s="41">
        <f t="shared" ref="R5:U5" si="0">SUM(R6)</f>
        <v>296000</v>
      </c>
      <c r="S5" s="41">
        <f t="shared" si="0"/>
        <v>444000</v>
      </c>
      <c r="T5" s="41">
        <f t="shared" si="0"/>
        <v>0</v>
      </c>
      <c r="U5" s="41">
        <f t="shared" si="0"/>
        <v>720000</v>
      </c>
      <c r="V5" s="40"/>
      <c r="W5" s="40"/>
      <c r="X5" s="40"/>
      <c r="Y5" s="41">
        <f t="shared" ref="Y5:AF5" si="1">SUM(Y6)</f>
        <v>0</v>
      </c>
      <c r="Z5" s="41">
        <f t="shared" si="1"/>
        <v>0</v>
      </c>
      <c r="AA5" s="41">
        <f t="shared" si="1"/>
        <v>0</v>
      </c>
      <c r="AB5" s="41">
        <f t="shared" si="1"/>
        <v>1824000</v>
      </c>
      <c r="AC5" s="41">
        <f t="shared" si="1"/>
        <v>7169197.6639999999</v>
      </c>
      <c r="AD5" s="41">
        <f t="shared" si="1"/>
        <v>0</v>
      </c>
      <c r="AE5" s="41">
        <f t="shared" si="1"/>
        <v>2090639.5327999999</v>
      </c>
      <c r="AF5" s="41">
        <f t="shared" si="1"/>
        <v>12543837.196800001</v>
      </c>
      <c r="AG5" s="40"/>
      <c r="AH5" s="40"/>
      <c r="AI5" s="40"/>
      <c r="AJ5" s="41">
        <f t="shared" ref="AJ5:AN5" si="2">SUM(AJ6)</f>
        <v>0</v>
      </c>
      <c r="AK5" s="41">
        <f t="shared" si="2"/>
        <v>1800000</v>
      </c>
      <c r="AL5" s="41">
        <f t="shared" si="2"/>
        <v>0</v>
      </c>
      <c r="AM5" s="41">
        <f t="shared" si="2"/>
        <v>1800000</v>
      </c>
      <c r="AN5" s="41">
        <f t="shared" si="2"/>
        <v>270000</v>
      </c>
      <c r="AO5" s="129"/>
      <c r="AQ5" s="41">
        <f t="shared" ref="AQ5:BB5" si="3">SUM(AQ6)</f>
        <v>5326450.5750000002</v>
      </c>
      <c r="AR5" s="41">
        <f t="shared" si="3"/>
        <v>12543837.196800001</v>
      </c>
      <c r="AS5" s="41">
        <f t="shared" si="3"/>
        <v>2070000</v>
      </c>
      <c r="AT5" s="41">
        <f t="shared" si="3"/>
        <v>19940287.7718</v>
      </c>
      <c r="AU5" s="41">
        <f t="shared" si="3"/>
        <v>6250886</v>
      </c>
      <c r="AV5" s="41">
        <f t="shared" si="3"/>
        <v>0</v>
      </c>
      <c r="AW5" s="41">
        <f t="shared" si="3"/>
        <v>0</v>
      </c>
      <c r="AX5" s="41">
        <f t="shared" si="3"/>
        <v>4320000</v>
      </c>
      <c r="AY5" s="41">
        <f t="shared" si="3"/>
        <v>0</v>
      </c>
      <c r="AZ5" s="41">
        <f t="shared" si="3"/>
        <v>4883117</v>
      </c>
      <c r="BA5" s="41">
        <f t="shared" si="3"/>
        <v>103688</v>
      </c>
      <c r="BB5" s="41">
        <f t="shared" si="3"/>
        <v>-4382596.7717999993</v>
      </c>
    </row>
    <row r="6" spans="1:56" s="13" customFormat="1" ht="13.8" customHeight="1">
      <c r="A6" s="101"/>
      <c r="B6" s="27"/>
      <c r="C6" s="324" t="s">
        <v>204</v>
      </c>
      <c r="D6" s="324"/>
      <c r="E6" s="325"/>
      <c r="F6" s="248"/>
      <c r="G6" s="298"/>
      <c r="H6" s="239" t="s">
        <v>62</v>
      </c>
      <c r="I6" s="37"/>
      <c r="J6" s="37"/>
      <c r="K6" s="37"/>
      <c r="L6" s="42">
        <f>SUM(L15+L17+L25+L30)</f>
        <v>4564225</v>
      </c>
      <c r="M6" s="42">
        <f>SUM(M15+M17+M25+M30)</f>
        <v>762225.57500000007</v>
      </c>
      <c r="N6" s="42"/>
      <c r="O6" s="43"/>
      <c r="P6" s="43"/>
      <c r="Q6" s="43"/>
      <c r="R6" s="42">
        <f t="shared" ref="R6:U6" si="4">SUM(R15+R17+R25+R30)</f>
        <v>296000</v>
      </c>
      <c r="S6" s="42">
        <f t="shared" si="4"/>
        <v>444000</v>
      </c>
      <c r="T6" s="42">
        <f t="shared" si="4"/>
        <v>0</v>
      </c>
      <c r="U6" s="42">
        <f t="shared" si="4"/>
        <v>720000</v>
      </c>
      <c r="V6" s="42"/>
      <c r="W6" s="43"/>
      <c r="X6" s="43"/>
      <c r="Y6" s="42">
        <f t="shared" ref="Y6:AF6" si="5">SUM(Y15+Y17+Y25+Y30)</f>
        <v>0</v>
      </c>
      <c r="Z6" s="42">
        <f t="shared" si="5"/>
        <v>0</v>
      </c>
      <c r="AA6" s="42">
        <f t="shared" si="5"/>
        <v>0</v>
      </c>
      <c r="AB6" s="42">
        <f t="shared" si="5"/>
        <v>1824000</v>
      </c>
      <c r="AC6" s="42">
        <f t="shared" si="5"/>
        <v>7169197.6639999999</v>
      </c>
      <c r="AD6" s="42">
        <f t="shared" si="5"/>
        <v>0</v>
      </c>
      <c r="AE6" s="42">
        <f t="shared" si="5"/>
        <v>2090639.5327999999</v>
      </c>
      <c r="AF6" s="42">
        <f t="shared" si="5"/>
        <v>12543837.196800001</v>
      </c>
      <c r="AG6" s="43"/>
      <c r="AH6" s="43"/>
      <c r="AI6" s="43"/>
      <c r="AJ6" s="42">
        <f t="shared" ref="AJ6:AN6" si="6">SUM(AJ15+AJ17+AJ25+AJ30)</f>
        <v>0</v>
      </c>
      <c r="AK6" s="42">
        <f t="shared" si="6"/>
        <v>1800000</v>
      </c>
      <c r="AL6" s="42">
        <f t="shared" si="6"/>
        <v>0</v>
      </c>
      <c r="AM6" s="42">
        <f t="shared" si="6"/>
        <v>1800000</v>
      </c>
      <c r="AN6" s="42">
        <f t="shared" si="6"/>
        <v>270000</v>
      </c>
      <c r="AO6" s="130"/>
      <c r="AQ6" s="42">
        <f t="shared" ref="AQ6:BB6" si="7">SUM(AQ15+AQ17+AQ25+AQ30)</f>
        <v>5326450.5750000002</v>
      </c>
      <c r="AR6" s="42">
        <f t="shared" si="7"/>
        <v>12543837.196800001</v>
      </c>
      <c r="AS6" s="42">
        <f t="shared" si="7"/>
        <v>2070000</v>
      </c>
      <c r="AT6" s="42">
        <f t="shared" si="7"/>
        <v>19940287.7718</v>
      </c>
      <c r="AU6" s="42">
        <f t="shared" si="7"/>
        <v>6250886</v>
      </c>
      <c r="AV6" s="42">
        <f t="shared" si="7"/>
        <v>0</v>
      </c>
      <c r="AW6" s="42">
        <f t="shared" si="7"/>
        <v>0</v>
      </c>
      <c r="AX6" s="42">
        <f t="shared" si="7"/>
        <v>4320000</v>
      </c>
      <c r="AY6" s="42">
        <f t="shared" si="7"/>
        <v>0</v>
      </c>
      <c r="AZ6" s="42">
        <f t="shared" si="7"/>
        <v>4883117</v>
      </c>
      <c r="BA6" s="42">
        <f t="shared" si="7"/>
        <v>103688</v>
      </c>
      <c r="BB6" s="42">
        <f t="shared" si="7"/>
        <v>-4382596.7717999993</v>
      </c>
    </row>
    <row r="7" spans="1:56" ht="93.6" outlineLevel="2">
      <c r="A7" s="98"/>
      <c r="B7" s="102"/>
      <c r="C7" s="23"/>
      <c r="D7" s="257"/>
      <c r="E7" s="123"/>
      <c r="F7" s="270"/>
      <c r="G7" s="250"/>
      <c r="H7" s="302" t="s">
        <v>659</v>
      </c>
      <c r="I7" s="258" t="s">
        <v>2</v>
      </c>
      <c r="J7" s="259">
        <v>1</v>
      </c>
      <c r="K7" s="259">
        <v>4</v>
      </c>
      <c r="L7" s="106">
        <f>IF(I7&lt;&gt;0,((VLOOKUP(I7,'1. Standard_Cost'!$B$4:$D$11,2)+VLOOKUP(I7,'1. Standard_Cost'!$B$4:$D$11,3))*J7*K7),"0")</f>
        <v>484000</v>
      </c>
      <c r="M7" s="106">
        <f>L7*'1. Standard_Cost'!$F$4</f>
        <v>80828</v>
      </c>
      <c r="N7" s="260"/>
      <c r="O7" s="260"/>
      <c r="P7" s="260"/>
      <c r="Q7" s="260"/>
      <c r="R7" s="108">
        <f>'1. Standard_Cost'!$B$15*N7*P7</f>
        <v>0</v>
      </c>
      <c r="S7" s="108">
        <f>N7*O7*P7*'1. Standard_Cost'!$C$15</f>
        <v>0</v>
      </c>
      <c r="T7" s="108">
        <f>N7*P7*Q7*'1. Standard_Cost'!$D$15</f>
        <v>0</v>
      </c>
      <c r="U7" s="108">
        <f>N7*O7*'1. Standard_Cost'!$E$15</f>
        <v>0</v>
      </c>
      <c r="V7" s="107"/>
      <c r="W7" s="107"/>
      <c r="X7" s="107"/>
      <c r="Y7" s="108">
        <f>+V7*((X7*'1. Standard_Cost'!$B$19)+(W7*X7*'1. Standard_Cost'!$C$19))</f>
        <v>0</v>
      </c>
      <c r="Z7" s="260"/>
      <c r="AA7" s="260">
        <v>2</v>
      </c>
      <c r="AB7" s="108">
        <f>+Z7*'1. Standard_Cost'!$B$23+AA7*'1. Standard_Cost'!$C$23</f>
        <v>38000</v>
      </c>
      <c r="AC7" s="261">
        <f>SUM(L7+M7)*0.2</f>
        <v>112965.6</v>
      </c>
      <c r="AD7" s="262"/>
      <c r="AE7" s="108">
        <f>SUM(AD7,AC7,AB7,Y7,U7,T7,S7,R7)*'1. Standard_Cost'!$B$31</f>
        <v>30193.120000000003</v>
      </c>
      <c r="AF7" s="108">
        <f>SUM(AE7,AD7,AC7,AB7,Y7,U7,T7,S7,R7)</f>
        <v>181158.72</v>
      </c>
      <c r="AG7" s="107"/>
      <c r="AH7" s="107"/>
      <c r="AI7" s="107"/>
      <c r="AJ7" s="111"/>
      <c r="AK7" s="111"/>
      <c r="AL7" s="111"/>
      <c r="AM7" s="108">
        <f>AG7*'1. Standard_Cost'!$B$27+'Incremental_Cost Year 2'!AH7*'1. Standard_Cost'!$C$27+'Incremental_Cost Year 2'!AI7*'1. Standard_Cost'!$D$27+'Incremental_Cost Year 2'!AJ7+'Incremental_Cost Year 2'!AL7+AK7</f>
        <v>0</v>
      </c>
      <c r="AN7" s="108">
        <f>AM7*'1. Standard_Cost'!$C$31</f>
        <v>0</v>
      </c>
      <c r="AO7" s="134" t="s">
        <v>270</v>
      </c>
      <c r="AQ7" s="14">
        <f>L7+M7</f>
        <v>564828</v>
      </c>
      <c r="AR7" s="14">
        <f>AF7</f>
        <v>181158.72</v>
      </c>
      <c r="AS7" s="14">
        <f>AM7+AN7</f>
        <v>0</v>
      </c>
      <c r="AT7" s="14">
        <f>SUM(AQ7,AR7,AS7)</f>
        <v>745986.72</v>
      </c>
      <c r="AU7" s="15">
        <v>700387</v>
      </c>
      <c r="AV7" s="15"/>
      <c r="AW7" s="15"/>
      <c r="AX7" s="15"/>
      <c r="AY7" s="15"/>
      <c r="AZ7" s="15">
        <v>45600</v>
      </c>
      <c r="BA7" s="15"/>
      <c r="BB7" s="16">
        <f>SUM(AU7:BA7)-AT7</f>
        <v>0.28000000002793968</v>
      </c>
      <c r="BD7" s="13"/>
    </row>
    <row r="8" spans="1:56" ht="13.5" customHeight="1" outlineLevel="2">
      <c r="A8" s="98"/>
      <c r="B8" s="102"/>
      <c r="C8" s="23"/>
      <c r="D8" s="269"/>
      <c r="E8" s="271"/>
      <c r="F8" s="270"/>
      <c r="G8" s="250"/>
      <c r="H8" s="302" t="s">
        <v>580</v>
      </c>
      <c r="I8" s="258" t="s">
        <v>3</v>
      </c>
      <c r="J8" s="259">
        <v>0.5</v>
      </c>
      <c r="K8" s="259">
        <v>4</v>
      </c>
      <c r="L8" s="106">
        <f>IF(I8&lt;&gt;0,((VLOOKUP(I8,'1. Standard_Cost'!$B$4:$D$11,2)+VLOOKUP(I8,'1. Standard_Cost'!$B$4:$D$11,3))*J8*K8),"0")</f>
        <v>201600</v>
      </c>
      <c r="M8" s="106">
        <f>L8*'1. Standard_Cost'!$F$4</f>
        <v>33667.200000000004</v>
      </c>
      <c r="N8" s="260"/>
      <c r="O8" s="260"/>
      <c r="P8" s="260"/>
      <c r="Q8" s="260"/>
      <c r="R8" s="108">
        <f>'1. Standard_Cost'!$B$15*N8*P8</f>
        <v>0</v>
      </c>
      <c r="S8" s="108">
        <f>N8*O8*P8*'1. Standard_Cost'!$C$15</f>
        <v>0</v>
      </c>
      <c r="T8" s="108">
        <f>N8*P8*Q8*'1. Standard_Cost'!$D$15</f>
        <v>0</v>
      </c>
      <c r="U8" s="108">
        <f>N8*O8*'1. Standard_Cost'!$E$15</f>
        <v>0</v>
      </c>
      <c r="V8" s="107"/>
      <c r="W8" s="107"/>
      <c r="X8" s="107"/>
      <c r="Y8" s="108">
        <f>+V8*((X8*'1. Standard_Cost'!$B$19)+(W8*X8*'1. Standard_Cost'!$C$19))</f>
        <v>0</v>
      </c>
      <c r="Z8" s="260"/>
      <c r="AA8" s="260"/>
      <c r="AB8" s="108">
        <f>+Z8*'1. Standard_Cost'!$B$23+AA8*'1. Standard_Cost'!$C$23</f>
        <v>0</v>
      </c>
      <c r="AC8" s="261">
        <f>SUM(L8+M8)*0.12</f>
        <v>28232.064000000002</v>
      </c>
      <c r="AD8" s="262"/>
      <c r="AE8" s="108">
        <f>SUM(AD8,AC8,AB8,Y8,U8,T8,S8,R8)*'1. Standard_Cost'!$B$31</f>
        <v>5646.412800000001</v>
      </c>
      <c r="AF8" s="108">
        <f t="shared" ref="AF8:AF14" si="8">SUM(AE8,AD8,AC8,AB8,Y8,U8,T8,S8,R8)</f>
        <v>33878.476800000004</v>
      </c>
      <c r="AG8" s="107"/>
      <c r="AH8" s="107"/>
      <c r="AI8" s="107"/>
      <c r="AJ8" s="111"/>
      <c r="AK8" s="111"/>
      <c r="AL8" s="111"/>
      <c r="AM8" s="108">
        <f>AG8*'1. Standard_Cost'!$B$27+'Incremental_Cost Year 2'!AH8*'1. Standard_Cost'!$C$27+'Incremental_Cost Year 2'!AI8*'1. Standard_Cost'!$D$27+'Incremental_Cost Year 2'!AJ8+'Incremental_Cost Year 2'!AL8+AK8</f>
        <v>0</v>
      </c>
      <c r="AN8" s="108">
        <f>AM8*'1. Standard_Cost'!$C$31</f>
        <v>0</v>
      </c>
      <c r="AO8" s="125" t="s">
        <v>271</v>
      </c>
      <c r="AQ8" s="14">
        <f t="shared" ref="AQ8:AQ14" si="9">L8+M8</f>
        <v>235267.20000000001</v>
      </c>
      <c r="AR8" s="14">
        <f t="shared" ref="AR8:AR14" si="10">AF8</f>
        <v>33878.476800000004</v>
      </c>
      <c r="AS8" s="14">
        <f t="shared" ref="AS8:AS14" si="11">AM8+AN8</f>
        <v>0</v>
      </c>
      <c r="AT8" s="14">
        <f t="shared" ref="AT8:AT14" si="12">SUM(AQ8,AR8,AS8)</f>
        <v>269145.67680000002</v>
      </c>
      <c r="AU8" s="15">
        <v>269146</v>
      </c>
      <c r="AV8" s="15"/>
      <c r="AW8" s="15"/>
      <c r="AX8" s="15"/>
      <c r="AY8" s="15"/>
      <c r="AZ8" s="15"/>
      <c r="BA8" s="15"/>
      <c r="BB8" s="16">
        <f t="shared" ref="BB8:BB14" si="13">SUM(AU8:BA8)-AT8</f>
        <v>0.32319999998435378</v>
      </c>
      <c r="BD8" s="13"/>
    </row>
    <row r="9" spans="1:56" ht="93.6" outlineLevel="2">
      <c r="A9" s="98"/>
      <c r="B9" s="102"/>
      <c r="C9" s="23"/>
      <c r="D9" s="251"/>
      <c r="E9" s="250"/>
      <c r="F9" s="270"/>
      <c r="G9" s="250"/>
      <c r="H9" s="302" t="s">
        <v>660</v>
      </c>
      <c r="I9" s="258" t="s">
        <v>3</v>
      </c>
      <c r="J9" s="259">
        <v>1</v>
      </c>
      <c r="K9" s="259">
        <v>2</v>
      </c>
      <c r="L9" s="106">
        <f>IF(I9&lt;&gt;0,((VLOOKUP(I9,'1. Standard_Cost'!$B$4:$D$11,2)+VLOOKUP(I9,'1. Standard_Cost'!$B$4:$D$11,3))*J9*K9),"0")</f>
        <v>201600</v>
      </c>
      <c r="M9" s="106">
        <f>L9*'1. Standard_Cost'!$F$4</f>
        <v>33667.200000000004</v>
      </c>
      <c r="N9" s="260">
        <v>1</v>
      </c>
      <c r="O9" s="260">
        <v>2</v>
      </c>
      <c r="P9" s="260">
        <v>10</v>
      </c>
      <c r="Q9" s="260"/>
      <c r="R9" s="108">
        <f>'1. Standard_Cost'!$B$15*N9*P9</f>
        <v>20000</v>
      </c>
      <c r="S9" s="108">
        <f>N9*O9*P9*'1. Standard_Cost'!$C$15</f>
        <v>30000</v>
      </c>
      <c r="T9" s="108">
        <f>N9*P9*Q9*'1. Standard_Cost'!$D$15</f>
        <v>0</v>
      </c>
      <c r="U9" s="108">
        <f>N9*O9*'1. Standard_Cost'!$E$15</f>
        <v>80000</v>
      </c>
      <c r="V9" s="107"/>
      <c r="W9" s="107"/>
      <c r="X9" s="107"/>
      <c r="Y9" s="108">
        <f>+V9*((X9*'1. Standard_Cost'!$B$19)+(W9*X9*'1. Standard_Cost'!$C$19))</f>
        <v>0</v>
      </c>
      <c r="Z9" s="260"/>
      <c r="AA9" s="260">
        <v>20</v>
      </c>
      <c r="AB9" s="108">
        <f>+Z9*'1. Standard_Cost'!$B$23+AA9*'1. Standard_Cost'!$C$23</f>
        <v>380000</v>
      </c>
      <c r="AC9" s="261">
        <f>10*500</f>
        <v>5000</v>
      </c>
      <c r="AD9" s="262"/>
      <c r="AE9" s="108">
        <f>SUM(AD9,AC9,AB9,Y9,U9,T9,S9,R9)*'1. Standard_Cost'!$B$31</f>
        <v>103000</v>
      </c>
      <c r="AF9" s="108">
        <f t="shared" si="8"/>
        <v>618000</v>
      </c>
      <c r="AG9" s="107"/>
      <c r="AH9" s="107"/>
      <c r="AI9" s="107"/>
      <c r="AJ9" s="111"/>
      <c r="AK9" s="111"/>
      <c r="AL9" s="111"/>
      <c r="AM9" s="108">
        <f>AG9*'1. Standard_Cost'!$B$27+'Incremental_Cost Year 2'!AH9*'1. Standard_Cost'!$C$27+'Incremental_Cost Year 2'!AI9*'1. Standard_Cost'!$D$27+'Incremental_Cost Year 2'!AJ9+'Incremental_Cost Year 2'!AL9+AK9</f>
        <v>0</v>
      </c>
      <c r="AN9" s="108">
        <f>AM9*'1. Standard_Cost'!$C$31</f>
        <v>0</v>
      </c>
      <c r="AO9" s="125" t="s">
        <v>272</v>
      </c>
      <c r="AQ9" s="14">
        <f t="shared" si="9"/>
        <v>235267.20000000001</v>
      </c>
      <c r="AR9" s="14">
        <f t="shared" si="10"/>
        <v>618000</v>
      </c>
      <c r="AS9" s="14">
        <f t="shared" si="11"/>
        <v>0</v>
      </c>
      <c r="AT9" s="14">
        <f t="shared" si="12"/>
        <v>853267.2</v>
      </c>
      <c r="AU9" s="15">
        <v>235267</v>
      </c>
      <c r="AV9" s="15"/>
      <c r="AW9" s="15"/>
      <c r="AX9" s="15"/>
      <c r="AY9" s="15"/>
      <c r="AZ9" s="15"/>
      <c r="BA9" s="15"/>
      <c r="BB9" s="16">
        <f t="shared" si="13"/>
        <v>-618000.19999999995</v>
      </c>
    </row>
    <row r="10" spans="1:56" ht="78" outlineLevel="2">
      <c r="A10" s="98"/>
      <c r="B10" s="102"/>
      <c r="C10" s="23"/>
      <c r="D10" s="251"/>
      <c r="E10" s="250"/>
      <c r="F10" s="270"/>
      <c r="G10" s="250"/>
      <c r="H10" s="302" t="s">
        <v>581</v>
      </c>
      <c r="I10" s="258"/>
      <c r="J10" s="259"/>
      <c r="K10" s="259"/>
      <c r="L10" s="106" t="str">
        <f>IF(I10&lt;&gt;0,((VLOOKUP(I10,'1. Standard_Cost'!$B$4:$D$11,2)+VLOOKUP(I10,'1. Standard_Cost'!$B$4:$D$11,3))*J10*K10),"0")</f>
        <v>0</v>
      </c>
      <c r="M10" s="106">
        <f>L10*'1. Standard_Cost'!$F$4</f>
        <v>0</v>
      </c>
      <c r="N10" s="260">
        <v>1</v>
      </c>
      <c r="O10" s="260">
        <v>2</v>
      </c>
      <c r="P10" s="260">
        <v>10</v>
      </c>
      <c r="Q10" s="260"/>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260"/>
      <c r="AA10" s="260">
        <v>10</v>
      </c>
      <c r="AB10" s="108">
        <f>+Z10*'1. Standard_Cost'!$B$23+AA10*'1. Standard_Cost'!$C$23</f>
        <v>190000</v>
      </c>
      <c r="AC10" s="261">
        <f>10*500</f>
        <v>5000</v>
      </c>
      <c r="AD10" s="262"/>
      <c r="AE10" s="108">
        <f>SUM(AD10,AC10,AB10,Y10,U10,T10,S10,R10)*'1. Standard_Cost'!$B$31</f>
        <v>65000</v>
      </c>
      <c r="AF10" s="108">
        <f t="shared" si="8"/>
        <v>390000</v>
      </c>
      <c r="AG10" s="107"/>
      <c r="AH10" s="107"/>
      <c r="AI10" s="107"/>
      <c r="AJ10" s="111"/>
      <c r="AK10" s="111"/>
      <c r="AL10" s="111"/>
      <c r="AM10" s="108">
        <f>AG10*'1. Standard_Cost'!$B$27+'Incremental_Cost Year 2'!AH10*'1. Standard_Cost'!$C$27+'Incremental_Cost Year 2'!AI10*'1. Standard_Cost'!$D$27+'Incremental_Cost Year 2'!AJ10+'Incremental_Cost Year 2'!AL10+AK10</f>
        <v>0</v>
      </c>
      <c r="AN10" s="108">
        <f>AM10*'1. Standard_Cost'!$C$31</f>
        <v>0</v>
      </c>
      <c r="AO10" s="134" t="s">
        <v>273</v>
      </c>
      <c r="AQ10" s="14">
        <f t="shared" si="9"/>
        <v>0</v>
      </c>
      <c r="AR10" s="14">
        <f t="shared" si="10"/>
        <v>390000</v>
      </c>
      <c r="AS10" s="14">
        <f t="shared" si="11"/>
        <v>0</v>
      </c>
      <c r="AT10" s="14">
        <f t="shared" si="12"/>
        <v>390000</v>
      </c>
      <c r="AU10" s="15"/>
      <c r="AV10" s="15"/>
      <c r="AW10" s="15"/>
      <c r="AX10" s="15"/>
      <c r="AY10" s="15"/>
      <c r="AZ10" s="15"/>
      <c r="BA10" s="15"/>
      <c r="BB10" s="16">
        <f t="shared" si="13"/>
        <v>-390000</v>
      </c>
    </row>
    <row r="11" spans="1:56" ht="124.8" outlineLevel="2">
      <c r="A11" s="98"/>
      <c r="B11" s="102"/>
      <c r="C11" s="23"/>
      <c r="D11" s="251"/>
      <c r="E11" s="250"/>
      <c r="F11" s="270"/>
      <c r="G11" s="250"/>
      <c r="H11" s="302" t="s">
        <v>661</v>
      </c>
      <c r="I11" s="258" t="s">
        <v>4</v>
      </c>
      <c r="J11" s="259">
        <v>0.5</v>
      </c>
      <c r="K11" s="259">
        <v>35</v>
      </c>
      <c r="L11" s="106">
        <f>IF(I11&lt;&gt;0,((VLOOKUP(I11,'1. Standard_Cost'!$B$4:$D$11,2)+VLOOKUP(I11,'1. Standard_Cost'!$B$4:$D$11,3))*J11*K11),"0")</f>
        <v>1413125</v>
      </c>
      <c r="M11" s="106">
        <f>L11*'1. Standard_Cost'!$F$4</f>
        <v>235991.875</v>
      </c>
      <c r="N11" s="260"/>
      <c r="O11" s="260"/>
      <c r="P11" s="260"/>
      <c r="Q11" s="260"/>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260"/>
      <c r="AA11" s="260"/>
      <c r="AB11" s="108">
        <f>+Z11*'1. Standard_Cost'!$B$23+AA11*'1. Standard_Cost'!$C$23</f>
        <v>0</v>
      </c>
      <c r="AC11" s="261"/>
      <c r="AD11" s="262"/>
      <c r="AE11" s="108">
        <f>SUM(AD11,AC11,AB11,Y11,U11,T11,S11,R11)*'1. Standard_Cost'!$B$31</f>
        <v>0</v>
      </c>
      <c r="AF11" s="108">
        <f t="shared" si="8"/>
        <v>0</v>
      </c>
      <c r="AG11" s="107"/>
      <c r="AH11" s="107"/>
      <c r="AI11" s="107"/>
      <c r="AJ11" s="111"/>
      <c r="AK11" s="111"/>
      <c r="AL11" s="111"/>
      <c r="AM11" s="108">
        <f>AG11*'1. Standard_Cost'!$B$27+'Incremental_Cost Year 2'!AH11*'1. Standard_Cost'!$C$27+'Incremental_Cost Year 2'!AI11*'1. Standard_Cost'!$D$27+'Incremental_Cost Year 2'!AJ11+'Incremental_Cost Year 2'!AL11+AK11</f>
        <v>0</v>
      </c>
      <c r="AN11" s="108">
        <f>AM11*'1. Standard_Cost'!$C$31</f>
        <v>0</v>
      </c>
      <c r="AO11" s="134" t="s">
        <v>275</v>
      </c>
      <c r="AQ11" s="14">
        <f t="shared" si="9"/>
        <v>1649116.875</v>
      </c>
      <c r="AR11" s="14">
        <f t="shared" si="10"/>
        <v>0</v>
      </c>
      <c r="AS11" s="14">
        <f t="shared" si="11"/>
        <v>0</v>
      </c>
      <c r="AT11" s="14">
        <f t="shared" si="12"/>
        <v>1649116.875</v>
      </c>
      <c r="AU11" s="15"/>
      <c r="AV11" s="15"/>
      <c r="AW11" s="15"/>
      <c r="AX11" s="15"/>
      <c r="AY11" s="15"/>
      <c r="AZ11" s="15">
        <v>1649117</v>
      </c>
      <c r="BA11" s="15"/>
      <c r="BB11" s="16">
        <f t="shared" si="13"/>
        <v>0.125</v>
      </c>
    </row>
    <row r="12" spans="1:56" ht="46.8" outlineLevel="2">
      <c r="A12" s="98"/>
      <c r="B12" s="102"/>
      <c r="C12" s="23"/>
      <c r="D12" s="251"/>
      <c r="E12" s="250"/>
      <c r="F12" s="270"/>
      <c r="G12" s="250"/>
      <c r="H12" s="302" t="s">
        <v>662</v>
      </c>
      <c r="I12" s="258" t="s">
        <v>3</v>
      </c>
      <c r="J12" s="259">
        <v>1</v>
      </c>
      <c r="K12" s="259">
        <v>2</v>
      </c>
      <c r="L12" s="106">
        <f>IF(I12&lt;&gt;0,((VLOOKUP(I12,'1. Standard_Cost'!$B$4:$D$11,2)+VLOOKUP(I12,'1. Standard_Cost'!$B$4:$D$11,3))*J12*K12),"0")</f>
        <v>201600</v>
      </c>
      <c r="M12" s="106">
        <f>L12*'1. Standard_Cost'!$F$4</f>
        <v>33667.200000000004</v>
      </c>
      <c r="N12" s="260"/>
      <c r="O12" s="260"/>
      <c r="P12" s="260"/>
      <c r="Q12" s="260"/>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260"/>
      <c r="AA12" s="260">
        <v>5</v>
      </c>
      <c r="AB12" s="108">
        <f>+Z12*'1. Standard_Cost'!$B$23+AA12*'1. Standard_Cost'!$C$23</f>
        <v>95000</v>
      </c>
      <c r="AC12" s="261"/>
      <c r="AD12" s="262"/>
      <c r="AE12" s="108">
        <f>SUM(AD12,AC12,AB12,Y12,U12,T12,S12,R12)*'1. Standard_Cost'!$B$31</f>
        <v>19000</v>
      </c>
      <c r="AF12" s="108">
        <f t="shared" si="8"/>
        <v>114000</v>
      </c>
      <c r="AG12" s="107"/>
      <c r="AH12" s="107"/>
      <c r="AI12" s="107"/>
      <c r="AJ12" s="111"/>
      <c r="AK12" s="111"/>
      <c r="AL12" s="111"/>
      <c r="AM12" s="108">
        <f>AG12*'1. Standard_Cost'!$B$27+'Incremental_Cost Year 2'!AH12*'1. Standard_Cost'!$C$27+'Incremental_Cost Year 2'!AI12*'1. Standard_Cost'!$D$27+'Incremental_Cost Year 2'!AJ12+'Incremental_Cost Year 2'!AL12+AK12</f>
        <v>0</v>
      </c>
      <c r="AN12" s="108">
        <f>AM12*'1. Standard_Cost'!$C$31</f>
        <v>0</v>
      </c>
      <c r="AO12" s="134" t="s">
        <v>273</v>
      </c>
      <c r="AQ12" s="14">
        <f t="shared" si="9"/>
        <v>235267.20000000001</v>
      </c>
      <c r="AR12" s="14">
        <f t="shared" si="10"/>
        <v>114000</v>
      </c>
      <c r="AS12" s="14">
        <f t="shared" si="11"/>
        <v>0</v>
      </c>
      <c r="AT12" s="14">
        <f t="shared" si="12"/>
        <v>349267.20000000001</v>
      </c>
      <c r="AU12" s="15">
        <v>235267</v>
      </c>
      <c r="AV12" s="15"/>
      <c r="AW12" s="15"/>
      <c r="AX12" s="15"/>
      <c r="AY12" s="15"/>
      <c r="AZ12" s="15">
        <v>114000</v>
      </c>
      <c r="BA12" s="15"/>
      <c r="BB12" s="16">
        <f t="shared" si="13"/>
        <v>-0.20000000001164153</v>
      </c>
    </row>
    <row r="13" spans="1:56" ht="69" outlineLevel="2">
      <c r="A13" s="98"/>
      <c r="B13" s="102"/>
      <c r="C13" s="23"/>
      <c r="D13" s="251"/>
      <c r="E13" s="250"/>
      <c r="F13" s="270"/>
      <c r="G13" s="250"/>
      <c r="H13" s="302" t="s">
        <v>663</v>
      </c>
      <c r="I13" s="258" t="s">
        <v>3</v>
      </c>
      <c r="J13" s="259">
        <v>2</v>
      </c>
      <c r="K13" s="259">
        <v>5</v>
      </c>
      <c r="L13" s="106">
        <f>IF(I13&lt;&gt;0,((VLOOKUP(I13,'1. Standard_Cost'!$B$4:$D$11,2)+VLOOKUP(I13,'1. Standard_Cost'!$B$4:$D$11,3))*J13*K13),"0")</f>
        <v>1008000</v>
      </c>
      <c r="M13" s="106">
        <f>L13*'1. Standard_Cost'!$F$4</f>
        <v>168336</v>
      </c>
      <c r="N13" s="260"/>
      <c r="O13" s="260"/>
      <c r="P13" s="260"/>
      <c r="Q13" s="260"/>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260"/>
      <c r="AA13" s="260">
        <v>6</v>
      </c>
      <c r="AB13" s="108">
        <f>+Z13*'1. Standard_Cost'!$B$23+AA13*'1. Standard_Cost'!$C$23</f>
        <v>114000</v>
      </c>
      <c r="AC13" s="261"/>
      <c r="AD13" s="262"/>
      <c r="AE13" s="108">
        <f>SUM(AD13,AC13,AB13,Y13,U13,T13,S13,R13)*'1. Standard_Cost'!$B$31</f>
        <v>22800</v>
      </c>
      <c r="AF13" s="108">
        <f t="shared" si="8"/>
        <v>136800</v>
      </c>
      <c r="AG13" s="107"/>
      <c r="AH13" s="107"/>
      <c r="AI13" s="107"/>
      <c r="AJ13" s="111"/>
      <c r="AK13" s="111"/>
      <c r="AL13" s="111"/>
      <c r="AM13" s="108">
        <f>AG13*'1. Standard_Cost'!$B$27+'Incremental_Cost Year 2'!AH13*'1. Standard_Cost'!$C$27+'Incremental_Cost Year 2'!AI13*'1. Standard_Cost'!$D$27+'Incremental_Cost Year 2'!AJ13+'Incremental_Cost Year 2'!AL13+AK13</f>
        <v>0</v>
      </c>
      <c r="AN13" s="108">
        <f>AM13*'1. Standard_Cost'!$C$31</f>
        <v>0</v>
      </c>
      <c r="AO13" s="134" t="s">
        <v>275</v>
      </c>
      <c r="AQ13" s="14">
        <f t="shared" si="9"/>
        <v>1176336</v>
      </c>
      <c r="AR13" s="14">
        <f t="shared" si="10"/>
        <v>136800</v>
      </c>
      <c r="AS13" s="14">
        <f t="shared" si="11"/>
        <v>0</v>
      </c>
      <c r="AT13" s="14">
        <f t="shared" si="12"/>
        <v>1313136</v>
      </c>
      <c r="AU13" s="15">
        <v>1176336</v>
      </c>
      <c r="AV13" s="15"/>
      <c r="AW13" s="15"/>
      <c r="AX13" s="15"/>
      <c r="AY13" s="15"/>
      <c r="AZ13" s="15"/>
      <c r="BA13" s="15"/>
      <c r="BB13" s="16">
        <f t="shared" si="13"/>
        <v>-136800</v>
      </c>
    </row>
    <row r="14" spans="1:56" ht="78" outlineLevel="2">
      <c r="A14" s="98"/>
      <c r="B14" s="102"/>
      <c r="C14" s="23"/>
      <c r="D14" s="251"/>
      <c r="E14" s="250"/>
      <c r="F14" s="270"/>
      <c r="G14" s="250"/>
      <c r="H14" s="302" t="s">
        <v>664</v>
      </c>
      <c r="I14" s="258" t="s">
        <v>3</v>
      </c>
      <c r="J14" s="259">
        <v>1</v>
      </c>
      <c r="K14" s="259">
        <v>2</v>
      </c>
      <c r="L14" s="106">
        <f>IF(I14&lt;&gt;0,((VLOOKUP(I14,'1. Standard_Cost'!$B$4:$D$11,2)+VLOOKUP(I14,'1. Standard_Cost'!$B$4:$D$11,3))*J14*K14),"0")</f>
        <v>201600</v>
      </c>
      <c r="M14" s="106">
        <f>L14*'1. Standard_Cost'!$F$4</f>
        <v>33667.200000000004</v>
      </c>
      <c r="N14" s="260"/>
      <c r="O14" s="260"/>
      <c r="P14" s="260"/>
      <c r="Q14" s="260"/>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260"/>
      <c r="AA14" s="260"/>
      <c r="AB14" s="108">
        <f>+Z14*'1. Standard_Cost'!$B$23+AA14*'1. Standard_Cost'!$C$23</f>
        <v>0</v>
      </c>
      <c r="AC14" s="261">
        <v>24000</v>
      </c>
      <c r="AD14" s="262"/>
      <c r="AE14" s="108">
        <f>SUM(AD14,AC14,AB14,Y14,U14,T14,S14,R14)*'1. Standard_Cost'!$B$31</f>
        <v>4800</v>
      </c>
      <c r="AF14" s="108">
        <f t="shared" si="8"/>
        <v>28800</v>
      </c>
      <c r="AG14" s="107"/>
      <c r="AH14" s="107"/>
      <c r="AI14" s="107"/>
      <c r="AJ14" s="111"/>
      <c r="AK14" s="111"/>
      <c r="AL14" s="111"/>
      <c r="AM14" s="108">
        <f>AG14*'1. Standard_Cost'!$B$27+'Incremental_Cost Year 2'!AH14*'1. Standard_Cost'!$C$27+'Incremental_Cost Year 2'!AI14*'1. Standard_Cost'!$D$27+'Incremental_Cost Year 2'!AJ14+'Incremental_Cost Year 2'!AL14+AK14</f>
        <v>0</v>
      </c>
      <c r="AN14" s="108">
        <f>AM14*'1. Standard_Cost'!$C$31</f>
        <v>0</v>
      </c>
      <c r="AO14" s="134" t="s">
        <v>274</v>
      </c>
      <c r="AQ14" s="14">
        <f t="shared" si="9"/>
        <v>235267.20000000001</v>
      </c>
      <c r="AR14" s="14">
        <f t="shared" si="10"/>
        <v>28800</v>
      </c>
      <c r="AS14" s="14">
        <f t="shared" si="11"/>
        <v>0</v>
      </c>
      <c r="AT14" s="14">
        <f t="shared" si="12"/>
        <v>264067.20000000001</v>
      </c>
      <c r="AU14" s="15">
        <v>264067</v>
      </c>
      <c r="AV14" s="15"/>
      <c r="AW14" s="15"/>
      <c r="AX14" s="15"/>
      <c r="AY14" s="15"/>
      <c r="AZ14" s="15"/>
      <c r="BA14" s="15"/>
      <c r="BB14" s="16">
        <f t="shared" si="13"/>
        <v>-0.20000000001164153</v>
      </c>
    </row>
    <row r="15" spans="1:56" ht="262.2" outlineLevel="1">
      <c r="A15" s="98"/>
      <c r="B15" s="102"/>
      <c r="C15" s="23"/>
      <c r="D15" s="301" t="s">
        <v>624</v>
      </c>
      <c r="E15" s="122" t="s">
        <v>206</v>
      </c>
      <c r="F15" s="268">
        <v>2021</v>
      </c>
      <c r="G15" s="254">
        <v>2026</v>
      </c>
      <c r="H15" s="276" t="s">
        <v>48</v>
      </c>
      <c r="I15" s="112"/>
      <c r="J15" s="112"/>
      <c r="K15" s="112"/>
      <c r="L15" s="113">
        <f>SUM(L7:L14)</f>
        <v>3711525</v>
      </c>
      <c r="M15" s="113">
        <f>SUM(M7:M14)</f>
        <v>619824.67500000005</v>
      </c>
      <c r="N15" s="113"/>
      <c r="O15" s="112"/>
      <c r="P15" s="112"/>
      <c r="Q15" s="112"/>
      <c r="R15" s="113">
        <f>SUM(R7:R14)</f>
        <v>40000</v>
      </c>
      <c r="S15" s="113">
        <f>SUM(S7:S14)</f>
        <v>60000</v>
      </c>
      <c r="T15" s="113">
        <f>SUM(T7:T14)</f>
        <v>0</v>
      </c>
      <c r="U15" s="113">
        <f>SUM(U7:U14)</f>
        <v>160000</v>
      </c>
      <c r="V15" s="112"/>
      <c r="W15" s="112"/>
      <c r="X15" s="112"/>
      <c r="Y15" s="113">
        <f>SUM(Y7:Y14)</f>
        <v>0</v>
      </c>
      <c r="Z15" s="112"/>
      <c r="AA15" s="112"/>
      <c r="AB15" s="113">
        <f>SUM(AB7:AB14)</f>
        <v>817000</v>
      </c>
      <c r="AC15" s="113">
        <f>SUM(AC7:AC14)</f>
        <v>175197.66400000002</v>
      </c>
      <c r="AD15" s="113">
        <f>SUM(AD7:AD14)</f>
        <v>0</v>
      </c>
      <c r="AE15" s="113">
        <f>SUM(AE7:AE14)</f>
        <v>250439.53279999999</v>
      </c>
      <c r="AF15" s="113">
        <f>SUM(AF7:AF14)</f>
        <v>1502637.1968</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4331349.6749999998</v>
      </c>
      <c r="AR15" s="113">
        <f t="shared" si="14"/>
        <v>1502637.1968</v>
      </c>
      <c r="AS15" s="113">
        <f t="shared" si="14"/>
        <v>0</v>
      </c>
      <c r="AT15" s="113">
        <f t="shared" si="14"/>
        <v>5833986.8717999998</v>
      </c>
      <c r="AU15" s="113">
        <f t="shared" si="14"/>
        <v>2880470</v>
      </c>
      <c r="AV15" s="113">
        <f t="shared" si="14"/>
        <v>0</v>
      </c>
      <c r="AW15" s="113">
        <f t="shared" si="14"/>
        <v>0</v>
      </c>
      <c r="AX15" s="113">
        <f t="shared" si="14"/>
        <v>0</v>
      </c>
      <c r="AY15" s="113">
        <f t="shared" si="14"/>
        <v>0</v>
      </c>
      <c r="AZ15" s="113">
        <f t="shared" si="14"/>
        <v>1808717</v>
      </c>
      <c r="BA15" s="113">
        <f t="shared" si="14"/>
        <v>0</v>
      </c>
      <c r="BB15" s="113">
        <f t="shared" si="14"/>
        <v>-1144799.8717999998</v>
      </c>
    </row>
    <row r="16" spans="1:56" ht="78" outlineLevel="2">
      <c r="A16" s="98"/>
      <c r="B16" s="102"/>
      <c r="C16" s="23"/>
      <c r="D16" s="251"/>
      <c r="E16" s="250"/>
      <c r="F16" s="270"/>
      <c r="G16" s="250"/>
      <c r="H16" s="302" t="s">
        <v>665</v>
      </c>
      <c r="I16" s="258" t="s">
        <v>5</v>
      </c>
      <c r="J16" s="259">
        <v>1</v>
      </c>
      <c r="K16" s="259">
        <v>1</v>
      </c>
      <c r="L16" s="106">
        <f>IF(I16&lt;&gt;0,((VLOOKUP(I16,'1. Standard_Cost'!$B$4:$D$11,2)+VLOOKUP(I16,'1. Standard_Cost'!$B$4:$D$11,3))*J16*K16),"0")</f>
        <v>70700</v>
      </c>
      <c r="M16" s="106">
        <f>L16*'1. Standard_Cost'!$F$4</f>
        <v>11806.900000000001</v>
      </c>
      <c r="N16" s="260">
        <v>2</v>
      </c>
      <c r="O16" s="260">
        <v>2</v>
      </c>
      <c r="P16" s="260">
        <v>16</v>
      </c>
      <c r="Q16" s="260"/>
      <c r="R16" s="108">
        <f>'1. Standard_Cost'!$B$15*N16*P16</f>
        <v>64000</v>
      </c>
      <c r="S16" s="108">
        <f>N16*O16*P16*'1. Standard_Cost'!$C$15</f>
        <v>96000</v>
      </c>
      <c r="T16" s="108">
        <f>N16*P16*Q16*'1. Standard_Cost'!$D$15</f>
        <v>0</v>
      </c>
      <c r="U16" s="108">
        <f>N16*O16*'1. Standard_Cost'!$E$15</f>
        <v>160000</v>
      </c>
      <c r="V16" s="107"/>
      <c r="W16" s="107"/>
      <c r="X16" s="107"/>
      <c r="Y16" s="108">
        <f>+V16*((X16*'1. Standard_Cost'!$B$19)+(W16*X16*'1. Standard_Cost'!$C$19))</f>
        <v>0</v>
      </c>
      <c r="Z16" s="260"/>
      <c r="AA16" s="260">
        <v>10</v>
      </c>
      <c r="AB16" s="108">
        <f>+Z16*'1. Standard_Cost'!$B$23+AA16*'1. Standard_Cost'!$C$23</f>
        <v>190000</v>
      </c>
      <c r="AC16" s="261">
        <f>32*500</f>
        <v>16000</v>
      </c>
      <c r="AD16" s="262"/>
      <c r="AE16" s="108">
        <f>SUM(AD16,AC16,AB16,Y16,U16,T16,S16,R16)*'1. Standard_Cost'!$B$31</f>
        <v>105200</v>
      </c>
      <c r="AF16" s="108">
        <f t="shared" ref="AF16" si="15">SUM(AE16,AD16,AC16,AB16,Y16,U16,T16,S16,R16)</f>
        <v>631200</v>
      </c>
      <c r="AG16" s="107"/>
      <c r="AH16" s="107"/>
      <c r="AI16" s="107"/>
      <c r="AJ16" s="111"/>
      <c r="AK16" s="111"/>
      <c r="AL16" s="111"/>
      <c r="AM16" s="108">
        <f>AG16*'1. Standard_Cost'!$B$27+'Incremental_Cost Year 2'!AH16*'1. Standard_Cost'!$C$27+'Incremental_Cost Year 2'!AI16*'1. Standard_Cost'!$D$27+'Incremental_Cost Year 2'!AJ16+'Incremental_Cost Year 2'!AL16+AK16</f>
        <v>0</v>
      </c>
      <c r="AN16" s="108">
        <f>AM16*'1. Standard_Cost'!$C$31</f>
        <v>0</v>
      </c>
      <c r="AO16" s="125" t="s">
        <v>276</v>
      </c>
      <c r="AQ16" s="14">
        <f t="shared" ref="AQ16:AQ24" si="16">L16+M16</f>
        <v>82506.899999999994</v>
      </c>
      <c r="AR16" s="14">
        <f t="shared" ref="AR16:AR24" si="17">AF16</f>
        <v>631200</v>
      </c>
      <c r="AS16" s="14">
        <f t="shared" ref="AS16:AS24" si="18">AM16+AN16</f>
        <v>0</v>
      </c>
      <c r="AT16" s="14">
        <f>SUM(AQ16,AR16,AS16)</f>
        <v>713706.9</v>
      </c>
      <c r="AU16" s="234">
        <v>82507</v>
      </c>
      <c r="AV16" s="234"/>
      <c r="AW16" s="234"/>
      <c r="AX16" s="234"/>
      <c r="AY16" s="234"/>
      <c r="AZ16" s="234"/>
      <c r="BA16" s="234"/>
      <c r="BB16" s="16">
        <f t="shared" ref="BB16:BB24" si="19">SUM(AU16:BA16)-AT16</f>
        <v>-631199.9</v>
      </c>
    </row>
    <row r="17" spans="1:56" ht="62.4" outlineLevel="1">
      <c r="A17" s="98"/>
      <c r="B17" s="143"/>
      <c r="C17" s="144"/>
      <c r="D17" s="287" t="s">
        <v>625</v>
      </c>
      <c r="E17" s="287" t="s">
        <v>207</v>
      </c>
      <c r="F17" s="287"/>
      <c r="G17" s="287"/>
      <c r="H17" s="287" t="s">
        <v>49</v>
      </c>
      <c r="I17" s="112"/>
      <c r="J17" s="112"/>
      <c r="K17" s="112"/>
      <c r="L17" s="113">
        <f>SUM(L16:L16)</f>
        <v>70700</v>
      </c>
      <c r="M17" s="113">
        <f>SUM(M16:M16)</f>
        <v>11806.900000000001</v>
      </c>
      <c r="N17" s="112"/>
      <c r="O17" s="112"/>
      <c r="P17" s="112"/>
      <c r="Q17" s="112"/>
      <c r="R17" s="113">
        <f>SUM(R16:R16)</f>
        <v>64000</v>
      </c>
      <c r="S17" s="113">
        <f>SUM(S16:S16)</f>
        <v>96000</v>
      </c>
      <c r="T17" s="113">
        <f>SUM(T16:T16)</f>
        <v>0</v>
      </c>
      <c r="U17" s="113">
        <f>SUM(U16:U16)</f>
        <v>160000</v>
      </c>
      <c r="V17" s="112"/>
      <c r="W17" s="112"/>
      <c r="X17" s="112"/>
      <c r="Y17" s="113">
        <f>SUM(Y16:Y16)</f>
        <v>0</v>
      </c>
      <c r="Z17" s="112"/>
      <c r="AA17" s="112"/>
      <c r="AB17" s="113">
        <f>SUM(AB16:AB16)</f>
        <v>190000</v>
      </c>
      <c r="AC17" s="113">
        <f>SUM(AC16:AC16)</f>
        <v>16000</v>
      </c>
      <c r="AD17" s="113">
        <f>SUM(AD16:AD16)</f>
        <v>0</v>
      </c>
      <c r="AE17" s="113">
        <f>SUM(AE16:AE16)</f>
        <v>105200</v>
      </c>
      <c r="AF17" s="113">
        <f>SUM(AF16:AF16)</f>
        <v>631200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82506.899999999994</v>
      </c>
      <c r="AR17" s="113">
        <f t="shared" si="20"/>
        <v>631200</v>
      </c>
      <c r="AS17" s="113">
        <f t="shared" si="20"/>
        <v>0</v>
      </c>
      <c r="AT17" s="113">
        <f t="shared" si="20"/>
        <v>713706.9</v>
      </c>
      <c r="AU17" s="113">
        <f t="shared" si="20"/>
        <v>82507</v>
      </c>
      <c r="AV17" s="113">
        <f t="shared" si="20"/>
        <v>0</v>
      </c>
      <c r="AW17" s="113">
        <f t="shared" si="20"/>
        <v>0</v>
      </c>
      <c r="AX17" s="113">
        <f t="shared" si="20"/>
        <v>0</v>
      </c>
      <c r="AY17" s="113">
        <f t="shared" si="20"/>
        <v>0</v>
      </c>
      <c r="AZ17" s="113">
        <f t="shared" si="20"/>
        <v>0</v>
      </c>
      <c r="BA17" s="113">
        <f t="shared" si="20"/>
        <v>0</v>
      </c>
      <c r="BB17" s="16">
        <f t="shared" si="19"/>
        <v>-631199.9</v>
      </c>
    </row>
    <row r="18" spans="1:56" ht="31.2" outlineLevel="2">
      <c r="A18" s="98"/>
      <c r="B18" s="143"/>
      <c r="C18" s="144"/>
      <c r="D18" s="149"/>
      <c r="E18" s="149"/>
      <c r="F18" s="288"/>
      <c r="G18" s="289"/>
      <c r="H18" s="302" t="s">
        <v>666</v>
      </c>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107"/>
      <c r="AA18" s="107"/>
      <c r="AB18" s="108">
        <f>+Z18*'1. Standard_Cost'!$B$23+AA18*'1. Standard_Cost'!$C$23</f>
        <v>0</v>
      </c>
      <c r="AC18" s="109">
        <v>2000000</v>
      </c>
      <c r="AD18" s="110"/>
      <c r="AE18" s="108">
        <f>SUM(AD18,AC18,AB18,Y18,U18,T18,S18,R18)*'1. Standard_Cost'!$B$31</f>
        <v>400000</v>
      </c>
      <c r="AF18" s="108">
        <f t="shared" ref="AF18:AF24" si="21">SUM(AE18,AD18,AC18,AB18,Y18,U18,T18,S18,R18)</f>
        <v>2400000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2400000</v>
      </c>
      <c r="AS18" s="14">
        <f t="shared" ref="AS18" si="24">AM18+AN18</f>
        <v>0</v>
      </c>
      <c r="AT18" s="14">
        <f>SUM(AQ18,AR18,AS18)</f>
        <v>2400000</v>
      </c>
      <c r="AU18" s="15">
        <v>2400000</v>
      </c>
      <c r="AV18" s="15"/>
      <c r="AW18" s="15"/>
      <c r="AX18" s="15"/>
      <c r="AY18" s="15"/>
      <c r="AZ18" s="15"/>
      <c r="BA18" s="15"/>
      <c r="BB18" s="16">
        <f t="shared" si="19"/>
        <v>0</v>
      </c>
    </row>
    <row r="19" spans="1:56" ht="62.4" outlineLevel="2">
      <c r="A19" s="98"/>
      <c r="B19" s="143"/>
      <c r="C19" s="144"/>
      <c r="D19" s="290"/>
      <c r="E19" s="290"/>
      <c r="F19" s="290"/>
      <c r="G19" s="291"/>
      <c r="H19" s="302" t="s">
        <v>667</v>
      </c>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107"/>
      <c r="AA19" s="107"/>
      <c r="AB19" s="108">
        <f>+Z19*'1. Standard_Cost'!$B$23+AA19*'1. Standard_Cost'!$C$23</f>
        <v>0</v>
      </c>
      <c r="AC19" s="109"/>
      <c r="AD19" s="110"/>
      <c r="AE19" s="108">
        <f>SUM(AD19,AC19,AB19,Y19,U19,T19,S19,R19)*'1. Standard_Cost'!$B$31</f>
        <v>0</v>
      </c>
      <c r="AF19" s="108">
        <f t="shared" si="21"/>
        <v>0</v>
      </c>
      <c r="AG19" s="107"/>
      <c r="AH19" s="107"/>
      <c r="AI19" s="107"/>
      <c r="AJ19" s="111"/>
      <c r="AK19" s="111"/>
      <c r="AL19" s="111"/>
      <c r="AM19" s="108">
        <f>AG19*'1. Standard_Cost'!$B$27+'Incremental_Cost Year 2'!AH19*'1. Standard_Cost'!$C$27+'Incremental_Cost Year 2'!AI19*'1. Standard_Cost'!$D$27+'Incremental_Cost Year 2'!AJ19+'Incremental_Cost Year 2'!AL19+AK19</f>
        <v>0</v>
      </c>
      <c r="AN19" s="108">
        <f>AM19*'1. Standard_Cost'!$C$31</f>
        <v>0</v>
      </c>
      <c r="AO19" s="125" t="s">
        <v>278</v>
      </c>
      <c r="AQ19" s="14">
        <f t="shared" si="16"/>
        <v>0</v>
      </c>
      <c r="AR19" s="14">
        <f t="shared" si="17"/>
        <v>0</v>
      </c>
      <c r="AS19" s="14">
        <f t="shared" si="18"/>
        <v>0</v>
      </c>
      <c r="AT19" s="14">
        <f t="shared" ref="AT19:AT24" si="25">SUM(AQ19,AR19,AS19)</f>
        <v>0</v>
      </c>
      <c r="AU19" s="15"/>
      <c r="AV19" s="15"/>
      <c r="AW19" s="15"/>
      <c r="AX19" s="15"/>
      <c r="AY19" s="15"/>
      <c r="AZ19" s="15"/>
      <c r="BA19" s="15"/>
      <c r="BB19" s="16">
        <f t="shared" si="19"/>
        <v>0</v>
      </c>
    </row>
    <row r="20" spans="1:56" ht="62.4" outlineLevel="2">
      <c r="A20" s="98"/>
      <c r="B20" s="143"/>
      <c r="C20" s="144"/>
      <c r="D20" s="290"/>
      <c r="E20" s="290"/>
      <c r="F20" s="171"/>
      <c r="G20" s="291"/>
      <c r="H20" s="302" t="s">
        <v>668</v>
      </c>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107"/>
      <c r="AA20" s="107"/>
      <c r="AB20" s="108">
        <f>+Z20*'1. Standard_Cost'!$B$23+AA20*'1. Standard_Cost'!$C$23</f>
        <v>0</v>
      </c>
      <c r="AC20" s="109"/>
      <c r="AD20" s="110"/>
      <c r="AE20" s="108">
        <f>SUM(AD20,AC20,AB20,Y20,U20,T20,S20,R20)*'1. Standard_Cost'!$B$31</f>
        <v>0</v>
      </c>
      <c r="AF20" s="108">
        <f t="shared" si="21"/>
        <v>0</v>
      </c>
      <c r="AG20" s="107"/>
      <c r="AH20" s="107"/>
      <c r="AI20" s="107"/>
      <c r="AJ20" s="111"/>
      <c r="AK20" s="111"/>
      <c r="AL20" s="111"/>
      <c r="AM20" s="108">
        <f>AG20*'1. Standard_Cost'!$B$27+'Incremental_Cost Year 2'!AH20*'1. Standard_Cost'!$C$27+'Incremental_Cost Year 2'!AI20*'1. Standard_Cost'!$D$27+'Incremental_Cost Year 2'!AJ20+'Incremental_Cost Year 2'!AL20+AK20</f>
        <v>0</v>
      </c>
      <c r="AN20" s="108">
        <f>AM20*'1. Standard_Cost'!$C$31</f>
        <v>0</v>
      </c>
      <c r="AO20" s="125" t="s">
        <v>278</v>
      </c>
      <c r="AQ20" s="14">
        <f t="shared" si="16"/>
        <v>0</v>
      </c>
      <c r="AR20" s="14">
        <f t="shared" si="17"/>
        <v>0</v>
      </c>
      <c r="AS20" s="14">
        <f t="shared" si="18"/>
        <v>0</v>
      </c>
      <c r="AT20" s="14">
        <f t="shared" si="25"/>
        <v>0</v>
      </c>
      <c r="AU20" s="15"/>
      <c r="AV20" s="15"/>
      <c r="AW20" s="15"/>
      <c r="AX20" s="15"/>
      <c r="AY20" s="15"/>
      <c r="AZ20" s="15"/>
      <c r="BA20" s="15"/>
      <c r="BB20" s="16">
        <f t="shared" si="19"/>
        <v>0</v>
      </c>
    </row>
    <row r="21" spans="1:56" ht="62.4" outlineLevel="2">
      <c r="A21" s="98"/>
      <c r="B21" s="143"/>
      <c r="C21" s="144"/>
      <c r="D21" s="290"/>
      <c r="E21" s="290"/>
      <c r="F21" s="290"/>
      <c r="G21" s="291"/>
      <c r="H21" s="302" t="s">
        <v>669</v>
      </c>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107"/>
      <c r="AA21" s="107"/>
      <c r="AB21" s="108">
        <f>+Z21*'1. Standard_Cost'!$B$23+AA21*'1. Standard_Cost'!$C$23</f>
        <v>0</v>
      </c>
      <c r="AC21" s="109"/>
      <c r="AD21" s="110"/>
      <c r="AE21" s="108">
        <f>SUM(AD21,AC21,AB21,Y21,U21,T21,S21,R21)*'1. Standard_Cost'!$B$31</f>
        <v>0</v>
      </c>
      <c r="AF21" s="108">
        <f t="shared" si="21"/>
        <v>0</v>
      </c>
      <c r="AG21" s="107"/>
      <c r="AH21" s="107"/>
      <c r="AI21" s="107"/>
      <c r="AJ21" s="111"/>
      <c r="AK21" s="111"/>
      <c r="AL21" s="111"/>
      <c r="AM21" s="108">
        <f>AG21*'1. Standard_Cost'!$B$27+'Incremental_Cost Year 2'!AH21*'1. Standard_Cost'!$C$27+'Incremental_Cost Year 2'!AI21*'1. Standard_Cost'!$D$27+'Incremental_Cost Year 2'!AJ21+'Incremental_Cost Year 2'!AL21+AK21</f>
        <v>0</v>
      </c>
      <c r="AN21" s="108">
        <f>AM21*'1. Standard_Cost'!$C$31</f>
        <v>0</v>
      </c>
      <c r="AO21" s="125" t="s">
        <v>279</v>
      </c>
      <c r="AQ21" s="14">
        <f t="shared" si="16"/>
        <v>0</v>
      </c>
      <c r="AR21" s="14">
        <f t="shared" si="17"/>
        <v>0</v>
      </c>
      <c r="AS21" s="14">
        <f t="shared" si="18"/>
        <v>0</v>
      </c>
      <c r="AT21" s="14">
        <f t="shared" si="25"/>
        <v>0</v>
      </c>
      <c r="AU21" s="15"/>
      <c r="AV21" s="15"/>
      <c r="AW21" s="15"/>
      <c r="AX21" s="15"/>
      <c r="AY21" s="15"/>
      <c r="AZ21" s="15"/>
      <c r="BA21" s="15"/>
      <c r="BB21" s="16">
        <f t="shared" si="19"/>
        <v>0</v>
      </c>
    </row>
    <row r="22" spans="1:56" ht="78" outlineLevel="2">
      <c r="A22" s="98"/>
      <c r="B22" s="143"/>
      <c r="C22" s="144"/>
      <c r="D22" s="290"/>
      <c r="E22" s="290"/>
      <c r="F22" s="290"/>
      <c r="G22" s="291"/>
      <c r="H22" s="302" t="s">
        <v>670</v>
      </c>
      <c r="I22" s="258" t="s">
        <v>2</v>
      </c>
      <c r="J22" s="259">
        <v>0.5</v>
      </c>
      <c r="K22" s="259">
        <v>7</v>
      </c>
      <c r="L22" s="106">
        <f>IF(I22&lt;&gt;0,((VLOOKUP(I22,'1. Standard_Cost'!$B$4:$D$11,2)+VLOOKUP(I22,'1. Standard_Cost'!$B$4:$D$11,3))*J22*K22),"0")</f>
        <v>423500</v>
      </c>
      <c r="M22" s="106">
        <f>L22*'1. Standard_Cost'!$F$4</f>
        <v>70724.5</v>
      </c>
      <c r="N22" s="260"/>
      <c r="O22" s="260"/>
      <c r="P22" s="260"/>
      <c r="Q22" s="260"/>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107"/>
      <c r="AA22" s="107"/>
      <c r="AB22" s="108">
        <f>+Z22*'1. Standard_Cost'!$B$23+AA22*'1. Standard_Cost'!$C$23</f>
        <v>0</v>
      </c>
      <c r="AC22" s="109">
        <v>50000</v>
      </c>
      <c r="AD22" s="110"/>
      <c r="AE22" s="108">
        <f>SUM(AD22,AC22,AB22,Y22,U22,T22,S22,R22)*'1. Standard_Cost'!$B$31</f>
        <v>10000</v>
      </c>
      <c r="AF22" s="108">
        <f t="shared" si="21"/>
        <v>60000</v>
      </c>
      <c r="AG22" s="107"/>
      <c r="AH22" s="107"/>
      <c r="AI22" s="107"/>
      <c r="AJ22" s="111"/>
      <c r="AK22" s="111"/>
      <c r="AL22" s="111"/>
      <c r="AM22" s="108">
        <f>AG22*'1. Standard_Cost'!$B$27+'Incremental_Cost Year 2'!AH22*'1. Standard_Cost'!$C$27+'Incremental_Cost Year 2'!AI22*'1. Standard_Cost'!$D$27+'Incremental_Cost Year 2'!AJ22+'Incremental_Cost Year 2'!AL22+AK22</f>
        <v>0</v>
      </c>
      <c r="AN22" s="108">
        <f>AM22*'1. Standard_Cost'!$C$31</f>
        <v>0</v>
      </c>
      <c r="AO22" s="125" t="s">
        <v>280</v>
      </c>
      <c r="AQ22" s="14">
        <f t="shared" si="16"/>
        <v>494224.5</v>
      </c>
      <c r="AR22" s="14">
        <f t="shared" si="17"/>
        <v>60000</v>
      </c>
      <c r="AS22" s="14">
        <f t="shared" si="18"/>
        <v>0</v>
      </c>
      <c r="AT22" s="14">
        <f t="shared" si="25"/>
        <v>554224.5</v>
      </c>
      <c r="AU22" s="15">
        <v>554225</v>
      </c>
      <c r="AV22" s="15"/>
      <c r="AW22" s="15"/>
      <c r="AX22" s="15"/>
      <c r="AY22" s="15"/>
      <c r="AZ22" s="15"/>
      <c r="BA22" s="15"/>
      <c r="BB22" s="16">
        <f t="shared" si="19"/>
        <v>0.5</v>
      </c>
    </row>
    <row r="23" spans="1:56" ht="46.8" outlineLevel="2">
      <c r="A23" s="98"/>
      <c r="B23" s="143"/>
      <c r="C23" s="144"/>
      <c r="D23" s="290"/>
      <c r="E23" s="290"/>
      <c r="F23" s="290"/>
      <c r="G23" s="291"/>
      <c r="H23" s="302" t="s">
        <v>671</v>
      </c>
      <c r="I23" s="258" t="s">
        <v>4</v>
      </c>
      <c r="J23" s="259">
        <v>1</v>
      </c>
      <c r="K23" s="259">
        <v>1</v>
      </c>
      <c r="L23" s="106">
        <f>IF(I23&lt;&gt;0,((VLOOKUP(I23,'1. Standard_Cost'!$B$4:$D$11,2)+VLOOKUP(I23,'1. Standard_Cost'!$B$4:$D$11,3))*J23*K23),"0")</f>
        <v>80750</v>
      </c>
      <c r="M23" s="106">
        <f>L23*'1. Standard_Cost'!$F$4</f>
        <v>13485.25</v>
      </c>
      <c r="N23" s="260"/>
      <c r="O23" s="260"/>
      <c r="P23" s="260"/>
      <c r="Q23" s="260"/>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107"/>
      <c r="AA23" s="107"/>
      <c r="AB23" s="108">
        <f>+Z23*'1. Standard_Cost'!$B$23+AA23*'1. Standard_Cost'!$C$23</f>
        <v>0</v>
      </c>
      <c r="AC23" s="109">
        <v>10000</v>
      </c>
      <c r="AD23" s="110"/>
      <c r="AE23" s="108">
        <f>SUM(AD23,AC23,AB23,Y23,U23,T23,S23,R23)*'1. Standard_Cost'!$B$31</f>
        <v>2000</v>
      </c>
      <c r="AF23" s="108">
        <f t="shared" si="21"/>
        <v>12000</v>
      </c>
      <c r="AG23" s="107"/>
      <c r="AH23" s="107"/>
      <c r="AI23" s="107"/>
      <c r="AJ23" s="111"/>
      <c r="AK23" s="111"/>
      <c r="AL23" s="111"/>
      <c r="AM23" s="108">
        <f>AG23*'1. Standard_Cost'!$B$27+'Incremental_Cost Year 2'!AH23*'1. Standard_Cost'!$C$27+'Incremental_Cost Year 2'!AI23*'1. Standard_Cost'!$D$27+'Incremental_Cost Year 2'!AJ23+'Incremental_Cost Year 2'!AL23+AK23</f>
        <v>0</v>
      </c>
      <c r="AN23" s="108">
        <f>AM23*'1. Standard_Cost'!$C$31</f>
        <v>0</v>
      </c>
      <c r="AO23" s="125" t="s">
        <v>281</v>
      </c>
      <c r="AQ23" s="14">
        <f t="shared" si="16"/>
        <v>94235.25</v>
      </c>
      <c r="AR23" s="14">
        <f t="shared" si="17"/>
        <v>12000</v>
      </c>
      <c r="AS23" s="14">
        <f t="shared" si="18"/>
        <v>0</v>
      </c>
      <c r="AT23" s="14">
        <f t="shared" si="25"/>
        <v>106235.25</v>
      </c>
      <c r="AU23" s="15">
        <v>106235</v>
      </c>
      <c r="AV23" s="15"/>
      <c r="AW23" s="15"/>
      <c r="AX23" s="15"/>
      <c r="AY23" s="15"/>
      <c r="AZ23" s="15"/>
      <c r="BA23" s="15"/>
      <c r="BB23" s="16">
        <f t="shared" si="19"/>
        <v>-0.25</v>
      </c>
    </row>
    <row r="24" spans="1:56" ht="93.6" outlineLevel="2">
      <c r="A24" s="98"/>
      <c r="B24" s="143"/>
      <c r="C24" s="144"/>
      <c r="D24" s="290"/>
      <c r="E24" s="290"/>
      <c r="F24" s="290"/>
      <c r="G24" s="291"/>
      <c r="H24" s="302" t="s">
        <v>586</v>
      </c>
      <c r="I24" s="258" t="s">
        <v>5</v>
      </c>
      <c r="J24" s="259">
        <v>0.5</v>
      </c>
      <c r="K24" s="259">
        <v>1</v>
      </c>
      <c r="L24" s="106">
        <f>IF(I24&lt;&gt;0,((VLOOKUP(I24,'1. Standard_Cost'!$B$4:$D$11,2)+VLOOKUP(I24,'1. Standard_Cost'!$B$4:$D$11,3))*J24*K24),"0")</f>
        <v>35350</v>
      </c>
      <c r="M24" s="106">
        <f>L24*'1. Standard_Cost'!$F$4</f>
        <v>5903.4500000000007</v>
      </c>
      <c r="N24" s="260">
        <v>1</v>
      </c>
      <c r="O24" s="260">
        <v>2</v>
      </c>
      <c r="P24" s="260">
        <v>16</v>
      </c>
      <c r="Q24" s="260"/>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107"/>
      <c r="AA24" s="107">
        <v>15</v>
      </c>
      <c r="AB24" s="108">
        <f>+Z24*'1. Standard_Cost'!$B$23+AA24*'1. Standard_Cost'!$C$23</f>
        <v>285000</v>
      </c>
      <c r="AC24" s="109">
        <v>8000</v>
      </c>
      <c r="AD24" s="110"/>
      <c r="AE24" s="108">
        <f>SUM(AD24,AC24,AB24,Y24,U24,T24,S24,R24)*'1. Standard_Cost'!$B$31</f>
        <v>90600</v>
      </c>
      <c r="AF24" s="108">
        <f t="shared" si="21"/>
        <v>543600</v>
      </c>
      <c r="AG24" s="107"/>
      <c r="AH24" s="107"/>
      <c r="AI24" s="107"/>
      <c r="AJ24" s="111"/>
      <c r="AK24" s="111"/>
      <c r="AL24" s="111"/>
      <c r="AM24" s="108">
        <f>AG24*'1. Standard_Cost'!$B$27+'Incremental_Cost Year 2'!AH24*'1. Standard_Cost'!$C$27+'Incremental_Cost Year 2'!AI24*'1. Standard_Cost'!$D$27+'Incremental_Cost Year 2'!AJ24+'Incremental_Cost Year 2'!AL24+AK24</f>
        <v>0</v>
      </c>
      <c r="AN24" s="108">
        <f>AM24*'1. Standard_Cost'!$C$31</f>
        <v>0</v>
      </c>
      <c r="AO24" s="125" t="s">
        <v>282</v>
      </c>
      <c r="AQ24" s="14">
        <f t="shared" si="16"/>
        <v>41253.449999999997</v>
      </c>
      <c r="AR24" s="14">
        <f t="shared" si="17"/>
        <v>543600</v>
      </c>
      <c r="AS24" s="14">
        <f t="shared" si="18"/>
        <v>0</v>
      </c>
      <c r="AT24" s="14">
        <f t="shared" si="25"/>
        <v>584853.44999999995</v>
      </c>
      <c r="AU24" s="15"/>
      <c r="AV24" s="15"/>
      <c r="AW24" s="15"/>
      <c r="AX24" s="15"/>
      <c r="AY24" s="15"/>
      <c r="AZ24" s="15"/>
      <c r="BA24" s="15">
        <v>41253</v>
      </c>
      <c r="BB24" s="16">
        <f t="shared" si="19"/>
        <v>-543600.44999999995</v>
      </c>
    </row>
    <row r="25" spans="1:56" ht="93.6" outlineLevel="1">
      <c r="A25" s="98"/>
      <c r="B25" s="143"/>
      <c r="C25" s="144"/>
      <c r="D25" s="287" t="s">
        <v>626</v>
      </c>
      <c r="E25" s="287" t="s">
        <v>208</v>
      </c>
      <c r="F25" s="287"/>
      <c r="G25" s="287"/>
      <c r="H25" s="287" t="s">
        <v>50</v>
      </c>
      <c r="I25" s="112"/>
      <c r="J25" s="112"/>
      <c r="K25" s="112"/>
      <c r="L25" s="113">
        <f>SUM(L18:L24)</f>
        <v>539600</v>
      </c>
      <c r="M25" s="113">
        <f>SUM(M18:M24)</f>
        <v>90113.2</v>
      </c>
      <c r="N25" s="112"/>
      <c r="O25" s="112"/>
      <c r="P25" s="112"/>
      <c r="Q25" s="112"/>
      <c r="R25" s="113">
        <f t="shared" ref="R25:U25" si="26">SUM(R18:R24)</f>
        <v>32000</v>
      </c>
      <c r="S25" s="113">
        <f t="shared" si="26"/>
        <v>48000</v>
      </c>
      <c r="T25" s="113">
        <f t="shared" si="26"/>
        <v>0</v>
      </c>
      <c r="U25" s="113">
        <f t="shared" si="26"/>
        <v>80000</v>
      </c>
      <c r="V25" s="112"/>
      <c r="W25" s="112"/>
      <c r="X25" s="112"/>
      <c r="Y25" s="113">
        <f>SUM(Y18:Y24)</f>
        <v>0</v>
      </c>
      <c r="Z25" s="112"/>
      <c r="AA25" s="112"/>
      <c r="AB25" s="113">
        <f t="shared" ref="AB25:AF25" si="27">SUM(AB18:AB24)</f>
        <v>285000</v>
      </c>
      <c r="AC25" s="113">
        <f t="shared" si="27"/>
        <v>2068000</v>
      </c>
      <c r="AD25" s="113">
        <f t="shared" si="27"/>
        <v>0</v>
      </c>
      <c r="AE25" s="113">
        <f t="shared" si="27"/>
        <v>502600</v>
      </c>
      <c r="AF25" s="113">
        <f t="shared" si="27"/>
        <v>3015600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629713.19999999995</v>
      </c>
      <c r="AR25" s="113">
        <f t="shared" si="29"/>
        <v>3015600</v>
      </c>
      <c r="AS25" s="113">
        <f t="shared" si="29"/>
        <v>0</v>
      </c>
      <c r="AT25" s="113">
        <f t="shared" si="29"/>
        <v>3645313.2</v>
      </c>
      <c r="AU25" s="113">
        <f t="shared" si="29"/>
        <v>3060460</v>
      </c>
      <c r="AV25" s="113">
        <f t="shared" si="29"/>
        <v>0</v>
      </c>
      <c r="AW25" s="113">
        <f t="shared" si="29"/>
        <v>0</v>
      </c>
      <c r="AX25" s="113">
        <f t="shared" si="29"/>
        <v>0</v>
      </c>
      <c r="AY25" s="113">
        <f t="shared" si="29"/>
        <v>0</v>
      </c>
      <c r="AZ25" s="113">
        <f t="shared" si="29"/>
        <v>0</v>
      </c>
      <c r="BA25" s="113">
        <f t="shared" si="29"/>
        <v>41253</v>
      </c>
      <c r="BB25" s="113">
        <f t="shared" si="29"/>
        <v>-543600.19999999995</v>
      </c>
    </row>
    <row r="26" spans="1:56" ht="93.6" outlineLevel="2">
      <c r="A26" s="98"/>
      <c r="B26" s="143"/>
      <c r="C26" s="144"/>
      <c r="D26" s="149"/>
      <c r="E26" s="149"/>
      <c r="F26" s="288"/>
      <c r="G26" s="289"/>
      <c r="H26" s="302" t="s">
        <v>657</v>
      </c>
      <c r="I26" s="104"/>
      <c r="J26" s="105"/>
      <c r="K26" s="105"/>
      <c r="L26" s="106" t="str">
        <f>IF(I26&lt;&gt;0,((VLOOKUP(I26,'1. Standard_Cost'!$B$4:$D$11,2)+VLOOKUP(I26,'1. Standard_Cost'!$B$4:$D$11,3))*J26*K26),"0")</f>
        <v>0</v>
      </c>
      <c r="M26" s="106">
        <f>L26*'1. Standard_Cost'!$F$4</f>
        <v>0</v>
      </c>
      <c r="N26" s="107">
        <v>0</v>
      </c>
      <c r="O26" s="107">
        <v>0</v>
      </c>
      <c r="P26" s="107">
        <v>0</v>
      </c>
      <c r="Q26" s="107"/>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107"/>
      <c r="AA26" s="107"/>
      <c r="AB26" s="108">
        <f>+Z26*'1. Standard_Cost'!$B$23+AA26*'1. Standard_Cost'!$C$23</f>
        <v>0</v>
      </c>
      <c r="AC26" s="109">
        <v>840000</v>
      </c>
      <c r="AD26" s="110"/>
      <c r="AE26" s="108">
        <f>SUM(AD26,AC26,AB26,Y26,U26,T26,S26,R26)*'1. Standard_Cost'!$B$31</f>
        <v>168000</v>
      </c>
      <c r="AF26" s="108">
        <f t="shared" ref="AF26:AF29" si="30">SUM(AE26,AD26,AC26,AB26,Y26,U26,T26,S26,R26)</f>
        <v>1008000</v>
      </c>
      <c r="AG26" s="107"/>
      <c r="AH26" s="107"/>
      <c r="AI26" s="107"/>
      <c r="AJ26" s="111"/>
      <c r="AK26" s="111"/>
      <c r="AL26" s="111"/>
      <c r="AM26" s="108">
        <f>AG26*'1. Standard_Cost'!$B$27+'Incremental_Cost Year 2'!AH26*'1. Standard_Cost'!$C$27+'Incremental_Cost Year 2'!AI26*'1. Standard_Cost'!$D$27+'Incremental_Cost Year 2'!AJ26+'Incremental_Cost Year 2'!AL26+AK26</f>
        <v>0</v>
      </c>
      <c r="AN26" s="108">
        <f>AM26*'1. Standard_Cost'!$C$31</f>
        <v>0</v>
      </c>
      <c r="AO26" s="125" t="s">
        <v>283</v>
      </c>
      <c r="AQ26" s="14">
        <f>L26+M26</f>
        <v>0</v>
      </c>
      <c r="AR26" s="14">
        <f t="shared" ref="AR26:AR29" si="31">AF26</f>
        <v>1008000</v>
      </c>
      <c r="AS26" s="14">
        <f t="shared" ref="AS26:AS29" si="32">AM26+AN26</f>
        <v>0</v>
      </c>
      <c r="AT26" s="14">
        <f>SUM(AQ26,AR26,AS26)</f>
        <v>1008000</v>
      </c>
      <c r="AU26" s="15"/>
      <c r="AV26" s="15"/>
      <c r="AW26" s="15"/>
      <c r="AX26" s="15"/>
      <c r="AY26" s="15"/>
      <c r="AZ26" s="15">
        <v>1008000</v>
      </c>
      <c r="BA26" s="15"/>
      <c r="BB26" s="16">
        <f>SUM(AU26:BA26)-AT26</f>
        <v>0</v>
      </c>
    </row>
    <row r="27" spans="1:56" ht="218.4" outlineLevel="2">
      <c r="A27" s="98"/>
      <c r="B27" s="143"/>
      <c r="C27" s="144"/>
      <c r="D27" s="290"/>
      <c r="E27" s="290"/>
      <c r="F27" s="290"/>
      <c r="G27" s="291"/>
      <c r="H27" s="302" t="s">
        <v>587</v>
      </c>
      <c r="I27" s="104" t="s">
        <v>193</v>
      </c>
      <c r="J27" s="105">
        <v>0.5</v>
      </c>
      <c r="K27" s="105">
        <v>4</v>
      </c>
      <c r="L27" s="106">
        <f>IF(I27&lt;&gt;0,((VLOOKUP(I27,'1. Standard_Cost'!$B$4:$D$11,2)+VLOOKUP(I27,'1. Standard_Cost'!$B$4:$D$11,3))*J27*K27),"0")</f>
        <v>101000</v>
      </c>
      <c r="M27" s="106">
        <f>L27*'1. Standard_Cost'!$F$4</f>
        <v>16867</v>
      </c>
      <c r="N27" s="107">
        <v>4</v>
      </c>
      <c r="O27" s="107">
        <v>2</v>
      </c>
      <c r="P27" s="107">
        <v>20</v>
      </c>
      <c r="Q27" s="107"/>
      <c r="R27" s="108">
        <f>'1. Standard_Cost'!$B$15*N27*P27</f>
        <v>160000</v>
      </c>
      <c r="S27" s="108">
        <f>N27*O27*P27*'1. Standard_Cost'!$C$15</f>
        <v>240000</v>
      </c>
      <c r="T27" s="108">
        <f>N27*P27*Q27*'1. Standard_Cost'!$D$15</f>
        <v>0</v>
      </c>
      <c r="U27" s="108">
        <f>N27*O27*'1. Standard_Cost'!$E$15</f>
        <v>320000</v>
      </c>
      <c r="V27" s="107"/>
      <c r="W27" s="107"/>
      <c r="X27" s="107"/>
      <c r="Y27" s="108">
        <f>+V27*((X27*'1. Standard_Cost'!$B$19)+(W27*X27*'1. Standard_Cost'!$C$19))</f>
        <v>0</v>
      </c>
      <c r="Z27" s="107"/>
      <c r="AA27" s="107">
        <v>28</v>
      </c>
      <c r="AB27" s="108">
        <f>+Z27*'1. Standard_Cost'!$B$23+AA27*'1. Standard_Cost'!$C$23</f>
        <v>532000</v>
      </c>
      <c r="AC27" s="109">
        <v>470000</v>
      </c>
      <c r="AD27" s="110"/>
      <c r="AE27" s="108">
        <f>SUM(AD27,AC27,AB27,Y27,U27,T27,S27,R27)*'1. Standard_Cost'!$B$31</f>
        <v>344400</v>
      </c>
      <c r="AF27" s="108">
        <f t="shared" si="30"/>
        <v>2066400</v>
      </c>
      <c r="AG27" s="107"/>
      <c r="AH27" s="107"/>
      <c r="AI27" s="107"/>
      <c r="AJ27" s="111"/>
      <c r="AK27" s="111"/>
      <c r="AL27" s="111"/>
      <c r="AM27" s="108">
        <f>AG27*'1. Standard_Cost'!$B$27+'Incremental_Cost Year 2'!AH27*'1. Standard_Cost'!$C$27+'Incremental_Cost Year 2'!AI27*'1. Standard_Cost'!$D$27+'Incremental_Cost Year 2'!AJ27+'Incremental_Cost Year 2'!AL27+AK27</f>
        <v>0</v>
      </c>
      <c r="AN27" s="108">
        <f>AM27*'1. Standard_Cost'!$C$31</f>
        <v>0</v>
      </c>
      <c r="AO27" s="125" t="s">
        <v>284</v>
      </c>
      <c r="AQ27" s="14">
        <f t="shared" ref="AQ27:AQ29" si="33">L27+M27</f>
        <v>117867</v>
      </c>
      <c r="AR27" s="14">
        <f t="shared" si="31"/>
        <v>2066400</v>
      </c>
      <c r="AS27" s="14">
        <f t="shared" si="32"/>
        <v>0</v>
      </c>
      <c r="AT27" s="14">
        <f t="shared" ref="AT27:AT29" si="34">SUM(AQ27,AR27,AS27)</f>
        <v>2184267</v>
      </c>
      <c r="AU27" s="15">
        <v>62435</v>
      </c>
      <c r="AV27" s="15"/>
      <c r="AW27" s="15"/>
      <c r="AX27" s="15"/>
      <c r="AY27" s="15"/>
      <c r="AZ27" s="15">
        <v>2066400</v>
      </c>
      <c r="BA27" s="15">
        <v>62435</v>
      </c>
      <c r="BB27" s="16">
        <f t="shared" ref="BB27:BB29" si="35">SUM(AU27:BA27)-AT27</f>
        <v>7003</v>
      </c>
    </row>
    <row r="28" spans="1:56" ht="202.8" outlineLevel="2">
      <c r="A28" s="98"/>
      <c r="B28" s="143"/>
      <c r="C28" s="144"/>
      <c r="D28" s="290"/>
      <c r="E28" s="290"/>
      <c r="F28" s="290"/>
      <c r="G28" s="291"/>
      <c r="H28" s="302" t="s">
        <v>658</v>
      </c>
      <c r="I28" s="104" t="s">
        <v>5</v>
      </c>
      <c r="J28" s="105">
        <v>0.5</v>
      </c>
      <c r="K28" s="105">
        <v>4</v>
      </c>
      <c r="L28" s="106">
        <f>IF(I28&lt;&gt;0,((VLOOKUP(I28,'1. Standard_Cost'!$B$4:$D$11,2)+VLOOKUP(I28,'1. Standard_Cost'!$B$4:$D$11,3))*J28*K28),"0")</f>
        <v>141400</v>
      </c>
      <c r="M28" s="106">
        <f>L28*'1. Standard_Cost'!$F$4</f>
        <v>23613.800000000003</v>
      </c>
      <c r="N28" s="107"/>
      <c r="O28" s="107"/>
      <c r="P28" s="107"/>
      <c r="Q28" s="107"/>
      <c r="R28" s="108">
        <f>'1. Standard_Cost'!$B$15*N28*P28</f>
        <v>0</v>
      </c>
      <c r="S28" s="108">
        <f>N28*O28*P28*'1. Standard_Cost'!$C$15</f>
        <v>0</v>
      </c>
      <c r="T28" s="108">
        <f>N28*P28*Q28*'1. Standard_Cost'!$D$15</f>
        <v>0</v>
      </c>
      <c r="U28" s="108">
        <f>N28*O28*'1. Standard_Cost'!$E$15</f>
        <v>0</v>
      </c>
      <c r="V28" s="107"/>
      <c r="W28" s="107"/>
      <c r="X28" s="107"/>
      <c r="Y28" s="108">
        <f>+V28*((X28*'1. Standard_Cost'!$B$19)+(W28*X28*'1. Standard_Cost'!$C$19))</f>
        <v>0</v>
      </c>
      <c r="Z28" s="107"/>
      <c r="AA28" s="107"/>
      <c r="AB28" s="108">
        <f>+Z28*'1. Standard_Cost'!$B$23+AA28*'1. Standard_Cost'!$C$23</f>
        <v>0</v>
      </c>
      <c r="AC28" s="109">
        <v>3600000</v>
      </c>
      <c r="AD28" s="110"/>
      <c r="AE28" s="108">
        <f>SUM(AD28,AC28,AB28,Y28,U28,T28,S28,R28)*'1. Standard_Cost'!$B$31</f>
        <v>720000</v>
      </c>
      <c r="AF28" s="108">
        <f t="shared" si="30"/>
        <v>4320000</v>
      </c>
      <c r="AG28" s="107"/>
      <c r="AH28" s="107"/>
      <c r="AI28" s="107"/>
      <c r="AJ28" s="111"/>
      <c r="AK28" s="111"/>
      <c r="AL28" s="111"/>
      <c r="AM28" s="108">
        <f>AG28*'1. Standard_Cost'!$B$27+'Incremental_Cost Year 2'!AH28*'1. Standard_Cost'!$C$27+'Incremental_Cost Year 2'!AI28*'1. Standard_Cost'!$D$27+'Incremental_Cost Year 2'!AJ28+'Incremental_Cost Year 2'!AL28+AK28</f>
        <v>0</v>
      </c>
      <c r="AN28" s="108">
        <f>AM28*'1. Standard_Cost'!$C$31</f>
        <v>0</v>
      </c>
      <c r="AO28" s="125" t="s">
        <v>285</v>
      </c>
      <c r="AQ28" s="14">
        <f t="shared" si="33"/>
        <v>165013.79999999999</v>
      </c>
      <c r="AR28" s="14">
        <f t="shared" si="31"/>
        <v>4320000</v>
      </c>
      <c r="AS28" s="14">
        <f t="shared" si="32"/>
        <v>0</v>
      </c>
      <c r="AT28" s="14">
        <f t="shared" si="34"/>
        <v>4485013.8</v>
      </c>
      <c r="AU28" s="15">
        <v>165014</v>
      </c>
      <c r="AV28" s="15"/>
      <c r="AW28" s="15"/>
      <c r="AX28" s="15">
        <v>4320000</v>
      </c>
      <c r="AY28" s="15"/>
      <c r="AZ28" s="15"/>
      <c r="BA28" s="15"/>
      <c r="BB28" s="16">
        <f t="shared" si="35"/>
        <v>0.20000000018626451</v>
      </c>
    </row>
    <row r="29" spans="1:56" ht="93.6" outlineLevel="2">
      <c r="A29" s="98"/>
      <c r="B29" s="143"/>
      <c r="C29" s="144"/>
      <c r="D29" s="290"/>
      <c r="E29" s="290"/>
      <c r="F29" s="290"/>
      <c r="G29" s="291"/>
      <c r="H29" s="302" t="s">
        <v>588</v>
      </c>
      <c r="I29" s="104"/>
      <c r="J29" s="105"/>
      <c r="K29" s="105"/>
      <c r="L29" s="106" t="str">
        <f>IF(I29&lt;&gt;0,((VLOOKUP(I29,'1. Standard_Cost'!$B$4:$D$11,2)+VLOOKUP(I29,'1. Standard_Cost'!$B$4:$D$11,3))*J29*K29),"0")</f>
        <v>0</v>
      </c>
      <c r="M29" s="106">
        <f>L29*'1. Standard_Cost'!$F$4</f>
        <v>0</v>
      </c>
      <c r="N29" s="107"/>
      <c r="O29" s="107"/>
      <c r="P29" s="107"/>
      <c r="Q29" s="107"/>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107"/>
      <c r="AA29" s="107"/>
      <c r="AB29" s="108">
        <f>+Z29*'1. Standard_Cost'!$B$23+AA29*'1. Standard_Cost'!$C$23</f>
        <v>0</v>
      </c>
      <c r="AC29" s="109"/>
      <c r="AD29" s="110"/>
      <c r="AE29" s="108">
        <f>SUM(AD29,AC29,AB29,Y29,U29,T29,S29,R29)*'1. Standard_Cost'!$B$31</f>
        <v>0</v>
      </c>
      <c r="AF29" s="108">
        <f t="shared" si="30"/>
        <v>0</v>
      </c>
      <c r="AG29" s="107"/>
      <c r="AH29" s="107"/>
      <c r="AI29" s="107"/>
      <c r="AJ29" s="111"/>
      <c r="AK29" s="111">
        <v>1800000</v>
      </c>
      <c r="AL29" s="111"/>
      <c r="AM29" s="108">
        <f>AG29*'1. Standard_Cost'!$B$27+'Incremental_Cost Year 2'!AH29*'1. Standard_Cost'!$C$27+'Incremental_Cost Year 2'!AI29*'1. Standard_Cost'!$D$27+'Incremental_Cost Year 2'!AJ29+'Incremental_Cost Year 2'!AL29+AK29</f>
        <v>1800000</v>
      </c>
      <c r="AN29" s="108">
        <f>AM29*'1. Standard_Cost'!$C$31</f>
        <v>270000</v>
      </c>
      <c r="AO29" s="125" t="s">
        <v>286</v>
      </c>
      <c r="AQ29" s="14">
        <f t="shared" si="33"/>
        <v>0</v>
      </c>
      <c r="AR29" s="14">
        <f t="shared" si="31"/>
        <v>0</v>
      </c>
      <c r="AS29" s="14">
        <f t="shared" si="32"/>
        <v>2070000</v>
      </c>
      <c r="AT29" s="14">
        <f t="shared" si="34"/>
        <v>2070000</v>
      </c>
      <c r="AU29" s="15"/>
      <c r="AV29" s="15"/>
      <c r="AW29" s="15"/>
      <c r="AX29" s="15"/>
      <c r="AY29" s="15"/>
      <c r="AZ29" s="15"/>
      <c r="BA29" s="15"/>
      <c r="BB29" s="16">
        <f t="shared" si="35"/>
        <v>-2070000</v>
      </c>
    </row>
    <row r="30" spans="1:56" ht="78" outlineLevel="1">
      <c r="A30" s="98"/>
      <c r="B30" s="143"/>
      <c r="C30" s="144"/>
      <c r="D30" s="287" t="s">
        <v>627</v>
      </c>
      <c r="E30" s="287" t="s">
        <v>209</v>
      </c>
      <c r="F30" s="287">
        <v>2021</v>
      </c>
      <c r="G30" s="287">
        <v>2026</v>
      </c>
      <c r="H30" s="287" t="s">
        <v>191</v>
      </c>
      <c r="I30" s="112"/>
      <c r="J30" s="112"/>
      <c r="K30" s="112"/>
      <c r="L30" s="113">
        <f>SUM(L26:L29)</f>
        <v>242400</v>
      </c>
      <c r="M30" s="113">
        <f>SUM(M26:M29)</f>
        <v>40480.800000000003</v>
      </c>
      <c r="N30" s="112"/>
      <c r="O30" s="112"/>
      <c r="P30" s="112"/>
      <c r="Q30" s="112"/>
      <c r="R30" s="113">
        <f t="shared" ref="R30:U30" si="36">SUM(R26:R29)</f>
        <v>160000</v>
      </c>
      <c r="S30" s="113">
        <f t="shared" si="36"/>
        <v>240000</v>
      </c>
      <c r="T30" s="113">
        <f t="shared" si="36"/>
        <v>0</v>
      </c>
      <c r="U30" s="113">
        <f t="shared" si="36"/>
        <v>320000</v>
      </c>
      <c r="V30" s="112"/>
      <c r="W30" s="112"/>
      <c r="X30" s="112"/>
      <c r="Y30" s="113">
        <f>SUM(Y26:Y29)</f>
        <v>0</v>
      </c>
      <c r="Z30" s="112"/>
      <c r="AA30" s="112"/>
      <c r="AB30" s="113">
        <f t="shared" ref="AB30:AF30" si="37">SUM(AB26:AB29)</f>
        <v>532000</v>
      </c>
      <c r="AC30" s="113">
        <f t="shared" si="37"/>
        <v>4910000</v>
      </c>
      <c r="AD30" s="113">
        <f t="shared" si="37"/>
        <v>0</v>
      </c>
      <c r="AE30" s="113">
        <f t="shared" si="37"/>
        <v>1232400</v>
      </c>
      <c r="AF30" s="113">
        <f t="shared" si="37"/>
        <v>7394400</v>
      </c>
      <c r="AG30" s="112"/>
      <c r="AH30" s="112"/>
      <c r="AI30" s="112"/>
      <c r="AJ30" s="113">
        <f t="shared" ref="AJ30:AN30" si="38">SUM(AJ26:AJ29)</f>
        <v>0</v>
      </c>
      <c r="AK30" s="113">
        <f t="shared" si="38"/>
        <v>1800000</v>
      </c>
      <c r="AL30" s="113">
        <f t="shared" si="38"/>
        <v>0</v>
      </c>
      <c r="AM30" s="113">
        <f t="shared" si="38"/>
        <v>1800000</v>
      </c>
      <c r="AN30" s="113">
        <f t="shared" si="38"/>
        <v>270000</v>
      </c>
      <c r="AO30" s="131"/>
      <c r="AP30" s="17"/>
      <c r="AQ30" s="113">
        <f t="shared" ref="AQ30:BB30" si="39">SUM(AQ26:AQ29)</f>
        <v>282880.8</v>
      </c>
      <c r="AR30" s="113">
        <f t="shared" si="39"/>
        <v>7394400</v>
      </c>
      <c r="AS30" s="113">
        <f t="shared" si="39"/>
        <v>2070000</v>
      </c>
      <c r="AT30" s="113">
        <f t="shared" si="39"/>
        <v>9747280.8000000007</v>
      </c>
      <c r="AU30" s="113">
        <f t="shared" si="39"/>
        <v>227449</v>
      </c>
      <c r="AV30" s="113">
        <f t="shared" si="39"/>
        <v>0</v>
      </c>
      <c r="AW30" s="113">
        <f t="shared" si="39"/>
        <v>0</v>
      </c>
      <c r="AX30" s="113">
        <f t="shared" si="39"/>
        <v>4320000</v>
      </c>
      <c r="AY30" s="113">
        <f t="shared" si="39"/>
        <v>0</v>
      </c>
      <c r="AZ30" s="113">
        <f t="shared" si="39"/>
        <v>3074400</v>
      </c>
      <c r="BA30" s="113">
        <f t="shared" si="39"/>
        <v>62435</v>
      </c>
      <c r="BB30" s="113">
        <f t="shared" si="39"/>
        <v>-2062996.7999999998</v>
      </c>
    </row>
    <row r="31" spans="1:56" s="13" customFormat="1" ht="15.6" customHeight="1">
      <c r="A31" s="101"/>
      <c r="B31" s="319" t="s">
        <v>211</v>
      </c>
      <c r="C31" s="320"/>
      <c r="D31" s="320"/>
      <c r="E31" s="321"/>
      <c r="F31" s="292"/>
      <c r="G31" s="292"/>
      <c r="H31" s="292" t="s">
        <v>63</v>
      </c>
      <c r="I31" s="40"/>
      <c r="J31" s="40"/>
      <c r="K31" s="40"/>
      <c r="L31" s="41">
        <f>SUM(L32,L40,L80)</f>
        <v>15999455</v>
      </c>
      <c r="M31" s="41">
        <f>SUM(M32,M40,M80)</f>
        <v>2671908.9849999999</v>
      </c>
      <c r="N31" s="40"/>
      <c r="O31" s="40"/>
      <c r="P31" s="40"/>
      <c r="Q31" s="40"/>
      <c r="R31" s="41">
        <f t="shared" ref="R31:U31" si="40">SUM(R32,R40,R80)</f>
        <v>740000</v>
      </c>
      <c r="S31" s="41">
        <f t="shared" si="40"/>
        <v>720000</v>
      </c>
      <c r="T31" s="41">
        <f t="shared" si="40"/>
        <v>0</v>
      </c>
      <c r="U31" s="41">
        <f t="shared" si="40"/>
        <v>1040000</v>
      </c>
      <c r="V31" s="40"/>
      <c r="W31" s="40"/>
      <c r="X31" s="40"/>
      <c r="Y31" s="41">
        <f>SUM(Y32,Y40,Y80)</f>
        <v>0</v>
      </c>
      <c r="Z31" s="40"/>
      <c r="AA31" s="40"/>
      <c r="AB31" s="41">
        <f t="shared" ref="AB31:AF31" si="41">SUM(AB32,AB40,AB80)</f>
        <v>9679000</v>
      </c>
      <c r="AC31" s="41">
        <f t="shared" si="41"/>
        <v>38043533.439999998</v>
      </c>
      <c r="AD31" s="41">
        <f t="shared" si="41"/>
        <v>500000</v>
      </c>
      <c r="AE31" s="41">
        <f t="shared" si="41"/>
        <v>10144506.688000001</v>
      </c>
      <c r="AF31" s="41">
        <f t="shared" si="41"/>
        <v>60867040.127999999</v>
      </c>
      <c r="AG31" s="41"/>
      <c r="AH31" s="41"/>
      <c r="AI31" s="41"/>
      <c r="AJ31" s="41">
        <f t="shared" ref="AJ31:AN31" si="42">SUM(AJ32,AJ40,AJ80)</f>
        <v>4000000</v>
      </c>
      <c r="AK31" s="41">
        <f t="shared" si="42"/>
        <v>0</v>
      </c>
      <c r="AL31" s="41">
        <f t="shared" si="42"/>
        <v>12524000</v>
      </c>
      <c r="AM31" s="41">
        <f t="shared" si="42"/>
        <v>16524000</v>
      </c>
      <c r="AN31" s="41">
        <f t="shared" si="42"/>
        <v>2478600</v>
      </c>
      <c r="AO31" s="129"/>
      <c r="AQ31" s="41">
        <f t="shared" ref="AQ31:BB31" si="43">SUM(AQ32,AQ40,AQ80)</f>
        <v>18671363.984999999</v>
      </c>
      <c r="AR31" s="41">
        <f t="shared" si="43"/>
        <v>60867040.127999999</v>
      </c>
      <c r="AS31" s="41">
        <f t="shared" si="43"/>
        <v>19002600</v>
      </c>
      <c r="AT31" s="41">
        <f t="shared" si="43"/>
        <v>98541004.112999991</v>
      </c>
      <c r="AU31" s="41">
        <f t="shared" si="43"/>
        <v>34349740</v>
      </c>
      <c r="AV31" s="41">
        <f t="shared" si="43"/>
        <v>0</v>
      </c>
      <c r="AW31" s="41">
        <f t="shared" si="43"/>
        <v>0</v>
      </c>
      <c r="AX31" s="41">
        <f t="shared" si="43"/>
        <v>42110400</v>
      </c>
      <c r="AY31" s="41">
        <f t="shared" si="43"/>
        <v>0</v>
      </c>
      <c r="AZ31" s="41">
        <f t="shared" si="43"/>
        <v>1992600</v>
      </c>
      <c r="BA31" s="41">
        <f t="shared" si="43"/>
        <v>5712757</v>
      </c>
      <c r="BB31" s="41">
        <f t="shared" si="43"/>
        <v>-14375507.113</v>
      </c>
      <c r="BD31" s="5"/>
    </row>
    <row r="32" spans="1:56" s="13" customFormat="1" ht="15.6" customHeight="1">
      <c r="A32" s="101"/>
      <c r="B32" s="155"/>
      <c r="C32" s="322" t="s">
        <v>210</v>
      </c>
      <c r="D32" s="322"/>
      <c r="E32" s="323"/>
      <c r="F32" s="299"/>
      <c r="G32" s="299"/>
      <c r="H32" s="293" t="s">
        <v>181</v>
      </c>
      <c r="I32" s="37"/>
      <c r="J32" s="37"/>
      <c r="K32" s="37"/>
      <c r="L32" s="42">
        <f>SUM(L39)</f>
        <v>353500</v>
      </c>
      <c r="M32" s="42">
        <f>SUM(M39)</f>
        <v>59034.500000000007</v>
      </c>
      <c r="N32" s="42"/>
      <c r="O32" s="42"/>
      <c r="P32" s="42"/>
      <c r="Q32" s="42"/>
      <c r="R32" s="42">
        <f t="shared" ref="R32:U32" si="44">SUM(R39)</f>
        <v>0</v>
      </c>
      <c r="S32" s="42">
        <f t="shared" si="44"/>
        <v>0</v>
      </c>
      <c r="T32" s="42">
        <f t="shared" si="44"/>
        <v>0</v>
      </c>
      <c r="U32" s="42">
        <f t="shared" si="44"/>
        <v>0</v>
      </c>
      <c r="V32" s="42"/>
      <c r="W32" s="42"/>
      <c r="X32" s="42"/>
      <c r="Y32" s="42">
        <f>SUM(Y39)</f>
        <v>0</v>
      </c>
      <c r="Z32" s="42"/>
      <c r="AA32" s="42"/>
      <c r="AB32" s="42">
        <f t="shared" ref="AB32:AF32" si="45">SUM(AB39)</f>
        <v>475000</v>
      </c>
      <c r="AC32" s="42">
        <f t="shared" si="45"/>
        <v>14000000</v>
      </c>
      <c r="AD32" s="42">
        <f t="shared" si="45"/>
        <v>0</v>
      </c>
      <c r="AE32" s="42">
        <f t="shared" si="45"/>
        <v>2895000</v>
      </c>
      <c r="AF32" s="42">
        <f t="shared" si="45"/>
        <v>17370000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412534.5</v>
      </c>
      <c r="AR32" s="42">
        <f t="shared" si="47"/>
        <v>17370000</v>
      </c>
      <c r="AS32" s="42">
        <f t="shared" si="47"/>
        <v>0</v>
      </c>
      <c r="AT32" s="42">
        <f t="shared" si="47"/>
        <v>17782534.5</v>
      </c>
      <c r="AU32" s="42">
        <f t="shared" si="47"/>
        <v>412535</v>
      </c>
      <c r="AV32" s="42">
        <f t="shared" si="47"/>
        <v>0</v>
      </c>
      <c r="AW32" s="42">
        <f t="shared" si="47"/>
        <v>0</v>
      </c>
      <c r="AX32" s="42">
        <f t="shared" si="47"/>
        <v>14760000</v>
      </c>
      <c r="AY32" s="42">
        <f t="shared" si="47"/>
        <v>0</v>
      </c>
      <c r="AZ32" s="42">
        <f t="shared" si="47"/>
        <v>342000</v>
      </c>
      <c r="BA32" s="42">
        <f t="shared" si="47"/>
        <v>0</v>
      </c>
      <c r="BB32" s="42">
        <f t="shared" si="47"/>
        <v>-2267999.5</v>
      </c>
      <c r="BD32" s="5"/>
    </row>
    <row r="33" spans="1:56" ht="93.6" outlineLevel="2">
      <c r="A33" s="98"/>
      <c r="B33" s="143"/>
      <c r="C33" s="144"/>
      <c r="D33" s="149"/>
      <c r="E33" s="149"/>
      <c r="F33" s="288"/>
      <c r="G33" s="289"/>
      <c r="H33" s="302" t="s">
        <v>582</v>
      </c>
      <c r="I33" s="135"/>
      <c r="J33" s="136"/>
      <c r="K33" s="136"/>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107"/>
      <c r="AA33" s="107"/>
      <c r="AB33" s="108">
        <f>+Z33*'1. Standard_Cost'!$B$23+AA33*'1. Standard_Cost'!$C$23</f>
        <v>0</v>
      </c>
      <c r="AC33" s="109">
        <v>12300000</v>
      </c>
      <c r="AD33" s="110"/>
      <c r="AE33" s="108">
        <f>SUM(AD33,AC33,AB33,Y33,U33,T33,S33,R33)*'1. Standard_Cost'!$B$31</f>
        <v>2460000</v>
      </c>
      <c r="AF33" s="108">
        <f t="shared" ref="AF33:AF38" si="48">SUM(AE33,AD33,AC33,AB33,Y33,U33,T33,S33,R33)</f>
        <v>14760000</v>
      </c>
      <c r="AG33" s="107"/>
      <c r="AH33" s="107"/>
      <c r="AI33" s="107"/>
      <c r="AJ33" s="111"/>
      <c r="AK33" s="111"/>
      <c r="AL33" s="111"/>
      <c r="AM33" s="108">
        <f>AG33*'1. Standard_Cost'!$B$27+'Incremental_Cost Year 2'!AH33*'1. Standard_Cost'!$C$27+'Incremental_Cost Year 2'!AI33*'1. Standard_Cost'!$D$27+'Incremental_Cost Year 2'!AJ33+'Incremental_Cost Year 2'!AL33+AK33</f>
        <v>0</v>
      </c>
      <c r="AN33" s="108">
        <f>AM33*'1. Standard_Cost'!$C$31</f>
        <v>0</v>
      </c>
      <c r="AO33" s="125" t="s">
        <v>287</v>
      </c>
      <c r="AQ33" s="14">
        <f t="shared" ref="AQ33:AQ38" si="49">L33+M33</f>
        <v>0</v>
      </c>
      <c r="AR33" s="14">
        <f t="shared" ref="AR33:AR38" si="50">AF33</f>
        <v>14760000</v>
      </c>
      <c r="AS33" s="14">
        <f t="shared" ref="AS33:AS38" si="51">AM33+AN33</f>
        <v>0</v>
      </c>
      <c r="AT33" s="14">
        <f>SUM(AQ33,AR33,AS33)</f>
        <v>14760000</v>
      </c>
      <c r="AU33" s="234"/>
      <c r="AV33" s="234"/>
      <c r="AW33" s="234"/>
      <c r="AX33" s="234">
        <v>14760000</v>
      </c>
      <c r="AY33" s="234"/>
      <c r="AZ33" s="234"/>
      <c r="BA33" s="234"/>
      <c r="BB33" s="16">
        <f t="shared" ref="BB33:BB38" si="52">SUM(AU33:BA33)-AT33</f>
        <v>0</v>
      </c>
      <c r="BD33" s="13"/>
    </row>
    <row r="34" spans="1:56" ht="124.8" outlineLevel="2">
      <c r="A34" s="98"/>
      <c r="B34" s="143"/>
      <c r="C34" s="144"/>
      <c r="D34" s="290"/>
      <c r="E34" s="290"/>
      <c r="F34" s="290"/>
      <c r="G34" s="291"/>
      <c r="H34" s="302" t="s">
        <v>583</v>
      </c>
      <c r="I34" s="135" t="s">
        <v>5</v>
      </c>
      <c r="J34" s="136">
        <v>2</v>
      </c>
      <c r="K34" s="136">
        <v>2</v>
      </c>
      <c r="L34" s="106">
        <f>IF(I34&lt;&gt;0,((VLOOKUP(I34,'1. Standard_Cost'!$B$4:$D$11,2)+VLOOKUP(I34,'1. Standard_Cost'!$B$4:$D$11,3))*J34*K34),"0")</f>
        <v>282800</v>
      </c>
      <c r="M34" s="106">
        <f>L34*'1. Standard_Cost'!$F$4</f>
        <v>47227.600000000006</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107"/>
      <c r="AA34" s="107">
        <v>10</v>
      </c>
      <c r="AB34" s="108">
        <f>+Z34*'1. Standard_Cost'!$B$23+AA34*'1. Standard_Cost'!$C$23</f>
        <v>190000</v>
      </c>
      <c r="AC34" s="109"/>
      <c r="AD34" s="110"/>
      <c r="AE34" s="108">
        <f>SUM(AD34,AC34,AB34,Y34,U34,T34,S34,R34)*'1. Standard_Cost'!$B$31</f>
        <v>38000</v>
      </c>
      <c r="AF34" s="108">
        <f t="shared" si="48"/>
        <v>228000</v>
      </c>
      <c r="AG34" s="107"/>
      <c r="AH34" s="107"/>
      <c r="AI34" s="107"/>
      <c r="AJ34" s="111"/>
      <c r="AK34" s="111"/>
      <c r="AL34" s="111"/>
      <c r="AM34" s="108">
        <f>AG34*'1. Standard_Cost'!$B$27+'Incremental_Cost Year 2'!AH34*'1. Standard_Cost'!$C$27+'Incremental_Cost Year 2'!AI34*'1. Standard_Cost'!$D$27+'Incremental_Cost Year 2'!AJ34+'Incremental_Cost Year 2'!AL34+AK34</f>
        <v>0</v>
      </c>
      <c r="AN34" s="108">
        <f>AM34*'1. Standard_Cost'!$C$31</f>
        <v>0</v>
      </c>
      <c r="AO34" s="125" t="s">
        <v>288</v>
      </c>
      <c r="AQ34" s="14">
        <f t="shared" si="49"/>
        <v>330027.59999999998</v>
      </c>
      <c r="AR34" s="14">
        <f t="shared" si="50"/>
        <v>228000</v>
      </c>
      <c r="AS34" s="14">
        <f t="shared" si="51"/>
        <v>0</v>
      </c>
      <c r="AT34" s="14">
        <f t="shared" ref="AT34:AT38" si="53">SUM(AQ34,AR34,AS34)</f>
        <v>558027.6</v>
      </c>
      <c r="AU34" s="234">
        <v>330028</v>
      </c>
      <c r="AV34" s="234"/>
      <c r="AW34" s="234"/>
      <c r="AX34" s="234"/>
      <c r="AY34" s="234"/>
      <c r="AZ34" s="234"/>
      <c r="BA34" s="234"/>
      <c r="BB34" s="16">
        <f t="shared" si="52"/>
        <v>-227999.59999999998</v>
      </c>
      <c r="BD34" s="13"/>
    </row>
    <row r="35" spans="1:56" ht="78" outlineLevel="2">
      <c r="A35" s="98"/>
      <c r="B35" s="143"/>
      <c r="C35" s="144"/>
      <c r="D35" s="290"/>
      <c r="E35" s="290"/>
      <c r="F35" s="290"/>
      <c r="G35" s="291"/>
      <c r="H35" s="302" t="s">
        <v>672</v>
      </c>
      <c r="I35" s="104"/>
      <c r="J35" s="105"/>
      <c r="K35" s="105"/>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107"/>
      <c r="AA35" s="107"/>
      <c r="AB35" s="108">
        <f>+Z35*'1. Standard_Cost'!$B$23+AA35*'1. Standard_Cost'!$C$23</f>
        <v>0</v>
      </c>
      <c r="AC35" s="109"/>
      <c r="AD35" s="110"/>
      <c r="AE35" s="108">
        <f>SUM(AD35,AC35,AB35,Y35,U35,T35,S35,R35)*'1. Standard_Cost'!$B$31</f>
        <v>0</v>
      </c>
      <c r="AF35" s="108">
        <f t="shared" si="48"/>
        <v>0</v>
      </c>
      <c r="AG35" s="107"/>
      <c r="AH35" s="107"/>
      <c r="AI35" s="107"/>
      <c r="AJ35" s="111"/>
      <c r="AK35" s="111"/>
      <c r="AL35" s="111"/>
      <c r="AM35" s="108">
        <f>AG35*'1. Standard_Cost'!$B$27+'Incremental_Cost Year 2'!AH35*'1. Standard_Cost'!$C$27+'Incremental_Cost Year 2'!AI35*'1. Standard_Cost'!$D$27+'Incremental_Cost Year 2'!AJ35+'Incremental_Cost Year 2'!AL35+AK35</f>
        <v>0</v>
      </c>
      <c r="AN35" s="108">
        <f>AM35*'1. Standard_Cost'!$C$31</f>
        <v>0</v>
      </c>
      <c r="AO35" s="125" t="s">
        <v>289</v>
      </c>
      <c r="AQ35" s="14">
        <f t="shared" si="49"/>
        <v>0</v>
      </c>
      <c r="AR35" s="14">
        <f t="shared" si="50"/>
        <v>0</v>
      </c>
      <c r="AS35" s="14">
        <f t="shared" si="51"/>
        <v>0</v>
      </c>
      <c r="AT35" s="14">
        <f t="shared" si="53"/>
        <v>0</v>
      </c>
      <c r="AU35" s="234"/>
      <c r="AV35" s="234"/>
      <c r="AW35" s="234"/>
      <c r="AX35" s="234"/>
      <c r="AY35" s="234"/>
      <c r="AZ35" s="234"/>
      <c r="BA35" s="234"/>
      <c r="BB35" s="16">
        <f t="shared" si="52"/>
        <v>0</v>
      </c>
    </row>
    <row r="36" spans="1:56" ht="124.8" outlineLevel="2">
      <c r="A36" s="98"/>
      <c r="B36" s="143"/>
      <c r="C36" s="144"/>
      <c r="D36" s="290"/>
      <c r="E36" s="290"/>
      <c r="F36" s="290"/>
      <c r="G36" s="291"/>
      <c r="H36" s="302" t="s">
        <v>584</v>
      </c>
      <c r="I36" s="135" t="s">
        <v>5</v>
      </c>
      <c r="J36" s="136">
        <v>0.5</v>
      </c>
      <c r="K36" s="136">
        <v>2</v>
      </c>
      <c r="L36" s="106">
        <f>IF(I36&lt;&gt;0,((VLOOKUP(I36,'1. Standard_Cost'!$B$4:$D$11,2)+VLOOKUP(I36,'1. Standard_Cost'!$B$4:$D$11,3))*J36*K36),"0")</f>
        <v>70700</v>
      </c>
      <c r="M36" s="106">
        <f>L36*'1. Standard_Cost'!$F$4</f>
        <v>11806.900000000001</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107"/>
      <c r="AA36" s="107">
        <v>15</v>
      </c>
      <c r="AB36" s="108">
        <f>+Z36*'1. Standard_Cost'!$B$23+AA36*'1. Standard_Cost'!$C$23</f>
        <v>285000</v>
      </c>
      <c r="AC36" s="109"/>
      <c r="AD36" s="110"/>
      <c r="AE36" s="108">
        <f>SUM(AD36,AC36,AB36,Y36,U36,T36,S36,R36)*'1. Standard_Cost'!$B$31</f>
        <v>57000</v>
      </c>
      <c r="AF36" s="108">
        <f t="shared" si="48"/>
        <v>342000</v>
      </c>
      <c r="AG36" s="107"/>
      <c r="AH36" s="107"/>
      <c r="AI36" s="107"/>
      <c r="AJ36" s="111"/>
      <c r="AK36" s="111"/>
      <c r="AL36" s="111"/>
      <c r="AM36" s="108">
        <f>AG36*'1. Standard_Cost'!$B$27+'Incremental_Cost Year 2'!AH36*'1. Standard_Cost'!$C$27+'Incremental_Cost Year 2'!AI36*'1. Standard_Cost'!$D$27+'Incremental_Cost Year 2'!AJ36+'Incremental_Cost Year 2'!AL36+AK36</f>
        <v>0</v>
      </c>
      <c r="AN36" s="108">
        <f>AM36*'1. Standard_Cost'!$C$31</f>
        <v>0</v>
      </c>
      <c r="AO36" s="125" t="s">
        <v>290</v>
      </c>
      <c r="AQ36" s="14">
        <f t="shared" si="49"/>
        <v>82506.899999999994</v>
      </c>
      <c r="AR36" s="14">
        <f t="shared" si="50"/>
        <v>342000</v>
      </c>
      <c r="AS36" s="14">
        <f t="shared" si="51"/>
        <v>0</v>
      </c>
      <c r="AT36" s="14">
        <f t="shared" si="53"/>
        <v>424506.9</v>
      </c>
      <c r="AU36" s="234">
        <v>82507</v>
      </c>
      <c r="AV36" s="234"/>
      <c r="AW36" s="234"/>
      <c r="AX36" s="234"/>
      <c r="AY36" s="234"/>
      <c r="AZ36" s="234">
        <v>342000</v>
      </c>
      <c r="BA36" s="234"/>
      <c r="BB36" s="16">
        <f t="shared" si="52"/>
        <v>9.9999999976716936E-2</v>
      </c>
    </row>
    <row r="37" spans="1:56" ht="124.8" outlineLevel="2">
      <c r="A37" s="98"/>
      <c r="B37" s="143"/>
      <c r="C37" s="144"/>
      <c r="D37" s="290"/>
      <c r="E37" s="290"/>
      <c r="F37" s="290"/>
      <c r="G37" s="291"/>
      <c r="H37" s="302" t="s">
        <v>673</v>
      </c>
      <c r="I37" s="104"/>
      <c r="J37" s="105"/>
      <c r="K37" s="105"/>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107"/>
      <c r="AA37" s="107"/>
      <c r="AB37" s="108">
        <f>+Z37*'1. Standard_Cost'!$B$23+AA37*'1. Standard_Cost'!$C$23</f>
        <v>0</v>
      </c>
      <c r="AC37" s="109"/>
      <c r="AD37" s="110"/>
      <c r="AE37" s="108">
        <f>SUM(AD37,AC37,AB37,Y37,U37,T37,S37,R37)*'1. Standard_Cost'!$B$31</f>
        <v>0</v>
      </c>
      <c r="AF37" s="108">
        <f t="shared" si="48"/>
        <v>0</v>
      </c>
      <c r="AG37" s="107"/>
      <c r="AH37" s="107"/>
      <c r="AI37" s="107"/>
      <c r="AJ37" s="111"/>
      <c r="AK37" s="111"/>
      <c r="AL37" s="111"/>
      <c r="AM37" s="108">
        <f>AG37*'1. Standard_Cost'!$B$27+'Incremental_Cost Year 2'!AH37*'1. Standard_Cost'!$C$27+'Incremental_Cost Year 2'!AI37*'1. Standard_Cost'!$D$27+'Incremental_Cost Year 2'!AJ37+'Incremental_Cost Year 2'!AL37+AK37</f>
        <v>0</v>
      </c>
      <c r="AN37" s="108">
        <f>AM37*'1. Standard_Cost'!$C$31</f>
        <v>0</v>
      </c>
      <c r="AO37" s="125" t="s">
        <v>291</v>
      </c>
      <c r="AQ37" s="14">
        <f t="shared" si="49"/>
        <v>0</v>
      </c>
      <c r="AR37" s="14">
        <f t="shared" si="50"/>
        <v>0</v>
      </c>
      <c r="AS37" s="14">
        <f t="shared" si="51"/>
        <v>0</v>
      </c>
      <c r="AT37" s="14">
        <f t="shared" si="53"/>
        <v>0</v>
      </c>
      <c r="AU37" s="234"/>
      <c r="AV37" s="234"/>
      <c r="AW37" s="234"/>
      <c r="AX37" s="234"/>
      <c r="AY37" s="234"/>
      <c r="AZ37" s="234"/>
      <c r="BA37" s="234"/>
      <c r="BB37" s="16">
        <f t="shared" si="52"/>
        <v>0</v>
      </c>
    </row>
    <row r="38" spans="1:56" ht="78" outlineLevel="2">
      <c r="A38" s="98"/>
      <c r="B38" s="143"/>
      <c r="C38" s="144"/>
      <c r="D38" s="290"/>
      <c r="E38" s="290"/>
      <c r="F38" s="290"/>
      <c r="G38" s="291"/>
      <c r="H38" s="302" t="s">
        <v>585</v>
      </c>
      <c r="I38" s="104"/>
      <c r="J38" s="105"/>
      <c r="K38" s="105"/>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107"/>
      <c r="AA38" s="107"/>
      <c r="AB38" s="108">
        <f>+Z38*'1. Standard_Cost'!$B$23+AA38*'1. Standard_Cost'!$C$23</f>
        <v>0</v>
      </c>
      <c r="AC38" s="109">
        <v>1700000</v>
      </c>
      <c r="AD38" s="110"/>
      <c r="AE38" s="108">
        <f>SUM(AD38,AC38,AB38,Y38,U38,T38,S38,R38)*'1. Standard_Cost'!$B$31</f>
        <v>340000</v>
      </c>
      <c r="AF38" s="108">
        <f t="shared" si="48"/>
        <v>2040000</v>
      </c>
      <c r="AG38" s="107"/>
      <c r="AH38" s="107"/>
      <c r="AI38" s="107"/>
      <c r="AJ38" s="111"/>
      <c r="AK38" s="111"/>
      <c r="AL38" s="111"/>
      <c r="AM38" s="108">
        <f>AG38*'1. Standard_Cost'!$B$27+'Incremental_Cost Year 2'!AH38*'1. Standard_Cost'!$C$27+'Incremental_Cost Year 2'!AI38*'1. Standard_Cost'!$D$27+'Incremental_Cost Year 2'!AJ38+'Incremental_Cost Year 2'!AL38+AK38</f>
        <v>0</v>
      </c>
      <c r="AN38" s="108">
        <f>AM38*'1. Standard_Cost'!$C$31</f>
        <v>0</v>
      </c>
      <c r="AO38" s="125" t="s">
        <v>292</v>
      </c>
      <c r="AQ38" s="14">
        <f t="shared" si="49"/>
        <v>0</v>
      </c>
      <c r="AR38" s="14">
        <f t="shared" si="50"/>
        <v>2040000</v>
      </c>
      <c r="AS38" s="14">
        <f t="shared" si="51"/>
        <v>0</v>
      </c>
      <c r="AT38" s="14">
        <f t="shared" si="53"/>
        <v>2040000</v>
      </c>
      <c r="AU38" s="234"/>
      <c r="AV38" s="234"/>
      <c r="AW38" s="234"/>
      <c r="AX38" s="234"/>
      <c r="AY38" s="234"/>
      <c r="AZ38" s="234"/>
      <c r="BA38" s="234"/>
      <c r="BB38" s="16">
        <f t="shared" si="52"/>
        <v>-2040000</v>
      </c>
    </row>
    <row r="39" spans="1:56" ht="156" outlineLevel="1">
      <c r="A39" s="98"/>
      <c r="B39" s="143"/>
      <c r="C39" s="144"/>
      <c r="D39" s="145" t="s">
        <v>628</v>
      </c>
      <c r="E39" s="145" t="s">
        <v>212</v>
      </c>
      <c r="F39" s="285">
        <v>2021</v>
      </c>
      <c r="G39" s="286">
        <v>2026</v>
      </c>
      <c r="H39" s="287" t="s">
        <v>214</v>
      </c>
      <c r="I39" s="112"/>
      <c r="J39" s="112"/>
      <c r="K39" s="112"/>
      <c r="L39" s="113">
        <f>SUM(L33:L38)</f>
        <v>353500</v>
      </c>
      <c r="M39" s="113">
        <f>SUM(M33:M38)</f>
        <v>59034.500000000007</v>
      </c>
      <c r="N39" s="112"/>
      <c r="O39" s="112"/>
      <c r="P39" s="112"/>
      <c r="Q39" s="112"/>
      <c r="R39" s="113">
        <f t="shared" ref="R39:U39" si="54">SUM(R33:R38)</f>
        <v>0</v>
      </c>
      <c r="S39" s="113">
        <f t="shared" si="54"/>
        <v>0</v>
      </c>
      <c r="T39" s="113">
        <f t="shared" si="54"/>
        <v>0</v>
      </c>
      <c r="U39" s="113">
        <f t="shared" si="54"/>
        <v>0</v>
      </c>
      <c r="V39" s="112"/>
      <c r="W39" s="112"/>
      <c r="X39" s="112"/>
      <c r="Y39" s="113">
        <f>SUM(Y33:Y38)</f>
        <v>0</v>
      </c>
      <c r="Z39" s="112"/>
      <c r="AA39" s="112"/>
      <c r="AB39" s="113">
        <f>SUM(AB33:AB38)</f>
        <v>475000</v>
      </c>
      <c r="AC39" s="113">
        <f t="shared" ref="AC39:AF39" si="55">SUM(AC33:AC38)</f>
        <v>14000000</v>
      </c>
      <c r="AD39" s="113">
        <f t="shared" si="55"/>
        <v>0</v>
      </c>
      <c r="AE39" s="113">
        <f t="shared" si="55"/>
        <v>2895000</v>
      </c>
      <c r="AF39" s="113">
        <f t="shared" si="55"/>
        <v>17370000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412534.5</v>
      </c>
      <c r="AR39" s="113">
        <f t="shared" si="57"/>
        <v>17370000</v>
      </c>
      <c r="AS39" s="113">
        <f t="shared" si="57"/>
        <v>0</v>
      </c>
      <c r="AT39" s="113">
        <f t="shared" si="57"/>
        <v>17782534.5</v>
      </c>
      <c r="AU39" s="113">
        <f t="shared" si="57"/>
        <v>412535</v>
      </c>
      <c r="AV39" s="113">
        <f t="shared" si="57"/>
        <v>0</v>
      </c>
      <c r="AW39" s="113">
        <f t="shared" si="57"/>
        <v>0</v>
      </c>
      <c r="AX39" s="113">
        <f t="shared" si="57"/>
        <v>14760000</v>
      </c>
      <c r="AY39" s="113">
        <f t="shared" si="57"/>
        <v>0</v>
      </c>
      <c r="AZ39" s="113">
        <f t="shared" si="57"/>
        <v>342000</v>
      </c>
      <c r="BA39" s="113">
        <f t="shared" si="57"/>
        <v>0</v>
      </c>
      <c r="BB39" s="113">
        <f t="shared" si="57"/>
        <v>-2267999.5</v>
      </c>
    </row>
    <row r="40" spans="1:56" s="24" customFormat="1" ht="13.8" customHeight="1">
      <c r="A40" s="114"/>
      <c r="B40" s="115"/>
      <c r="C40" s="314" t="s">
        <v>192</v>
      </c>
      <c r="D40" s="314"/>
      <c r="E40" s="315"/>
      <c r="F40" s="246"/>
      <c r="G40" s="246"/>
      <c r="H40" s="278" t="s">
        <v>184</v>
      </c>
      <c r="I40" s="116"/>
      <c r="J40" s="116"/>
      <c r="K40" s="116"/>
      <c r="L40" s="117">
        <f>SUM(L59,L79)</f>
        <v>15418780</v>
      </c>
      <c r="M40" s="117">
        <f>SUM(M59,M79)</f>
        <v>2574936.2599999998</v>
      </c>
      <c r="N40" s="116"/>
      <c r="O40" s="116"/>
      <c r="P40" s="116"/>
      <c r="Q40" s="116"/>
      <c r="R40" s="117">
        <f t="shared" ref="R40:U40" si="58">SUM(R59,R79)</f>
        <v>390000</v>
      </c>
      <c r="S40" s="117">
        <f t="shared" si="58"/>
        <v>315000</v>
      </c>
      <c r="T40" s="117">
        <f t="shared" si="58"/>
        <v>0</v>
      </c>
      <c r="U40" s="117">
        <f t="shared" si="58"/>
        <v>560000</v>
      </c>
      <c r="V40" s="116"/>
      <c r="W40" s="116"/>
      <c r="X40" s="116"/>
      <c r="Y40" s="117">
        <f>SUM(Y59,Y79)</f>
        <v>0</v>
      </c>
      <c r="Z40" s="116"/>
      <c r="AA40" s="116"/>
      <c r="AB40" s="117">
        <f t="shared" ref="AB40:AF40" si="59">SUM(AB59,AB79)</f>
        <v>5567000</v>
      </c>
      <c r="AC40" s="117">
        <f t="shared" si="59"/>
        <v>15624533.439999999</v>
      </c>
      <c r="AD40" s="117">
        <f t="shared" si="59"/>
        <v>500000</v>
      </c>
      <c r="AE40" s="117">
        <f t="shared" si="59"/>
        <v>4591306.6880000001</v>
      </c>
      <c r="AF40" s="117">
        <f t="shared" si="59"/>
        <v>27547840.127999999</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17993716.259999998</v>
      </c>
      <c r="AR40" s="117">
        <f t="shared" si="61"/>
        <v>27547840.127999999</v>
      </c>
      <c r="AS40" s="117">
        <f t="shared" si="61"/>
        <v>0</v>
      </c>
      <c r="AT40" s="117">
        <f t="shared" si="61"/>
        <v>45541556.387999997</v>
      </c>
      <c r="AU40" s="117">
        <f t="shared" si="61"/>
        <v>27117092</v>
      </c>
      <c r="AV40" s="117">
        <f t="shared" si="61"/>
        <v>0</v>
      </c>
      <c r="AW40" s="117">
        <f t="shared" si="61"/>
        <v>0</v>
      </c>
      <c r="AX40" s="117">
        <f t="shared" si="61"/>
        <v>912000</v>
      </c>
      <c r="AY40" s="117">
        <f t="shared" si="61"/>
        <v>0</v>
      </c>
      <c r="AZ40" s="117">
        <f t="shared" si="61"/>
        <v>1650600</v>
      </c>
      <c r="BA40" s="117">
        <f t="shared" si="61"/>
        <v>5712757</v>
      </c>
      <c r="BB40" s="117">
        <f t="shared" si="61"/>
        <v>-10149107.388</v>
      </c>
      <c r="BD40" s="5"/>
    </row>
    <row r="41" spans="1:56" ht="93.6" outlineLevel="2">
      <c r="A41" s="98"/>
      <c r="B41" s="102"/>
      <c r="C41" s="23"/>
      <c r="D41" s="257"/>
      <c r="E41" s="257"/>
      <c r="F41" s="251"/>
      <c r="G41" s="250"/>
      <c r="H41" s="302" t="s">
        <v>589</v>
      </c>
      <c r="I41" s="258" t="s">
        <v>2</v>
      </c>
      <c r="J41" s="259">
        <v>1</v>
      </c>
      <c r="K41" s="259">
        <v>7</v>
      </c>
      <c r="L41" s="106">
        <f>IF(I41&lt;&gt;0,((VLOOKUP(I41,'1. Standard_Cost'!$B$4:$D$11,2)+VLOOKUP(I41,'1. Standard_Cost'!$B$4:$D$11,3))*J41*K41),"0")</f>
        <v>847000</v>
      </c>
      <c r="M41" s="106">
        <f>L41*'1. Standard_Cost'!$F$4</f>
        <v>141449</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260"/>
      <c r="AA41" s="260"/>
      <c r="AB41" s="108">
        <f>+Z41*'1. Standard_Cost'!$B$23+AA41*'1. Standard_Cost'!$C$23</f>
        <v>0</v>
      </c>
      <c r="AC41" s="261">
        <v>99000</v>
      </c>
      <c r="AD41" s="262"/>
      <c r="AE41" s="108">
        <f>SUM(AD41,AC41,AB41,Y41,U41,T41,S41,R41)*'1. Standard_Cost'!$B$31</f>
        <v>19800</v>
      </c>
      <c r="AF41" s="108">
        <f t="shared" ref="AF41:AF58" si="62">SUM(AE41,AD41,AC41,AB41,Y41,U41,T41,S41,R41)</f>
        <v>118800</v>
      </c>
      <c r="AG41" s="260"/>
      <c r="AH41" s="260"/>
      <c r="AI41" s="260"/>
      <c r="AJ41" s="263"/>
      <c r="AK41" s="263"/>
      <c r="AL41" s="263"/>
      <c r="AM41" s="108">
        <f>AG41*'1. Standard_Cost'!$B$27+'Incremental_Cost Year 2'!AH41*'1. Standard_Cost'!$C$27+'Incremental_Cost Year 2'!AI41*'1. Standard_Cost'!$D$27+'Incremental_Cost Year 2'!AJ41+'Incremental_Cost Year 2'!AL41+AK41</f>
        <v>0</v>
      </c>
      <c r="AN41" s="108">
        <f>AM41*'1. Standard_Cost'!$C$31</f>
        <v>0</v>
      </c>
      <c r="AO41" s="125" t="s">
        <v>293</v>
      </c>
      <c r="AQ41" s="14">
        <f t="shared" ref="AQ41:AQ58" si="63">L41+M41</f>
        <v>988449</v>
      </c>
      <c r="AR41" s="14">
        <f t="shared" ref="AR41:AR58" si="64">AF41</f>
        <v>118800</v>
      </c>
      <c r="AS41" s="14">
        <f t="shared" ref="AS41:AS58" si="65">AM41+AN41</f>
        <v>0</v>
      </c>
      <c r="AT41" s="14">
        <f>SUM(AQ41,AR41,AS41)</f>
        <v>1107249</v>
      </c>
      <c r="AU41" s="234">
        <v>1107249</v>
      </c>
      <c r="AV41" s="234"/>
      <c r="AW41" s="234"/>
      <c r="AX41" s="234"/>
      <c r="AY41" s="234"/>
      <c r="AZ41" s="234"/>
      <c r="BA41" s="234"/>
      <c r="BB41" s="16">
        <f t="shared" ref="BB41:BB58" si="66">SUM(AU41:BA41)-AT41</f>
        <v>0</v>
      </c>
    </row>
    <row r="42" spans="1:56" ht="109.2" outlineLevel="2">
      <c r="A42" s="98"/>
      <c r="B42" s="102"/>
      <c r="C42" s="23"/>
      <c r="D42" s="251"/>
      <c r="E42" s="251"/>
      <c r="F42" s="251"/>
      <c r="G42" s="250"/>
      <c r="H42" s="302" t="s">
        <v>590</v>
      </c>
      <c r="I42" s="258" t="s">
        <v>2</v>
      </c>
      <c r="J42" s="259">
        <v>0.6</v>
      </c>
      <c r="K42" s="259">
        <v>9</v>
      </c>
      <c r="L42" s="106">
        <f>IF(I42&lt;&gt;0,((VLOOKUP(I42,'1. Standard_Cost'!$B$4:$D$11,2)+VLOOKUP(I42,'1. Standard_Cost'!$B$4:$D$11,3))*J42*K42),"0")</f>
        <v>653400</v>
      </c>
      <c r="M42" s="106">
        <f>L42*'1. Standard_Cost'!$F$4</f>
        <v>109117.8</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260"/>
      <c r="AA42" s="260"/>
      <c r="AB42" s="108">
        <f>+Z42*'1. Standard_Cost'!$B$23+AA42*'1. Standard_Cost'!$C$23</f>
        <v>0</v>
      </c>
      <c r="AC42" s="261">
        <v>76200</v>
      </c>
      <c r="AD42" s="262"/>
      <c r="AE42" s="108">
        <f>SUM(AD42,AC42,AB42,Y42,U42,T42,S42,R42)*'1. Standard_Cost'!$B$31</f>
        <v>15240</v>
      </c>
      <c r="AF42" s="108">
        <f t="shared" si="62"/>
        <v>91440</v>
      </c>
      <c r="AG42" s="260"/>
      <c r="AH42" s="260"/>
      <c r="AI42" s="260"/>
      <c r="AJ42" s="263"/>
      <c r="AK42" s="263"/>
      <c r="AL42" s="263"/>
      <c r="AM42" s="108">
        <f>AG42*'1. Standard_Cost'!$B$27+'Incremental_Cost Year 2'!AH42*'1. Standard_Cost'!$C$27+'Incremental_Cost Year 2'!AI42*'1. Standard_Cost'!$D$27+'Incremental_Cost Year 2'!AJ42+'Incremental_Cost Year 2'!AL42+AK42</f>
        <v>0</v>
      </c>
      <c r="AN42" s="108">
        <f>AM42*'1. Standard_Cost'!$C$31</f>
        <v>0</v>
      </c>
      <c r="AO42" s="125" t="s">
        <v>294</v>
      </c>
      <c r="AQ42" s="14">
        <f t="shared" si="63"/>
        <v>762517.8</v>
      </c>
      <c r="AR42" s="14">
        <f t="shared" si="64"/>
        <v>91440</v>
      </c>
      <c r="AS42" s="14">
        <f t="shared" si="65"/>
        <v>0</v>
      </c>
      <c r="AT42" s="14">
        <f t="shared" ref="AT42:AT57" si="67">SUM(AQ42,AR42,AS42)</f>
        <v>853957.8</v>
      </c>
      <c r="AU42" s="234">
        <v>853958</v>
      </c>
      <c r="AV42" s="234">
        <v>0</v>
      </c>
      <c r="AW42" s="234"/>
      <c r="AX42" s="234"/>
      <c r="AY42" s="234"/>
      <c r="AZ42" s="234"/>
      <c r="BA42" s="234"/>
      <c r="BB42" s="16">
        <f t="shared" si="66"/>
        <v>0.19999999995343387</v>
      </c>
      <c r="BD42" s="24"/>
    </row>
    <row r="43" spans="1:56" ht="124.8" outlineLevel="2">
      <c r="A43" s="98"/>
      <c r="B43" s="102"/>
      <c r="C43" s="23"/>
      <c r="D43" s="251"/>
      <c r="E43" s="251"/>
      <c r="F43" s="251"/>
      <c r="G43" s="250"/>
      <c r="H43" s="302" t="s">
        <v>591</v>
      </c>
      <c r="I43" s="258" t="s">
        <v>2</v>
      </c>
      <c r="J43" s="259">
        <v>1.2</v>
      </c>
      <c r="K43" s="259">
        <v>7</v>
      </c>
      <c r="L43" s="106">
        <f>IF(I43&lt;&gt;0,((VLOOKUP(I43,'1. Standard_Cost'!$B$4:$D$11,2)+VLOOKUP(I43,'1. Standard_Cost'!$B$4:$D$11,3))*J43*K43),"0")</f>
        <v>1016400</v>
      </c>
      <c r="M43" s="106">
        <f>L43*'1. Standard_Cost'!$F$4</f>
        <v>169738.80000000002</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260"/>
      <c r="AA43" s="260">
        <v>20</v>
      </c>
      <c r="AB43" s="108">
        <f>+Z43*'1. Standard_Cost'!$B$23+AA43*'1. Standard_Cost'!$C$23</f>
        <v>380000</v>
      </c>
      <c r="AC43" s="261">
        <v>142337</v>
      </c>
      <c r="AD43" s="262"/>
      <c r="AE43" s="108">
        <f>SUM(AD43,AC43,AB43,Y43,U43,T43,S43,R43)*'1. Standard_Cost'!$B$31</f>
        <v>104467.40000000001</v>
      </c>
      <c r="AF43" s="108">
        <f t="shared" si="62"/>
        <v>626804.4</v>
      </c>
      <c r="AG43" s="260"/>
      <c r="AH43" s="260"/>
      <c r="AI43" s="260"/>
      <c r="AJ43" s="263"/>
      <c r="AK43" s="263"/>
      <c r="AL43" s="263"/>
      <c r="AM43" s="108">
        <f>AG43*'1. Standard_Cost'!$B$27+'Incremental_Cost Year 2'!AH43*'1. Standard_Cost'!$C$27+'Incremental_Cost Year 2'!AI43*'1. Standard_Cost'!$D$27+'Incremental_Cost Year 2'!AJ43+'Incremental_Cost Year 2'!AL43+AK43</f>
        <v>0</v>
      </c>
      <c r="AN43" s="108">
        <f>AM43*'1. Standard_Cost'!$C$31</f>
        <v>0</v>
      </c>
      <c r="AO43" s="125" t="s">
        <v>295</v>
      </c>
      <c r="AQ43" s="14">
        <f t="shared" si="63"/>
        <v>1186138.8</v>
      </c>
      <c r="AR43" s="14">
        <f t="shared" si="64"/>
        <v>626804.4</v>
      </c>
      <c r="AS43" s="14">
        <f t="shared" si="65"/>
        <v>0</v>
      </c>
      <c r="AT43" s="14">
        <f t="shared" si="67"/>
        <v>1812943.2000000002</v>
      </c>
      <c r="AU43" s="234">
        <v>1356943</v>
      </c>
      <c r="AV43" s="234">
        <v>0</v>
      </c>
      <c r="AW43" s="234"/>
      <c r="AX43" s="234"/>
      <c r="AY43" s="234"/>
      <c r="AZ43" s="234"/>
      <c r="BA43" s="234"/>
      <c r="BB43" s="16">
        <f t="shared" si="66"/>
        <v>-456000.20000000019</v>
      </c>
    </row>
    <row r="44" spans="1:56" ht="82.8" outlineLevel="2">
      <c r="A44" s="98"/>
      <c r="B44" s="102"/>
      <c r="C44" s="23"/>
      <c r="D44" s="251"/>
      <c r="E44" s="251"/>
      <c r="F44" s="172"/>
      <c r="G44" s="173"/>
      <c r="H44" s="302" t="s">
        <v>674</v>
      </c>
      <c r="I44" s="258"/>
      <c r="J44" s="259"/>
      <c r="K44" s="259"/>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62"/>
        <v>0</v>
      </c>
      <c r="AG44" s="260"/>
      <c r="AH44" s="260"/>
      <c r="AI44" s="260"/>
      <c r="AJ44" s="263"/>
      <c r="AK44" s="263"/>
      <c r="AL44" s="263"/>
      <c r="AM44" s="108">
        <f>AG44*'1. Standard_Cost'!$B$27+'Incremental_Cost Year 2'!AH44*'1. Standard_Cost'!$C$27+'Incremental_Cost Year 2'!AI44*'1. Standard_Cost'!$D$27+'Incremental_Cost Year 2'!AJ44+'Incremental_Cost Year 2'!AL44+AK44</f>
        <v>0</v>
      </c>
      <c r="AN44" s="108">
        <f>AM44*'1. Standard_Cost'!$C$31</f>
        <v>0</v>
      </c>
      <c r="AO44" s="125" t="s">
        <v>296</v>
      </c>
      <c r="AQ44" s="14">
        <f t="shared" si="63"/>
        <v>0</v>
      </c>
      <c r="AR44" s="14">
        <f t="shared" si="64"/>
        <v>0</v>
      </c>
      <c r="AS44" s="14">
        <f t="shared" si="65"/>
        <v>0</v>
      </c>
      <c r="AT44" s="14">
        <f t="shared" si="67"/>
        <v>0</v>
      </c>
      <c r="AU44" s="234"/>
      <c r="AV44" s="234"/>
      <c r="AW44" s="234"/>
      <c r="AX44" s="234"/>
      <c r="AY44" s="234"/>
      <c r="AZ44" s="234"/>
      <c r="BA44" s="234"/>
      <c r="BB44" s="16">
        <f t="shared" si="66"/>
        <v>0</v>
      </c>
    </row>
    <row r="45" spans="1:56" ht="109.2" outlineLevel="2">
      <c r="A45" s="98"/>
      <c r="B45" s="102"/>
      <c r="C45" s="23"/>
      <c r="D45" s="251"/>
      <c r="E45" s="251"/>
      <c r="F45" s="251"/>
      <c r="G45" s="250"/>
      <c r="H45" s="302" t="s">
        <v>592</v>
      </c>
      <c r="I45" s="258" t="s">
        <v>3</v>
      </c>
      <c r="J45" s="259">
        <v>1.2</v>
      </c>
      <c r="K45" s="259">
        <v>12</v>
      </c>
      <c r="L45" s="106">
        <f>IF(I45&lt;&gt;0,((VLOOKUP(I45,'1. Standard_Cost'!$B$4:$D$11,2)+VLOOKUP(I45,'1. Standard_Cost'!$B$4:$D$11,3))*J45*K45),"0")</f>
        <v>1451520</v>
      </c>
      <c r="M45" s="106">
        <f>L45*'1. Standard_Cost'!$F$4</f>
        <v>242403.84000000003</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260"/>
      <c r="AA45" s="260">
        <v>40</v>
      </c>
      <c r="AB45" s="108">
        <f>+Z45*'1. Standard_Cost'!$B$23+AA45*'1. Standard_Cost'!$C$23</f>
        <v>760000</v>
      </c>
      <c r="AC45" s="261">
        <f>1693924*0.12</f>
        <v>203270.88</v>
      </c>
      <c r="AD45" s="262"/>
      <c r="AE45" s="108">
        <f>SUM(AD45,AC45,AB45,Y45,U45,T45,S45,R45)*'1. Standard_Cost'!$B$31</f>
        <v>192654.17600000001</v>
      </c>
      <c r="AF45" s="108">
        <f t="shared" si="62"/>
        <v>1155925.0559999999</v>
      </c>
      <c r="AG45" s="260"/>
      <c r="AH45" s="260"/>
      <c r="AI45" s="260"/>
      <c r="AJ45" s="263"/>
      <c r="AK45" s="263"/>
      <c r="AL45" s="263"/>
      <c r="AM45" s="108">
        <f>AG45*'1. Standard_Cost'!$B$27+'Incremental_Cost Year 2'!AH45*'1. Standard_Cost'!$C$27+'Incremental_Cost Year 2'!AI45*'1. Standard_Cost'!$D$27+'Incremental_Cost Year 2'!AJ45+'Incremental_Cost Year 2'!AL45+AK45</f>
        <v>0</v>
      </c>
      <c r="AN45" s="108">
        <f>AM45*'1. Standard_Cost'!$C$31</f>
        <v>0</v>
      </c>
      <c r="AO45" s="125" t="s">
        <v>297</v>
      </c>
      <c r="AQ45" s="14">
        <f t="shared" si="63"/>
        <v>1693923.84</v>
      </c>
      <c r="AR45" s="14">
        <f t="shared" si="64"/>
        <v>1155925.0559999999</v>
      </c>
      <c r="AS45" s="14">
        <f t="shared" si="65"/>
        <v>0</v>
      </c>
      <c r="AT45" s="14">
        <f t="shared" si="67"/>
        <v>2849848.8959999997</v>
      </c>
      <c r="AU45" s="234">
        <v>1897195</v>
      </c>
      <c r="AV45" s="234">
        <v>0</v>
      </c>
      <c r="AW45" s="234"/>
      <c r="AX45" s="234"/>
      <c r="AY45" s="234"/>
      <c r="AZ45" s="234"/>
      <c r="BA45" s="234"/>
      <c r="BB45" s="16">
        <f t="shared" si="66"/>
        <v>-952653.89599999972</v>
      </c>
    </row>
    <row r="46" spans="1:56" ht="140.4" outlineLevel="2">
      <c r="A46" s="98"/>
      <c r="B46" s="102"/>
      <c r="C46" s="23"/>
      <c r="D46" s="251"/>
      <c r="E46" s="251"/>
      <c r="F46" s="251"/>
      <c r="G46" s="250"/>
      <c r="H46" s="302" t="s">
        <v>593</v>
      </c>
      <c r="I46" s="258" t="s">
        <v>3</v>
      </c>
      <c r="J46" s="259">
        <v>1.2</v>
      </c>
      <c r="K46" s="259">
        <v>6</v>
      </c>
      <c r="L46" s="106">
        <f>IF(I46&lt;&gt;0,((VLOOKUP(I46,'1. Standard_Cost'!$B$4:$D$11,2)+VLOOKUP(I46,'1. Standard_Cost'!$B$4:$D$11,3))*J46*K46),"0")</f>
        <v>725760</v>
      </c>
      <c r="M46" s="106">
        <f>L46*'1. Standard_Cost'!$F$4</f>
        <v>121201.92000000001</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260"/>
      <c r="AA46" s="260">
        <v>20</v>
      </c>
      <c r="AB46" s="108">
        <f>+Z46*'1. Standard_Cost'!$B$23+AA46*'1. Standard_Cost'!$C$23</f>
        <v>380000</v>
      </c>
      <c r="AC46" s="261">
        <f>846962*0.12</f>
        <v>101635.44</v>
      </c>
      <c r="AD46" s="262"/>
      <c r="AE46" s="108">
        <f>SUM(AD46,AC46,AB46,Y46,U46,T46,S46,R46)*'1. Standard_Cost'!$B$31</f>
        <v>96327.088000000003</v>
      </c>
      <c r="AF46" s="108">
        <f t="shared" si="62"/>
        <v>577962.52799999993</v>
      </c>
      <c r="AG46" s="260"/>
      <c r="AH46" s="260"/>
      <c r="AI46" s="260"/>
      <c r="AJ46" s="263"/>
      <c r="AK46" s="263"/>
      <c r="AL46" s="263"/>
      <c r="AM46" s="108">
        <f>AG46*'1. Standard_Cost'!$B$27+'Incremental_Cost Year 2'!AH46*'1. Standard_Cost'!$C$27+'Incremental_Cost Year 2'!AI46*'1. Standard_Cost'!$D$27+'Incremental_Cost Year 2'!AJ46+'Incremental_Cost Year 2'!AL46+AK46</f>
        <v>0</v>
      </c>
      <c r="AN46" s="108">
        <f>AM46*'1. Standard_Cost'!$C$31</f>
        <v>0</v>
      </c>
      <c r="AO46" s="125" t="s">
        <v>298</v>
      </c>
      <c r="AQ46" s="14">
        <f t="shared" si="63"/>
        <v>846961.92</v>
      </c>
      <c r="AR46" s="14">
        <f t="shared" si="64"/>
        <v>577962.52799999993</v>
      </c>
      <c r="AS46" s="14">
        <f t="shared" si="65"/>
        <v>0</v>
      </c>
      <c r="AT46" s="14">
        <f t="shared" si="67"/>
        <v>1424924.4479999999</v>
      </c>
      <c r="AU46" s="234">
        <v>968924</v>
      </c>
      <c r="AV46" s="234"/>
      <c r="AW46" s="234"/>
      <c r="AX46" s="234"/>
      <c r="AY46" s="234"/>
      <c r="AZ46" s="234"/>
      <c r="BA46" s="234"/>
      <c r="BB46" s="16">
        <f t="shared" si="66"/>
        <v>-456000.44799999986</v>
      </c>
    </row>
    <row r="47" spans="1:56" ht="93.6" outlineLevel="2">
      <c r="A47" s="98"/>
      <c r="B47" s="102"/>
      <c r="C47" s="23"/>
      <c r="D47" s="251"/>
      <c r="E47" s="251"/>
      <c r="F47" s="172"/>
      <c r="G47" s="173"/>
      <c r="H47" s="302" t="s">
        <v>594</v>
      </c>
      <c r="I47" s="258" t="s">
        <v>3</v>
      </c>
      <c r="J47" s="259">
        <v>1.2</v>
      </c>
      <c r="K47" s="259">
        <v>5</v>
      </c>
      <c r="L47" s="106">
        <f>IF(I47&lt;&gt;0,((VLOOKUP(I47,'1. Standard_Cost'!$B$4:$D$11,2)+VLOOKUP(I47,'1. Standard_Cost'!$B$4:$D$11,3))*J47*K47),"0")</f>
        <v>604800</v>
      </c>
      <c r="M47" s="106">
        <f>L47*'1. Standard_Cost'!$F$4</f>
        <v>101001.60000000001</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260"/>
      <c r="AA47" s="260">
        <v>5</v>
      </c>
      <c r="AB47" s="108">
        <f>+Z47*'1. Standard_Cost'!$B$23+AA47*'1. Standard_Cost'!$C$23</f>
        <v>95000</v>
      </c>
      <c r="AC47" s="261">
        <v>84696</v>
      </c>
      <c r="AD47" s="262"/>
      <c r="AE47" s="108">
        <f>SUM(AD47,AC47,AB47,Y47,U47,T47,S47,R47)*'1. Standard_Cost'!$B$31</f>
        <v>35939.200000000004</v>
      </c>
      <c r="AF47" s="108">
        <f t="shared" si="62"/>
        <v>215635.20000000001</v>
      </c>
      <c r="AG47" s="260"/>
      <c r="AH47" s="260"/>
      <c r="AI47" s="260"/>
      <c r="AJ47" s="263"/>
      <c r="AK47" s="263"/>
      <c r="AL47" s="263"/>
      <c r="AM47" s="108">
        <f>AG47*'1. Standard_Cost'!$B$27+'Incremental_Cost Year 2'!AH47*'1. Standard_Cost'!$C$27+'Incremental_Cost Year 2'!AI47*'1. Standard_Cost'!$D$27+'Incremental_Cost Year 2'!AJ47+'Incremental_Cost Year 2'!AL47+AK47</f>
        <v>0</v>
      </c>
      <c r="AN47" s="108">
        <f>AM47*'1. Standard_Cost'!$C$31</f>
        <v>0</v>
      </c>
      <c r="AO47" s="125" t="s">
        <v>298</v>
      </c>
      <c r="AQ47" s="14">
        <f t="shared" si="63"/>
        <v>705801.6</v>
      </c>
      <c r="AR47" s="14">
        <f t="shared" si="64"/>
        <v>215635.20000000001</v>
      </c>
      <c r="AS47" s="14">
        <f t="shared" si="65"/>
        <v>0</v>
      </c>
      <c r="AT47" s="14">
        <f t="shared" si="67"/>
        <v>921436.8</v>
      </c>
      <c r="AU47" s="234">
        <v>807437</v>
      </c>
      <c r="AV47" s="234">
        <v>0</v>
      </c>
      <c r="AW47" s="234"/>
      <c r="AX47" s="234"/>
      <c r="AY47" s="234"/>
      <c r="AZ47" s="234"/>
      <c r="BA47" s="234"/>
      <c r="BB47" s="16">
        <f t="shared" si="66"/>
        <v>-113999.80000000005</v>
      </c>
    </row>
    <row r="48" spans="1:56" ht="93.6" outlineLevel="2">
      <c r="A48" s="98"/>
      <c r="B48" s="102"/>
      <c r="C48" s="23"/>
      <c r="D48" s="251"/>
      <c r="E48" s="251"/>
      <c r="F48" s="172"/>
      <c r="G48" s="173"/>
      <c r="H48" s="302" t="s">
        <v>595</v>
      </c>
      <c r="I48" s="258" t="s">
        <v>3</v>
      </c>
      <c r="J48" s="259">
        <v>1.2</v>
      </c>
      <c r="K48" s="259">
        <v>5</v>
      </c>
      <c r="L48" s="106">
        <f>IF(I48&lt;&gt;0,((VLOOKUP(I48,'1. Standard_Cost'!$B$4:$D$11,2)+VLOOKUP(I48,'1. Standard_Cost'!$B$4:$D$11,3))*J48*K48),"0")</f>
        <v>604800</v>
      </c>
      <c r="M48" s="106">
        <f>L48*'1. Standard_Cost'!$F$4</f>
        <v>101001.60000000001</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260"/>
      <c r="AA48" s="260">
        <v>5</v>
      </c>
      <c r="AB48" s="108">
        <f>+Z48*'1. Standard_Cost'!$B$23+AA48*'1. Standard_Cost'!$C$23</f>
        <v>95000</v>
      </c>
      <c r="AC48" s="261">
        <v>84696</v>
      </c>
      <c r="AD48" s="262"/>
      <c r="AE48" s="108">
        <f>SUM(AD48,AC48,AB48,Y48,U48,T48,S48,R48)*'1. Standard_Cost'!$B$31</f>
        <v>35939.200000000004</v>
      </c>
      <c r="AF48" s="108">
        <f t="shared" si="62"/>
        <v>215635.20000000001</v>
      </c>
      <c r="AG48" s="260"/>
      <c r="AH48" s="260"/>
      <c r="AI48" s="260"/>
      <c r="AJ48" s="263"/>
      <c r="AK48" s="263"/>
      <c r="AL48" s="263"/>
      <c r="AM48" s="108">
        <f>AG48*'1. Standard_Cost'!$B$27+'Incremental_Cost Year 2'!AH48*'1. Standard_Cost'!$C$27+'Incremental_Cost Year 2'!AI48*'1. Standard_Cost'!$D$27+'Incremental_Cost Year 2'!AJ48+'Incremental_Cost Year 2'!AL48+AK48</f>
        <v>0</v>
      </c>
      <c r="AN48" s="108">
        <f>AM48*'1. Standard_Cost'!$C$31</f>
        <v>0</v>
      </c>
      <c r="AO48" s="125" t="s">
        <v>298</v>
      </c>
      <c r="AQ48" s="14">
        <f t="shared" si="63"/>
        <v>705801.6</v>
      </c>
      <c r="AR48" s="14">
        <f t="shared" si="64"/>
        <v>215635.20000000001</v>
      </c>
      <c r="AS48" s="14">
        <f t="shared" si="65"/>
        <v>0</v>
      </c>
      <c r="AT48" s="14">
        <f t="shared" si="67"/>
        <v>921436.8</v>
      </c>
      <c r="AU48" s="234">
        <v>807437</v>
      </c>
      <c r="AV48" s="234"/>
      <c r="AW48" s="234"/>
      <c r="AX48" s="234"/>
      <c r="AY48" s="234"/>
      <c r="AZ48" s="234"/>
      <c r="BA48" s="234"/>
      <c r="BB48" s="16">
        <f t="shared" si="66"/>
        <v>-113999.80000000005</v>
      </c>
    </row>
    <row r="49" spans="1:54" ht="124.8" outlineLevel="2">
      <c r="A49" s="98"/>
      <c r="B49" s="102"/>
      <c r="C49" s="23"/>
      <c r="D49" s="251"/>
      <c r="E49" s="251"/>
      <c r="F49" s="251"/>
      <c r="G49" s="250"/>
      <c r="H49" s="302" t="s">
        <v>596</v>
      </c>
      <c r="I49" s="258" t="s">
        <v>3</v>
      </c>
      <c r="J49" s="259">
        <v>1.5</v>
      </c>
      <c r="K49" s="259">
        <v>7</v>
      </c>
      <c r="L49" s="106">
        <f>IF(I49&lt;&gt;0,((VLOOKUP(I49,'1. Standard_Cost'!$B$4:$D$11,2)+VLOOKUP(I49,'1. Standard_Cost'!$B$4:$D$11,3))*J49*K49),"0")</f>
        <v>1058400</v>
      </c>
      <c r="M49" s="106">
        <f>L49*'1. Standard_Cost'!$F$4</f>
        <v>176752.80000000002</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260"/>
      <c r="AA49" s="260">
        <v>20</v>
      </c>
      <c r="AB49" s="108">
        <f>+Z49*'1. Standard_Cost'!$B$23+AA49*'1. Standard_Cost'!$C$23</f>
        <v>380000</v>
      </c>
      <c r="AC49" s="261">
        <f>0.12*1235153</f>
        <v>148218.35999999999</v>
      </c>
      <c r="AD49" s="262"/>
      <c r="AE49" s="108">
        <f>SUM(AD49,AC49,AB49,Y49,U49,T49,S49,R49)*'1. Standard_Cost'!$B$31</f>
        <v>105643.67200000001</v>
      </c>
      <c r="AF49" s="108">
        <f t="shared" si="62"/>
        <v>633862.03200000001</v>
      </c>
      <c r="AG49" s="260"/>
      <c r="AH49" s="260"/>
      <c r="AI49" s="260"/>
      <c r="AJ49" s="263"/>
      <c r="AK49" s="263"/>
      <c r="AL49" s="263"/>
      <c r="AM49" s="108">
        <f>AG49*'1. Standard_Cost'!$B$27+'Incremental_Cost Year 2'!AH49*'1. Standard_Cost'!$C$27+'Incremental_Cost Year 2'!AI49*'1. Standard_Cost'!$D$27+'Incremental_Cost Year 2'!AJ49+'Incremental_Cost Year 2'!AL49+AK49</f>
        <v>0</v>
      </c>
      <c r="AN49" s="108">
        <f>AM49*'1. Standard_Cost'!$C$31</f>
        <v>0</v>
      </c>
      <c r="AO49" s="125" t="s">
        <v>299</v>
      </c>
      <c r="AQ49" s="14">
        <f t="shared" si="63"/>
        <v>1235152.8</v>
      </c>
      <c r="AR49" s="14">
        <f t="shared" si="64"/>
        <v>633862.03200000001</v>
      </c>
      <c r="AS49" s="14">
        <f t="shared" si="65"/>
        <v>0</v>
      </c>
      <c r="AT49" s="14">
        <f t="shared" si="67"/>
        <v>1869014.8319999999</v>
      </c>
      <c r="AU49" s="234">
        <v>1413015</v>
      </c>
      <c r="AV49" s="234">
        <v>0</v>
      </c>
      <c r="AW49" s="234"/>
      <c r="AX49" s="234"/>
      <c r="AY49" s="234"/>
      <c r="AZ49" s="234"/>
      <c r="BA49" s="234"/>
      <c r="BB49" s="16">
        <f t="shared" si="66"/>
        <v>-455999.83199999994</v>
      </c>
    </row>
    <row r="50" spans="1:54" ht="140.4" outlineLevel="2">
      <c r="A50" s="98"/>
      <c r="B50" s="102"/>
      <c r="C50" s="23"/>
      <c r="D50" s="251"/>
      <c r="E50" s="251"/>
      <c r="F50" s="172"/>
      <c r="G50" s="173"/>
      <c r="H50" s="302" t="s">
        <v>597</v>
      </c>
      <c r="I50" s="258" t="s">
        <v>4</v>
      </c>
      <c r="J50" s="259">
        <v>1</v>
      </c>
      <c r="K50" s="259">
        <v>5</v>
      </c>
      <c r="L50" s="106">
        <f>IF(I50&lt;&gt;0,((VLOOKUP(I50,'1. Standard_Cost'!$B$4:$D$11,2)+VLOOKUP(I50,'1. Standard_Cost'!$B$4:$D$11,3))*J50*K50),"0")</f>
        <v>403750</v>
      </c>
      <c r="M50" s="106">
        <f>L50*'1. Standard_Cost'!$F$4</f>
        <v>67426.25</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260"/>
      <c r="AA50" s="260">
        <v>10</v>
      </c>
      <c r="AB50" s="108">
        <f>+Z50*'1. Standard_Cost'!$B$23+AA50*'1. Standard_Cost'!$C$23</f>
        <v>190000</v>
      </c>
      <c r="AC50" s="261">
        <f>471176*0.12</f>
        <v>56541.119999999995</v>
      </c>
      <c r="AD50" s="262"/>
      <c r="AE50" s="108">
        <f>SUM(AD50,AC50,AB50,Y50,U50,T50,S50,R50)*'1. Standard_Cost'!$B$31</f>
        <v>49308.224000000002</v>
      </c>
      <c r="AF50" s="108">
        <f t="shared" si="62"/>
        <v>295849.34399999998</v>
      </c>
      <c r="AG50" s="260"/>
      <c r="AH50" s="260"/>
      <c r="AI50" s="260"/>
      <c r="AJ50" s="263"/>
      <c r="AK50" s="263"/>
      <c r="AL50" s="263"/>
      <c r="AM50" s="108">
        <f>AG50*'1. Standard_Cost'!$B$27+'Incremental_Cost Year 2'!AH50*'1. Standard_Cost'!$C$27+'Incremental_Cost Year 2'!AI50*'1. Standard_Cost'!$D$27+'Incremental_Cost Year 2'!AJ50+'Incremental_Cost Year 2'!AL50+AK50</f>
        <v>0</v>
      </c>
      <c r="AN50" s="108">
        <f>AM50*'1. Standard_Cost'!$C$31</f>
        <v>0</v>
      </c>
      <c r="AO50" s="125" t="s">
        <v>300</v>
      </c>
      <c r="AQ50" s="14">
        <f t="shared" si="63"/>
        <v>471176.25</v>
      </c>
      <c r="AR50" s="14">
        <f t="shared" si="64"/>
        <v>295849.34399999998</v>
      </c>
      <c r="AS50" s="14">
        <f t="shared" si="65"/>
        <v>0</v>
      </c>
      <c r="AT50" s="14">
        <f t="shared" si="67"/>
        <v>767025.59400000004</v>
      </c>
      <c r="AU50" s="234">
        <v>539026</v>
      </c>
      <c r="AV50" s="234">
        <v>0</v>
      </c>
      <c r="AW50" s="234"/>
      <c r="AX50" s="234"/>
      <c r="AY50" s="234"/>
      <c r="AZ50" s="234"/>
      <c r="BA50" s="234"/>
      <c r="BB50" s="16">
        <f t="shared" si="66"/>
        <v>-227999.59400000004</v>
      </c>
    </row>
    <row r="51" spans="1:54" ht="109.2" outlineLevel="2">
      <c r="A51" s="98"/>
      <c r="B51" s="102"/>
      <c r="C51" s="23"/>
      <c r="D51" s="251"/>
      <c r="E51" s="251"/>
      <c r="F51" s="251"/>
      <c r="G51" s="173"/>
      <c r="H51" s="302" t="s">
        <v>598</v>
      </c>
      <c r="I51" s="258" t="s">
        <v>4</v>
      </c>
      <c r="J51" s="259">
        <v>1</v>
      </c>
      <c r="K51" s="259">
        <v>5</v>
      </c>
      <c r="L51" s="106">
        <f>IF(I51&lt;&gt;0,((VLOOKUP(I51,'1. Standard_Cost'!$B$4:$D$11,2)+VLOOKUP(I51,'1. Standard_Cost'!$B$4:$D$11,3))*J51*K51),"0")</f>
        <v>403750</v>
      </c>
      <c r="M51" s="106">
        <f>L51*'1. Standard_Cost'!$F$4</f>
        <v>67426.25</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260"/>
      <c r="AA51" s="260">
        <v>10</v>
      </c>
      <c r="AB51" s="108">
        <f>+Z51*'1. Standard_Cost'!$B$23+AA51*'1. Standard_Cost'!$C$23</f>
        <v>190000</v>
      </c>
      <c r="AC51" s="261">
        <f>471176*0.12</f>
        <v>56541.119999999995</v>
      </c>
      <c r="AD51" s="262"/>
      <c r="AE51" s="108">
        <f>SUM(AD51,AC51,AB51,Y51,U51,T51,S51,R51)*'1. Standard_Cost'!$B$31</f>
        <v>49308.224000000002</v>
      </c>
      <c r="AF51" s="108">
        <f t="shared" si="62"/>
        <v>295849.34399999998</v>
      </c>
      <c r="AG51" s="260"/>
      <c r="AH51" s="260"/>
      <c r="AI51" s="260"/>
      <c r="AJ51" s="263"/>
      <c r="AK51" s="263"/>
      <c r="AL51" s="263"/>
      <c r="AM51" s="108">
        <f>AG51*'1. Standard_Cost'!$B$27+'Incremental_Cost Year 2'!AH51*'1. Standard_Cost'!$C$27+'Incremental_Cost Year 2'!AI51*'1. Standard_Cost'!$D$27+'Incremental_Cost Year 2'!AJ51+'Incremental_Cost Year 2'!AL51+AK51</f>
        <v>0</v>
      </c>
      <c r="AN51" s="108">
        <f>AM51*'1. Standard_Cost'!$C$31</f>
        <v>0</v>
      </c>
      <c r="AO51" s="125" t="s">
        <v>301</v>
      </c>
      <c r="AQ51" s="14">
        <f t="shared" si="63"/>
        <v>471176.25</v>
      </c>
      <c r="AR51" s="14">
        <f t="shared" si="64"/>
        <v>295849.34399999998</v>
      </c>
      <c r="AS51" s="14">
        <f t="shared" si="65"/>
        <v>0</v>
      </c>
      <c r="AT51" s="14">
        <f t="shared" si="67"/>
        <v>767025.59400000004</v>
      </c>
      <c r="AU51" s="234">
        <v>539026</v>
      </c>
      <c r="AV51" s="234"/>
      <c r="AW51" s="234"/>
      <c r="AX51" s="234">
        <v>228000</v>
      </c>
      <c r="AY51" s="234"/>
      <c r="AZ51" s="234"/>
      <c r="BA51" s="234"/>
      <c r="BB51" s="16">
        <f t="shared" si="66"/>
        <v>0.40599999995902181</v>
      </c>
    </row>
    <row r="52" spans="1:54" ht="109.2" outlineLevel="2">
      <c r="A52" s="98"/>
      <c r="B52" s="102"/>
      <c r="C52" s="23"/>
      <c r="D52" s="251"/>
      <c r="E52" s="251"/>
      <c r="F52" s="251"/>
      <c r="G52" s="250"/>
      <c r="H52" s="302" t="s">
        <v>599</v>
      </c>
      <c r="I52" s="258" t="s">
        <v>4</v>
      </c>
      <c r="J52" s="259">
        <v>1</v>
      </c>
      <c r="K52" s="259">
        <v>5</v>
      </c>
      <c r="L52" s="106">
        <f>IF(I52&lt;&gt;0,((VLOOKUP(I52,'1. Standard_Cost'!$B$4:$D$11,2)+VLOOKUP(I52,'1. Standard_Cost'!$B$4:$D$11,3))*J52*K52),"0")</f>
        <v>403750</v>
      </c>
      <c r="M52" s="106">
        <f>L52*'1. Standard_Cost'!$F$4</f>
        <v>67426.25</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260"/>
      <c r="AA52" s="260">
        <v>10</v>
      </c>
      <c r="AB52" s="108">
        <f>+Z52*'1. Standard_Cost'!$B$23+AA52*'1. Standard_Cost'!$C$23</f>
        <v>190000</v>
      </c>
      <c r="AC52" s="261">
        <f>471176*0.12</f>
        <v>56541.119999999995</v>
      </c>
      <c r="AD52" s="262"/>
      <c r="AE52" s="108">
        <f>SUM(AD52,AC52,AB52,Y52,U52,T52,S52,R52)*'1. Standard_Cost'!$B$31</f>
        <v>49308.224000000002</v>
      </c>
      <c r="AF52" s="108">
        <f t="shared" si="62"/>
        <v>295849.34399999998</v>
      </c>
      <c r="AG52" s="260"/>
      <c r="AH52" s="260"/>
      <c r="AI52" s="260"/>
      <c r="AJ52" s="263"/>
      <c r="AK52" s="263"/>
      <c r="AL52" s="263"/>
      <c r="AM52" s="108">
        <f>AG52*'1. Standard_Cost'!$B$27+'Incremental_Cost Year 2'!AH52*'1. Standard_Cost'!$C$27+'Incremental_Cost Year 2'!AI52*'1. Standard_Cost'!$D$27+'Incremental_Cost Year 2'!AJ52+'Incremental_Cost Year 2'!AL52+AK52</f>
        <v>0</v>
      </c>
      <c r="AN52" s="108">
        <f>AM52*'1. Standard_Cost'!$C$31</f>
        <v>0</v>
      </c>
      <c r="AO52" s="125" t="s">
        <v>302</v>
      </c>
      <c r="AQ52" s="14">
        <f t="shared" si="63"/>
        <v>471176.25</v>
      </c>
      <c r="AR52" s="14">
        <f t="shared" si="64"/>
        <v>295849.34399999998</v>
      </c>
      <c r="AS52" s="14">
        <f t="shared" si="65"/>
        <v>0</v>
      </c>
      <c r="AT52" s="14">
        <f t="shared" si="67"/>
        <v>767025.59400000004</v>
      </c>
      <c r="AU52" s="234">
        <v>539026</v>
      </c>
      <c r="AV52" s="234">
        <v>0</v>
      </c>
      <c r="AW52" s="234"/>
      <c r="AX52" s="234"/>
      <c r="AY52" s="234"/>
      <c r="AZ52" s="234">
        <v>228000</v>
      </c>
      <c r="BA52" s="234"/>
      <c r="BB52" s="16">
        <f t="shared" si="66"/>
        <v>0.40599999995902181</v>
      </c>
    </row>
    <row r="53" spans="1:54" ht="124.8" outlineLevel="2">
      <c r="A53" s="98"/>
      <c r="B53" s="102"/>
      <c r="C53" s="23"/>
      <c r="D53" s="251"/>
      <c r="E53" s="251"/>
      <c r="F53" s="172"/>
      <c r="G53" s="173"/>
      <c r="H53" s="302" t="s">
        <v>600</v>
      </c>
      <c r="I53" s="258" t="s">
        <v>4</v>
      </c>
      <c r="J53" s="259">
        <v>1</v>
      </c>
      <c r="K53" s="259">
        <v>7</v>
      </c>
      <c r="L53" s="106">
        <f>IF(I53&lt;&gt;0,((VLOOKUP(I53,'1. Standard_Cost'!$B$4:$D$11,2)+VLOOKUP(I53,'1. Standard_Cost'!$B$4:$D$11,3))*J53*K53),"0")</f>
        <v>565250</v>
      </c>
      <c r="M53" s="106">
        <f>L53*'1. Standard_Cost'!$F$4</f>
        <v>94396.75</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260"/>
      <c r="AA53" s="260">
        <v>15</v>
      </c>
      <c r="AB53" s="108">
        <f>+Z53*'1. Standard_Cost'!$B$23+AA53*'1. Standard_Cost'!$C$23</f>
        <v>285000</v>
      </c>
      <c r="AC53" s="261">
        <f>659647*0.12</f>
        <v>79157.64</v>
      </c>
      <c r="AD53" s="262"/>
      <c r="AE53" s="108">
        <f>SUM(AD53,AC53,AB53,Y53,U53,T53,S53,R53)*'1. Standard_Cost'!$B$31</f>
        <v>72831.528000000006</v>
      </c>
      <c r="AF53" s="108">
        <f t="shared" si="62"/>
        <v>436989.16800000001</v>
      </c>
      <c r="AG53" s="260"/>
      <c r="AH53" s="260"/>
      <c r="AI53" s="260"/>
      <c r="AJ53" s="263"/>
      <c r="AK53" s="263"/>
      <c r="AL53" s="263"/>
      <c r="AM53" s="108">
        <f>AG53*'1. Standard_Cost'!$B$27+'Incremental_Cost Year 2'!AH53*'1. Standard_Cost'!$C$27+'Incremental_Cost Year 2'!AI53*'1. Standard_Cost'!$D$27+'Incremental_Cost Year 2'!AJ53+'Incremental_Cost Year 2'!AL53+AK53</f>
        <v>0</v>
      </c>
      <c r="AN53" s="108">
        <f>AM53*'1. Standard_Cost'!$C$31</f>
        <v>0</v>
      </c>
      <c r="AO53" s="125" t="s">
        <v>302</v>
      </c>
      <c r="AQ53" s="14">
        <f t="shared" si="63"/>
        <v>659646.75</v>
      </c>
      <c r="AR53" s="14">
        <f t="shared" si="64"/>
        <v>436989.16800000001</v>
      </c>
      <c r="AS53" s="14">
        <f t="shared" si="65"/>
        <v>0</v>
      </c>
      <c r="AT53" s="14">
        <f t="shared" si="67"/>
        <v>1096635.9180000001</v>
      </c>
      <c r="AU53" s="234">
        <v>754636</v>
      </c>
      <c r="AV53" s="234"/>
      <c r="AW53" s="234"/>
      <c r="AX53" s="234"/>
      <c r="AY53" s="234"/>
      <c r="AZ53" s="234"/>
      <c r="BA53" s="234"/>
      <c r="BB53" s="16">
        <f t="shared" si="66"/>
        <v>-341999.91800000006</v>
      </c>
    </row>
    <row r="54" spans="1:54" ht="62.4" outlineLevel="2">
      <c r="A54" s="98"/>
      <c r="B54" s="102"/>
      <c r="C54" s="23"/>
      <c r="D54" s="251"/>
      <c r="E54" s="251"/>
      <c r="F54" s="172"/>
      <c r="G54" s="173"/>
      <c r="H54" s="302" t="s">
        <v>675</v>
      </c>
      <c r="I54" s="258"/>
      <c r="J54" s="259"/>
      <c r="K54" s="259"/>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62"/>
        <v>0</v>
      </c>
      <c r="AG54" s="260"/>
      <c r="AH54" s="260"/>
      <c r="AI54" s="260"/>
      <c r="AJ54" s="263"/>
      <c r="AK54" s="263"/>
      <c r="AL54" s="263"/>
      <c r="AM54" s="108">
        <f>AG54*'1. Standard_Cost'!$B$27+'Incremental_Cost Year 2'!AH54*'1. Standard_Cost'!$C$27+'Incremental_Cost Year 2'!AI54*'1. Standard_Cost'!$D$27+'Incremental_Cost Year 2'!AJ54+'Incremental_Cost Year 2'!AL54+AK54</f>
        <v>0</v>
      </c>
      <c r="AN54" s="108">
        <f>AM54*'1. Standard_Cost'!$C$31</f>
        <v>0</v>
      </c>
      <c r="AO54" s="125" t="s">
        <v>300</v>
      </c>
      <c r="AQ54" s="14">
        <f t="shared" si="63"/>
        <v>0</v>
      </c>
      <c r="AR54" s="14">
        <f t="shared" si="64"/>
        <v>0</v>
      </c>
      <c r="AS54" s="14">
        <f t="shared" si="65"/>
        <v>0</v>
      </c>
      <c r="AT54" s="14">
        <f t="shared" si="67"/>
        <v>0</v>
      </c>
      <c r="AU54" s="234"/>
      <c r="AV54" s="234">
        <v>0</v>
      </c>
      <c r="AW54" s="234"/>
      <c r="AX54" s="234"/>
      <c r="AY54" s="234"/>
      <c r="AZ54" s="234"/>
      <c r="BA54" s="234"/>
      <c r="BB54" s="16">
        <f t="shared" si="66"/>
        <v>0</v>
      </c>
    </row>
    <row r="55" spans="1:54" ht="156" outlineLevel="2">
      <c r="A55" s="98"/>
      <c r="B55" s="102"/>
      <c r="C55" s="23"/>
      <c r="D55" s="251"/>
      <c r="E55" s="251"/>
      <c r="F55" s="251"/>
      <c r="G55" s="173"/>
      <c r="H55" s="302" t="s">
        <v>601</v>
      </c>
      <c r="I55" s="258" t="s">
        <v>4</v>
      </c>
      <c r="J55" s="259">
        <v>1</v>
      </c>
      <c r="K55" s="259">
        <v>7</v>
      </c>
      <c r="L55" s="106">
        <f>IF(I55&lt;&gt;0,((VLOOKUP(I55,'1. Standard_Cost'!$B$4:$D$11,2)+VLOOKUP(I55,'1. Standard_Cost'!$B$4:$D$11,3))*J55*K55),"0")</f>
        <v>565250</v>
      </c>
      <c r="M55" s="106">
        <f>L55*'1. Standard_Cost'!$F$4</f>
        <v>94396.75</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260"/>
      <c r="AA55" s="260">
        <v>10</v>
      </c>
      <c r="AB55" s="108">
        <f>+Z55*'1. Standard_Cost'!$B$23+AA55*'1. Standard_Cost'!$C$23</f>
        <v>190000</v>
      </c>
      <c r="AC55" s="261">
        <f>659647*0.12</f>
        <v>79157.64</v>
      </c>
      <c r="AD55" s="262"/>
      <c r="AE55" s="108">
        <f>SUM(AD55,AC55,AB55,Y55,U55,T55,S55,R55)*'1. Standard_Cost'!$B$31</f>
        <v>53831.528000000006</v>
      </c>
      <c r="AF55" s="108">
        <f t="shared" si="62"/>
        <v>322989.16800000001</v>
      </c>
      <c r="AG55" s="260"/>
      <c r="AH55" s="260"/>
      <c r="AI55" s="260"/>
      <c r="AJ55" s="263"/>
      <c r="AK55" s="263"/>
      <c r="AL55" s="263"/>
      <c r="AM55" s="108">
        <f>AG55*'1. Standard_Cost'!$B$27+'Incremental_Cost Year 2'!AH55*'1. Standard_Cost'!$C$27+'Incremental_Cost Year 2'!AI55*'1. Standard_Cost'!$D$27+'Incremental_Cost Year 2'!AJ55+'Incremental_Cost Year 2'!AL55+AK55</f>
        <v>0</v>
      </c>
      <c r="AN55" s="108">
        <f>AM55*'1. Standard_Cost'!$C$31</f>
        <v>0</v>
      </c>
      <c r="AO55" s="125" t="s">
        <v>303</v>
      </c>
      <c r="AQ55" s="14">
        <f t="shared" si="63"/>
        <v>659646.75</v>
      </c>
      <c r="AR55" s="14">
        <f t="shared" si="64"/>
        <v>322989.16800000001</v>
      </c>
      <c r="AS55" s="14">
        <f t="shared" si="65"/>
        <v>0</v>
      </c>
      <c r="AT55" s="14">
        <f t="shared" si="67"/>
        <v>982635.91800000006</v>
      </c>
      <c r="AU55" s="234">
        <v>754636</v>
      </c>
      <c r="AV55" s="234"/>
      <c r="AW55" s="234"/>
      <c r="AX55" s="234">
        <v>228000</v>
      </c>
      <c r="AY55" s="234"/>
      <c r="AZ55" s="234"/>
      <c r="BA55" s="234"/>
      <c r="BB55" s="16">
        <f t="shared" si="66"/>
        <v>8.1999999936670065E-2</v>
      </c>
    </row>
    <row r="56" spans="1:54" ht="140.4" outlineLevel="2">
      <c r="A56" s="98"/>
      <c r="B56" s="102"/>
      <c r="C56" s="23"/>
      <c r="D56" s="251"/>
      <c r="E56" s="251"/>
      <c r="F56" s="251"/>
      <c r="G56" s="173"/>
      <c r="H56" s="302" t="s">
        <v>602</v>
      </c>
      <c r="I56" s="258" t="s">
        <v>4</v>
      </c>
      <c r="J56" s="259">
        <v>1</v>
      </c>
      <c r="K56" s="259">
        <v>5</v>
      </c>
      <c r="L56" s="106">
        <f>IF(I56&lt;&gt;0,((VLOOKUP(I56,'1. Standard_Cost'!$B$4:$D$11,2)+VLOOKUP(I56,'1. Standard_Cost'!$B$4:$D$11,3))*J56*K56),"0")</f>
        <v>403750</v>
      </c>
      <c r="M56" s="106">
        <f>L56*'1. Standard_Cost'!$F$4</f>
        <v>67426.25</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260"/>
      <c r="AA56" s="260">
        <v>20</v>
      </c>
      <c r="AB56" s="108">
        <f>+Z56*'1. Standard_Cost'!$B$23+AA56*'1. Standard_Cost'!$C$23</f>
        <v>380000</v>
      </c>
      <c r="AC56" s="261">
        <f>471176*0.12</f>
        <v>56541.119999999995</v>
      </c>
      <c r="AD56" s="262"/>
      <c r="AE56" s="108">
        <f>SUM(AD56,AC56,AB56,Y56,U56,T56,S56,R56)*'1. Standard_Cost'!$B$31</f>
        <v>87308.224000000002</v>
      </c>
      <c r="AF56" s="108">
        <f t="shared" si="62"/>
        <v>523849.34399999998</v>
      </c>
      <c r="AG56" s="260"/>
      <c r="AH56" s="260"/>
      <c r="AI56" s="260"/>
      <c r="AJ56" s="263"/>
      <c r="AK56" s="263"/>
      <c r="AL56" s="263"/>
      <c r="AM56" s="108">
        <f>AG56*'1. Standard_Cost'!$B$27+'Incremental_Cost Year 2'!AH56*'1. Standard_Cost'!$C$27+'Incremental_Cost Year 2'!AI56*'1. Standard_Cost'!$D$27+'Incremental_Cost Year 2'!AJ56+'Incremental_Cost Year 2'!AL56+AK56</f>
        <v>0</v>
      </c>
      <c r="AN56" s="108">
        <f>AM56*'1. Standard_Cost'!$C$31</f>
        <v>0</v>
      </c>
      <c r="AO56" s="125" t="s">
        <v>304</v>
      </c>
      <c r="AQ56" s="14">
        <f t="shared" si="63"/>
        <v>471176.25</v>
      </c>
      <c r="AR56" s="14">
        <f t="shared" si="64"/>
        <v>523849.34399999998</v>
      </c>
      <c r="AS56" s="14">
        <f t="shared" si="65"/>
        <v>0</v>
      </c>
      <c r="AT56" s="14">
        <f t="shared" si="67"/>
        <v>995025.59400000004</v>
      </c>
      <c r="AU56" s="234">
        <v>539026</v>
      </c>
      <c r="AV56" s="234"/>
      <c r="AW56" s="234"/>
      <c r="AX56" s="234">
        <v>456000</v>
      </c>
      <c r="AY56" s="234"/>
      <c r="AZ56" s="234"/>
      <c r="BA56" s="234"/>
      <c r="BB56" s="16">
        <f t="shared" si="66"/>
        <v>0.40599999995902181</v>
      </c>
    </row>
    <row r="57" spans="1:54" ht="78" outlineLevel="2">
      <c r="A57" s="98"/>
      <c r="B57" s="102"/>
      <c r="C57" s="23"/>
      <c r="D57" s="251"/>
      <c r="E57" s="251"/>
      <c r="F57" s="251"/>
      <c r="G57" s="250"/>
      <c r="H57" s="302" t="s">
        <v>603</v>
      </c>
      <c r="I57" s="258" t="s">
        <v>193</v>
      </c>
      <c r="J57" s="259">
        <v>0.5</v>
      </c>
      <c r="K57" s="259">
        <v>183</v>
      </c>
      <c r="L57" s="106">
        <f>IF(I57&lt;&gt;0,((VLOOKUP(I57,'1. Standard_Cost'!$B$4:$D$11,2)+VLOOKUP(I57,'1. Standard_Cost'!$B$4:$D$11,3))*J57*K57),"0")</f>
        <v>4620750</v>
      </c>
      <c r="M57" s="106">
        <f>L57*'1. Standard_Cost'!$F$4</f>
        <v>771665.25</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62"/>
        <v>0</v>
      </c>
      <c r="AG57" s="260"/>
      <c r="AH57" s="260"/>
      <c r="AI57" s="260"/>
      <c r="AJ57" s="263"/>
      <c r="AK57" s="263"/>
      <c r="AL57" s="263"/>
      <c r="AM57" s="108">
        <f>AG57*'1. Standard_Cost'!$B$27+'Incremental_Cost Year 2'!AH57*'1. Standard_Cost'!$C$27+'Incremental_Cost Year 2'!AI57*'1. Standard_Cost'!$D$27+'Incremental_Cost Year 2'!AJ57+'Incremental_Cost Year 2'!AL57+AK57</f>
        <v>0</v>
      </c>
      <c r="AN57" s="108">
        <f>AM57*'1. Standard_Cost'!$C$31</f>
        <v>0</v>
      </c>
      <c r="AO57" s="125" t="s">
        <v>305</v>
      </c>
      <c r="AQ57" s="14">
        <f t="shared" si="63"/>
        <v>5392415.25</v>
      </c>
      <c r="AR57" s="14">
        <f t="shared" si="64"/>
        <v>0</v>
      </c>
      <c r="AS57" s="14">
        <f t="shared" si="65"/>
        <v>0</v>
      </c>
      <c r="AT57" s="14">
        <f t="shared" si="67"/>
        <v>5392415.25</v>
      </c>
      <c r="AU57" s="234"/>
      <c r="AV57" s="234"/>
      <c r="AW57" s="234"/>
      <c r="AX57" s="234"/>
      <c r="AY57" s="234"/>
      <c r="AZ57" s="234"/>
      <c r="BA57" s="234">
        <v>5712757</v>
      </c>
      <c r="BB57" s="16">
        <f t="shared" si="66"/>
        <v>320341.75</v>
      </c>
    </row>
    <row r="58" spans="1:54" ht="140.4" outlineLevel="2">
      <c r="A58" s="98"/>
      <c r="B58" s="102"/>
      <c r="C58" s="23"/>
      <c r="D58" s="251"/>
      <c r="E58" s="251"/>
      <c r="F58" s="251"/>
      <c r="G58" s="250"/>
      <c r="H58" s="302" t="s">
        <v>604</v>
      </c>
      <c r="I58" s="258"/>
      <c r="J58" s="259"/>
      <c r="K58" s="259"/>
      <c r="L58" s="106" t="str">
        <f>IF(I58&lt;&gt;0,((VLOOKUP(I58,'1. Standard_Cost'!$B$4:$D$11,2)+VLOOKUP(I58,'1. Standard_Cost'!$B$4:$D$11,3))*J58*K58),"0")</f>
        <v>0</v>
      </c>
      <c r="M58" s="106">
        <f>L58*'1. Standard_Cost'!$F$4</f>
        <v>0</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260"/>
      <c r="AA58" s="260"/>
      <c r="AB58" s="108">
        <f>+Z58*'1. Standard_Cost'!$B$23+AA58*'1. Standard_Cost'!$C$23</f>
        <v>0</v>
      </c>
      <c r="AC58" s="261"/>
      <c r="AD58" s="261">
        <v>500000</v>
      </c>
      <c r="AE58" s="108">
        <f>SUM(AD58,AC58,AB58,Y58,U58,T58,S58,R58)*'1. Standard_Cost'!$B$31</f>
        <v>100000</v>
      </c>
      <c r="AF58" s="108">
        <f t="shared" si="62"/>
        <v>600000</v>
      </c>
      <c r="AG58" s="260"/>
      <c r="AH58" s="260"/>
      <c r="AI58" s="260"/>
      <c r="AJ58" s="263"/>
      <c r="AK58" s="263"/>
      <c r="AL58" s="263"/>
      <c r="AM58" s="108">
        <f>AG58*'1. Standard_Cost'!$B$27+'Incremental_Cost Year 2'!AH58*'1. Standard_Cost'!$C$27+'Incremental_Cost Year 2'!AI58*'1. Standard_Cost'!$D$27+'Incremental_Cost Year 2'!AJ58+'Incremental_Cost Year 2'!AL58+AK58</f>
        <v>0</v>
      </c>
      <c r="AN58" s="108">
        <f>AM58*'1. Standard_Cost'!$C$31</f>
        <v>0</v>
      </c>
      <c r="AO58" s="125" t="s">
        <v>306</v>
      </c>
      <c r="AQ58" s="14">
        <f t="shared" si="63"/>
        <v>0</v>
      </c>
      <c r="AR58" s="14">
        <f t="shared" si="64"/>
        <v>600000</v>
      </c>
      <c r="AS58" s="14">
        <f t="shared" si="65"/>
        <v>0</v>
      </c>
      <c r="AT58" s="14">
        <f>SUM(AQ58,AR58,AS58)</f>
        <v>600000</v>
      </c>
      <c r="AU58" s="234"/>
      <c r="AV58" s="234"/>
      <c r="AW58" s="234"/>
      <c r="AX58" s="234"/>
      <c r="AY58" s="234"/>
      <c r="AZ58" s="234"/>
      <c r="BA58" s="234"/>
      <c r="BB58" s="16">
        <f t="shared" si="66"/>
        <v>-600000</v>
      </c>
    </row>
    <row r="59" spans="1:54" ht="345" outlineLevel="1">
      <c r="A59" s="98"/>
      <c r="B59" s="102"/>
      <c r="C59" s="23"/>
      <c r="D59" s="31" t="s">
        <v>629</v>
      </c>
      <c r="E59" s="56" t="s">
        <v>213</v>
      </c>
      <c r="F59" s="253">
        <v>2021</v>
      </c>
      <c r="G59" s="254">
        <v>2026</v>
      </c>
      <c r="H59" s="277" t="s">
        <v>183</v>
      </c>
      <c r="I59" s="112"/>
      <c r="J59" s="112"/>
      <c r="K59" s="112"/>
      <c r="L59" s="113">
        <f>SUM(L41:L58)</f>
        <v>14328330</v>
      </c>
      <c r="M59" s="113">
        <f>SUM(M41:M58)</f>
        <v>2392831.11</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3515000</v>
      </c>
      <c r="AC59" s="113">
        <f>SUM(AC41:AC58)</f>
        <v>1324533.44</v>
      </c>
      <c r="AD59" s="113">
        <f>SUM(AD41:AD58)</f>
        <v>500000</v>
      </c>
      <c r="AE59" s="113">
        <f>SUM(AE41:AE58)</f>
        <v>1067906.6880000003</v>
      </c>
      <c r="AF59" s="113">
        <f>SUM(AF41:AF58)</f>
        <v>6407440.1279999986</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16721161.109999999</v>
      </c>
      <c r="AR59" s="113">
        <f t="shared" si="68"/>
        <v>6407440.1279999986</v>
      </c>
      <c r="AS59" s="113">
        <f t="shared" si="68"/>
        <v>0</v>
      </c>
      <c r="AT59" s="113">
        <f t="shared" si="68"/>
        <v>23128601.238000002</v>
      </c>
      <c r="AU59" s="113">
        <f t="shared" si="68"/>
        <v>12877534</v>
      </c>
      <c r="AV59" s="113">
        <f t="shared" si="68"/>
        <v>0</v>
      </c>
      <c r="AW59" s="113">
        <f t="shared" si="68"/>
        <v>0</v>
      </c>
      <c r="AX59" s="113">
        <f t="shared" si="68"/>
        <v>912000</v>
      </c>
      <c r="AY59" s="113">
        <f t="shared" si="68"/>
        <v>0</v>
      </c>
      <c r="AZ59" s="113">
        <f t="shared" si="68"/>
        <v>228000</v>
      </c>
      <c r="BA59" s="113">
        <f t="shared" si="68"/>
        <v>5712757</v>
      </c>
      <c r="BB59" s="113">
        <f t="shared" si="68"/>
        <v>-3398310.2379999999</v>
      </c>
    </row>
    <row r="60" spans="1:54" ht="93.6" outlineLevel="2">
      <c r="A60" s="98"/>
      <c r="B60" s="102"/>
      <c r="C60" s="23"/>
      <c r="D60" s="257"/>
      <c r="E60" s="257"/>
      <c r="F60" s="251"/>
      <c r="G60" s="250"/>
      <c r="H60" s="302" t="s">
        <v>605</v>
      </c>
      <c r="I60" s="258" t="s">
        <v>4</v>
      </c>
      <c r="J60" s="259">
        <v>0.5</v>
      </c>
      <c r="K60" s="259">
        <v>3</v>
      </c>
      <c r="L60" s="106">
        <f>IF(I60&lt;&gt;0,((VLOOKUP(I60,'1. Standard_Cost'!$B$4:$D$11,2)+VLOOKUP(I60,'1. Standard_Cost'!$B$4:$D$11,3))*J60*K60),"0")</f>
        <v>121125</v>
      </c>
      <c r="M60" s="106">
        <f>L60*'1. Standard_Cost'!$F$4</f>
        <v>20227.875</v>
      </c>
      <c r="N60" s="260"/>
      <c r="O60" s="260"/>
      <c r="P60" s="260"/>
      <c r="Q60" s="26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60"/>
      <c r="AA60" s="260"/>
      <c r="AB60" s="108">
        <f>+Z60*'1. Standard_Cost'!$B$23+AA60*'1. Standard_Cost'!$C$23</f>
        <v>0</v>
      </c>
      <c r="AC60" s="261">
        <f>100*3000+110000</f>
        <v>410000</v>
      </c>
      <c r="AD60" s="262"/>
      <c r="AE60" s="108">
        <f>SUM(AD60,AC60,AB60,Y60,U60,T60,S60,R60)*'1. Standard_Cost'!$B$31</f>
        <v>82000</v>
      </c>
      <c r="AF60" s="108">
        <f t="shared" ref="AF60:AF78" si="69">SUM(AE60,AD60,AC60,AB60,Y60,U60,T60,S60,R60)</f>
        <v>492000</v>
      </c>
      <c r="AG60" s="107"/>
      <c r="AH60" s="107"/>
      <c r="AI60" s="107"/>
      <c r="AJ60" s="111"/>
      <c r="AK60" s="111"/>
      <c r="AL60" s="111"/>
      <c r="AM60" s="108">
        <f>AG60*'1. Standard_Cost'!$B$27+'Incremental_Cost Year 2'!AH60*'1. Standard_Cost'!$C$27+'Incremental_Cost Year 2'!AI60*'1. Standard_Cost'!$D$27+'Incremental_Cost Year 2'!AJ60+'Incremental_Cost Year 2'!AL60+AK60</f>
        <v>0</v>
      </c>
      <c r="AN60" s="108">
        <f>AM60*'1. Standard_Cost'!$C$31</f>
        <v>0</v>
      </c>
      <c r="AO60" s="125" t="s">
        <v>307</v>
      </c>
      <c r="AQ60" s="14">
        <f t="shared" ref="AQ60:AQ78" si="70">L60+M60</f>
        <v>141352.875</v>
      </c>
      <c r="AR60" s="14">
        <f t="shared" ref="AR60:AR78" si="71">AF60</f>
        <v>492000</v>
      </c>
      <c r="AS60" s="14">
        <f t="shared" ref="AS60:AS78" si="72">AM60+AN60</f>
        <v>0</v>
      </c>
      <c r="AT60" s="14">
        <f>SUM(AQ60,AR60,AS60)</f>
        <v>633352.875</v>
      </c>
      <c r="AU60" s="234">
        <v>141353</v>
      </c>
      <c r="AV60" s="234"/>
      <c r="AW60" s="234"/>
      <c r="AX60" s="234"/>
      <c r="AY60" s="234"/>
      <c r="AZ60" s="234">
        <v>123000</v>
      </c>
      <c r="BA60" s="234"/>
      <c r="BB60" s="16">
        <f t="shared" ref="BB60:BB78" si="73">SUM(AU60:BA60)-AT60</f>
        <v>-368999.875</v>
      </c>
    </row>
    <row r="61" spans="1:54" ht="109.2" outlineLevel="2">
      <c r="A61" s="98"/>
      <c r="B61" s="102"/>
      <c r="C61" s="23"/>
      <c r="D61" s="269"/>
      <c r="E61" s="269"/>
      <c r="F61" s="251"/>
      <c r="G61" s="250"/>
      <c r="H61" s="302" t="s">
        <v>606</v>
      </c>
      <c r="I61" s="258" t="s">
        <v>5</v>
      </c>
      <c r="J61" s="259">
        <v>3</v>
      </c>
      <c r="K61" s="259">
        <v>1</v>
      </c>
      <c r="L61" s="106">
        <f>IF(I61&lt;&gt;0,((VLOOKUP(I61,'1. Standard_Cost'!$B$4:$D$11,2)+VLOOKUP(I61,'1. Standard_Cost'!$B$4:$D$11,3))*J61*K61),"0")</f>
        <v>212100</v>
      </c>
      <c r="M61" s="106">
        <f>L61*'1. Standard_Cost'!$F$4</f>
        <v>35420.700000000004</v>
      </c>
      <c r="N61" s="260"/>
      <c r="O61" s="260"/>
      <c r="P61" s="260"/>
      <c r="Q61" s="26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69"/>
        <v>0</v>
      </c>
      <c r="AG61" s="107"/>
      <c r="AH61" s="107"/>
      <c r="AI61" s="107"/>
      <c r="AJ61" s="111"/>
      <c r="AK61" s="111"/>
      <c r="AL61" s="111"/>
      <c r="AM61" s="108">
        <f>AG61*'1. Standard_Cost'!$B$27+'Incremental_Cost Year 2'!AH61*'1. Standard_Cost'!$C$27+'Incremental_Cost Year 2'!AI61*'1. Standard_Cost'!$D$27+'Incremental_Cost Year 2'!AJ61+'Incremental_Cost Year 2'!AL61+AK61</f>
        <v>0</v>
      </c>
      <c r="AN61" s="108">
        <f>AM61*'1. Standard_Cost'!$C$31</f>
        <v>0</v>
      </c>
      <c r="AO61" s="125" t="s">
        <v>308</v>
      </c>
      <c r="AQ61" s="14">
        <f t="shared" si="70"/>
        <v>247520.7</v>
      </c>
      <c r="AR61" s="14">
        <f t="shared" si="71"/>
        <v>0</v>
      </c>
      <c r="AS61" s="14">
        <f t="shared" si="72"/>
        <v>0</v>
      </c>
      <c r="AT61" s="14">
        <f t="shared" ref="AT61:AT78" si="74">SUM(AQ61,AR61,AS61)</f>
        <v>247520.7</v>
      </c>
      <c r="AU61" s="234">
        <v>247521</v>
      </c>
      <c r="AV61" s="234"/>
      <c r="AW61" s="234"/>
      <c r="AX61" s="234"/>
      <c r="AY61" s="234"/>
      <c r="AZ61" s="234"/>
      <c r="BA61" s="234"/>
      <c r="BB61" s="16">
        <f t="shared" si="73"/>
        <v>0.29999999998835847</v>
      </c>
    </row>
    <row r="62" spans="1:54" ht="140.4" outlineLevel="2">
      <c r="A62" s="98"/>
      <c r="B62" s="102"/>
      <c r="C62" s="23"/>
      <c r="D62" s="269"/>
      <c r="E62" s="269"/>
      <c r="F62" s="251"/>
      <c r="G62" s="250"/>
      <c r="H62" s="302" t="s">
        <v>607</v>
      </c>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60"/>
      <c r="AA62" s="260"/>
      <c r="AB62" s="108">
        <f>+Z62*'1. Standard_Cost'!$B$23+AA62*'1. Standard_Cost'!$C$23</f>
        <v>0</v>
      </c>
      <c r="AC62" s="261">
        <v>1000000</v>
      </c>
      <c r="AD62" s="262"/>
      <c r="AE62" s="108">
        <f>SUM(AD62,AC62,AB62,Y62,U62,T62,S62,R62)*'1. Standard_Cost'!$B$31</f>
        <v>200000</v>
      </c>
      <c r="AF62" s="108">
        <f t="shared" si="69"/>
        <v>1200000</v>
      </c>
      <c r="AG62" s="107"/>
      <c r="AH62" s="107"/>
      <c r="AI62" s="107"/>
      <c r="AJ62" s="111"/>
      <c r="AK62" s="111"/>
      <c r="AL62" s="111"/>
      <c r="AM62" s="108">
        <f>AG62*'1. Standard_Cost'!$B$27+'Incremental_Cost Year 2'!AH62*'1. Standard_Cost'!$C$27+'Incremental_Cost Year 2'!AI62*'1. Standard_Cost'!$D$27+'Incremental_Cost Year 2'!AJ62+'Incremental_Cost Year 2'!AL62+AK62</f>
        <v>0</v>
      </c>
      <c r="AN62" s="108">
        <f>AM62*'1. Standard_Cost'!$C$31</f>
        <v>0</v>
      </c>
      <c r="AO62" s="125" t="s">
        <v>309</v>
      </c>
      <c r="AQ62" s="14">
        <f t="shared" si="70"/>
        <v>0</v>
      </c>
      <c r="AR62" s="14">
        <f t="shared" si="71"/>
        <v>1200000</v>
      </c>
      <c r="AS62" s="14">
        <f t="shared" si="72"/>
        <v>0</v>
      </c>
      <c r="AT62" s="14">
        <f t="shared" si="74"/>
        <v>1200000</v>
      </c>
      <c r="AU62" s="234"/>
      <c r="AV62" s="234"/>
      <c r="AW62" s="234"/>
      <c r="AX62" s="234"/>
      <c r="AY62" s="234"/>
      <c r="AZ62" s="234"/>
      <c r="BA62" s="234"/>
      <c r="BB62" s="16">
        <f t="shared" si="73"/>
        <v>-1200000</v>
      </c>
    </row>
    <row r="63" spans="1:54" ht="140.4" outlineLevel="2">
      <c r="A63" s="98"/>
      <c r="B63" s="102"/>
      <c r="C63" s="23"/>
      <c r="D63" s="269"/>
      <c r="E63" s="269"/>
      <c r="F63" s="251"/>
      <c r="G63" s="250"/>
      <c r="H63" s="302" t="s">
        <v>608</v>
      </c>
      <c r="I63" s="258" t="s">
        <v>5</v>
      </c>
      <c r="J63" s="259">
        <v>0.5</v>
      </c>
      <c r="K63" s="259">
        <v>2</v>
      </c>
      <c r="L63" s="106">
        <f>IF(I63&lt;&gt;0,((VLOOKUP(I63,'1. Standard_Cost'!$B$4:$D$11,2)+VLOOKUP(I63,'1. Standard_Cost'!$B$4:$D$11,3))*J63*K63),"0")</f>
        <v>70700</v>
      </c>
      <c r="M63" s="106">
        <f>L63*'1. Standard_Cost'!$F$4</f>
        <v>11806.900000000001</v>
      </c>
      <c r="N63" s="260">
        <v>3</v>
      </c>
      <c r="O63" s="260">
        <v>1</v>
      </c>
      <c r="P63" s="260">
        <v>15</v>
      </c>
      <c r="Q63" s="26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60"/>
      <c r="AA63" s="260">
        <v>14</v>
      </c>
      <c r="AB63" s="108">
        <f>+Z63*'1. Standard_Cost'!$B$23+AA63*'1. Standard_Cost'!$C$23</f>
        <v>266000</v>
      </c>
      <c r="AC63" s="261">
        <f>45*500</f>
        <v>22500</v>
      </c>
      <c r="AD63" s="262"/>
      <c r="AE63" s="108">
        <f>SUM(AD63,AC63,AB63,Y63,U63,T63,S63,R63)*'1. Standard_Cost'!$B$31</f>
        <v>113200</v>
      </c>
      <c r="AF63" s="108">
        <f t="shared" si="69"/>
        <v>679200</v>
      </c>
      <c r="AG63" s="107"/>
      <c r="AH63" s="107"/>
      <c r="AI63" s="107"/>
      <c r="AJ63" s="111"/>
      <c r="AK63" s="111"/>
      <c r="AL63" s="111"/>
      <c r="AM63" s="108">
        <f>AG63*'1. Standard_Cost'!$B$27+'Incremental_Cost Year 2'!AH63*'1. Standard_Cost'!$C$27+'Incremental_Cost Year 2'!AI63*'1. Standard_Cost'!$D$27+'Incremental_Cost Year 2'!AJ63+'Incremental_Cost Year 2'!AL63+AK63</f>
        <v>0</v>
      </c>
      <c r="AN63" s="108">
        <f>AM63*'1. Standard_Cost'!$C$31</f>
        <v>0</v>
      </c>
      <c r="AO63" s="125" t="s">
        <v>310</v>
      </c>
      <c r="AQ63" s="14">
        <f t="shared" si="70"/>
        <v>82506.899999999994</v>
      </c>
      <c r="AR63" s="14">
        <f t="shared" si="71"/>
        <v>679200</v>
      </c>
      <c r="AS63" s="14">
        <f t="shared" si="72"/>
        <v>0</v>
      </c>
      <c r="AT63" s="14">
        <f t="shared" si="74"/>
        <v>761706.9</v>
      </c>
      <c r="AU63" s="234">
        <v>82507</v>
      </c>
      <c r="AV63" s="234"/>
      <c r="AW63" s="234"/>
      <c r="AX63" s="234"/>
      <c r="AY63" s="234"/>
      <c r="AZ63" s="234">
        <v>228000</v>
      </c>
      <c r="BA63" s="234"/>
      <c r="BB63" s="16">
        <f t="shared" si="73"/>
        <v>-451199.9</v>
      </c>
    </row>
    <row r="64" spans="1:54" ht="171.6" outlineLevel="2">
      <c r="A64" s="98"/>
      <c r="B64" s="102"/>
      <c r="C64" s="23"/>
      <c r="D64" s="269"/>
      <c r="E64" s="269"/>
      <c r="F64" s="251"/>
      <c r="G64" s="250"/>
      <c r="H64" s="302" t="s">
        <v>609</v>
      </c>
      <c r="I64" s="258" t="s">
        <v>5</v>
      </c>
      <c r="J64" s="259">
        <v>0.5</v>
      </c>
      <c r="K64" s="259">
        <v>2</v>
      </c>
      <c r="L64" s="106">
        <f>IF(I64&lt;&gt;0,((VLOOKUP(I64,'1. Standard_Cost'!$B$4:$D$11,2)+VLOOKUP(I64,'1. Standard_Cost'!$B$4:$D$11,3))*J64*K64),"0")</f>
        <v>70700</v>
      </c>
      <c r="M64" s="106">
        <f>L64*'1. Standard_Cost'!$F$4</f>
        <v>11806.900000000001</v>
      </c>
      <c r="N64" s="260">
        <v>3</v>
      </c>
      <c r="O64" s="260">
        <v>1</v>
      </c>
      <c r="P64" s="260">
        <v>15</v>
      </c>
      <c r="Q64" s="26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60"/>
      <c r="AA64" s="260">
        <v>14</v>
      </c>
      <c r="AB64" s="108">
        <f>+Z64*'1. Standard_Cost'!$B$23+AA64*'1. Standard_Cost'!$C$23</f>
        <v>266000</v>
      </c>
      <c r="AC64" s="261">
        <f>45*500</f>
        <v>22500</v>
      </c>
      <c r="AD64" s="262"/>
      <c r="AE64" s="108">
        <f>SUM(AD64,AC64,AB64,Y64,U64,T64,S64,R64)*'1. Standard_Cost'!$B$31</f>
        <v>113200</v>
      </c>
      <c r="AF64" s="108">
        <f t="shared" si="69"/>
        <v>679200</v>
      </c>
      <c r="AG64" s="107"/>
      <c r="AH64" s="107"/>
      <c r="AI64" s="107"/>
      <c r="AJ64" s="111"/>
      <c r="AK64" s="111"/>
      <c r="AL64" s="111"/>
      <c r="AM64" s="108">
        <f>AG64*'1. Standard_Cost'!$B$27+'Incremental_Cost Year 2'!AH64*'1. Standard_Cost'!$C$27+'Incremental_Cost Year 2'!AI64*'1. Standard_Cost'!$D$27+'Incremental_Cost Year 2'!AJ64+'Incremental_Cost Year 2'!AL64+AK64</f>
        <v>0</v>
      </c>
      <c r="AN64" s="108">
        <f>AM64*'1. Standard_Cost'!$C$31</f>
        <v>0</v>
      </c>
      <c r="AO64" s="125" t="s">
        <v>311</v>
      </c>
      <c r="AQ64" s="14">
        <f t="shared" si="70"/>
        <v>82506.899999999994</v>
      </c>
      <c r="AR64" s="14">
        <f t="shared" si="71"/>
        <v>679200</v>
      </c>
      <c r="AS64" s="14">
        <f t="shared" si="72"/>
        <v>0</v>
      </c>
      <c r="AT64" s="14">
        <f t="shared" si="74"/>
        <v>761706.9</v>
      </c>
      <c r="AU64" s="234">
        <v>82507</v>
      </c>
      <c r="AV64" s="234"/>
      <c r="AW64" s="234"/>
      <c r="AX64" s="234"/>
      <c r="AY64" s="234"/>
      <c r="AZ64" s="234">
        <v>228000</v>
      </c>
      <c r="BA64" s="234"/>
      <c r="BB64" s="16">
        <f t="shared" si="73"/>
        <v>-451199.9</v>
      </c>
    </row>
    <row r="65" spans="1:56" ht="62.4" outlineLevel="2">
      <c r="A65" s="98"/>
      <c r="B65" s="102"/>
      <c r="C65" s="23"/>
      <c r="D65" s="269"/>
      <c r="E65" s="269"/>
      <c r="F65" s="251"/>
      <c r="G65" s="250"/>
      <c r="H65" s="302" t="s">
        <v>676</v>
      </c>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69"/>
        <v>0</v>
      </c>
      <c r="AG65" s="107"/>
      <c r="AH65" s="107"/>
      <c r="AI65" s="107"/>
      <c r="AJ65" s="111"/>
      <c r="AK65" s="111"/>
      <c r="AL65" s="111"/>
      <c r="AM65" s="108">
        <f>AG65*'1. Standard_Cost'!$B$27+'Incremental_Cost Year 2'!AH65*'1. Standard_Cost'!$C$27+'Incremental_Cost Year 2'!AI65*'1. Standard_Cost'!$D$27+'Incremental_Cost Year 2'!AJ65+'Incremental_Cost Year 2'!AL65+AK65</f>
        <v>0</v>
      </c>
      <c r="AN65" s="108">
        <f>AM65*'1. Standard_Cost'!$C$31</f>
        <v>0</v>
      </c>
      <c r="AO65" s="125" t="s">
        <v>312</v>
      </c>
      <c r="AQ65" s="14">
        <f t="shared" si="70"/>
        <v>0</v>
      </c>
      <c r="AR65" s="14">
        <f t="shared" si="71"/>
        <v>0</v>
      </c>
      <c r="AS65" s="14">
        <f t="shared" si="72"/>
        <v>0</v>
      </c>
      <c r="AT65" s="14">
        <f t="shared" si="74"/>
        <v>0</v>
      </c>
      <c r="AU65" s="234"/>
      <c r="AV65" s="234"/>
      <c r="AW65" s="234"/>
      <c r="AX65" s="234"/>
      <c r="AY65" s="234"/>
      <c r="AZ65" s="234"/>
      <c r="BA65" s="234"/>
      <c r="BB65" s="16">
        <f t="shared" si="73"/>
        <v>0</v>
      </c>
    </row>
    <row r="66" spans="1:56" ht="78" outlineLevel="2">
      <c r="A66" s="98"/>
      <c r="B66" s="102"/>
      <c r="C66" s="23"/>
      <c r="D66" s="269"/>
      <c r="E66" s="269"/>
      <c r="F66" s="251"/>
      <c r="G66" s="250"/>
      <c r="H66" s="302" t="s">
        <v>677</v>
      </c>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69"/>
        <v>0</v>
      </c>
      <c r="AG66" s="107"/>
      <c r="AH66" s="107"/>
      <c r="AI66" s="107"/>
      <c r="AJ66" s="111"/>
      <c r="AK66" s="111"/>
      <c r="AL66" s="111"/>
      <c r="AM66" s="108">
        <f>AG66*'1. Standard_Cost'!$B$27+'Incremental_Cost Year 2'!AH66*'1. Standard_Cost'!$C$27+'Incremental_Cost Year 2'!AI66*'1. Standard_Cost'!$D$27+'Incremental_Cost Year 2'!AJ66+'Incremental_Cost Year 2'!AL66+AK66</f>
        <v>0</v>
      </c>
      <c r="AN66" s="108">
        <f>AM66*'1. Standard_Cost'!$C$31</f>
        <v>0</v>
      </c>
      <c r="AO66" s="125" t="s">
        <v>313</v>
      </c>
      <c r="AQ66" s="14">
        <f t="shared" si="70"/>
        <v>0</v>
      </c>
      <c r="AR66" s="14">
        <f t="shared" si="71"/>
        <v>0</v>
      </c>
      <c r="AS66" s="14">
        <f t="shared" si="72"/>
        <v>0</v>
      </c>
      <c r="AT66" s="14">
        <f t="shared" si="74"/>
        <v>0</v>
      </c>
      <c r="AU66" s="234"/>
      <c r="AV66" s="234"/>
      <c r="AW66" s="234"/>
      <c r="AX66" s="234"/>
      <c r="AY66" s="234"/>
      <c r="AZ66" s="234"/>
      <c r="BA66" s="234"/>
      <c r="BB66" s="16">
        <f t="shared" si="73"/>
        <v>0</v>
      </c>
    </row>
    <row r="67" spans="1:56" ht="93.6" outlineLevel="2">
      <c r="A67" s="98"/>
      <c r="B67" s="102"/>
      <c r="C67" s="23"/>
      <c r="D67" s="269"/>
      <c r="E67" s="269"/>
      <c r="F67" s="251"/>
      <c r="G67" s="173"/>
      <c r="H67" s="302" t="s">
        <v>678</v>
      </c>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69"/>
        <v>0</v>
      </c>
      <c r="AG67" s="107"/>
      <c r="AH67" s="107"/>
      <c r="AI67" s="107"/>
      <c r="AJ67" s="111"/>
      <c r="AK67" s="111"/>
      <c r="AL67" s="111"/>
      <c r="AM67" s="108">
        <f>AG67*'1. Standard_Cost'!$B$27+'Incremental_Cost Year 2'!AH67*'1. Standard_Cost'!$C$27+'Incremental_Cost Year 2'!AI67*'1. Standard_Cost'!$D$27+'Incremental_Cost Year 2'!AJ67+'Incremental_Cost Year 2'!AL67+AK67</f>
        <v>0</v>
      </c>
      <c r="AN67" s="108">
        <f>AM67*'1. Standard_Cost'!$C$31</f>
        <v>0</v>
      </c>
      <c r="AO67" s="125" t="s">
        <v>313</v>
      </c>
      <c r="AQ67" s="14">
        <f t="shared" si="70"/>
        <v>0</v>
      </c>
      <c r="AR67" s="14">
        <f t="shared" si="71"/>
        <v>0</v>
      </c>
      <c r="AS67" s="14">
        <f t="shared" si="72"/>
        <v>0</v>
      </c>
      <c r="AT67" s="14">
        <f t="shared" si="74"/>
        <v>0</v>
      </c>
      <c r="AU67" s="234"/>
      <c r="AV67" s="234"/>
      <c r="AW67" s="234"/>
      <c r="AX67" s="234"/>
      <c r="AY67" s="234"/>
      <c r="AZ67" s="234"/>
      <c r="BA67" s="234"/>
      <c r="BB67" s="16">
        <f t="shared" si="73"/>
        <v>0</v>
      </c>
    </row>
    <row r="68" spans="1:56" ht="109.2" outlineLevel="2">
      <c r="A68" s="98"/>
      <c r="B68" s="102"/>
      <c r="C68" s="23"/>
      <c r="D68" s="269"/>
      <c r="E68" s="269"/>
      <c r="F68" s="251"/>
      <c r="G68" s="173"/>
      <c r="H68" s="302" t="s">
        <v>610</v>
      </c>
      <c r="I68" s="258" t="s">
        <v>4</v>
      </c>
      <c r="J68" s="259">
        <v>0.5</v>
      </c>
      <c r="K68" s="259">
        <v>5</v>
      </c>
      <c r="L68" s="106">
        <f>IF(I68&lt;&gt;0,((VLOOKUP(I68,'1. Standard_Cost'!$B$4:$D$11,2)+VLOOKUP(I68,'1. Standard_Cost'!$B$4:$D$11,3))*J68*K68),"0")</f>
        <v>201875</v>
      </c>
      <c r="M68" s="106">
        <f>L68*'1. Standard_Cost'!$F$4</f>
        <v>33713.125</v>
      </c>
      <c r="N68" s="260"/>
      <c r="O68" s="260"/>
      <c r="P68" s="260"/>
      <c r="Q68" s="26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60"/>
      <c r="AA68" s="260">
        <v>20</v>
      </c>
      <c r="AB68" s="108">
        <f>+Z68*'1. Standard_Cost'!$B$23+AA68*'1. Standard_Cost'!$C$23</f>
        <v>380000</v>
      </c>
      <c r="AC68" s="261"/>
      <c r="AD68" s="262"/>
      <c r="AE68" s="108">
        <f>SUM(AD68,AC68,AB68,Y68,U68,T68,S68,R68)*'1. Standard_Cost'!$B$31</f>
        <v>76000</v>
      </c>
      <c r="AF68" s="108">
        <f t="shared" si="69"/>
        <v>456000</v>
      </c>
      <c r="AG68" s="107"/>
      <c r="AH68" s="107"/>
      <c r="AI68" s="107"/>
      <c r="AJ68" s="111"/>
      <c r="AK68" s="111"/>
      <c r="AL68" s="111"/>
      <c r="AM68" s="108">
        <f>AG68*'1. Standard_Cost'!$B$27+'Incremental_Cost Year 2'!AH68*'1. Standard_Cost'!$C$27+'Incremental_Cost Year 2'!AI68*'1. Standard_Cost'!$D$27+'Incremental_Cost Year 2'!AJ68+'Incremental_Cost Year 2'!AL68+AK68</f>
        <v>0</v>
      </c>
      <c r="AN68" s="108">
        <f>AM68*'1. Standard_Cost'!$C$31</f>
        <v>0</v>
      </c>
      <c r="AO68" s="125" t="s">
        <v>314</v>
      </c>
      <c r="AQ68" s="14">
        <f t="shared" si="70"/>
        <v>235588.125</v>
      </c>
      <c r="AR68" s="14">
        <f t="shared" si="71"/>
        <v>456000</v>
      </c>
      <c r="AS68" s="14">
        <f t="shared" si="72"/>
        <v>0</v>
      </c>
      <c r="AT68" s="14">
        <f t="shared" si="74"/>
        <v>691588.125</v>
      </c>
      <c r="AU68" s="234">
        <v>235588</v>
      </c>
      <c r="AV68" s="234"/>
      <c r="AW68" s="234"/>
      <c r="AX68" s="234"/>
      <c r="AY68" s="234"/>
      <c r="AZ68" s="234"/>
      <c r="BA68" s="234"/>
      <c r="BB68" s="16">
        <f t="shared" si="73"/>
        <v>-456000.125</v>
      </c>
    </row>
    <row r="69" spans="1:56" ht="46.8" outlineLevel="2">
      <c r="A69" s="98"/>
      <c r="B69" s="102"/>
      <c r="C69" s="23"/>
      <c r="D69" s="269"/>
      <c r="E69" s="269"/>
      <c r="F69" s="251"/>
      <c r="G69" s="250"/>
      <c r="H69" s="302" t="s">
        <v>679</v>
      </c>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69"/>
        <v>0</v>
      </c>
      <c r="AG69" s="107"/>
      <c r="AH69" s="107"/>
      <c r="AI69" s="107"/>
      <c r="AJ69" s="111"/>
      <c r="AK69" s="111"/>
      <c r="AL69" s="111"/>
      <c r="AM69" s="108">
        <f>AG69*'1. Standard_Cost'!$B$27+'Incremental_Cost Year 2'!AH69*'1. Standard_Cost'!$C$27+'Incremental_Cost Year 2'!AI69*'1. Standard_Cost'!$D$27+'Incremental_Cost Year 2'!AJ69+'Incremental_Cost Year 2'!AL69+AK69</f>
        <v>0</v>
      </c>
      <c r="AN69" s="108">
        <f>AM69*'1. Standard_Cost'!$C$31</f>
        <v>0</v>
      </c>
      <c r="AO69" s="125" t="s">
        <v>315</v>
      </c>
      <c r="AQ69" s="14">
        <f t="shared" si="70"/>
        <v>0</v>
      </c>
      <c r="AR69" s="14">
        <f t="shared" si="71"/>
        <v>0</v>
      </c>
      <c r="AS69" s="14">
        <f t="shared" si="72"/>
        <v>0</v>
      </c>
      <c r="AT69" s="14">
        <f t="shared" si="74"/>
        <v>0</v>
      </c>
      <c r="AU69" s="234"/>
      <c r="AV69" s="234"/>
      <c r="AW69" s="234"/>
      <c r="AX69" s="234"/>
      <c r="AY69" s="234"/>
      <c r="AZ69" s="234"/>
      <c r="BA69" s="234"/>
      <c r="BB69" s="16">
        <f t="shared" si="73"/>
        <v>0</v>
      </c>
    </row>
    <row r="70" spans="1:56" ht="31.2" outlineLevel="2">
      <c r="A70" s="98"/>
      <c r="B70" s="102"/>
      <c r="C70" s="23"/>
      <c r="D70" s="269"/>
      <c r="E70" s="269"/>
      <c r="F70" s="251"/>
      <c r="G70" s="250"/>
      <c r="H70" s="302" t="s">
        <v>680</v>
      </c>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69"/>
        <v>0</v>
      </c>
      <c r="AG70" s="107"/>
      <c r="AH70" s="107"/>
      <c r="AI70" s="107"/>
      <c r="AJ70" s="111"/>
      <c r="AK70" s="111"/>
      <c r="AL70" s="111"/>
      <c r="AM70" s="108">
        <f>AG70*'1. Standard_Cost'!$B$27+'Incremental_Cost Year 2'!AH70*'1. Standard_Cost'!$C$27+'Incremental_Cost Year 2'!AI70*'1. Standard_Cost'!$D$27+'Incremental_Cost Year 2'!AJ70+'Incremental_Cost Year 2'!AL70+AK70</f>
        <v>0</v>
      </c>
      <c r="AN70" s="108">
        <f>AM70*'1. Standard_Cost'!$C$31</f>
        <v>0</v>
      </c>
      <c r="AO70" s="125" t="s">
        <v>315</v>
      </c>
      <c r="AQ70" s="14">
        <f t="shared" si="70"/>
        <v>0</v>
      </c>
      <c r="AR70" s="14">
        <f t="shared" si="71"/>
        <v>0</v>
      </c>
      <c r="AS70" s="14">
        <f t="shared" si="72"/>
        <v>0</v>
      </c>
      <c r="AT70" s="14">
        <f t="shared" si="74"/>
        <v>0</v>
      </c>
      <c r="AU70" s="234"/>
      <c r="AV70" s="234"/>
      <c r="AW70" s="234"/>
      <c r="AX70" s="234"/>
      <c r="AY70" s="234"/>
      <c r="AZ70" s="234"/>
      <c r="BA70" s="234"/>
      <c r="BB70" s="16">
        <f t="shared" si="73"/>
        <v>0</v>
      </c>
    </row>
    <row r="71" spans="1:56" ht="31.2" outlineLevel="2">
      <c r="A71" s="98"/>
      <c r="B71" s="102"/>
      <c r="C71" s="23"/>
      <c r="D71" s="269"/>
      <c r="E71" s="269"/>
      <c r="F71" s="251"/>
      <c r="G71" s="250"/>
      <c r="H71" s="302" t="s">
        <v>681</v>
      </c>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69"/>
        <v>0</v>
      </c>
      <c r="AG71" s="107"/>
      <c r="AH71" s="107"/>
      <c r="AI71" s="107"/>
      <c r="AJ71" s="111"/>
      <c r="AK71" s="111"/>
      <c r="AL71" s="111"/>
      <c r="AM71" s="108">
        <f>AG71*'1. Standard_Cost'!$B$27+'Incremental_Cost Year 2'!AH71*'1. Standard_Cost'!$C$27+'Incremental_Cost Year 2'!AI71*'1. Standard_Cost'!$D$27+'Incremental_Cost Year 2'!AJ71+'Incremental_Cost Year 2'!AL71+AK71</f>
        <v>0</v>
      </c>
      <c r="AN71" s="108">
        <f>AM71*'1. Standard_Cost'!$C$31</f>
        <v>0</v>
      </c>
      <c r="AO71" s="125" t="s">
        <v>316</v>
      </c>
      <c r="AQ71" s="14">
        <f t="shared" si="70"/>
        <v>0</v>
      </c>
      <c r="AR71" s="14">
        <f t="shared" si="71"/>
        <v>0</v>
      </c>
      <c r="AS71" s="14">
        <f t="shared" si="72"/>
        <v>0</v>
      </c>
      <c r="AT71" s="14">
        <f t="shared" si="74"/>
        <v>0</v>
      </c>
      <c r="AU71" s="234"/>
      <c r="AV71" s="234"/>
      <c r="AW71" s="234"/>
      <c r="AX71" s="234"/>
      <c r="AY71" s="234"/>
      <c r="AZ71" s="234"/>
      <c r="BA71" s="234"/>
      <c r="BB71" s="16">
        <f t="shared" si="73"/>
        <v>0</v>
      </c>
    </row>
    <row r="72" spans="1:56" ht="140.4" outlineLevel="2">
      <c r="A72" s="98"/>
      <c r="B72" s="102"/>
      <c r="C72" s="23"/>
      <c r="D72" s="269"/>
      <c r="E72" s="269"/>
      <c r="F72" s="251"/>
      <c r="G72" s="250"/>
      <c r="H72" s="302" t="s">
        <v>611</v>
      </c>
      <c r="I72" s="258" t="s">
        <v>5</v>
      </c>
      <c r="J72" s="259">
        <v>0.5</v>
      </c>
      <c r="K72" s="259">
        <v>2</v>
      </c>
      <c r="L72" s="106">
        <f>IF(I72&lt;&gt;0,((VLOOKUP(I72,'1. Standard_Cost'!$B$4:$D$11,2)+VLOOKUP(I72,'1. Standard_Cost'!$B$4:$D$11,3))*J72*K72),"0")</f>
        <v>70700</v>
      </c>
      <c r="M72" s="106">
        <f>L72*'1. Standard_Cost'!$F$4</f>
        <v>11806.900000000001</v>
      </c>
      <c r="N72" s="260">
        <v>6</v>
      </c>
      <c r="O72" s="260">
        <v>1</v>
      </c>
      <c r="P72" s="260">
        <v>15</v>
      </c>
      <c r="Q72" s="260"/>
      <c r="R72" s="108">
        <f>'1. Standard_Cost'!$B$15*N72*P72</f>
        <v>180000</v>
      </c>
      <c r="S72" s="108">
        <f>N72*O72*P72*'1. Standard_Cost'!$C$15</f>
        <v>135000</v>
      </c>
      <c r="T72" s="108">
        <f>N72*P72*Q72*'1. Standard_Cost'!$D$15</f>
        <v>0</v>
      </c>
      <c r="U72" s="108">
        <f>N72*O72*'1. Standard_Cost'!$E$15</f>
        <v>240000</v>
      </c>
      <c r="V72" s="107"/>
      <c r="W72" s="107"/>
      <c r="X72" s="107"/>
      <c r="Y72" s="108">
        <f>+V72*((X72*'1. Standard_Cost'!$B$19)+(W72*X72*'1. Standard_Cost'!$C$19))</f>
        <v>0</v>
      </c>
      <c r="Z72" s="260"/>
      <c r="AA72" s="260">
        <v>17</v>
      </c>
      <c r="AB72" s="108">
        <f>+Z72*'1. Standard_Cost'!$B$23+AA72*'1. Standard_Cost'!$C$23</f>
        <v>323000</v>
      </c>
      <c r="AC72" s="261">
        <f>6*15*500</f>
        <v>45000</v>
      </c>
      <c r="AD72" s="262"/>
      <c r="AE72" s="108">
        <f>SUM(AD72,AC72,AB72,Y72,U72,T72,S72,R72)*'1. Standard_Cost'!$B$31</f>
        <v>184600</v>
      </c>
      <c r="AF72" s="108">
        <f t="shared" si="69"/>
        <v>1107600</v>
      </c>
      <c r="AG72" s="107"/>
      <c r="AH72" s="107"/>
      <c r="AI72" s="107"/>
      <c r="AJ72" s="111"/>
      <c r="AK72" s="111"/>
      <c r="AL72" s="111"/>
      <c r="AM72" s="108">
        <f>AG72*'1. Standard_Cost'!$B$27+'Incremental_Cost Year 2'!AH72*'1. Standard_Cost'!$C$27+'Incremental_Cost Year 2'!AI72*'1. Standard_Cost'!$D$27+'Incremental_Cost Year 2'!AJ72+'Incremental_Cost Year 2'!AL72+AK72</f>
        <v>0</v>
      </c>
      <c r="AN72" s="108">
        <f>AM72*'1. Standard_Cost'!$C$31</f>
        <v>0</v>
      </c>
      <c r="AO72" s="125" t="s">
        <v>317</v>
      </c>
      <c r="AQ72" s="14">
        <f t="shared" si="70"/>
        <v>82506.899999999994</v>
      </c>
      <c r="AR72" s="14">
        <f t="shared" si="71"/>
        <v>1107600</v>
      </c>
      <c r="AS72" s="14">
        <f t="shared" si="72"/>
        <v>0</v>
      </c>
      <c r="AT72" s="14">
        <f t="shared" si="74"/>
        <v>1190106.8999999999</v>
      </c>
      <c r="AU72" s="234">
        <v>82507</v>
      </c>
      <c r="AV72" s="234"/>
      <c r="AW72" s="234"/>
      <c r="AX72" s="234"/>
      <c r="AY72" s="234"/>
      <c r="AZ72" s="234">
        <v>387600</v>
      </c>
      <c r="BA72" s="234"/>
      <c r="BB72" s="16">
        <f t="shared" si="73"/>
        <v>-719999.89999999991</v>
      </c>
    </row>
    <row r="73" spans="1:56" ht="109.2" outlineLevel="2">
      <c r="A73" s="98"/>
      <c r="B73" s="102"/>
      <c r="C73" s="23"/>
      <c r="D73" s="251"/>
      <c r="E73" s="251"/>
      <c r="F73" s="251"/>
      <c r="G73" s="173"/>
      <c r="H73" s="302" t="s">
        <v>612</v>
      </c>
      <c r="I73" s="258" t="s">
        <v>4</v>
      </c>
      <c r="J73" s="259">
        <v>0.5</v>
      </c>
      <c r="K73" s="259">
        <v>6</v>
      </c>
      <c r="L73" s="106">
        <f>IF(I73&lt;&gt;0,((VLOOKUP(I73,'1. Standard_Cost'!$B$4:$D$11,2)+VLOOKUP(I73,'1. Standard_Cost'!$B$4:$D$11,3))*J73*K73),"0")</f>
        <v>242250</v>
      </c>
      <c r="M73" s="106">
        <f>L73*'1. Standard_Cost'!$F$4</f>
        <v>40455.75</v>
      </c>
      <c r="N73" s="260"/>
      <c r="O73" s="260"/>
      <c r="P73" s="260"/>
      <c r="Q73" s="26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60"/>
      <c r="AA73" s="260">
        <v>20</v>
      </c>
      <c r="AB73" s="108">
        <f>+Z73*'1. Standard_Cost'!$B$23+AA73*'1. Standard_Cost'!$C$23</f>
        <v>380000</v>
      </c>
      <c r="AC73" s="261"/>
      <c r="AD73" s="262"/>
      <c r="AE73" s="108">
        <f>SUM(AD73,AC73,AB73,Y73,U73,T73,S73,R73)*'1. Standard_Cost'!$B$31</f>
        <v>76000</v>
      </c>
      <c r="AF73" s="108">
        <f t="shared" si="69"/>
        <v>456000</v>
      </c>
      <c r="AG73" s="107"/>
      <c r="AH73" s="107"/>
      <c r="AI73" s="107"/>
      <c r="AJ73" s="111"/>
      <c r="AK73" s="111"/>
      <c r="AL73" s="111"/>
      <c r="AM73" s="108">
        <f>AG73*'1. Standard_Cost'!$B$27+'Incremental_Cost Year 2'!AH73*'1. Standard_Cost'!$C$27+'Incremental_Cost Year 2'!AI73*'1. Standard_Cost'!$D$27+'Incremental_Cost Year 2'!AJ73+'Incremental_Cost Year 2'!AL73+AK73</f>
        <v>0</v>
      </c>
      <c r="AN73" s="108">
        <f>AM73*'1. Standard_Cost'!$C$31</f>
        <v>0</v>
      </c>
      <c r="AO73" s="125" t="s">
        <v>318</v>
      </c>
      <c r="AQ73" s="14">
        <f t="shared" si="70"/>
        <v>282705.75</v>
      </c>
      <c r="AR73" s="14">
        <f t="shared" si="71"/>
        <v>456000</v>
      </c>
      <c r="AS73" s="14">
        <f t="shared" si="72"/>
        <v>0</v>
      </c>
      <c r="AT73" s="14">
        <f t="shared" si="74"/>
        <v>738705.75</v>
      </c>
      <c r="AU73" s="234">
        <v>282706</v>
      </c>
      <c r="AV73" s="234"/>
      <c r="AW73" s="234"/>
      <c r="AX73" s="234"/>
      <c r="AY73" s="234"/>
      <c r="AZ73" s="234"/>
      <c r="BA73" s="234"/>
      <c r="BB73" s="16">
        <f t="shared" si="73"/>
        <v>-455999.75</v>
      </c>
    </row>
    <row r="74" spans="1:56" ht="74.400000000000006" outlineLevel="2">
      <c r="A74" s="98"/>
      <c r="B74" s="102"/>
      <c r="C74" s="23"/>
      <c r="D74" s="251"/>
      <c r="E74" s="251"/>
      <c r="F74" s="251"/>
      <c r="G74" s="250"/>
      <c r="H74" s="302" t="s">
        <v>682</v>
      </c>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69"/>
        <v>0</v>
      </c>
      <c r="AG74" s="107"/>
      <c r="AH74" s="107"/>
      <c r="AI74" s="107"/>
      <c r="AJ74" s="111"/>
      <c r="AK74" s="111"/>
      <c r="AL74" s="111"/>
      <c r="AM74" s="108">
        <f>AG74*'1. Standard_Cost'!$B$27+'Incremental_Cost Year 2'!AH74*'1. Standard_Cost'!$C$27+'Incremental_Cost Year 2'!AI74*'1. Standard_Cost'!$D$27+'Incremental_Cost Year 2'!AJ74+'Incremental_Cost Year 2'!AL74+AK74</f>
        <v>0</v>
      </c>
      <c r="AN74" s="108">
        <f>AM74*'1. Standard_Cost'!$C$31</f>
        <v>0</v>
      </c>
      <c r="AO74" s="125" t="s">
        <v>319</v>
      </c>
      <c r="AQ74" s="14">
        <f t="shared" si="70"/>
        <v>0</v>
      </c>
      <c r="AR74" s="14">
        <f t="shared" si="71"/>
        <v>0</v>
      </c>
      <c r="AS74" s="14">
        <f t="shared" si="72"/>
        <v>0</v>
      </c>
      <c r="AT74" s="14">
        <f t="shared" si="74"/>
        <v>0</v>
      </c>
      <c r="AU74" s="234"/>
      <c r="AV74" s="234"/>
      <c r="AW74" s="234"/>
      <c r="AX74" s="234"/>
      <c r="AY74" s="234"/>
      <c r="AZ74" s="234"/>
      <c r="BA74" s="234"/>
      <c r="BB74" s="16">
        <f t="shared" si="73"/>
        <v>0</v>
      </c>
    </row>
    <row r="75" spans="1:56" ht="60.6" outlineLevel="2">
      <c r="A75" s="98"/>
      <c r="B75" s="102"/>
      <c r="C75" s="23"/>
      <c r="D75" s="251"/>
      <c r="E75" s="251"/>
      <c r="F75" s="251"/>
      <c r="G75" s="250"/>
      <c r="H75" s="302" t="s">
        <v>683</v>
      </c>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69"/>
        <v>0</v>
      </c>
      <c r="AG75" s="107"/>
      <c r="AH75" s="107"/>
      <c r="AI75" s="107"/>
      <c r="AJ75" s="111"/>
      <c r="AK75" s="111"/>
      <c r="AL75" s="111"/>
      <c r="AM75" s="108">
        <f>AG75*'1. Standard_Cost'!$B$27+'Incremental_Cost Year 2'!AH75*'1. Standard_Cost'!$C$27+'Incremental_Cost Year 2'!AI75*'1. Standard_Cost'!$D$27+'Incremental_Cost Year 2'!AJ75+'Incremental_Cost Year 2'!AL75+AK75</f>
        <v>0</v>
      </c>
      <c r="AN75" s="108">
        <f>AM75*'1. Standard_Cost'!$C$31</f>
        <v>0</v>
      </c>
      <c r="AO75" s="125" t="s">
        <v>320</v>
      </c>
      <c r="AQ75" s="14">
        <f t="shared" si="70"/>
        <v>0</v>
      </c>
      <c r="AR75" s="14">
        <f t="shared" si="71"/>
        <v>0</v>
      </c>
      <c r="AS75" s="14">
        <f t="shared" si="72"/>
        <v>0</v>
      </c>
      <c r="AT75" s="14">
        <f t="shared" si="74"/>
        <v>0</v>
      </c>
      <c r="AU75" s="234"/>
      <c r="AV75" s="234"/>
      <c r="AW75" s="234"/>
      <c r="AX75" s="234"/>
      <c r="AY75" s="234"/>
      <c r="AZ75" s="234"/>
      <c r="BA75" s="234"/>
      <c r="BB75" s="16">
        <f t="shared" si="73"/>
        <v>0</v>
      </c>
    </row>
    <row r="76" spans="1:56" ht="187.2" outlineLevel="2">
      <c r="A76" s="98"/>
      <c r="B76" s="102"/>
      <c r="C76" s="23"/>
      <c r="D76" s="251"/>
      <c r="E76" s="251"/>
      <c r="F76" s="251"/>
      <c r="G76" s="250"/>
      <c r="H76" s="302" t="s">
        <v>613</v>
      </c>
      <c r="I76" s="258"/>
      <c r="J76" s="259"/>
      <c r="K76" s="259"/>
      <c r="L76" s="106" t="str">
        <f>IF(I76&lt;&gt;0,((VLOOKUP(I76,'1. Standard_Cost'!$B$4:$D$11,2)+VLOOKUP(I76,'1. Standard_Cost'!$B$4:$D$11,3))*J76*K76),"0")</f>
        <v>0</v>
      </c>
      <c r="M76" s="106">
        <f>L76*'1. Standard_Cost'!$F$4</f>
        <v>0</v>
      </c>
      <c r="N76" s="260">
        <v>1</v>
      </c>
      <c r="O76" s="260">
        <v>2</v>
      </c>
      <c r="P76" s="260">
        <v>15</v>
      </c>
      <c r="Q76" s="260"/>
      <c r="R76" s="108">
        <f>'1. Standard_Cost'!$B$15*N76*P76</f>
        <v>30000</v>
      </c>
      <c r="S76" s="108">
        <f>N76*O76*P76*'1. Standard_Cost'!$C$15</f>
        <v>45000</v>
      </c>
      <c r="T76" s="108">
        <f>N76*P76*Q76*'1. Standard_Cost'!$D$15</f>
        <v>0</v>
      </c>
      <c r="U76" s="108">
        <f>N76*O76*'1. Standard_Cost'!$E$15</f>
        <v>80000</v>
      </c>
      <c r="V76" s="107"/>
      <c r="W76" s="107"/>
      <c r="X76" s="107"/>
      <c r="Y76" s="108">
        <f>+V76*((X76*'1. Standard_Cost'!$B$19)+(W76*X76*'1. Standard_Cost'!$C$19))</f>
        <v>0</v>
      </c>
      <c r="Z76" s="260"/>
      <c r="AA76" s="260">
        <v>3</v>
      </c>
      <c r="AB76" s="108">
        <f>+Z76*'1. Standard_Cost'!$B$23+AA76*'1. Standard_Cost'!$C$23</f>
        <v>57000</v>
      </c>
      <c r="AC76" s="261">
        <v>2000000</v>
      </c>
      <c r="AD76" s="262"/>
      <c r="AE76" s="108">
        <f>SUM(AD76,AC76,AB76,Y76,U76,T76,S76,R76)*'1. Standard_Cost'!$B$31</f>
        <v>442400</v>
      </c>
      <c r="AF76" s="108">
        <f t="shared" si="69"/>
        <v>2654400</v>
      </c>
      <c r="AG76" s="107"/>
      <c r="AH76" s="107"/>
      <c r="AI76" s="107"/>
      <c r="AJ76" s="111"/>
      <c r="AK76" s="111"/>
      <c r="AL76" s="111"/>
      <c r="AM76" s="108">
        <f>AG76*'1. Standard_Cost'!$B$27+'Incremental_Cost Year 2'!AH76*'1. Standard_Cost'!$C$27+'Incremental_Cost Year 2'!AI76*'1. Standard_Cost'!$D$27+'Incremental_Cost Year 2'!AJ76+'Incremental_Cost Year 2'!AL76+AK76</f>
        <v>0</v>
      </c>
      <c r="AN76" s="108">
        <f>AM76*'1. Standard_Cost'!$C$31</f>
        <v>0</v>
      </c>
      <c r="AO76" s="125" t="s">
        <v>321</v>
      </c>
      <c r="AQ76" s="14">
        <f t="shared" si="70"/>
        <v>0</v>
      </c>
      <c r="AR76" s="14">
        <f t="shared" si="71"/>
        <v>2654400</v>
      </c>
      <c r="AS76" s="14">
        <f t="shared" si="72"/>
        <v>0</v>
      </c>
      <c r="AT76" s="14">
        <f t="shared" si="74"/>
        <v>2654400</v>
      </c>
      <c r="AU76" s="234"/>
      <c r="AV76" s="234"/>
      <c r="AW76" s="234"/>
      <c r="AX76" s="234"/>
      <c r="AY76" s="234"/>
      <c r="AZ76" s="234"/>
      <c r="BA76" s="234"/>
      <c r="BB76" s="16">
        <f t="shared" si="73"/>
        <v>-2654400</v>
      </c>
    </row>
    <row r="77" spans="1:56" ht="202.8" outlineLevel="2">
      <c r="A77" s="98"/>
      <c r="B77" s="102"/>
      <c r="C77" s="23"/>
      <c r="D77" s="251"/>
      <c r="E77" s="251"/>
      <c r="F77" s="251"/>
      <c r="G77" s="250"/>
      <c r="H77" s="302" t="s">
        <v>614</v>
      </c>
      <c r="I77" s="258" t="s">
        <v>193</v>
      </c>
      <c r="J77" s="259">
        <v>1</v>
      </c>
      <c r="K77" s="259">
        <v>2</v>
      </c>
      <c r="L77" s="106">
        <f>IF(I77&lt;&gt;0,((VLOOKUP(I77,'1. Standard_Cost'!$B$4:$D$11,2)+VLOOKUP(I77,'1. Standard_Cost'!$B$4:$D$11,3))*J77*K77),"0")</f>
        <v>101000</v>
      </c>
      <c r="M77" s="106">
        <f>L77*'1. Standard_Cost'!$F$4</f>
        <v>16867</v>
      </c>
      <c r="N77" s="260"/>
      <c r="O77" s="260"/>
      <c r="P77" s="260"/>
      <c r="Q77" s="260"/>
      <c r="R77" s="108">
        <f>'1. Standard_Cost'!$B$15*N77*P77</f>
        <v>0</v>
      </c>
      <c r="S77" s="108">
        <f>N77*O77*P77*'1. Standard_Cost'!$C$15</f>
        <v>0</v>
      </c>
      <c r="T77" s="108">
        <f>N77*P77*Q77*'1. Standard_Cost'!$D$15</f>
        <v>0</v>
      </c>
      <c r="U77" s="108">
        <f>N77*O77*'1. Standard_Cost'!$E$15</f>
        <v>0</v>
      </c>
      <c r="V77" s="107"/>
      <c r="W77" s="107"/>
      <c r="X77" s="107"/>
      <c r="Y77" s="108">
        <f>+V77*((X77*'1. Standard_Cost'!$B$19)+(W77*X77*'1. Standard_Cost'!$C$19))</f>
        <v>0</v>
      </c>
      <c r="Z77" s="260"/>
      <c r="AA77" s="260">
        <v>20</v>
      </c>
      <c r="AB77" s="108">
        <f>+Z77*'1. Standard_Cost'!$B$23+AA77*'1. Standard_Cost'!$C$23</f>
        <v>380000</v>
      </c>
      <c r="AC77" s="261"/>
      <c r="AD77" s="262"/>
      <c r="AE77" s="108">
        <f>SUM(AD77,AC77,AB77,Y77,U77,T77,S77,R77)*'1. Standard_Cost'!$B$31</f>
        <v>76000</v>
      </c>
      <c r="AF77" s="108">
        <f t="shared" si="69"/>
        <v>456000</v>
      </c>
      <c r="AG77" s="107"/>
      <c r="AH77" s="107"/>
      <c r="AI77" s="107"/>
      <c r="AJ77" s="111"/>
      <c r="AK77" s="111"/>
      <c r="AL77" s="111"/>
      <c r="AM77" s="108">
        <f>AG77*'1. Standard_Cost'!$B$27+'Incremental_Cost Year 2'!AH77*'1. Standard_Cost'!$C$27+'Incremental_Cost Year 2'!AI77*'1. Standard_Cost'!$D$27+'Incremental_Cost Year 2'!AJ77+'Incremental_Cost Year 2'!AL77+AK77</f>
        <v>0</v>
      </c>
      <c r="AN77" s="108">
        <f>AM77*'1. Standard_Cost'!$C$31</f>
        <v>0</v>
      </c>
      <c r="AO77" s="125" t="s">
        <v>322</v>
      </c>
      <c r="AQ77" s="14">
        <f t="shared" si="70"/>
        <v>117867</v>
      </c>
      <c r="AR77" s="14">
        <f t="shared" si="71"/>
        <v>456000</v>
      </c>
      <c r="AS77" s="14">
        <f t="shared" si="72"/>
        <v>0</v>
      </c>
      <c r="AT77" s="14">
        <f t="shared" si="74"/>
        <v>573867</v>
      </c>
      <c r="AU77" s="234">
        <v>124869</v>
      </c>
      <c r="AV77" s="234"/>
      <c r="AW77" s="234"/>
      <c r="AX77" s="234"/>
      <c r="AY77" s="234"/>
      <c r="AZ77" s="234">
        <v>456000</v>
      </c>
      <c r="BA77" s="234"/>
      <c r="BB77" s="16">
        <f t="shared" si="73"/>
        <v>7002</v>
      </c>
    </row>
    <row r="78" spans="1:56" ht="93.6" outlineLevel="2">
      <c r="A78" s="98"/>
      <c r="B78" s="102"/>
      <c r="C78" s="23"/>
      <c r="D78" s="251"/>
      <c r="E78" s="251"/>
      <c r="F78" s="251"/>
      <c r="G78" s="250"/>
      <c r="H78" s="302" t="s">
        <v>615</v>
      </c>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60"/>
      <c r="AA78" s="260"/>
      <c r="AB78" s="108">
        <f>+Z78*'1. Standard_Cost'!$B$23+AA78*'1. Standard_Cost'!$C$23</f>
        <v>0</v>
      </c>
      <c r="AC78" s="261">
        <f>120*90000</f>
        <v>10800000</v>
      </c>
      <c r="AD78" s="262"/>
      <c r="AE78" s="108">
        <f>SUM(AD78,AC78,AB78,Y78,U78,T78,S78,R78)*'1. Standard_Cost'!$B$31</f>
        <v>2160000</v>
      </c>
      <c r="AF78" s="108">
        <f t="shared" si="69"/>
        <v>12960000</v>
      </c>
      <c r="AG78" s="107"/>
      <c r="AH78" s="107"/>
      <c r="AI78" s="107"/>
      <c r="AJ78" s="111"/>
      <c r="AK78" s="111"/>
      <c r="AL78" s="111"/>
      <c r="AM78" s="108">
        <f>AG78*'1. Standard_Cost'!$B$27+'Incremental_Cost Year 2'!AH78*'1. Standard_Cost'!$C$27+'Incremental_Cost Year 2'!AI78*'1. Standard_Cost'!$D$27+'Incremental_Cost Year 2'!AJ78+'Incremental_Cost Year 2'!AL78+AK78</f>
        <v>0</v>
      </c>
      <c r="AN78" s="108">
        <f>AM78*'1. Standard_Cost'!$C$31</f>
        <v>0</v>
      </c>
      <c r="AO78" s="125" t="s">
        <v>323</v>
      </c>
      <c r="AQ78" s="14">
        <f t="shared" si="70"/>
        <v>0</v>
      </c>
      <c r="AR78" s="14">
        <f t="shared" si="71"/>
        <v>12960000</v>
      </c>
      <c r="AS78" s="14">
        <f t="shared" si="72"/>
        <v>0</v>
      </c>
      <c r="AT78" s="14">
        <f t="shared" si="74"/>
        <v>12960000</v>
      </c>
      <c r="AU78" s="234">
        <v>12960000</v>
      </c>
      <c r="AV78" s="234"/>
      <c r="AW78" s="234"/>
      <c r="AX78" s="234"/>
      <c r="AY78" s="234"/>
      <c r="AZ78" s="234"/>
      <c r="BA78" s="234"/>
      <c r="BB78" s="16">
        <f t="shared" si="73"/>
        <v>0</v>
      </c>
    </row>
    <row r="79" spans="1:56" ht="262.2" outlineLevel="1">
      <c r="A79" s="98"/>
      <c r="B79" s="102"/>
      <c r="C79" s="23"/>
      <c r="D79" s="31" t="s">
        <v>630</v>
      </c>
      <c r="E79" s="56" t="s">
        <v>215</v>
      </c>
      <c r="F79" s="253"/>
      <c r="G79" s="254"/>
      <c r="H79" s="277" t="s">
        <v>182</v>
      </c>
      <c r="I79" s="112"/>
      <c r="J79" s="112"/>
      <c r="K79" s="112"/>
      <c r="L79" s="113">
        <f>SUM(L60:L78)</f>
        <v>1090450</v>
      </c>
      <c r="M79" s="113">
        <f>SUM(M60:M78)</f>
        <v>182105.15</v>
      </c>
      <c r="N79" s="112"/>
      <c r="O79" s="112"/>
      <c r="P79" s="112"/>
      <c r="Q79" s="112"/>
      <c r="R79" s="113">
        <f t="shared" ref="R79:U79" si="75">SUM(R60:R78)</f>
        <v>390000</v>
      </c>
      <c r="S79" s="113">
        <f t="shared" si="75"/>
        <v>315000</v>
      </c>
      <c r="T79" s="113">
        <f t="shared" si="75"/>
        <v>0</v>
      </c>
      <c r="U79" s="113">
        <f t="shared" si="75"/>
        <v>560000</v>
      </c>
      <c r="V79" s="112"/>
      <c r="W79" s="112"/>
      <c r="X79" s="112"/>
      <c r="Y79" s="113">
        <f>SUM(Y60:Y78)</f>
        <v>0</v>
      </c>
      <c r="Z79" s="112"/>
      <c r="AA79" s="112"/>
      <c r="AB79" s="113">
        <f t="shared" ref="AB79:AF79" si="76">SUM(AB60:AB78)</f>
        <v>2052000</v>
      </c>
      <c r="AC79" s="113">
        <f t="shared" si="76"/>
        <v>14300000</v>
      </c>
      <c r="AD79" s="113">
        <f t="shared" si="76"/>
        <v>0</v>
      </c>
      <c r="AE79" s="113">
        <f t="shared" si="76"/>
        <v>3523400</v>
      </c>
      <c r="AF79" s="113">
        <f t="shared" si="76"/>
        <v>21140400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1272555.1499999999</v>
      </c>
      <c r="AR79" s="113">
        <f t="shared" ref="AR79:BB79" si="78">SUM(AR60:AR78)</f>
        <v>21140400</v>
      </c>
      <c r="AS79" s="113">
        <f t="shared" si="78"/>
        <v>0</v>
      </c>
      <c r="AT79" s="113">
        <f t="shared" si="78"/>
        <v>22412955.149999999</v>
      </c>
      <c r="AU79" s="113">
        <f t="shared" si="78"/>
        <v>14239558</v>
      </c>
      <c r="AV79" s="113">
        <f t="shared" si="78"/>
        <v>0</v>
      </c>
      <c r="AW79" s="113">
        <f t="shared" si="78"/>
        <v>0</v>
      </c>
      <c r="AX79" s="113">
        <f t="shared" si="78"/>
        <v>0</v>
      </c>
      <c r="AY79" s="113">
        <f t="shared" si="78"/>
        <v>0</v>
      </c>
      <c r="AZ79" s="113">
        <f t="shared" si="78"/>
        <v>1422600</v>
      </c>
      <c r="BA79" s="113">
        <f t="shared" si="78"/>
        <v>0</v>
      </c>
      <c r="BB79" s="113">
        <f t="shared" si="78"/>
        <v>-6750797.1500000004</v>
      </c>
    </row>
    <row r="80" spans="1:56" s="24" customFormat="1" ht="13.8" customHeight="1">
      <c r="A80" s="114"/>
      <c r="B80" s="115"/>
      <c r="C80" s="314" t="s">
        <v>216</v>
      </c>
      <c r="D80" s="314"/>
      <c r="E80" s="315"/>
      <c r="F80" s="246"/>
      <c r="G80" s="246"/>
      <c r="H80" s="278" t="s">
        <v>219</v>
      </c>
      <c r="I80" s="116"/>
      <c r="J80" s="116"/>
      <c r="K80" s="116"/>
      <c r="L80" s="117">
        <f>L91</f>
        <v>227175</v>
      </c>
      <c r="M80" s="117">
        <f>M91</f>
        <v>37938.225000000006</v>
      </c>
      <c r="N80" s="116"/>
      <c r="O80" s="116"/>
      <c r="P80" s="116"/>
      <c r="Q80" s="116"/>
      <c r="R80" s="117">
        <f t="shared" ref="R80:U80" si="79">R91</f>
        <v>350000</v>
      </c>
      <c r="S80" s="117">
        <f t="shared" si="79"/>
        <v>405000</v>
      </c>
      <c r="T80" s="117">
        <f t="shared" si="79"/>
        <v>0</v>
      </c>
      <c r="U80" s="117">
        <f t="shared" si="79"/>
        <v>480000</v>
      </c>
      <c r="V80" s="116"/>
      <c r="W80" s="116"/>
      <c r="X80" s="116"/>
      <c r="Y80" s="117">
        <f>Y91</f>
        <v>0</v>
      </c>
      <c r="Z80" s="116"/>
      <c r="AA80" s="116"/>
      <c r="AB80" s="117">
        <f t="shared" ref="AB80:AF80" si="80">AB91</f>
        <v>3637000</v>
      </c>
      <c r="AC80" s="117">
        <f t="shared" si="80"/>
        <v>8419000</v>
      </c>
      <c r="AD80" s="117">
        <f t="shared" si="80"/>
        <v>0</v>
      </c>
      <c r="AE80" s="117">
        <f t="shared" si="80"/>
        <v>2658200</v>
      </c>
      <c r="AF80" s="117">
        <f t="shared" si="80"/>
        <v>15949200</v>
      </c>
      <c r="AG80" s="116"/>
      <c r="AH80" s="116"/>
      <c r="AI80" s="116"/>
      <c r="AJ80" s="117">
        <f t="shared" ref="AJ80:AN80" si="81">AJ91</f>
        <v>4000000</v>
      </c>
      <c r="AK80" s="117">
        <f t="shared" si="81"/>
        <v>0</v>
      </c>
      <c r="AL80" s="117">
        <f t="shared" si="81"/>
        <v>12524000</v>
      </c>
      <c r="AM80" s="117">
        <f t="shared" si="81"/>
        <v>16524000</v>
      </c>
      <c r="AN80" s="117">
        <f t="shared" si="81"/>
        <v>2478600</v>
      </c>
      <c r="AO80" s="132"/>
      <c r="AP80" s="25"/>
      <c r="AQ80" s="117">
        <f t="shared" ref="AQ80:BB80" si="82">AQ91</f>
        <v>265113.22499999998</v>
      </c>
      <c r="AR80" s="117">
        <f t="shared" si="82"/>
        <v>15949200</v>
      </c>
      <c r="AS80" s="117">
        <f t="shared" si="82"/>
        <v>19002600</v>
      </c>
      <c r="AT80" s="117">
        <f t="shared" si="82"/>
        <v>35216913.224999994</v>
      </c>
      <c r="AU80" s="117">
        <f t="shared" si="82"/>
        <v>6820113</v>
      </c>
      <c r="AV80" s="117">
        <f t="shared" si="82"/>
        <v>0</v>
      </c>
      <c r="AW80" s="117">
        <f t="shared" si="82"/>
        <v>0</v>
      </c>
      <c r="AX80" s="117">
        <f t="shared" si="82"/>
        <v>26438400</v>
      </c>
      <c r="AY80" s="117">
        <f t="shared" si="82"/>
        <v>0</v>
      </c>
      <c r="AZ80" s="117">
        <f t="shared" si="82"/>
        <v>0</v>
      </c>
      <c r="BA80" s="117">
        <f t="shared" si="82"/>
        <v>0</v>
      </c>
      <c r="BB80" s="117">
        <f t="shared" si="82"/>
        <v>-1958400.2250000001</v>
      </c>
      <c r="BD80" s="5"/>
    </row>
    <row r="81" spans="1:58" ht="140.4" outlineLevel="2">
      <c r="A81" s="98"/>
      <c r="B81" s="102"/>
      <c r="C81" s="23"/>
      <c r="D81" s="257"/>
      <c r="E81" s="257"/>
      <c r="F81" s="252"/>
      <c r="G81" s="249"/>
      <c r="H81" s="302" t="s">
        <v>684</v>
      </c>
      <c r="I81" s="282" t="s">
        <v>4</v>
      </c>
      <c r="J81" s="259">
        <v>0.5</v>
      </c>
      <c r="K81" s="259">
        <v>2</v>
      </c>
      <c r="L81" s="106">
        <f>IF(I81&lt;&gt;0,((VLOOKUP(I81,'1. Standard_Cost'!$B$4:$D$11,2)+VLOOKUP(I81,'1. Standard_Cost'!$B$4:$D$11,3))*J81*K81),"0")</f>
        <v>80750</v>
      </c>
      <c r="M81" s="106">
        <f>L81*'1. Standard_Cost'!$F$4</f>
        <v>13485.25</v>
      </c>
      <c r="N81" s="260"/>
      <c r="O81" s="260"/>
      <c r="P81" s="260"/>
      <c r="Q81" s="260"/>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60">
        <v>15</v>
      </c>
      <c r="AA81" s="260">
        <v>15</v>
      </c>
      <c r="AB81" s="108">
        <f>+Z81*'1. Standard_Cost'!$B$23+AA81*'1. Standard_Cost'!$C$23</f>
        <v>1395000</v>
      </c>
      <c r="AC81" s="261"/>
      <c r="AD81" s="262"/>
      <c r="AE81" s="108">
        <f>SUM(AD81,AC81,AB81,Y81,U81,T81,S81,R81)*'1. Standard_Cost'!$B$31</f>
        <v>279000</v>
      </c>
      <c r="AF81" s="108">
        <f t="shared" ref="AF81:AF90" si="83">SUM(AE81,AD81,AC81,AB81,Y81,U81,T81,S81,R81)</f>
        <v>1674000</v>
      </c>
      <c r="AG81" s="260"/>
      <c r="AH81" s="260"/>
      <c r="AI81" s="260"/>
      <c r="AJ81" s="263"/>
      <c r="AK81" s="263"/>
      <c r="AL81" s="263"/>
      <c r="AM81" s="108">
        <f>AG81*'1. Standard_Cost'!$B$27+'Incremental_Cost Year 2'!AH81*'1. Standard_Cost'!$C$27+'Incremental_Cost Year 2'!AI81*'1. Standard_Cost'!$D$27+'Incremental_Cost Year 2'!AJ81+'Incremental_Cost Year 2'!AL81+AK81</f>
        <v>0</v>
      </c>
      <c r="AN81" s="108">
        <f>AM81*'1. Standard_Cost'!$C$31</f>
        <v>0</v>
      </c>
      <c r="AO81" s="125" t="s">
        <v>300</v>
      </c>
      <c r="AQ81" s="14">
        <f t="shared" ref="AQ81:AQ90" si="84">L81+M81</f>
        <v>94235.25</v>
      </c>
      <c r="AR81" s="14">
        <f t="shared" ref="AR81:AR90" si="85">AF81</f>
        <v>1674000</v>
      </c>
      <c r="AS81" s="14">
        <f t="shared" ref="AS81:AS90" si="86">AM81+AN81</f>
        <v>0</v>
      </c>
      <c r="AT81" s="14">
        <f>SUM(AQ81,AR81,AS81)</f>
        <v>1768235.25</v>
      </c>
      <c r="AU81" s="234">
        <v>94235</v>
      </c>
      <c r="AV81" s="234"/>
      <c r="AW81" s="234"/>
      <c r="AX81" s="234">
        <v>1674000</v>
      </c>
      <c r="AY81" s="234"/>
      <c r="AZ81" s="234"/>
      <c r="BA81" s="234"/>
      <c r="BB81" s="16">
        <f t="shared" ref="BB81:BB90" si="87">SUM(AU81:BA81)-AT81</f>
        <v>-0.25</v>
      </c>
    </row>
    <row r="82" spans="1:58" ht="93.6" outlineLevel="2">
      <c r="A82" s="98"/>
      <c r="B82" s="102"/>
      <c r="C82" s="23"/>
      <c r="D82" s="269"/>
      <c r="E82" s="269"/>
      <c r="F82" s="251"/>
      <c r="G82" s="250"/>
      <c r="H82" s="302" t="s">
        <v>616</v>
      </c>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60"/>
      <c r="AA82" s="260"/>
      <c r="AB82" s="108">
        <f>+Z82*'1. Standard_Cost'!$B$23+AA82*'1. Standard_Cost'!$C$23</f>
        <v>0</v>
      </c>
      <c r="AC82" s="261">
        <f>34000*123*2</f>
        <v>8364000</v>
      </c>
      <c r="AD82" s="262"/>
      <c r="AE82" s="108">
        <f>SUM(AD82,AC82,AB82,Y82,U82,T82,S82,R82)*'1. Standard_Cost'!$B$31</f>
        <v>1672800</v>
      </c>
      <c r="AF82" s="108">
        <f t="shared" si="83"/>
        <v>10036800</v>
      </c>
      <c r="AG82" s="260"/>
      <c r="AH82" s="260"/>
      <c r="AI82" s="260"/>
      <c r="AJ82" s="263"/>
      <c r="AK82" s="263"/>
      <c r="AL82" s="263">
        <f>44000*123*2</f>
        <v>10824000</v>
      </c>
      <c r="AM82" s="108">
        <f>AG82*'1. Standard_Cost'!$B$27+'Incremental_Cost Year 2'!AH82*'1. Standard_Cost'!$C$27+'Incremental_Cost Year 2'!AI82*'1. Standard_Cost'!$D$27+'Incremental_Cost Year 2'!AJ82+'Incremental_Cost Year 2'!AL82+AK82</f>
        <v>10824000</v>
      </c>
      <c r="AN82" s="108">
        <f>AM82*'1. Standard_Cost'!$C$31</f>
        <v>1623600</v>
      </c>
      <c r="AO82" s="125" t="s">
        <v>324</v>
      </c>
      <c r="AQ82" s="14">
        <f t="shared" si="84"/>
        <v>0</v>
      </c>
      <c r="AR82" s="14">
        <f t="shared" si="85"/>
        <v>10036800</v>
      </c>
      <c r="AS82" s="14">
        <f t="shared" si="86"/>
        <v>12447600</v>
      </c>
      <c r="AT82" s="14">
        <f t="shared" ref="AT82:AT90" si="88">SUM(AQ82,AR82,AS82)</f>
        <v>22484400</v>
      </c>
      <c r="AU82" s="234"/>
      <c r="AV82" s="234"/>
      <c r="AW82" s="234"/>
      <c r="AX82" s="234">
        <v>22484400</v>
      </c>
      <c r="AY82" s="234"/>
      <c r="AZ82" s="234"/>
      <c r="BA82" s="234"/>
      <c r="BB82" s="16">
        <f t="shared" si="87"/>
        <v>0</v>
      </c>
      <c r="BD82" s="24"/>
    </row>
    <row r="83" spans="1:58" ht="124.8" outlineLevel="2">
      <c r="A83" s="98"/>
      <c r="B83" s="102"/>
      <c r="C83" s="23"/>
      <c r="D83" s="269"/>
      <c r="E83" s="269"/>
      <c r="F83" s="251"/>
      <c r="G83" s="250"/>
      <c r="H83" s="302" t="s">
        <v>617</v>
      </c>
      <c r="I83" s="282" t="s">
        <v>5</v>
      </c>
      <c r="J83" s="259">
        <v>0.5</v>
      </c>
      <c r="K83" s="259">
        <v>2</v>
      </c>
      <c r="L83" s="106">
        <f>IF(I83&lt;&gt;0,((VLOOKUP(I83,'1. Standard_Cost'!$B$4:$D$11,2)+VLOOKUP(I83,'1. Standard_Cost'!$B$4:$D$11,3))*J83*K83),"0")</f>
        <v>70700</v>
      </c>
      <c r="M83" s="106">
        <f>L83*'1. Standard_Cost'!$F$4</f>
        <v>11806.900000000001</v>
      </c>
      <c r="N83" s="260">
        <v>2</v>
      </c>
      <c r="O83" s="260">
        <v>1</v>
      </c>
      <c r="P83" s="260">
        <v>40</v>
      </c>
      <c r="Q83" s="260"/>
      <c r="R83" s="108">
        <f>'1. Standard_Cost'!$B$15*N83*P83</f>
        <v>160000</v>
      </c>
      <c r="S83" s="108">
        <f>N83*O83*P83*'1. Standard_Cost'!$C$15</f>
        <v>120000</v>
      </c>
      <c r="T83" s="108">
        <f>N83*P83*Q83*'1. Standard_Cost'!$D$15</f>
        <v>0</v>
      </c>
      <c r="U83" s="108">
        <f>N83*O83*'1. Standard_Cost'!$E$15</f>
        <v>80000</v>
      </c>
      <c r="V83" s="107"/>
      <c r="W83" s="107"/>
      <c r="X83" s="107"/>
      <c r="Y83" s="108">
        <f>+V83*((X83*'1. Standard_Cost'!$B$19)+(W83*X83*'1. Standard_Cost'!$C$19))</f>
        <v>0</v>
      </c>
      <c r="Z83" s="260"/>
      <c r="AA83" s="260">
        <v>12</v>
      </c>
      <c r="AB83" s="108">
        <f>+Z83*'1. Standard_Cost'!$B$23+AA83*'1. Standard_Cost'!$C$23</f>
        <v>228000</v>
      </c>
      <c r="AC83" s="261"/>
      <c r="AD83" s="262"/>
      <c r="AE83" s="108">
        <f>SUM(AD83,AC83,AB83,Y83,U83,T83,S83,R83)*'1. Standard_Cost'!$B$31</f>
        <v>117600</v>
      </c>
      <c r="AF83" s="108">
        <f t="shared" si="83"/>
        <v>705600</v>
      </c>
      <c r="AG83" s="260"/>
      <c r="AH83" s="260"/>
      <c r="AI83" s="260"/>
      <c r="AJ83" s="263"/>
      <c r="AK83" s="263"/>
      <c r="AL83" s="263"/>
      <c r="AM83" s="108">
        <f>AG83*'1. Standard_Cost'!$B$27+'Incremental_Cost Year 2'!AH83*'1. Standard_Cost'!$C$27+'Incremental_Cost Year 2'!AI83*'1. Standard_Cost'!$D$27+'Incremental_Cost Year 2'!AJ83+'Incremental_Cost Year 2'!AL83+AK83</f>
        <v>0</v>
      </c>
      <c r="AN83" s="108">
        <f>AM83*'1. Standard_Cost'!$C$31</f>
        <v>0</v>
      </c>
      <c r="AO83" s="125" t="s">
        <v>325</v>
      </c>
      <c r="AQ83" s="14">
        <f t="shared" si="84"/>
        <v>82506.899999999994</v>
      </c>
      <c r="AR83" s="14">
        <f t="shared" si="85"/>
        <v>705600</v>
      </c>
      <c r="AS83" s="14">
        <f t="shared" si="86"/>
        <v>0</v>
      </c>
      <c r="AT83" s="14">
        <f t="shared" si="88"/>
        <v>788106.9</v>
      </c>
      <c r="AU83" s="234">
        <v>82507</v>
      </c>
      <c r="AV83" s="234"/>
      <c r="AW83" s="234"/>
      <c r="AX83" s="234"/>
      <c r="AY83" s="234"/>
      <c r="AZ83" s="234"/>
      <c r="BA83" s="234"/>
      <c r="BB83" s="16">
        <f t="shared" si="87"/>
        <v>-705599.9</v>
      </c>
      <c r="BF83" s="296"/>
    </row>
    <row r="84" spans="1:58" ht="140.4" outlineLevel="2">
      <c r="A84" s="98"/>
      <c r="B84" s="102"/>
      <c r="C84" s="23"/>
      <c r="D84" s="269"/>
      <c r="E84" s="269"/>
      <c r="F84" s="251"/>
      <c r="G84" s="250"/>
      <c r="H84" s="302" t="s">
        <v>618</v>
      </c>
      <c r="I84" s="258" t="s">
        <v>5</v>
      </c>
      <c r="J84" s="259">
        <v>0.5</v>
      </c>
      <c r="K84" s="259">
        <v>1</v>
      </c>
      <c r="L84" s="106">
        <f>IF(I84&lt;&gt;0,((VLOOKUP(I84,'1. Standard_Cost'!$B$4:$D$11,2)+VLOOKUP(I84,'1. Standard_Cost'!$B$4:$D$11,3))*J84*K84),"0")</f>
        <v>35350</v>
      </c>
      <c r="M84" s="106">
        <f>L84*'1. Standard_Cost'!$F$4</f>
        <v>5903.4500000000007</v>
      </c>
      <c r="N84" s="260">
        <v>4</v>
      </c>
      <c r="O84" s="260">
        <v>2</v>
      </c>
      <c r="P84" s="260">
        <v>20</v>
      </c>
      <c r="Q84" s="260"/>
      <c r="R84" s="108">
        <f>'1. Standard_Cost'!$B$15*N84*P84</f>
        <v>160000</v>
      </c>
      <c r="S84" s="108">
        <f>N84*O84*P84*'1. Standard_Cost'!$C$15</f>
        <v>240000</v>
      </c>
      <c r="T84" s="108">
        <f>N84*P84*Q84*'1. Standard_Cost'!$D$15</f>
        <v>0</v>
      </c>
      <c r="U84" s="108">
        <f>N84*O84*'1. Standard_Cost'!$E$15</f>
        <v>320000</v>
      </c>
      <c r="V84" s="107"/>
      <c r="W84" s="107"/>
      <c r="X84" s="107"/>
      <c r="Y84" s="108">
        <f>+V84*((X84*'1. Standard_Cost'!$B$19)+(W84*X84*'1. Standard_Cost'!$C$19))</f>
        <v>0</v>
      </c>
      <c r="Z84" s="260"/>
      <c r="AA84" s="260">
        <v>60</v>
      </c>
      <c r="AB84" s="108">
        <f>+Z84*'1. Standard_Cost'!$B$23+AA84*'1. Standard_Cost'!$C$23</f>
        <v>1140000</v>
      </c>
      <c r="AC84" s="261">
        <f>80*500</f>
        <v>40000</v>
      </c>
      <c r="AD84" s="262"/>
      <c r="AE84" s="108">
        <f>SUM(AD84,AC84,AB84,Y84,U84,T84,S84,R84)*'1. Standard_Cost'!$B$31</f>
        <v>380000</v>
      </c>
      <c r="AF84" s="108">
        <f t="shared" si="83"/>
        <v>2280000</v>
      </c>
      <c r="AG84" s="260"/>
      <c r="AH84" s="260"/>
      <c r="AI84" s="260"/>
      <c r="AJ84" s="263"/>
      <c r="AK84" s="263"/>
      <c r="AL84" s="263"/>
      <c r="AM84" s="108">
        <f>AG84*'1. Standard_Cost'!$B$27+'Incremental_Cost Year 2'!AH84*'1. Standard_Cost'!$C$27+'Incremental_Cost Year 2'!AI84*'1. Standard_Cost'!$D$27+'Incremental_Cost Year 2'!AJ84+'Incremental_Cost Year 2'!AL84+AK84</f>
        <v>0</v>
      </c>
      <c r="AN84" s="108">
        <f>AM84*'1. Standard_Cost'!$C$31</f>
        <v>0</v>
      </c>
      <c r="AO84" s="125" t="s">
        <v>326</v>
      </c>
      <c r="AQ84" s="14">
        <f t="shared" si="84"/>
        <v>41253.449999999997</v>
      </c>
      <c r="AR84" s="14">
        <f t="shared" si="85"/>
        <v>2280000</v>
      </c>
      <c r="AS84" s="14">
        <f t="shared" si="86"/>
        <v>0</v>
      </c>
      <c r="AT84" s="14">
        <f t="shared" si="88"/>
        <v>2321253.4500000002</v>
      </c>
      <c r="AU84" s="234">
        <v>41253</v>
      </c>
      <c r="AV84" s="234"/>
      <c r="AW84" s="234"/>
      <c r="AX84" s="234">
        <v>2280000</v>
      </c>
      <c r="AY84" s="234"/>
      <c r="AZ84" s="234"/>
      <c r="BA84" s="234"/>
      <c r="BB84" s="16">
        <f t="shared" si="87"/>
        <v>-0.45000000018626451</v>
      </c>
    </row>
    <row r="85" spans="1:58" ht="109.2" outlineLevel="2">
      <c r="A85" s="98"/>
      <c r="B85" s="102"/>
      <c r="C85" s="23"/>
      <c r="D85" s="269"/>
      <c r="E85" s="269"/>
      <c r="F85" s="251"/>
      <c r="G85" s="250"/>
      <c r="H85" s="302" t="s">
        <v>619</v>
      </c>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60"/>
      <c r="AA85" s="260">
        <v>10</v>
      </c>
      <c r="AB85" s="108">
        <f>+Z85*'1. Standard_Cost'!$B$23+AA85*'1. Standard_Cost'!$C$23</f>
        <v>190000</v>
      </c>
      <c r="AC85" s="261"/>
      <c r="AD85" s="262"/>
      <c r="AE85" s="108">
        <f>SUM(AD85,AC85,AB85,Y85,U85,T85,S85,R85)*'1. Standard_Cost'!$B$31</f>
        <v>38000</v>
      </c>
      <c r="AF85" s="108">
        <f t="shared" si="83"/>
        <v>228000</v>
      </c>
      <c r="AG85" s="260"/>
      <c r="AH85" s="260"/>
      <c r="AI85" s="260"/>
      <c r="AJ85" s="263"/>
      <c r="AK85" s="263"/>
      <c r="AL85" s="263"/>
      <c r="AM85" s="108">
        <f>AG85*'1. Standard_Cost'!$B$27+'Incremental_Cost Year 2'!AH85*'1. Standard_Cost'!$C$27+'Incremental_Cost Year 2'!AI85*'1. Standard_Cost'!$D$27+'Incremental_Cost Year 2'!AJ85+'Incremental_Cost Year 2'!AL85+AK85</f>
        <v>0</v>
      </c>
      <c r="AN85" s="108">
        <f>AM85*'1. Standard_Cost'!$C$31</f>
        <v>0</v>
      </c>
      <c r="AO85" s="125" t="s">
        <v>327</v>
      </c>
      <c r="AQ85" s="14">
        <f t="shared" si="84"/>
        <v>0</v>
      </c>
      <c r="AR85" s="14">
        <f t="shared" si="85"/>
        <v>228000</v>
      </c>
      <c r="AS85" s="14">
        <f t="shared" si="86"/>
        <v>0</v>
      </c>
      <c r="AT85" s="14">
        <f t="shared" si="88"/>
        <v>228000</v>
      </c>
      <c r="AU85" s="234"/>
      <c r="AV85" s="234"/>
      <c r="AW85" s="234"/>
      <c r="AX85" s="234"/>
      <c r="AY85" s="234"/>
      <c r="AZ85" s="234"/>
      <c r="BA85" s="234"/>
      <c r="BB85" s="16">
        <f t="shared" si="87"/>
        <v>-228000</v>
      </c>
    </row>
    <row r="86" spans="1:58" ht="171.6" outlineLevel="2">
      <c r="A86" s="98"/>
      <c r="B86" s="102"/>
      <c r="C86" s="23"/>
      <c r="D86" s="269"/>
      <c r="E86" s="269"/>
      <c r="F86" s="251"/>
      <c r="G86" s="250"/>
      <c r="H86" s="302" t="s">
        <v>620</v>
      </c>
      <c r="I86" s="258" t="s">
        <v>4</v>
      </c>
      <c r="J86" s="259">
        <v>0.5</v>
      </c>
      <c r="K86" s="259">
        <v>1</v>
      </c>
      <c r="L86" s="106">
        <f>IF(I86&lt;&gt;0,((VLOOKUP(I86,'1. Standard_Cost'!$B$4:$D$11,2)+VLOOKUP(I86,'1. Standard_Cost'!$B$4:$D$11,3))*J86*K86),"0")</f>
        <v>40375</v>
      </c>
      <c r="M86" s="106">
        <f>L86*'1. Standard_Cost'!$F$4</f>
        <v>6742.625</v>
      </c>
      <c r="N86" s="260"/>
      <c r="O86" s="260"/>
      <c r="P86" s="260"/>
      <c r="Q86" s="260"/>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60"/>
      <c r="AA86" s="260">
        <v>30</v>
      </c>
      <c r="AB86" s="108">
        <f>+Z86*'1. Standard_Cost'!$B$23+AA86*'1. Standard_Cost'!$C$23</f>
        <v>570000</v>
      </c>
      <c r="AC86" s="261"/>
      <c r="AD86" s="262"/>
      <c r="AE86" s="108">
        <f>SUM(AD86,AC86,AB86,Y86,U86,T86,S86,R86)*'1. Standard_Cost'!$B$31</f>
        <v>114000</v>
      </c>
      <c r="AF86" s="108">
        <f t="shared" si="83"/>
        <v>684000</v>
      </c>
      <c r="AG86" s="260"/>
      <c r="AH86" s="260"/>
      <c r="AI86" s="260"/>
      <c r="AJ86" s="263"/>
      <c r="AK86" s="263"/>
      <c r="AL86" s="263"/>
      <c r="AM86" s="108">
        <f>AG86*'1. Standard_Cost'!$B$27+'Incremental_Cost Year 2'!AH86*'1. Standard_Cost'!$C$27+'Incremental_Cost Year 2'!AI86*'1. Standard_Cost'!$D$27+'Incremental_Cost Year 2'!AJ86+'Incremental_Cost Year 2'!AL86+AK86</f>
        <v>0</v>
      </c>
      <c r="AN86" s="108">
        <f>AM86*'1. Standard_Cost'!$C$31</f>
        <v>0</v>
      </c>
      <c r="AO86" s="125" t="s">
        <v>328</v>
      </c>
      <c r="AQ86" s="14">
        <f t="shared" si="84"/>
        <v>47117.625</v>
      </c>
      <c r="AR86" s="14">
        <f t="shared" si="85"/>
        <v>684000</v>
      </c>
      <c r="AS86" s="14">
        <f t="shared" si="86"/>
        <v>0</v>
      </c>
      <c r="AT86" s="14">
        <f t="shared" si="88"/>
        <v>731117.625</v>
      </c>
      <c r="AU86" s="234">
        <v>47118</v>
      </c>
      <c r="AV86" s="234"/>
      <c r="AW86" s="234"/>
      <c r="AX86" s="234"/>
      <c r="AY86" s="234"/>
      <c r="AZ86" s="234"/>
      <c r="BA86" s="234"/>
      <c r="BB86" s="16">
        <f t="shared" si="87"/>
        <v>-683999.625</v>
      </c>
    </row>
    <row r="87" spans="1:58" ht="140.4" outlineLevel="2">
      <c r="A87" s="98"/>
      <c r="B87" s="102"/>
      <c r="C87" s="23"/>
      <c r="D87" s="269"/>
      <c r="E87" s="269"/>
      <c r="F87" s="251"/>
      <c r="G87" s="250"/>
      <c r="H87" s="302" t="s">
        <v>621</v>
      </c>
      <c r="I87" s="258"/>
      <c r="J87" s="259"/>
      <c r="K87" s="259"/>
      <c r="L87" s="106" t="str">
        <f>IF(I87&lt;&gt;0,((VLOOKUP(I87,'1. Standard_Cost'!$B$4:$D$11,2)+VLOOKUP(I87,'1. Standard_Cost'!$B$4:$D$11,3))*J87*K87),"0")</f>
        <v>0</v>
      </c>
      <c r="M87" s="106">
        <f>L87*'1. Standard_Cost'!$F$4</f>
        <v>0</v>
      </c>
      <c r="N87" s="260">
        <v>1</v>
      </c>
      <c r="O87" s="260">
        <v>2</v>
      </c>
      <c r="P87" s="260">
        <v>15</v>
      </c>
      <c r="Q87" s="260"/>
      <c r="R87" s="108">
        <f>'1. Standard_Cost'!$B$15*N87*P87</f>
        <v>30000</v>
      </c>
      <c r="S87" s="108">
        <f>N87*O87*P87*'1. Standard_Cost'!$C$15</f>
        <v>45000</v>
      </c>
      <c r="T87" s="108">
        <f>N87*P87*Q87*'1. Standard_Cost'!$D$15</f>
        <v>0</v>
      </c>
      <c r="U87" s="108">
        <f>N87*O87*'1. Standard_Cost'!$E$15</f>
        <v>80000</v>
      </c>
      <c r="V87" s="107"/>
      <c r="W87" s="107"/>
      <c r="X87" s="107"/>
      <c r="Y87" s="108">
        <f>+V87*((X87*'1. Standard_Cost'!$B$19)+(W87*X87*'1. Standard_Cost'!$C$19))</f>
        <v>0</v>
      </c>
      <c r="Z87" s="260"/>
      <c r="AA87" s="260">
        <v>6</v>
      </c>
      <c r="AB87" s="108">
        <f>+Z87*'1. Standard_Cost'!$B$23+AA87*'1. Standard_Cost'!$C$23</f>
        <v>114000</v>
      </c>
      <c r="AC87" s="261">
        <f>30*500</f>
        <v>15000</v>
      </c>
      <c r="AD87" s="262"/>
      <c r="AE87" s="108">
        <f>SUM(AD87,AC87,AB87,Y87,U87,T87,S87,R87)*'1. Standard_Cost'!$B$31</f>
        <v>56800</v>
      </c>
      <c r="AF87" s="108">
        <f t="shared" si="83"/>
        <v>340800</v>
      </c>
      <c r="AG87" s="260"/>
      <c r="AH87" s="260"/>
      <c r="AI87" s="260"/>
      <c r="AJ87" s="263"/>
      <c r="AK87" s="263"/>
      <c r="AL87" s="263"/>
      <c r="AM87" s="108">
        <f>AG87*'1. Standard_Cost'!$B$27+'Incremental_Cost Year 2'!AH87*'1. Standard_Cost'!$C$27+'Incremental_Cost Year 2'!AI87*'1. Standard_Cost'!$D$27+'Incremental_Cost Year 2'!AJ87+'Incremental_Cost Year 2'!AL87+AK87</f>
        <v>0</v>
      </c>
      <c r="AN87" s="108">
        <f>AM87*'1. Standard_Cost'!$C$31</f>
        <v>0</v>
      </c>
      <c r="AO87" s="125" t="s">
        <v>329</v>
      </c>
      <c r="AQ87" s="14">
        <f t="shared" si="84"/>
        <v>0</v>
      </c>
      <c r="AR87" s="14">
        <f t="shared" si="85"/>
        <v>340800</v>
      </c>
      <c r="AS87" s="14">
        <f t="shared" si="86"/>
        <v>0</v>
      </c>
      <c r="AT87" s="14">
        <f t="shared" si="88"/>
        <v>340800</v>
      </c>
      <c r="AU87" s="234"/>
      <c r="AV87" s="234"/>
      <c r="AW87" s="234"/>
      <c r="AX87" s="234"/>
      <c r="AY87" s="234"/>
      <c r="AZ87" s="234"/>
      <c r="BA87" s="234"/>
      <c r="BB87" s="16">
        <f t="shared" si="87"/>
        <v>-340800</v>
      </c>
    </row>
    <row r="88" spans="1:58" ht="93.6" outlineLevel="2">
      <c r="A88" s="98"/>
      <c r="B88" s="102"/>
      <c r="C88" s="23"/>
      <c r="D88" s="269"/>
      <c r="E88" s="269"/>
      <c r="F88" s="251"/>
      <c r="G88" s="250"/>
      <c r="H88" s="302" t="s">
        <v>622</v>
      </c>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83"/>
        <v>0</v>
      </c>
      <c r="AG88" s="260"/>
      <c r="AH88" s="260"/>
      <c r="AI88" s="260"/>
      <c r="AJ88" s="263"/>
      <c r="AK88" s="263"/>
      <c r="AL88" s="263">
        <v>1700000</v>
      </c>
      <c r="AM88" s="108">
        <f>AG88*'1. Standard_Cost'!$B$27+'Incremental_Cost Year 2'!AH88*'1. Standard_Cost'!$C$27+'Incremental_Cost Year 2'!AI88*'1. Standard_Cost'!$D$27+'Incremental_Cost Year 2'!AJ88+'Incremental_Cost Year 2'!AL88+AK88</f>
        <v>1700000</v>
      </c>
      <c r="AN88" s="108">
        <f>AM88*'1. Standard_Cost'!$C$31</f>
        <v>255000</v>
      </c>
      <c r="AO88" s="125" t="s">
        <v>330</v>
      </c>
      <c r="AQ88" s="14">
        <f t="shared" si="84"/>
        <v>0</v>
      </c>
      <c r="AR88" s="14">
        <f t="shared" si="85"/>
        <v>0</v>
      </c>
      <c r="AS88" s="14">
        <f t="shared" si="86"/>
        <v>1955000</v>
      </c>
      <c r="AT88" s="14">
        <f t="shared" si="88"/>
        <v>1955000</v>
      </c>
      <c r="AU88" s="234">
        <v>1955000</v>
      </c>
      <c r="AV88" s="234"/>
      <c r="AW88" s="234"/>
      <c r="AX88" s="234"/>
      <c r="AY88" s="234"/>
      <c r="AZ88" s="234"/>
      <c r="BA88" s="234"/>
      <c r="BB88" s="16">
        <f t="shared" si="87"/>
        <v>0</v>
      </c>
    </row>
    <row r="89" spans="1:58" ht="124.8" outlineLevel="2">
      <c r="A89" s="98"/>
      <c r="B89" s="102"/>
      <c r="C89" s="23"/>
      <c r="D89" s="269"/>
      <c r="E89" s="269"/>
      <c r="F89" s="251"/>
      <c r="G89" s="250"/>
      <c r="H89" s="302" t="s">
        <v>623</v>
      </c>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83"/>
        <v>0</v>
      </c>
      <c r="AG89" s="260"/>
      <c r="AH89" s="260"/>
      <c r="AI89" s="260"/>
      <c r="AJ89" s="263">
        <v>4000000</v>
      </c>
      <c r="AK89" s="263"/>
      <c r="AL89" s="263"/>
      <c r="AM89" s="108">
        <f>AG89*'1. Standard_Cost'!$B$27+'Incremental_Cost Year 2'!AH89*'1. Standard_Cost'!$C$27+'Incremental_Cost Year 2'!AI89*'1. Standard_Cost'!$D$27+'Incremental_Cost Year 2'!AJ89+'Incremental_Cost Year 2'!AL89+AK89</f>
        <v>4000000</v>
      </c>
      <c r="AN89" s="108">
        <f>AM89*'1. Standard_Cost'!$C$31</f>
        <v>600000</v>
      </c>
      <c r="AO89" s="125" t="s">
        <v>331</v>
      </c>
      <c r="AQ89" s="14">
        <f t="shared" si="84"/>
        <v>0</v>
      </c>
      <c r="AR89" s="14">
        <f t="shared" si="85"/>
        <v>0</v>
      </c>
      <c r="AS89" s="14">
        <f t="shared" si="86"/>
        <v>4600000</v>
      </c>
      <c r="AT89" s="14">
        <f t="shared" si="88"/>
        <v>4600000</v>
      </c>
      <c r="AU89" s="234">
        <v>4600000</v>
      </c>
      <c r="AV89" s="234"/>
      <c r="AW89" s="234"/>
      <c r="AX89" s="234"/>
      <c r="AY89" s="234"/>
      <c r="AZ89" s="234"/>
      <c r="BA89" s="234"/>
      <c r="BB89" s="16">
        <f t="shared" si="87"/>
        <v>0</v>
      </c>
    </row>
    <row r="90" spans="1:58" ht="107.4" outlineLevel="2">
      <c r="A90" s="98"/>
      <c r="B90" s="102"/>
      <c r="C90" s="23"/>
      <c r="D90" s="251"/>
      <c r="E90" s="251"/>
      <c r="F90" s="251"/>
      <c r="G90" s="250"/>
      <c r="H90" s="302" t="s">
        <v>685</v>
      </c>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83"/>
        <v>0</v>
      </c>
      <c r="AG90" s="260"/>
      <c r="AH90" s="260"/>
      <c r="AI90" s="260"/>
      <c r="AJ90" s="263"/>
      <c r="AK90" s="263"/>
      <c r="AL90" s="263"/>
      <c r="AM90" s="108">
        <f>AG90*'1. Standard_Cost'!$B$27+'Incremental_Cost Year 2'!AH90*'1. Standard_Cost'!$C$27+'Incremental_Cost Year 2'!AI90*'1. Standard_Cost'!$D$27+'Incremental_Cost Year 2'!AJ90+'Incremental_Cost Year 2'!AL90+AK90</f>
        <v>0</v>
      </c>
      <c r="AN90" s="108">
        <f>AM90*'1. Standard_Cost'!$C$31</f>
        <v>0</v>
      </c>
      <c r="AO90" s="125" t="s">
        <v>332</v>
      </c>
      <c r="AQ90" s="14">
        <f t="shared" si="84"/>
        <v>0</v>
      </c>
      <c r="AR90" s="14">
        <f t="shared" si="85"/>
        <v>0</v>
      </c>
      <c r="AS90" s="14">
        <f t="shared" si="86"/>
        <v>0</v>
      </c>
      <c r="AT90" s="14">
        <f t="shared" si="88"/>
        <v>0</v>
      </c>
      <c r="AU90" s="234"/>
      <c r="AV90" s="234"/>
      <c r="AW90" s="234"/>
      <c r="AX90" s="234"/>
      <c r="AY90" s="234"/>
      <c r="AZ90" s="234"/>
      <c r="BA90" s="234"/>
      <c r="BB90" s="16">
        <f t="shared" si="87"/>
        <v>0</v>
      </c>
    </row>
    <row r="91" spans="1:58" ht="82.8" outlineLevel="1">
      <c r="A91" s="98"/>
      <c r="B91" s="102"/>
      <c r="C91" s="23"/>
      <c r="D91" s="345" t="s">
        <v>632</v>
      </c>
      <c r="E91" s="56" t="s">
        <v>217</v>
      </c>
      <c r="F91" s="253">
        <v>2021</v>
      </c>
      <c r="G91" s="254">
        <v>2026</v>
      </c>
      <c r="H91" s="277" t="s">
        <v>218</v>
      </c>
      <c r="I91" s="112"/>
      <c r="J91" s="112"/>
      <c r="K91" s="112"/>
      <c r="L91" s="113">
        <f>SUM(L81:L90)</f>
        <v>227175</v>
      </c>
      <c r="M91" s="113">
        <f>SUM(M81:M90)</f>
        <v>37938.225000000006</v>
      </c>
      <c r="N91" s="113"/>
      <c r="O91" s="112"/>
      <c r="P91" s="112"/>
      <c r="Q91" s="112"/>
      <c r="R91" s="113">
        <f t="shared" ref="R91:U91" si="89">SUM(R81:R90)</f>
        <v>350000</v>
      </c>
      <c r="S91" s="113">
        <f t="shared" si="89"/>
        <v>405000</v>
      </c>
      <c r="T91" s="113">
        <f t="shared" si="89"/>
        <v>0</v>
      </c>
      <c r="U91" s="113">
        <f t="shared" si="89"/>
        <v>480000</v>
      </c>
      <c r="V91" s="112"/>
      <c r="W91" s="112"/>
      <c r="X91" s="112"/>
      <c r="Y91" s="113">
        <f>SUM(Y81:Y90)</f>
        <v>0</v>
      </c>
      <c r="Z91" s="112"/>
      <c r="AA91" s="112"/>
      <c r="AB91" s="113">
        <f t="shared" ref="AB91:AF91" si="90">SUM(AB81:AB90)</f>
        <v>3637000</v>
      </c>
      <c r="AC91" s="113">
        <f t="shared" si="90"/>
        <v>8419000</v>
      </c>
      <c r="AD91" s="113">
        <f t="shared" si="90"/>
        <v>0</v>
      </c>
      <c r="AE91" s="113">
        <f t="shared" si="90"/>
        <v>2658200</v>
      </c>
      <c r="AF91" s="113">
        <f t="shared" si="90"/>
        <v>15949200</v>
      </c>
      <c r="AG91" s="112"/>
      <c r="AH91" s="112"/>
      <c r="AI91" s="112"/>
      <c r="AJ91" s="113">
        <f t="shared" ref="AJ91:AN91" si="91">SUM(AJ81:AJ90)</f>
        <v>4000000</v>
      </c>
      <c r="AK91" s="113">
        <f t="shared" si="91"/>
        <v>0</v>
      </c>
      <c r="AL91" s="113">
        <f t="shared" si="91"/>
        <v>12524000</v>
      </c>
      <c r="AM91" s="113">
        <f t="shared" si="91"/>
        <v>16524000</v>
      </c>
      <c r="AN91" s="113">
        <f t="shared" si="91"/>
        <v>2478600</v>
      </c>
      <c r="AO91" s="131"/>
      <c r="AP91" s="17"/>
      <c r="AQ91" s="113">
        <f t="shared" ref="AQ91:BB91" si="92">SUM(AQ81:AQ90)</f>
        <v>265113.22499999998</v>
      </c>
      <c r="AR91" s="113">
        <f t="shared" si="92"/>
        <v>15949200</v>
      </c>
      <c r="AS91" s="113">
        <f t="shared" si="92"/>
        <v>19002600</v>
      </c>
      <c r="AT91" s="113">
        <f t="shared" si="92"/>
        <v>35216913.224999994</v>
      </c>
      <c r="AU91" s="113">
        <f t="shared" si="92"/>
        <v>6820113</v>
      </c>
      <c r="AV91" s="113">
        <f t="shared" si="92"/>
        <v>0</v>
      </c>
      <c r="AW91" s="113">
        <f t="shared" si="92"/>
        <v>0</v>
      </c>
      <c r="AX91" s="113">
        <f t="shared" si="92"/>
        <v>26438400</v>
      </c>
      <c r="AY91" s="113">
        <f t="shared" si="92"/>
        <v>0</v>
      </c>
      <c r="AZ91" s="113">
        <f t="shared" si="92"/>
        <v>0</v>
      </c>
      <c r="BA91" s="113">
        <f t="shared" si="92"/>
        <v>0</v>
      </c>
      <c r="BB91" s="113">
        <f t="shared" si="92"/>
        <v>-1958400.2250000001</v>
      </c>
    </row>
    <row r="92" spans="1:58" s="13" customFormat="1" ht="13.8" customHeight="1">
      <c r="A92" s="101"/>
      <c r="B92" s="316" t="s">
        <v>220</v>
      </c>
      <c r="C92" s="317"/>
      <c r="D92" s="317"/>
      <c r="E92" s="318"/>
      <c r="F92" s="241"/>
      <c r="G92" s="241"/>
      <c r="H92" s="241" t="s">
        <v>185</v>
      </c>
      <c r="I92" s="40"/>
      <c r="J92" s="40"/>
      <c r="K92" s="40"/>
      <c r="L92" s="41">
        <f>SUM(L93,L143,L179,L202)</f>
        <v>52978690</v>
      </c>
      <c r="M92" s="41">
        <f>SUM(M93,M143,M179,M202)</f>
        <v>8847441.2300000004</v>
      </c>
      <c r="N92" s="40"/>
      <c r="O92" s="40"/>
      <c r="P92" s="40"/>
      <c r="Q92" s="40"/>
      <c r="R92" s="41">
        <f t="shared" ref="R92:U92" si="93">SUM(R93,R143,R179,R202)</f>
        <v>640000</v>
      </c>
      <c r="S92" s="41">
        <f t="shared" si="93"/>
        <v>930000</v>
      </c>
      <c r="T92" s="41">
        <f t="shared" si="93"/>
        <v>875000</v>
      </c>
      <c r="U92" s="41">
        <f t="shared" si="93"/>
        <v>160000</v>
      </c>
      <c r="V92" s="40"/>
      <c r="W92" s="40"/>
      <c r="X92" s="40"/>
      <c r="Y92" s="41">
        <f>SUM(Y93,Y143,Y179,Y202)</f>
        <v>0</v>
      </c>
      <c r="Z92" s="41">
        <f>SUM(Z93,Z143,Z179,Z202)</f>
        <v>0</v>
      </c>
      <c r="AA92" s="40"/>
      <c r="AB92" s="41">
        <f>SUM(AB93,AB143,AB179,AB202)</f>
        <v>23017000</v>
      </c>
      <c r="AC92" s="41">
        <f>SUM(AC93,AC143,AC179,AC202)</f>
        <v>192827500</v>
      </c>
      <c r="AD92" s="41">
        <f>SUM(AD93,AD143)</f>
        <v>0</v>
      </c>
      <c r="AE92" s="41">
        <f>SUM(AE93,AE143)</f>
        <v>15544500</v>
      </c>
      <c r="AF92" s="41">
        <f>SUM(AF93,AF143)</f>
        <v>201769000</v>
      </c>
      <c r="AG92" s="40"/>
      <c r="AH92" s="40"/>
      <c r="AI92" s="40"/>
      <c r="AJ92" s="41">
        <f>SUM(AJ93,AJ143,AJ179,AJ202)</f>
        <v>1000000</v>
      </c>
      <c r="AK92" s="41">
        <f>SUM(AK93,AK143,AK179,AK202)</f>
        <v>0</v>
      </c>
      <c r="AL92" s="41">
        <f>SUM(AL93,AL143)</f>
        <v>0</v>
      </c>
      <c r="AM92" s="41">
        <f>SUM(AM93,AM143)</f>
        <v>1000000</v>
      </c>
      <c r="AN92" s="41">
        <f>SUM(AN93,AN143)</f>
        <v>150000</v>
      </c>
      <c r="AO92" s="129"/>
      <c r="AQ92" s="41">
        <f t="shared" ref="AQ92:BB92" si="94">SUM(AQ93,AQ143,AQ179,AQ202)</f>
        <v>61826131.230000004</v>
      </c>
      <c r="AR92" s="41">
        <f t="shared" si="94"/>
        <v>235704000</v>
      </c>
      <c r="AS92" s="41">
        <f t="shared" si="94"/>
        <v>1150000</v>
      </c>
      <c r="AT92" s="41">
        <f t="shared" si="94"/>
        <v>298680131.22999996</v>
      </c>
      <c r="AU92" s="41">
        <f t="shared" si="94"/>
        <v>141971567.53</v>
      </c>
      <c r="AV92" s="41">
        <f t="shared" si="94"/>
        <v>0</v>
      </c>
      <c r="AW92" s="41">
        <f t="shared" si="94"/>
        <v>0</v>
      </c>
      <c r="AX92" s="41">
        <f t="shared" si="94"/>
        <v>12236750.689999999</v>
      </c>
      <c r="AY92" s="41">
        <f t="shared" si="94"/>
        <v>0</v>
      </c>
      <c r="AZ92" s="41">
        <f t="shared" si="94"/>
        <v>117642605.45</v>
      </c>
      <c r="BA92" s="41">
        <f t="shared" si="94"/>
        <v>0</v>
      </c>
      <c r="BB92" s="41">
        <f t="shared" si="94"/>
        <v>-26829207.559999999</v>
      </c>
      <c r="BD92" s="5"/>
      <c r="BF92" s="295"/>
    </row>
    <row r="93" spans="1:58" s="24" customFormat="1" ht="13.8" customHeight="1">
      <c r="A93" s="114"/>
      <c r="B93" s="115"/>
      <c r="C93" s="314" t="s">
        <v>221</v>
      </c>
      <c r="D93" s="314"/>
      <c r="E93" s="315"/>
      <c r="F93" s="246"/>
      <c r="G93" s="246"/>
      <c r="H93" s="278" t="s">
        <v>186</v>
      </c>
      <c r="I93" s="116"/>
      <c r="J93" s="116"/>
      <c r="K93" s="116"/>
      <c r="L93" s="117">
        <f>SUM(L101,L113,L136,L139,L142)</f>
        <v>14556720</v>
      </c>
      <c r="M93" s="117">
        <f>SUM(M101,M113,M136,M139,M142)</f>
        <v>2430972.2400000002</v>
      </c>
      <c r="N93" s="116"/>
      <c r="O93" s="116"/>
      <c r="P93" s="116"/>
      <c r="Q93" s="116"/>
      <c r="R93" s="117">
        <f t="shared" ref="R93:U93" si="95">SUM(R101,R113,R136,R139,R142)</f>
        <v>240000</v>
      </c>
      <c r="S93" s="117">
        <f t="shared" si="95"/>
        <v>180000</v>
      </c>
      <c r="T93" s="117">
        <f t="shared" si="95"/>
        <v>0</v>
      </c>
      <c r="U93" s="117">
        <f t="shared" si="95"/>
        <v>0</v>
      </c>
      <c r="V93" s="116"/>
      <c r="W93" s="116"/>
      <c r="X93" s="116"/>
      <c r="Y93" s="117">
        <f>SUM(Y101,Y113,Y136,Y139,Y142)</f>
        <v>0</v>
      </c>
      <c r="Z93" s="116"/>
      <c r="AA93" s="116"/>
      <c r="AB93" s="117">
        <f t="shared" ref="AB93:AF93" si="96">SUM(AB101,AB113,AB136,AB139,AB142)</f>
        <v>11323000</v>
      </c>
      <c r="AC93" s="117">
        <f t="shared" si="96"/>
        <v>39042500</v>
      </c>
      <c r="AD93" s="117">
        <f t="shared" si="96"/>
        <v>0</v>
      </c>
      <c r="AE93" s="117">
        <f t="shared" si="96"/>
        <v>2265500</v>
      </c>
      <c r="AF93" s="117">
        <f t="shared" si="96"/>
        <v>53051000</v>
      </c>
      <c r="AG93" s="116"/>
      <c r="AH93" s="116"/>
      <c r="AI93" s="116"/>
      <c r="AJ93" s="117">
        <f t="shared" ref="AJ93:AN93" si="97">SUM(AJ101,AJ113,AJ136,AJ139,AJ142)</f>
        <v>1000000</v>
      </c>
      <c r="AK93" s="117">
        <f t="shared" si="97"/>
        <v>0</v>
      </c>
      <c r="AL93" s="117">
        <f t="shared" si="97"/>
        <v>0</v>
      </c>
      <c r="AM93" s="117">
        <f t="shared" si="97"/>
        <v>1000000</v>
      </c>
      <c r="AN93" s="117">
        <f t="shared" si="97"/>
        <v>150000</v>
      </c>
      <c r="AO93" s="132"/>
      <c r="AP93" s="25"/>
      <c r="AQ93" s="117">
        <f t="shared" ref="AQ93:BB93" si="98">SUM(AQ101,AQ113,AQ136,AQ139,AQ142)</f>
        <v>16987692.240000002</v>
      </c>
      <c r="AR93" s="117">
        <f t="shared" si="98"/>
        <v>53051000</v>
      </c>
      <c r="AS93" s="117">
        <f t="shared" si="98"/>
        <v>1150000</v>
      </c>
      <c r="AT93" s="117">
        <f t="shared" si="98"/>
        <v>71188692.24000001</v>
      </c>
      <c r="AU93" s="117">
        <f t="shared" si="98"/>
        <v>25027599.039999999</v>
      </c>
      <c r="AV93" s="117">
        <f t="shared" si="98"/>
        <v>0</v>
      </c>
      <c r="AW93" s="117">
        <f t="shared" si="98"/>
        <v>0</v>
      </c>
      <c r="AX93" s="117">
        <f t="shared" si="98"/>
        <v>4190000</v>
      </c>
      <c r="AY93" s="117">
        <f t="shared" si="98"/>
        <v>0</v>
      </c>
      <c r="AZ93" s="117">
        <f t="shared" si="98"/>
        <v>34863458.700000003</v>
      </c>
      <c r="BA93" s="117">
        <f t="shared" si="98"/>
        <v>0</v>
      </c>
      <c r="BB93" s="117">
        <f t="shared" si="98"/>
        <v>-7107634.5</v>
      </c>
      <c r="BD93" s="5"/>
      <c r="BF93" s="295"/>
    </row>
    <row r="94" spans="1:58" ht="140.4" outlineLevel="2">
      <c r="A94" s="98"/>
      <c r="B94" s="102"/>
      <c r="C94" s="23"/>
      <c r="D94" s="257"/>
      <c r="E94" s="257"/>
      <c r="F94" s="257"/>
      <c r="G94" s="257"/>
      <c r="H94" s="302" t="s">
        <v>444</v>
      </c>
      <c r="I94" s="104" t="s">
        <v>4</v>
      </c>
      <c r="J94" s="105">
        <v>2</v>
      </c>
      <c r="K94" s="105">
        <v>5</v>
      </c>
      <c r="L94" s="106">
        <f>IF(I94&lt;&gt;0,((VLOOKUP(I94,'1. Standard_Cost'!$B$4:$D$11,2)+VLOOKUP(I94,'1. Standard_Cost'!$B$4:$D$11,3))*J94*K94),"0")</f>
        <v>807500</v>
      </c>
      <c r="M94" s="106">
        <f>L94*'1. Standard_Cost'!$F$4</f>
        <v>134852.5</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v>3</v>
      </c>
      <c r="AA94" s="107"/>
      <c r="AB94" s="108">
        <f>+Z94*'1. Standard_Cost'!$B$23+AA94*'1. Standard_Cost'!$C$23</f>
        <v>222000</v>
      </c>
      <c r="AC94" s="109"/>
      <c r="AD94" s="110"/>
      <c r="AE94" s="108">
        <f>SUM(AD94,AC94,AB94,Y94,U94,T94,S94,R94)*'1. Standard_Cost'!$B$31</f>
        <v>44400</v>
      </c>
      <c r="AF94" s="108">
        <f t="shared" ref="AF94:AF100" si="99">SUM(AE94,AD94,AC94,AB94,Y94,U94,T94,S94,R94)</f>
        <v>266400</v>
      </c>
      <c r="AG94" s="107"/>
      <c r="AH94" s="107"/>
      <c r="AI94" s="107"/>
      <c r="AJ94" s="111"/>
      <c r="AK94" s="111"/>
      <c r="AL94" s="111"/>
      <c r="AM94" s="108">
        <f>AG94*'1. Standard_Cost'!$B$27+'Incremental_Cost Year 2'!AH94*'1. Standard_Cost'!$C$27+'Incremental_Cost Year 2'!AI94*'1. Standard_Cost'!$D$27+'Incremental_Cost Year 2'!AJ94+'Incremental_Cost Year 2'!AL94+AK94</f>
        <v>0</v>
      </c>
      <c r="AN94" s="108">
        <f>AM94*'1. Standard_Cost'!$C$31</f>
        <v>0</v>
      </c>
      <c r="AO94" s="125" t="s">
        <v>333</v>
      </c>
      <c r="AQ94" s="14">
        <f t="shared" ref="AQ94:AQ100" si="100">L94+M94</f>
        <v>942352.5</v>
      </c>
      <c r="AR94" s="14">
        <f t="shared" ref="AR94:AR100" si="101">AF94</f>
        <v>266400</v>
      </c>
      <c r="AS94" s="14">
        <f t="shared" ref="AS94:AS100" si="102">AM94+AN94</f>
        <v>0</v>
      </c>
      <c r="AT94" s="14">
        <f>SUM(AQ94,AR94,AS94)</f>
        <v>1208752.5</v>
      </c>
      <c r="AU94" s="15">
        <v>942352.5</v>
      </c>
      <c r="AV94" s="15"/>
      <c r="AW94" s="15"/>
      <c r="AX94" s="15"/>
      <c r="AY94" s="15"/>
      <c r="AZ94" s="15"/>
      <c r="BA94" s="15"/>
      <c r="BB94" s="16">
        <f t="shared" ref="BB94:BB100" si="103">SUM(AU94:BA94)-AT94</f>
        <v>-266400</v>
      </c>
      <c r="BD94" s="13"/>
      <c r="BF94" s="295"/>
    </row>
    <row r="95" spans="1:58" ht="109.2" outlineLevel="2">
      <c r="A95" s="98"/>
      <c r="B95" s="102"/>
      <c r="C95" s="23"/>
      <c r="D95" s="269"/>
      <c r="E95" s="269"/>
      <c r="F95" s="269"/>
      <c r="G95" s="269"/>
      <c r="H95" s="302" t="s">
        <v>445</v>
      </c>
      <c r="I95" s="104" t="s">
        <v>4</v>
      </c>
      <c r="J95" s="105">
        <v>2</v>
      </c>
      <c r="K95" s="105">
        <v>2</v>
      </c>
      <c r="L95" s="106">
        <f>IF(I95&lt;&gt;0,((VLOOKUP(I95,'1. Standard_Cost'!$B$4:$D$11,2)+VLOOKUP(I95,'1. Standard_Cost'!$B$4:$D$11,3))*J95*K95),"0")</f>
        <v>323000</v>
      </c>
      <c r="M95" s="106">
        <f>L95*'1. Standard_Cost'!$F$4</f>
        <v>53941</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v>5</v>
      </c>
      <c r="AB95" s="108">
        <f>+Z95*'1. Standard_Cost'!$B$23+AA95*'1. Standard_Cost'!$C$23</f>
        <v>95000</v>
      </c>
      <c r="AC95" s="109">
        <f>20*300</f>
        <v>6000</v>
      </c>
      <c r="AD95" s="110"/>
      <c r="AE95" s="108">
        <f>SUM(AD95,AC95,AB95,Y95,U95,T95,S95,R95)*'1. Standard_Cost'!$B$31</f>
        <v>20200</v>
      </c>
      <c r="AF95" s="108">
        <f t="shared" si="99"/>
        <v>121200</v>
      </c>
      <c r="AG95" s="107"/>
      <c r="AH95" s="107"/>
      <c r="AI95" s="107"/>
      <c r="AJ95" s="111"/>
      <c r="AK95" s="111"/>
      <c r="AL95" s="111"/>
      <c r="AM95" s="108">
        <f>AG95*'1. Standard_Cost'!$B$27+'Incremental_Cost Year 2'!AH95*'1. Standard_Cost'!$C$27+'Incremental_Cost Year 2'!AI95*'1. Standard_Cost'!$D$27+'Incremental_Cost Year 2'!AJ95+'Incremental_Cost Year 2'!AL95+AK95</f>
        <v>0</v>
      </c>
      <c r="AN95" s="108">
        <f>AM95*'1. Standard_Cost'!$C$31</f>
        <v>0</v>
      </c>
      <c r="AO95" s="125" t="s">
        <v>334</v>
      </c>
      <c r="AQ95" s="14">
        <f t="shared" si="100"/>
        <v>376941</v>
      </c>
      <c r="AR95" s="14">
        <f t="shared" si="101"/>
        <v>121200</v>
      </c>
      <c r="AS95" s="14">
        <f t="shared" si="102"/>
        <v>0</v>
      </c>
      <c r="AT95" s="14">
        <f t="shared" ref="AT95:AT100" si="104">SUM(AQ95,AR95,AS95)</f>
        <v>498141</v>
      </c>
      <c r="AU95" s="15">
        <v>376941</v>
      </c>
      <c r="AV95" s="15"/>
      <c r="AW95" s="15"/>
      <c r="AX95" s="15"/>
      <c r="AY95" s="15"/>
      <c r="AZ95" s="15"/>
      <c r="BA95" s="15"/>
      <c r="BB95" s="16">
        <f t="shared" si="103"/>
        <v>-121200</v>
      </c>
      <c r="BD95" s="24"/>
      <c r="BF95" s="295"/>
    </row>
    <row r="96" spans="1:58" ht="78" outlineLevel="2">
      <c r="A96" s="98"/>
      <c r="B96" s="102"/>
      <c r="C96" s="23"/>
      <c r="D96" s="269"/>
      <c r="E96" s="269"/>
      <c r="F96" s="269"/>
      <c r="G96" s="174"/>
      <c r="H96" s="302" t="s">
        <v>446</v>
      </c>
      <c r="I96" s="104" t="s">
        <v>4</v>
      </c>
      <c r="J96" s="105">
        <v>0.4</v>
      </c>
      <c r="K96" s="105">
        <v>2</v>
      </c>
      <c r="L96" s="106">
        <f>IF(I96&lt;&gt;0,((VLOOKUP(I96,'1. Standard_Cost'!$B$4:$D$11,2)+VLOOKUP(I96,'1. Standard_Cost'!$B$4:$D$11,3))*J96*K96),"0")</f>
        <v>64600</v>
      </c>
      <c r="M96" s="106">
        <f>L96*'1. Standard_Cost'!$F$4</f>
        <v>10788.2</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f>100000*10+2*300000+2*50000</f>
        <v>1700000</v>
      </c>
      <c r="AD96" s="110"/>
      <c r="AE96" s="108">
        <f>SUM(AD96,AC96,AB96,Y96,U96,T96,S96,R96)*'1. Standard_Cost'!$B$31</f>
        <v>340000</v>
      </c>
      <c r="AF96" s="108">
        <f t="shared" si="99"/>
        <v>2040000</v>
      </c>
      <c r="AG96" s="107"/>
      <c r="AH96" s="107"/>
      <c r="AI96" s="107"/>
      <c r="AJ96" s="111"/>
      <c r="AK96" s="111"/>
      <c r="AL96" s="111"/>
      <c r="AM96" s="108">
        <f>AG96*'1. Standard_Cost'!$B$27+'Incremental_Cost Year 2'!AH96*'1. Standard_Cost'!$C$27+'Incremental_Cost Year 2'!AI96*'1. Standard_Cost'!$D$27+'Incremental_Cost Year 2'!AJ96+'Incremental_Cost Year 2'!AL96+AK96</f>
        <v>0</v>
      </c>
      <c r="AN96" s="108">
        <f>AM96*'1. Standard_Cost'!$C$31</f>
        <v>0</v>
      </c>
      <c r="AO96" s="125" t="s">
        <v>335</v>
      </c>
      <c r="AQ96" s="14">
        <f t="shared" si="100"/>
        <v>75388.2</v>
      </c>
      <c r="AR96" s="14">
        <f t="shared" si="101"/>
        <v>2040000</v>
      </c>
      <c r="AS96" s="14">
        <f t="shared" si="102"/>
        <v>0</v>
      </c>
      <c r="AT96" s="14">
        <f t="shared" si="104"/>
        <v>2115388.2000000002</v>
      </c>
      <c r="AU96" s="15">
        <v>75388.2</v>
      </c>
      <c r="AV96" s="15"/>
      <c r="AW96" s="15"/>
      <c r="AX96" s="15"/>
      <c r="AY96" s="15"/>
      <c r="AZ96" s="15"/>
      <c r="BA96" s="15"/>
      <c r="BB96" s="16">
        <f t="shared" si="103"/>
        <v>-2040000.0000000002</v>
      </c>
      <c r="BF96" s="295"/>
    </row>
    <row r="97" spans="1:58" ht="46.8" outlineLevel="2">
      <c r="A97" s="98"/>
      <c r="B97" s="102"/>
      <c r="C97" s="23"/>
      <c r="D97" s="269"/>
      <c r="E97" s="269"/>
      <c r="F97" s="269"/>
      <c r="G97" s="26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99"/>
        <v>0</v>
      </c>
      <c r="AG97" s="107"/>
      <c r="AH97" s="107"/>
      <c r="AI97" s="107"/>
      <c r="AJ97" s="111"/>
      <c r="AK97" s="111"/>
      <c r="AL97" s="111"/>
      <c r="AM97" s="108">
        <f>AG97*'1. Standard_Cost'!$B$27+'Incremental_Cost Year 2'!AH97*'1. Standard_Cost'!$C$27+'Incremental_Cost Year 2'!AI97*'1. Standard_Cost'!$D$27+'Incremental_Cost Year 2'!AJ97+'Incremental_Cost Year 2'!AL97+AK97</f>
        <v>0</v>
      </c>
      <c r="AN97" s="108">
        <f>AM97*'1. Standard_Cost'!$C$31</f>
        <v>0</v>
      </c>
      <c r="AO97" s="125" t="s">
        <v>336</v>
      </c>
      <c r="AQ97" s="14">
        <f t="shared" si="100"/>
        <v>0</v>
      </c>
      <c r="AR97" s="14">
        <f t="shared" si="101"/>
        <v>0</v>
      </c>
      <c r="AS97" s="14">
        <f t="shared" si="102"/>
        <v>0</v>
      </c>
      <c r="AT97" s="14">
        <f t="shared" si="104"/>
        <v>0</v>
      </c>
      <c r="AU97" s="15"/>
      <c r="AV97" s="15"/>
      <c r="AW97" s="15"/>
      <c r="AX97" s="15"/>
      <c r="AY97" s="15"/>
      <c r="AZ97" s="15"/>
      <c r="BA97" s="15"/>
      <c r="BB97" s="16">
        <f t="shared" si="103"/>
        <v>0</v>
      </c>
      <c r="BF97" s="295"/>
    </row>
    <row r="98" spans="1:58" ht="109.2" outlineLevel="2">
      <c r="A98" s="98"/>
      <c r="B98" s="102"/>
      <c r="C98" s="23"/>
      <c r="D98" s="269"/>
      <c r="E98" s="269"/>
      <c r="F98" s="269"/>
      <c r="G98" s="269"/>
      <c r="H98" s="302" t="s">
        <v>448</v>
      </c>
      <c r="I98" s="104" t="s">
        <v>4</v>
      </c>
      <c r="J98" s="105">
        <v>3</v>
      </c>
      <c r="K98" s="105">
        <v>6</v>
      </c>
      <c r="L98" s="106">
        <f>IF(I98&lt;&gt;0,((VLOOKUP(I98,'1. Standard_Cost'!$B$4:$D$11,2)+VLOOKUP(I98,'1. Standard_Cost'!$B$4:$D$11,3))*J98*K98),"0")</f>
        <v>1453500</v>
      </c>
      <c r="M98" s="106">
        <f>L98*'1. Standard_Cost'!$F$4</f>
        <v>242734.5</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v>10</v>
      </c>
      <c r="AB98" s="108">
        <f>+Z98*'1. Standard_Cost'!$B$23+AA98*'1. Standard_Cost'!$C$23</f>
        <v>190000</v>
      </c>
      <c r="AC98" s="109"/>
      <c r="AD98" s="110"/>
      <c r="AE98" s="108">
        <f>SUM(AD98,AC98,AB98,Y98,U98,T98,S98,R98)*'1. Standard_Cost'!$B$31</f>
        <v>38000</v>
      </c>
      <c r="AF98" s="108">
        <f t="shared" si="99"/>
        <v>228000</v>
      </c>
      <c r="AG98" s="107"/>
      <c r="AH98" s="107"/>
      <c r="AI98" s="107"/>
      <c r="AJ98" s="111"/>
      <c r="AK98" s="111"/>
      <c r="AL98" s="111"/>
      <c r="AM98" s="108">
        <f>AG98*'1. Standard_Cost'!$B$27+'Incremental_Cost Year 2'!AH98*'1. Standard_Cost'!$C$27+'Incremental_Cost Year 2'!AI98*'1. Standard_Cost'!$D$27+'Incremental_Cost Year 2'!AJ98+'Incremental_Cost Year 2'!AL98+AK98</f>
        <v>0</v>
      </c>
      <c r="AN98" s="108">
        <f>AM98*'1. Standard_Cost'!$C$31</f>
        <v>0</v>
      </c>
      <c r="AO98" s="125" t="s">
        <v>337</v>
      </c>
      <c r="AQ98" s="14">
        <f t="shared" si="100"/>
        <v>1696234.5</v>
      </c>
      <c r="AR98" s="14">
        <f t="shared" si="101"/>
        <v>228000</v>
      </c>
      <c r="AS98" s="14">
        <f t="shared" si="102"/>
        <v>0</v>
      </c>
      <c r="AT98" s="14">
        <f t="shared" si="104"/>
        <v>1924234.5</v>
      </c>
      <c r="AU98" s="15">
        <v>1696234.5</v>
      </c>
      <c r="AV98" s="15"/>
      <c r="AW98" s="15"/>
      <c r="AX98" s="15"/>
      <c r="AY98" s="15"/>
      <c r="AZ98" s="15"/>
      <c r="BA98" s="15"/>
      <c r="BB98" s="16">
        <f t="shared" si="103"/>
        <v>-228000</v>
      </c>
      <c r="BF98" s="295"/>
    </row>
    <row r="99" spans="1:58" ht="109.2" outlineLevel="2">
      <c r="A99" s="98"/>
      <c r="B99" s="102"/>
      <c r="C99" s="23"/>
      <c r="D99" s="269"/>
      <c r="E99" s="269"/>
      <c r="F99" s="269"/>
      <c r="G99" s="269"/>
      <c r="H99" s="302" t="s">
        <v>449</v>
      </c>
      <c r="I99" s="104" t="s">
        <v>4</v>
      </c>
      <c r="J99" s="105">
        <v>3</v>
      </c>
      <c r="K99" s="105">
        <v>6</v>
      </c>
      <c r="L99" s="106">
        <f>IF(I99&lt;&gt;0,((VLOOKUP(I99,'1. Standard_Cost'!$B$4:$D$11,2)+VLOOKUP(I99,'1. Standard_Cost'!$B$4:$D$11,3))*J99*K99),"0")</f>
        <v>1453500</v>
      </c>
      <c r="M99" s="106">
        <f>L99*'1. Standard_Cost'!$F$4</f>
        <v>242734.5</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v>10</v>
      </c>
      <c r="AB99" s="108">
        <f>+Z99*'1. Standard_Cost'!$B$23+AA99*'1. Standard_Cost'!$C$23</f>
        <v>190000</v>
      </c>
      <c r="AC99" s="109"/>
      <c r="AD99" s="110"/>
      <c r="AE99" s="108">
        <f>SUM(AD99,AC99,AB99,Y99,U99,T99,S99,R99)*'1. Standard_Cost'!$B$31</f>
        <v>38000</v>
      </c>
      <c r="AF99" s="108">
        <f t="shared" si="99"/>
        <v>228000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00"/>
        <v>1696234.5</v>
      </c>
      <c r="AR99" s="14">
        <f t="shared" si="101"/>
        <v>228000</v>
      </c>
      <c r="AS99" s="14">
        <f t="shared" si="102"/>
        <v>0</v>
      </c>
      <c r="AT99" s="14">
        <f t="shared" si="104"/>
        <v>1924234.5</v>
      </c>
      <c r="AU99" s="15">
        <v>1696234.5</v>
      </c>
      <c r="AV99" s="15"/>
      <c r="AW99" s="15"/>
      <c r="AX99" s="15"/>
      <c r="AY99" s="15"/>
      <c r="AZ99" s="15"/>
      <c r="BA99" s="15"/>
      <c r="BB99" s="16">
        <f t="shared" si="103"/>
        <v>-228000</v>
      </c>
      <c r="BF99" s="295"/>
    </row>
    <row r="100" spans="1:58" ht="62.4" outlineLevel="2">
      <c r="A100" s="98"/>
      <c r="B100" s="102"/>
      <c r="C100" s="23"/>
      <c r="D100" s="269"/>
      <c r="E100" s="269"/>
      <c r="F100" s="251"/>
      <c r="G100" s="254"/>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f>500*10000</f>
        <v>5000000</v>
      </c>
      <c r="AD100" s="110"/>
      <c r="AE100" s="108">
        <v>0</v>
      </c>
      <c r="AF100" s="108">
        <f t="shared" si="99"/>
        <v>5000000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00"/>
        <v>0</v>
      </c>
      <c r="AR100" s="14">
        <f t="shared" si="101"/>
        <v>5000000</v>
      </c>
      <c r="AS100" s="14">
        <f t="shared" si="102"/>
        <v>0</v>
      </c>
      <c r="AT100" s="14">
        <f t="shared" si="104"/>
        <v>5000000</v>
      </c>
      <c r="AU100" s="15">
        <v>5000000</v>
      </c>
      <c r="AV100" s="15"/>
      <c r="AW100" s="15"/>
      <c r="AX100" s="15"/>
      <c r="AY100" s="15"/>
      <c r="AZ100" s="15"/>
      <c r="BA100" s="15"/>
      <c r="BB100" s="16">
        <f t="shared" si="103"/>
        <v>0</v>
      </c>
      <c r="BF100" s="295"/>
    </row>
    <row r="101" spans="1:58" ht="82.8" outlineLevel="1">
      <c r="A101" s="98"/>
      <c r="B101" s="102"/>
      <c r="C101" s="23"/>
      <c r="D101" s="56" t="s">
        <v>632</v>
      </c>
      <c r="E101" s="56" t="s">
        <v>222</v>
      </c>
      <c r="F101" s="253">
        <v>2021</v>
      </c>
      <c r="G101" s="254">
        <v>2026</v>
      </c>
      <c r="H101" s="277" t="s">
        <v>187</v>
      </c>
      <c r="I101" s="112"/>
      <c r="J101" s="112"/>
      <c r="K101" s="112"/>
      <c r="L101" s="113">
        <f>SUM(L94:L100)</f>
        <v>4102100</v>
      </c>
      <c r="M101" s="113">
        <f>SUM(M94:M100)</f>
        <v>685050.7</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697000</v>
      </c>
      <c r="AC101" s="113">
        <f>SUM(AC94:AC100)</f>
        <v>6706000</v>
      </c>
      <c r="AD101" s="113">
        <f>SUM(AD94:AD100)</f>
        <v>0</v>
      </c>
      <c r="AE101" s="113">
        <f>SUM(AE94:AE100)</f>
        <v>480600</v>
      </c>
      <c r="AF101" s="113">
        <f>SUM(AF94:AF100)</f>
        <v>7883600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5">SUM(AQ94:AQ100)</f>
        <v>4787150.7</v>
      </c>
      <c r="AR101" s="113">
        <f t="shared" si="105"/>
        <v>7883600</v>
      </c>
      <c r="AS101" s="113">
        <f t="shared" si="105"/>
        <v>0</v>
      </c>
      <c r="AT101" s="113">
        <f t="shared" si="105"/>
        <v>12670750.699999999</v>
      </c>
      <c r="AU101" s="113">
        <f t="shared" si="105"/>
        <v>9787150.6999999993</v>
      </c>
      <c r="AV101" s="113">
        <f t="shared" si="105"/>
        <v>0</v>
      </c>
      <c r="AW101" s="113">
        <f t="shared" si="105"/>
        <v>0</v>
      </c>
      <c r="AX101" s="113">
        <f t="shared" si="105"/>
        <v>0</v>
      </c>
      <c r="AY101" s="113">
        <f t="shared" si="105"/>
        <v>0</v>
      </c>
      <c r="AZ101" s="113">
        <f t="shared" si="105"/>
        <v>0</v>
      </c>
      <c r="BA101" s="113">
        <f t="shared" si="105"/>
        <v>0</v>
      </c>
      <c r="BB101" s="113">
        <f t="shared" si="105"/>
        <v>-2883600</v>
      </c>
      <c r="BF101" s="295"/>
    </row>
    <row r="102" spans="1:58" ht="93.6" outlineLevel="2">
      <c r="A102" s="98"/>
      <c r="B102" s="102"/>
      <c r="C102" s="23"/>
      <c r="D102" s="257"/>
      <c r="E102" s="257"/>
      <c r="F102" s="175"/>
      <c r="G102" s="175"/>
      <c r="H102" s="302" t="s">
        <v>451</v>
      </c>
      <c r="I102" s="104" t="s">
        <v>4</v>
      </c>
      <c r="J102" s="105">
        <v>2</v>
      </c>
      <c r="K102" s="105">
        <v>6</v>
      </c>
      <c r="L102" s="106">
        <f>IF(I102&lt;&gt;0,((VLOOKUP(I102,'1. Standard_Cost'!$B$4:$D$11,2)+VLOOKUP(I102,'1. Standard_Cost'!$B$4:$D$11,3))*J102*K102),"0")</f>
        <v>969000</v>
      </c>
      <c r="M102" s="106">
        <f>L102*'1. Standard_Cost'!$F$4</f>
        <v>161823</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v>1500000</v>
      </c>
      <c r="AD102" s="110"/>
      <c r="AE102" s="108">
        <f>SUM(AD102,AC102,AB102,Y102,U102,T102,S102,R102)*'1. Standard_Cost'!$B$31</f>
        <v>300000</v>
      </c>
      <c r="AF102" s="108">
        <f t="shared" ref="AF102:AF112" si="106">SUM(AE102,AD102,AC102,AB102,Y102,U102,T102,S102,R102)</f>
        <v>1800000</v>
      </c>
      <c r="AG102" s="107"/>
      <c r="AH102" s="107"/>
      <c r="AI102" s="107"/>
      <c r="AJ102" s="111"/>
      <c r="AK102" s="111"/>
      <c r="AL102" s="111"/>
      <c r="AM102" s="108">
        <f>AG102*'1. Standard_Cost'!$B$27+'Incremental_Cost Year 2'!AH102*'1. Standard_Cost'!$C$27+'Incremental_Cost Year 2'!AI102*'1. Standard_Cost'!$D$27+'Incremental_Cost Year 2'!AJ102+'Incremental_Cost Year 2'!AL102+AK102</f>
        <v>0</v>
      </c>
      <c r="AN102" s="108">
        <f>AM102*'1. Standard_Cost'!$C$31</f>
        <v>0</v>
      </c>
      <c r="AO102" s="125" t="s">
        <v>340</v>
      </c>
      <c r="AQ102" s="14">
        <f t="shared" ref="AQ102:AQ112" si="107">L102+M102</f>
        <v>1130823</v>
      </c>
      <c r="AR102" s="14">
        <f t="shared" ref="AR102:AR112" si="108">AF102</f>
        <v>1800000</v>
      </c>
      <c r="AS102" s="14">
        <f t="shared" ref="AS102:AS112" si="109">AM102+AN102</f>
        <v>0</v>
      </c>
      <c r="AT102" s="14">
        <f>SUM(AQ102,AR102,AS102)</f>
        <v>2930823</v>
      </c>
      <c r="AU102" s="15">
        <v>1130823</v>
      </c>
      <c r="AV102" s="15"/>
      <c r="AW102" s="15"/>
      <c r="AX102" s="15">
        <v>1000000</v>
      </c>
      <c r="AY102" s="15"/>
      <c r="AZ102" s="15">
        <v>800000</v>
      </c>
      <c r="BA102" s="15"/>
      <c r="BB102" s="16">
        <f t="shared" ref="BB102:BB112" si="110">SUM(AU102:BA102)-AT102</f>
        <v>0</v>
      </c>
      <c r="BF102" s="295"/>
    </row>
    <row r="103" spans="1:58" ht="93.6" outlineLevel="2">
      <c r="A103" s="98"/>
      <c r="B103" s="102"/>
      <c r="C103" s="23"/>
      <c r="D103" s="269"/>
      <c r="E103" s="269"/>
      <c r="F103" s="174"/>
      <c r="G103" s="269"/>
      <c r="H103" s="302" t="s">
        <v>452</v>
      </c>
      <c r="I103" s="104" t="s">
        <v>4</v>
      </c>
      <c r="J103" s="105">
        <v>2</v>
      </c>
      <c r="K103" s="105">
        <v>3</v>
      </c>
      <c r="L103" s="106">
        <f>IF(I103&lt;&gt;0,((VLOOKUP(I103,'1. Standard_Cost'!$B$4:$D$11,2)+VLOOKUP(I103,'1. Standard_Cost'!$B$4:$D$11,3))*J103*K103),"0")</f>
        <v>484500</v>
      </c>
      <c r="M103" s="106">
        <f>L103*'1. Standard_Cost'!$F$4</f>
        <v>80911.5</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v>5</v>
      </c>
      <c r="AB103" s="108">
        <f>+Z103*'1. Standard_Cost'!$B$23+AA103*'1. Standard_Cost'!$C$23</f>
        <v>95000</v>
      </c>
      <c r="AC103" s="109"/>
      <c r="AD103" s="110"/>
      <c r="AE103" s="108">
        <f>SUM(AD103,AC103,AB103,Y103,U103,T103,S103,R103)*'1. Standard_Cost'!$B$31</f>
        <v>19000</v>
      </c>
      <c r="AF103" s="108">
        <f t="shared" si="106"/>
        <v>114000</v>
      </c>
      <c r="AG103" s="107"/>
      <c r="AH103" s="107"/>
      <c r="AI103" s="107"/>
      <c r="AJ103" s="111"/>
      <c r="AK103" s="111"/>
      <c r="AL103" s="111"/>
      <c r="AM103" s="108">
        <f>AG103*'1. Standard_Cost'!$B$27+'Incremental_Cost Year 2'!AH103*'1. Standard_Cost'!$C$27+'Incremental_Cost Year 2'!AI103*'1. Standard_Cost'!$D$27+'Incremental_Cost Year 2'!AJ103+'Incremental_Cost Year 2'!AL103+AK103</f>
        <v>0</v>
      </c>
      <c r="AN103" s="108">
        <f>AM103*'1. Standard_Cost'!$C$31</f>
        <v>0</v>
      </c>
      <c r="AO103" s="125" t="s">
        <v>341</v>
      </c>
      <c r="AQ103" s="14">
        <f t="shared" si="107"/>
        <v>565411.5</v>
      </c>
      <c r="AR103" s="14">
        <f t="shared" si="108"/>
        <v>114000</v>
      </c>
      <c r="AS103" s="14">
        <f t="shared" si="109"/>
        <v>0</v>
      </c>
      <c r="AT103" s="14">
        <f t="shared" ref="AT103:AT112" si="111">SUM(AQ103,AR103,AS103)</f>
        <v>679411.5</v>
      </c>
      <c r="AU103" s="15">
        <v>565411.5</v>
      </c>
      <c r="AV103" s="15"/>
      <c r="AW103" s="15"/>
      <c r="AX103" s="15"/>
      <c r="AY103" s="15"/>
      <c r="AZ103" s="15">
        <v>114000</v>
      </c>
      <c r="BA103" s="15"/>
      <c r="BB103" s="16">
        <f t="shared" si="110"/>
        <v>0</v>
      </c>
      <c r="BF103" s="295"/>
    </row>
    <row r="104" spans="1:58" ht="62.4" outlineLevel="2">
      <c r="A104" s="98"/>
      <c r="B104" s="102"/>
      <c r="C104" s="23"/>
      <c r="D104" s="269"/>
      <c r="E104" s="26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v>5000000</v>
      </c>
      <c r="AD104" s="110"/>
      <c r="AE104" s="108">
        <v>0</v>
      </c>
      <c r="AF104" s="108">
        <f t="shared" si="106"/>
        <v>5000000</v>
      </c>
      <c r="AG104" s="107"/>
      <c r="AH104" s="107"/>
      <c r="AI104" s="107"/>
      <c r="AJ104" s="111"/>
      <c r="AK104" s="111"/>
      <c r="AL104" s="111"/>
      <c r="AM104" s="108">
        <f>AG104*'1. Standard_Cost'!$B$27+'Incremental_Cost Year 2'!AH104*'1. Standard_Cost'!$C$27+'Incremental_Cost Year 2'!AI104*'1. Standard_Cost'!$D$27+'Incremental_Cost Year 2'!AJ104+'Incremental_Cost Year 2'!AL104+AK104</f>
        <v>0</v>
      </c>
      <c r="AN104" s="108">
        <f>AM104*'1. Standard_Cost'!$C$31</f>
        <v>0</v>
      </c>
      <c r="AO104" s="125" t="s">
        <v>342</v>
      </c>
      <c r="AQ104" s="14">
        <f t="shared" si="107"/>
        <v>0</v>
      </c>
      <c r="AR104" s="14">
        <f t="shared" si="108"/>
        <v>5000000</v>
      </c>
      <c r="AS104" s="14">
        <f t="shared" si="109"/>
        <v>0</v>
      </c>
      <c r="AT104" s="14">
        <f t="shared" si="111"/>
        <v>5000000</v>
      </c>
      <c r="AU104" s="15">
        <v>5000000</v>
      </c>
      <c r="AV104" s="15"/>
      <c r="AW104" s="15"/>
      <c r="AX104" s="15"/>
      <c r="AY104" s="15"/>
      <c r="AZ104" s="15"/>
      <c r="BA104" s="15"/>
      <c r="BB104" s="16">
        <f t="shared" si="110"/>
        <v>0</v>
      </c>
      <c r="BF104" s="295"/>
    </row>
    <row r="105" spans="1:58" ht="46.8" outlineLevel="2">
      <c r="A105" s="98"/>
      <c r="B105" s="102"/>
      <c r="C105" s="23"/>
      <c r="D105" s="269"/>
      <c r="E105" s="26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6"/>
        <v>0</v>
      </c>
      <c r="AG105" s="107"/>
      <c r="AH105" s="107"/>
      <c r="AI105" s="107"/>
      <c r="AJ105" s="111"/>
      <c r="AK105" s="111"/>
      <c r="AL105" s="111"/>
      <c r="AM105" s="108">
        <f>AG105*'1. Standard_Cost'!$B$27+'Incremental_Cost Year 2'!AH105*'1. Standard_Cost'!$C$27+'Incremental_Cost Year 2'!AI105*'1. Standard_Cost'!$D$27+'Incremental_Cost Year 2'!AJ105+'Incremental_Cost Year 2'!AL105+AK105</f>
        <v>0</v>
      </c>
      <c r="AN105" s="108">
        <f>AM105*'1. Standard_Cost'!$C$31</f>
        <v>0</v>
      </c>
      <c r="AO105" s="125" t="s">
        <v>343</v>
      </c>
      <c r="AQ105" s="14">
        <f t="shared" si="107"/>
        <v>0</v>
      </c>
      <c r="AR105" s="14">
        <f t="shared" si="108"/>
        <v>0</v>
      </c>
      <c r="AS105" s="14">
        <f t="shared" si="109"/>
        <v>0</v>
      </c>
      <c r="AT105" s="14">
        <f t="shared" si="111"/>
        <v>0</v>
      </c>
      <c r="AU105" s="15"/>
      <c r="AV105" s="15"/>
      <c r="AW105" s="15"/>
      <c r="AX105" s="15"/>
      <c r="AY105" s="15"/>
      <c r="AZ105" s="15"/>
      <c r="BA105" s="15"/>
      <c r="BB105" s="16">
        <f t="shared" si="110"/>
        <v>0</v>
      </c>
      <c r="BF105" s="295"/>
    </row>
    <row r="106" spans="1:58" ht="62.4" outlineLevel="2">
      <c r="A106" s="98"/>
      <c r="B106" s="102"/>
      <c r="C106" s="23"/>
      <c r="D106" s="269"/>
      <c r="E106" s="269"/>
      <c r="F106" s="174"/>
      <c r="G106" s="26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6"/>
        <v>0</v>
      </c>
      <c r="AG106" s="107"/>
      <c r="AH106" s="107"/>
      <c r="AI106" s="107"/>
      <c r="AJ106" s="111"/>
      <c r="AK106" s="111"/>
      <c r="AL106" s="111"/>
      <c r="AM106" s="108">
        <f>AG106*'1. Standard_Cost'!$B$27+'Incremental_Cost Year 2'!AH106*'1. Standard_Cost'!$C$27+'Incremental_Cost Year 2'!AI106*'1. Standard_Cost'!$D$27+'Incremental_Cost Year 2'!AJ106+'Incremental_Cost Year 2'!AL106+AK106</f>
        <v>0</v>
      </c>
      <c r="AN106" s="108">
        <f>AM106*'1. Standard_Cost'!$C$31</f>
        <v>0</v>
      </c>
      <c r="AO106" s="125" t="s">
        <v>344</v>
      </c>
      <c r="AQ106" s="14">
        <f t="shared" si="107"/>
        <v>0</v>
      </c>
      <c r="AR106" s="14">
        <f t="shared" si="108"/>
        <v>0</v>
      </c>
      <c r="AS106" s="14">
        <f t="shared" si="109"/>
        <v>0</v>
      </c>
      <c r="AT106" s="14">
        <f t="shared" si="111"/>
        <v>0</v>
      </c>
      <c r="AU106" s="15"/>
      <c r="AV106" s="15"/>
      <c r="AW106" s="15"/>
      <c r="AX106" s="15"/>
      <c r="AY106" s="15"/>
      <c r="AZ106" s="15"/>
      <c r="BA106" s="15"/>
      <c r="BB106" s="16">
        <f t="shared" si="110"/>
        <v>0</v>
      </c>
      <c r="BF106" s="295"/>
    </row>
    <row r="107" spans="1:58" ht="187.2" outlineLevel="2">
      <c r="A107" s="98"/>
      <c r="B107" s="102"/>
      <c r="C107" s="23"/>
      <c r="D107" s="269"/>
      <c r="E107" s="269"/>
      <c r="F107" s="269"/>
      <c r="G107" s="269"/>
      <c r="H107" s="302" t="s">
        <v>455</v>
      </c>
      <c r="I107" s="104" t="s">
        <v>5</v>
      </c>
      <c r="J107" s="105">
        <v>2</v>
      </c>
      <c r="K107" s="105">
        <v>2</v>
      </c>
      <c r="L107" s="106">
        <f>IF(I107&lt;&gt;0,((VLOOKUP(I107,'1. Standard_Cost'!$B$4:$D$11,2)+VLOOKUP(I107,'1. Standard_Cost'!$B$4:$D$11,3))*J107*K107),"0")</f>
        <v>282800</v>
      </c>
      <c r="M107" s="106">
        <f>L107*'1. Standard_Cost'!$F$4</f>
        <v>47227.600000000006</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v>10</v>
      </c>
      <c r="AB107" s="108">
        <f>+Z107*'1. Standard_Cost'!$B$23+AA107*'1. Standard_Cost'!$C$23</f>
        <v>190000</v>
      </c>
      <c r="AC107" s="109">
        <v>6000</v>
      </c>
      <c r="AD107" s="110"/>
      <c r="AE107" s="108">
        <f>SUM(AD107,AC107,AB107,Y107,U107,T107,S107,R107)*'1. Standard_Cost'!$B$31</f>
        <v>39200</v>
      </c>
      <c r="AF107" s="108">
        <f t="shared" si="106"/>
        <v>235200</v>
      </c>
      <c r="AG107" s="107"/>
      <c r="AH107" s="107"/>
      <c r="AI107" s="107"/>
      <c r="AJ107" s="111"/>
      <c r="AK107" s="111"/>
      <c r="AL107" s="111"/>
      <c r="AM107" s="108">
        <f>AG107*'1. Standard_Cost'!$B$27+'Incremental_Cost Year 2'!AH107*'1. Standard_Cost'!$C$27+'Incremental_Cost Year 2'!AI107*'1. Standard_Cost'!$D$27+'Incremental_Cost Year 2'!AJ107+'Incremental_Cost Year 2'!AL107+AK107</f>
        <v>0</v>
      </c>
      <c r="AN107" s="108">
        <f>AM107*'1. Standard_Cost'!$C$31</f>
        <v>0</v>
      </c>
      <c r="AO107" s="125" t="s">
        <v>345</v>
      </c>
      <c r="AQ107" s="14">
        <f t="shared" si="107"/>
        <v>330027.59999999998</v>
      </c>
      <c r="AR107" s="14">
        <f t="shared" si="108"/>
        <v>235200</v>
      </c>
      <c r="AS107" s="14">
        <f t="shared" si="109"/>
        <v>0</v>
      </c>
      <c r="AT107" s="14">
        <f t="shared" si="111"/>
        <v>565227.6</v>
      </c>
      <c r="AU107" s="15">
        <v>330027.59999999998</v>
      </c>
      <c r="AV107" s="15"/>
      <c r="AW107" s="15"/>
      <c r="AX107" s="15"/>
      <c r="AY107" s="15"/>
      <c r="AZ107" s="15"/>
      <c r="BA107" s="15"/>
      <c r="BB107" s="16">
        <f t="shared" si="110"/>
        <v>-235200</v>
      </c>
      <c r="BF107" s="295"/>
    </row>
    <row r="108" spans="1:58" ht="93.6" outlineLevel="2">
      <c r="A108" s="98"/>
      <c r="B108" s="102"/>
      <c r="C108" s="23"/>
      <c r="D108" s="269"/>
      <c r="E108" s="269"/>
      <c r="F108" s="269"/>
      <c r="G108" s="269"/>
      <c r="H108" s="302" t="s">
        <v>456</v>
      </c>
      <c r="I108" s="104" t="s">
        <v>5</v>
      </c>
      <c r="J108" s="105">
        <v>0.1</v>
      </c>
      <c r="K108" s="105">
        <v>1</v>
      </c>
      <c r="L108" s="106">
        <f>IF(I108&lt;&gt;0,((VLOOKUP(I108,'1. Standard_Cost'!$B$4:$D$11,2)+VLOOKUP(I108,'1. Standard_Cost'!$B$4:$D$11,3))*J108*K108),"0")</f>
        <v>7070</v>
      </c>
      <c r="M108" s="106">
        <f>L108*'1. Standard_Cost'!$F$4</f>
        <v>1180.69</v>
      </c>
      <c r="N108" s="107">
        <v>8</v>
      </c>
      <c r="O108" s="107">
        <v>1</v>
      </c>
      <c r="P108" s="107">
        <v>15</v>
      </c>
      <c r="Q108" s="107"/>
      <c r="R108" s="108">
        <f>'1. Standard_Cost'!$B$15*N108*P108</f>
        <v>240000</v>
      </c>
      <c r="S108" s="108">
        <f>N108*O108*P108*'1. Standard_Cost'!$C$15</f>
        <v>180000</v>
      </c>
      <c r="T108" s="108">
        <f>N108*P108*Q108*'1. Standard_Cost'!$D$15</f>
        <v>0</v>
      </c>
      <c r="U108" s="108">
        <v>0</v>
      </c>
      <c r="V108" s="107"/>
      <c r="W108" s="107"/>
      <c r="X108" s="107"/>
      <c r="Y108" s="108">
        <f>+V108*((X108*'1. Standard_Cost'!$B$19)+(W108*X108*'1. Standard_Cost'!$C$19))</f>
        <v>0</v>
      </c>
      <c r="Z108" s="107"/>
      <c r="AA108" s="107">
        <v>8</v>
      </c>
      <c r="AB108" s="108">
        <f>+Z108*'1. Standard_Cost'!$B$23+AA108*'1. Standard_Cost'!$C$23</f>
        <v>152000</v>
      </c>
      <c r="AC108" s="109">
        <v>24000</v>
      </c>
      <c r="AD108" s="110"/>
      <c r="AE108" s="108">
        <v>0</v>
      </c>
      <c r="AF108" s="108">
        <f t="shared" si="106"/>
        <v>596000</v>
      </c>
      <c r="AG108" s="107"/>
      <c r="AH108" s="107"/>
      <c r="AI108" s="107"/>
      <c r="AJ108" s="111"/>
      <c r="AK108" s="111"/>
      <c r="AL108" s="111"/>
      <c r="AM108" s="108">
        <f>AG108*'1. Standard_Cost'!$B$27+'Incremental_Cost Year 2'!AH108*'1. Standard_Cost'!$C$27+'Incremental_Cost Year 2'!AI108*'1. Standard_Cost'!$D$27+'Incremental_Cost Year 2'!AJ108+'Incremental_Cost Year 2'!AL108+AK108</f>
        <v>0</v>
      </c>
      <c r="AN108" s="108">
        <f>AM108*'1. Standard_Cost'!$C$31</f>
        <v>0</v>
      </c>
      <c r="AO108" s="125" t="s">
        <v>346</v>
      </c>
      <c r="AQ108" s="14">
        <f t="shared" si="107"/>
        <v>8250.69</v>
      </c>
      <c r="AR108" s="14">
        <f t="shared" si="108"/>
        <v>596000</v>
      </c>
      <c r="AS108" s="14">
        <f t="shared" si="109"/>
        <v>0</v>
      </c>
      <c r="AT108" s="14">
        <f t="shared" si="111"/>
        <v>604250.68999999994</v>
      </c>
      <c r="AU108" s="15">
        <v>8250.69</v>
      </c>
      <c r="AV108" s="15"/>
      <c r="AW108" s="15"/>
      <c r="AX108" s="15"/>
      <c r="AY108" s="15"/>
      <c r="AZ108" s="15"/>
      <c r="BA108" s="15"/>
      <c r="BB108" s="16">
        <f t="shared" si="110"/>
        <v>-596000</v>
      </c>
      <c r="BF108" s="295"/>
    </row>
    <row r="109" spans="1:58" ht="31.2" outlineLevel="2">
      <c r="A109" s="98"/>
      <c r="B109" s="102"/>
      <c r="C109" s="23"/>
      <c r="D109" s="269"/>
      <c r="E109" s="269"/>
      <c r="F109" s="26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6"/>
        <v>0</v>
      </c>
      <c r="AG109" s="107"/>
      <c r="AH109" s="107"/>
      <c r="AI109" s="107"/>
      <c r="AJ109" s="111"/>
      <c r="AK109" s="111"/>
      <c r="AL109" s="111"/>
      <c r="AM109" s="108">
        <f>AG109*'1. Standard_Cost'!$B$27+'Incremental_Cost Year 2'!AH109*'1. Standard_Cost'!$C$27+'Incremental_Cost Year 2'!AI109*'1. Standard_Cost'!$D$27+'Incremental_Cost Year 2'!AJ109+'Incremental_Cost Year 2'!AL109+AK109</f>
        <v>0</v>
      </c>
      <c r="AN109" s="108">
        <f>AM109*'1. Standard_Cost'!$C$31</f>
        <v>0</v>
      </c>
      <c r="AO109" s="125" t="s">
        <v>347</v>
      </c>
      <c r="AQ109" s="14">
        <f t="shared" si="107"/>
        <v>0</v>
      </c>
      <c r="AR109" s="14">
        <f t="shared" si="108"/>
        <v>0</v>
      </c>
      <c r="AS109" s="14">
        <f t="shared" si="109"/>
        <v>0</v>
      </c>
      <c r="AT109" s="14">
        <f t="shared" si="111"/>
        <v>0</v>
      </c>
      <c r="AU109" s="15"/>
      <c r="AV109" s="15"/>
      <c r="AW109" s="15"/>
      <c r="AX109" s="15"/>
      <c r="AY109" s="15"/>
      <c r="AZ109" s="15"/>
      <c r="BA109" s="15"/>
      <c r="BB109" s="16">
        <f t="shared" si="110"/>
        <v>0</v>
      </c>
      <c r="BF109" s="295"/>
    </row>
    <row r="110" spans="1:58" ht="171.6" outlineLevel="2">
      <c r="A110" s="98"/>
      <c r="B110" s="102"/>
      <c r="C110" s="23"/>
      <c r="D110" s="269"/>
      <c r="E110" s="269"/>
      <c r="F110" s="269"/>
      <c r="G110" s="174"/>
      <c r="H110" s="302" t="s">
        <v>457</v>
      </c>
      <c r="I110" s="104" t="s">
        <v>4</v>
      </c>
      <c r="J110" s="105">
        <v>1</v>
      </c>
      <c r="K110" s="105">
        <v>2</v>
      </c>
      <c r="L110" s="106">
        <f>IF(I110&lt;&gt;0,((VLOOKUP(I110,'1. Standard_Cost'!$B$4:$D$11,2)+VLOOKUP(I110,'1. Standard_Cost'!$B$4:$D$11,3))*J110*K110),"0")</f>
        <v>161500</v>
      </c>
      <c r="M110" s="106">
        <f>L110*'1. Standard_Cost'!$F$4</f>
        <v>26970.5</v>
      </c>
      <c r="N110" s="107">
        <v>10</v>
      </c>
      <c r="O110" s="107">
        <v>1</v>
      </c>
      <c r="P110" s="107">
        <v>15</v>
      </c>
      <c r="Q110" s="107"/>
      <c r="R110" s="108">
        <v>0</v>
      </c>
      <c r="S110" s="108">
        <v>0</v>
      </c>
      <c r="T110" s="108">
        <f>N110*P110*Q110*'1. Standard_Cost'!$D$15</f>
        <v>0</v>
      </c>
      <c r="U110" s="108">
        <v>0</v>
      </c>
      <c r="V110" s="107"/>
      <c r="W110" s="107"/>
      <c r="X110" s="107"/>
      <c r="Y110" s="108">
        <f>+V110*((X110*'1. Standard_Cost'!$B$19)+(W110*X110*'1. Standard_Cost'!$C$19))</f>
        <v>0</v>
      </c>
      <c r="Z110" s="107"/>
      <c r="AA110" s="107">
        <v>24</v>
      </c>
      <c r="AB110" s="108">
        <f>+Z110*'1. Standard_Cost'!$B$23+AA110*'1. Standard_Cost'!$C$23</f>
        <v>456000</v>
      </c>
      <c r="AC110" s="109">
        <v>562000</v>
      </c>
      <c r="AD110" s="110"/>
      <c r="AE110" s="108">
        <f>SUM(AD110,AC110,AB110,Y110,U110,T110,S110,R110)*'1. Standard_Cost'!$B$31</f>
        <v>203600</v>
      </c>
      <c r="AF110" s="108">
        <f t="shared" si="106"/>
        <v>1221600</v>
      </c>
      <c r="AG110" s="107"/>
      <c r="AH110" s="107"/>
      <c r="AI110" s="107"/>
      <c r="AJ110" s="111"/>
      <c r="AK110" s="111"/>
      <c r="AL110" s="111"/>
      <c r="AM110" s="108">
        <f>AG110*'1. Standard_Cost'!$B$27+'Incremental_Cost Year 2'!AH110*'1. Standard_Cost'!$C$27+'Incremental_Cost Year 2'!AI110*'1. Standard_Cost'!$D$27+'Incremental_Cost Year 2'!AJ110+'Incremental_Cost Year 2'!AL110+AK110</f>
        <v>0</v>
      </c>
      <c r="AN110" s="108">
        <f>AM110*'1. Standard_Cost'!$C$31</f>
        <v>0</v>
      </c>
      <c r="AO110" s="125" t="s">
        <v>348</v>
      </c>
      <c r="AQ110" s="14">
        <f t="shared" si="107"/>
        <v>188470.5</v>
      </c>
      <c r="AR110" s="14">
        <f t="shared" si="108"/>
        <v>1221600</v>
      </c>
      <c r="AS110" s="14">
        <f t="shared" si="109"/>
        <v>0</v>
      </c>
      <c r="AT110" s="14">
        <f t="shared" si="111"/>
        <v>1410070.5</v>
      </c>
      <c r="AU110" s="15">
        <v>188470.5</v>
      </c>
      <c r="AV110" s="15"/>
      <c r="AW110" s="15"/>
      <c r="AX110" s="15"/>
      <c r="AY110" s="15"/>
      <c r="AZ110" s="15">
        <v>1410070.5</v>
      </c>
      <c r="BA110" s="15"/>
      <c r="BB110" s="16">
        <f t="shared" si="110"/>
        <v>188470.5</v>
      </c>
      <c r="BF110" s="295"/>
    </row>
    <row r="111" spans="1:58" ht="202.8" outlineLevel="2">
      <c r="A111" s="98"/>
      <c r="B111" s="102"/>
      <c r="C111" s="23"/>
      <c r="D111" s="269"/>
      <c r="E111" s="269"/>
      <c r="F111" s="269"/>
      <c r="G111" s="174"/>
      <c r="H111" s="302" t="s">
        <v>458</v>
      </c>
      <c r="I111" s="104" t="s">
        <v>5</v>
      </c>
      <c r="J111" s="105">
        <v>2</v>
      </c>
      <c r="K111" s="105">
        <v>3</v>
      </c>
      <c r="L111" s="106">
        <f>IF(I111&lt;&gt;0,((VLOOKUP(I111,'1. Standard_Cost'!$B$4:$D$11,2)+VLOOKUP(I111,'1. Standard_Cost'!$B$4:$D$11,3))*J111*K111),"0")</f>
        <v>424200</v>
      </c>
      <c r="M111" s="106">
        <f>L111*'1. Standard_Cost'!$F$4</f>
        <v>70841.400000000009</v>
      </c>
      <c r="N111" s="107">
        <v>18</v>
      </c>
      <c r="O111" s="107">
        <v>2</v>
      </c>
      <c r="P111" s="107">
        <v>15</v>
      </c>
      <c r="Q111" s="107"/>
      <c r="R111" s="108">
        <v>0</v>
      </c>
      <c r="S111" s="108">
        <v>0</v>
      </c>
      <c r="T111" s="108">
        <f>N111*P111*Q111*'1. Standard_Cost'!$D$15</f>
        <v>0</v>
      </c>
      <c r="U111" s="108">
        <v>0</v>
      </c>
      <c r="V111" s="107"/>
      <c r="W111" s="107"/>
      <c r="X111" s="107"/>
      <c r="Y111" s="108">
        <f>+V111*((X111*'1. Standard_Cost'!$B$19)+(W111*X111*'1. Standard_Cost'!$C$19))</f>
        <v>0</v>
      </c>
      <c r="Z111" s="107"/>
      <c r="AA111" s="107">
        <v>58</v>
      </c>
      <c r="AB111" s="108">
        <f>+Z111*'1. Standard_Cost'!$B$23+AA111*'1. Standard_Cost'!$C$23</f>
        <v>1102000</v>
      </c>
      <c r="AC111" s="109">
        <v>2180000</v>
      </c>
      <c r="AD111" s="110"/>
      <c r="AE111" s="108">
        <f>SUM(AD111,AC111,AB111,Y111,U111,T111,S111,R111)*'1. Standard_Cost'!$B$31</f>
        <v>656400</v>
      </c>
      <c r="AF111" s="108">
        <f t="shared" si="106"/>
        <v>3938400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07"/>
        <v>495041.4</v>
      </c>
      <c r="AR111" s="14">
        <f t="shared" si="108"/>
        <v>3938400</v>
      </c>
      <c r="AS111" s="14">
        <f t="shared" si="109"/>
        <v>0</v>
      </c>
      <c r="AT111" s="14">
        <f t="shared" si="111"/>
        <v>4433441.4000000004</v>
      </c>
      <c r="AU111" s="15">
        <v>495041.4</v>
      </c>
      <c r="AV111" s="15"/>
      <c r="AW111" s="15"/>
      <c r="AX111" s="15"/>
      <c r="AY111" s="15"/>
      <c r="AZ111" s="15">
        <v>3938400.0000000005</v>
      </c>
      <c r="BA111" s="15"/>
      <c r="BB111" s="16">
        <f t="shared" si="110"/>
        <v>0</v>
      </c>
      <c r="BF111" s="295"/>
    </row>
    <row r="112" spans="1:58" ht="124.8" outlineLevel="2">
      <c r="A112" s="98"/>
      <c r="B112" s="102"/>
      <c r="C112" s="23"/>
      <c r="D112" s="269"/>
      <c r="E112" s="269"/>
      <c r="F112" s="251"/>
      <c r="G112" s="250"/>
      <c r="H112" s="302" t="s">
        <v>459</v>
      </c>
      <c r="I112" s="104" t="s">
        <v>4</v>
      </c>
      <c r="J112" s="105">
        <v>3</v>
      </c>
      <c r="K112" s="105">
        <v>3</v>
      </c>
      <c r="L112" s="106">
        <f>IF(I112&lt;&gt;0,((VLOOKUP(I112,'1. Standard_Cost'!$B$4:$D$11,2)+VLOOKUP(I112,'1. Standard_Cost'!$B$4:$D$11,3))*J112*K112),"0")</f>
        <v>726750</v>
      </c>
      <c r="M112" s="106">
        <f>L112*'1. Standard_Cost'!$F$4</f>
        <v>121367.25</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v>10</v>
      </c>
      <c r="AB112" s="108">
        <f>+Z112*'1. Standard_Cost'!$B$23+AA112*'1. Standard_Cost'!$C$23</f>
        <v>190000</v>
      </c>
      <c r="AC112" s="109">
        <v>9000</v>
      </c>
      <c r="AD112" s="110"/>
      <c r="AE112" s="108">
        <f>SUM(AD112,AC112,AB112,Y112,U112,T112,S112,R112)*'1. Standard_Cost'!$B$31</f>
        <v>39800</v>
      </c>
      <c r="AF112" s="108">
        <f t="shared" si="106"/>
        <v>238800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07"/>
        <v>848117.25</v>
      </c>
      <c r="AR112" s="14">
        <f t="shared" si="108"/>
        <v>238800</v>
      </c>
      <c r="AS112" s="14">
        <f t="shared" si="109"/>
        <v>0</v>
      </c>
      <c r="AT112" s="14">
        <f t="shared" si="111"/>
        <v>1086917.25</v>
      </c>
      <c r="AU112" s="15">
        <v>848117.25</v>
      </c>
      <c r="AV112" s="15"/>
      <c r="AW112" s="15"/>
      <c r="AX112" s="15"/>
      <c r="AY112" s="15"/>
      <c r="AZ112" s="15">
        <v>238800</v>
      </c>
      <c r="BA112" s="15"/>
      <c r="BB112" s="16">
        <f t="shared" si="110"/>
        <v>0</v>
      </c>
      <c r="BF112" s="295"/>
    </row>
    <row r="113" spans="1:58" ht="55.2" outlineLevel="1">
      <c r="A113" s="98"/>
      <c r="B113" s="102"/>
      <c r="C113" s="23"/>
      <c r="D113" s="31" t="s">
        <v>633</v>
      </c>
      <c r="E113" s="56" t="s">
        <v>223</v>
      </c>
      <c r="F113" s="253">
        <v>2021</v>
      </c>
      <c r="G113" s="254">
        <v>2026</v>
      </c>
      <c r="H113" s="277" t="s">
        <v>226</v>
      </c>
      <c r="I113" s="112"/>
      <c r="J113" s="112"/>
      <c r="K113" s="112"/>
      <c r="L113" s="113">
        <f>SUM(L102:L112)</f>
        <v>3055820</v>
      </c>
      <c r="M113" s="113">
        <f>SUM(M102:M112)</f>
        <v>510321.94</v>
      </c>
      <c r="N113" s="112"/>
      <c r="O113" s="112"/>
      <c r="P113" s="112"/>
      <c r="Q113" s="112"/>
      <c r="R113" s="113">
        <f>SUM(R102:R112)</f>
        <v>240000</v>
      </c>
      <c r="S113" s="113">
        <f>SUM(S102:S112)</f>
        <v>180000</v>
      </c>
      <c r="T113" s="113">
        <f>SUM(T102:T112)</f>
        <v>0</v>
      </c>
      <c r="U113" s="113">
        <f>SUM(U102:U112)</f>
        <v>0</v>
      </c>
      <c r="V113" s="112"/>
      <c r="W113" s="112"/>
      <c r="X113" s="112"/>
      <c r="Y113" s="113">
        <f>SUM(Y102:Y112)</f>
        <v>0</v>
      </c>
      <c r="Z113" s="112"/>
      <c r="AA113" s="112"/>
      <c r="AB113" s="113">
        <f>SUM(AB102:AB112)</f>
        <v>2185000</v>
      </c>
      <c r="AC113" s="113">
        <f>SUM(AC102:AC112)</f>
        <v>9281000</v>
      </c>
      <c r="AD113" s="113">
        <f>SUM(AD102:AD112)</f>
        <v>0</v>
      </c>
      <c r="AE113" s="113">
        <f>SUM(AE102:AE112)</f>
        <v>1258000</v>
      </c>
      <c r="AF113" s="113">
        <f>SUM(AF102:AF112)</f>
        <v>13144000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2">SUM(AQ102:AQ112)</f>
        <v>3566141.94</v>
      </c>
      <c r="AR113" s="113">
        <f t="shared" si="112"/>
        <v>13144000</v>
      </c>
      <c r="AS113" s="113">
        <f t="shared" si="112"/>
        <v>0</v>
      </c>
      <c r="AT113" s="113">
        <f t="shared" si="112"/>
        <v>16710141.939999999</v>
      </c>
      <c r="AU113" s="113">
        <f t="shared" si="112"/>
        <v>8566141.9400000013</v>
      </c>
      <c r="AV113" s="113">
        <f t="shared" si="112"/>
        <v>0</v>
      </c>
      <c r="AW113" s="113">
        <f t="shared" si="112"/>
        <v>0</v>
      </c>
      <c r="AX113" s="113">
        <f t="shared" si="112"/>
        <v>1000000</v>
      </c>
      <c r="AY113" s="113">
        <f t="shared" si="112"/>
        <v>0</v>
      </c>
      <c r="AZ113" s="113">
        <f t="shared" si="112"/>
        <v>6501270.5</v>
      </c>
      <c r="BA113" s="113">
        <f t="shared" si="112"/>
        <v>0</v>
      </c>
      <c r="BB113" s="113">
        <f t="shared" si="112"/>
        <v>-642729.5</v>
      </c>
      <c r="BF113" s="295"/>
    </row>
    <row r="114" spans="1:58" ht="62.4" outlineLevel="2">
      <c r="A114" s="98"/>
      <c r="B114" s="102"/>
      <c r="C114" s="23"/>
      <c r="D114" s="257"/>
      <c r="E114" s="257"/>
      <c r="F114" s="257"/>
      <c r="G114" s="257"/>
      <c r="H114" s="302" t="s">
        <v>460</v>
      </c>
      <c r="I114" s="258"/>
      <c r="J114" s="259"/>
      <c r="K114" s="259"/>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3">SUM(AE114,AD114,AC114,AB114,Y114,U114,T114,S114,R114)</f>
        <v>0</v>
      </c>
      <c r="AG114" s="107"/>
      <c r="AH114" s="107"/>
      <c r="AI114" s="107"/>
      <c r="AJ114" s="111"/>
      <c r="AK114" s="111"/>
      <c r="AL114" s="111"/>
      <c r="AM114" s="108">
        <f>AG114*'1. Standard_Cost'!$B$27+'Incremental_Cost Year 2'!AH114*'1. Standard_Cost'!$C$27+'Incremental_Cost Year 2'!AI114*'1. Standard_Cost'!$D$27+'Incremental_Cost Year 2'!AJ114+'Incremental_Cost Year 2'!AL114+AK114</f>
        <v>0</v>
      </c>
      <c r="AN114" s="108">
        <f>AM114*'1. Standard_Cost'!$C$31</f>
        <v>0</v>
      </c>
      <c r="AO114" s="125" t="s">
        <v>350</v>
      </c>
      <c r="AQ114" s="14">
        <f t="shared" ref="AQ114:AQ135" si="114">L114+M114</f>
        <v>0</v>
      </c>
      <c r="AR114" s="14">
        <f t="shared" ref="AR114:AR135" si="115">AF114</f>
        <v>0</v>
      </c>
      <c r="AS114" s="14">
        <f t="shared" ref="AS114:AS135" si="116">AM114+AN114</f>
        <v>0</v>
      </c>
      <c r="AT114" s="14">
        <f>SUM(AQ114,AR114,AS114)</f>
        <v>0</v>
      </c>
      <c r="AU114" s="15"/>
      <c r="AV114" s="15"/>
      <c r="AW114" s="15"/>
      <c r="AX114" s="234"/>
      <c r="AY114" s="297"/>
      <c r="AZ114" s="234"/>
      <c r="BA114" s="234"/>
      <c r="BB114" s="16">
        <f t="shared" ref="BB114:BB135" si="117">SUM(AU114:BA114)-AT114</f>
        <v>0</v>
      </c>
      <c r="BF114" s="295"/>
    </row>
    <row r="115" spans="1:58" ht="234" outlineLevel="2">
      <c r="A115" s="98"/>
      <c r="B115" s="102"/>
      <c r="C115" s="23"/>
      <c r="D115" s="269"/>
      <c r="E115" s="269"/>
      <c r="F115" s="269"/>
      <c r="G115" s="174"/>
      <c r="H115" s="302" t="s">
        <v>461</v>
      </c>
      <c r="I115" s="258" t="s">
        <v>4</v>
      </c>
      <c r="J115" s="259">
        <v>2</v>
      </c>
      <c r="K115" s="259">
        <v>1</v>
      </c>
      <c r="L115" s="106">
        <f>IF(I115&lt;&gt;0,((VLOOKUP(I115,'1. Standard_Cost'!$B$4:$D$11,2)+VLOOKUP(I115,'1. Standard_Cost'!$B$4:$D$11,3))*J115*K115),"0")</f>
        <v>161500</v>
      </c>
      <c r="M115" s="106">
        <f>L115*'1. Standard_Cost'!$F$4</f>
        <v>26970.5</v>
      </c>
      <c r="N115" s="107">
        <v>30</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32</v>
      </c>
      <c r="AB115" s="108">
        <f>+Z115*'1. Standard_Cost'!$B$23+AA115*'1. Standard_Cost'!$C$23</f>
        <v>608000</v>
      </c>
      <c r="AC115" s="109">
        <v>1800000</v>
      </c>
      <c r="AD115" s="110"/>
      <c r="AE115" s="108">
        <v>0</v>
      </c>
      <c r="AF115" s="108">
        <f t="shared" si="113"/>
        <v>2408000</v>
      </c>
      <c r="AG115" s="107"/>
      <c r="AH115" s="107"/>
      <c r="AI115" s="107"/>
      <c r="AJ115" s="111"/>
      <c r="AK115" s="111"/>
      <c r="AL115" s="111"/>
      <c r="AM115" s="108">
        <f>AG115*'1. Standard_Cost'!$B$27+'Incremental_Cost Year 2'!AH115*'1. Standard_Cost'!$C$27+'Incremental_Cost Year 2'!AI115*'1. Standard_Cost'!$D$27+'Incremental_Cost Year 2'!AJ115+'Incremental_Cost Year 2'!AL115+AK115</f>
        <v>0</v>
      </c>
      <c r="AN115" s="108">
        <f>AM115*'1. Standard_Cost'!$C$31</f>
        <v>0</v>
      </c>
      <c r="AO115" s="125" t="s">
        <v>349</v>
      </c>
      <c r="AQ115" s="14">
        <f t="shared" si="114"/>
        <v>188470.5</v>
      </c>
      <c r="AR115" s="14">
        <f t="shared" si="115"/>
        <v>2408000</v>
      </c>
      <c r="AS115" s="14">
        <f t="shared" si="116"/>
        <v>0</v>
      </c>
      <c r="AT115" s="14">
        <f t="shared" ref="AT115:AT135" si="118">SUM(AQ115,AR115,AS115)</f>
        <v>2596470.5</v>
      </c>
      <c r="AU115" s="15">
        <v>188470.5</v>
      </c>
      <c r="AV115" s="15"/>
      <c r="AW115" s="15"/>
      <c r="AX115" s="234">
        <v>1408000</v>
      </c>
      <c r="AY115" s="297"/>
      <c r="AZ115" s="234">
        <v>1000000</v>
      </c>
      <c r="BA115" s="234"/>
      <c r="BB115" s="16">
        <f t="shared" si="117"/>
        <v>0</v>
      </c>
      <c r="BF115" s="295"/>
    </row>
    <row r="116" spans="1:58" ht="156" outlineLevel="2">
      <c r="A116" s="98"/>
      <c r="B116" s="102"/>
      <c r="C116" s="23"/>
      <c r="D116" s="269"/>
      <c r="E116" s="269"/>
      <c r="F116" s="269"/>
      <c r="G116" s="269"/>
      <c r="H116" s="302" t="s">
        <v>462</v>
      </c>
      <c r="I116" s="258" t="s">
        <v>4</v>
      </c>
      <c r="J116" s="259">
        <v>2</v>
      </c>
      <c r="K116" s="259">
        <v>3</v>
      </c>
      <c r="L116" s="106">
        <f>IF(I116&lt;&gt;0,((VLOOKUP(I116,'1. Standard_Cost'!$B$4:$D$11,2)+VLOOKUP(I116,'1. Standard_Cost'!$B$4:$D$11,3))*J116*K116),"0")</f>
        <v>484500</v>
      </c>
      <c r="M116" s="106">
        <f>L116*'1. Standard_Cost'!$F$4</f>
        <v>80911.5</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v>15</v>
      </c>
      <c r="AB116" s="108">
        <f>+Z116*'1. Standard_Cost'!$B$23+AA116*'1. Standard_Cost'!$C$23</f>
        <v>285000</v>
      </c>
      <c r="AC116" s="109">
        <v>1200000</v>
      </c>
      <c r="AD116" s="110"/>
      <c r="AE116" s="108">
        <f>SUM(AD116,AC116,AB116,Y116,U116,T116,S116,R116)*'1. Standard_Cost'!$B$31</f>
        <v>297000</v>
      </c>
      <c r="AF116" s="108">
        <f t="shared" si="113"/>
        <v>1782000</v>
      </c>
      <c r="AG116" s="107"/>
      <c r="AH116" s="107"/>
      <c r="AI116" s="107"/>
      <c r="AJ116" s="111"/>
      <c r="AK116" s="111"/>
      <c r="AL116" s="111"/>
      <c r="AM116" s="108">
        <f>AG116*'1. Standard_Cost'!$B$27+'Incremental_Cost Year 2'!AH116*'1. Standard_Cost'!$C$27+'Incremental_Cost Year 2'!AI116*'1. Standard_Cost'!$D$27+'Incremental_Cost Year 2'!AJ116+'Incremental_Cost Year 2'!AL116+AK116</f>
        <v>0</v>
      </c>
      <c r="AN116" s="108">
        <f>AM116*'1. Standard_Cost'!$C$31</f>
        <v>0</v>
      </c>
      <c r="AO116" s="125" t="s">
        <v>351</v>
      </c>
      <c r="AQ116" s="14">
        <f t="shared" si="114"/>
        <v>565411.5</v>
      </c>
      <c r="AR116" s="14">
        <f t="shared" si="115"/>
        <v>1782000</v>
      </c>
      <c r="AS116" s="14">
        <f t="shared" si="116"/>
        <v>0</v>
      </c>
      <c r="AT116" s="14">
        <f t="shared" si="118"/>
        <v>2347411.5</v>
      </c>
      <c r="AU116" s="15">
        <v>565411.5</v>
      </c>
      <c r="AV116" s="15"/>
      <c r="AW116" s="15"/>
      <c r="AX116" s="234">
        <v>1782000</v>
      </c>
      <c r="AY116" s="297"/>
      <c r="AZ116" s="234"/>
      <c r="BA116" s="234"/>
      <c r="BB116" s="16">
        <f t="shared" si="117"/>
        <v>0</v>
      </c>
      <c r="BF116" s="295"/>
    </row>
    <row r="117" spans="1:58" ht="31.2" outlineLevel="2">
      <c r="A117" s="98"/>
      <c r="B117" s="102"/>
      <c r="C117" s="23"/>
      <c r="D117" s="269"/>
      <c r="E117" s="269"/>
      <c r="F117" s="269"/>
      <c r="G117" s="269"/>
      <c r="H117" s="302" t="s">
        <v>463</v>
      </c>
      <c r="I117" s="258"/>
      <c r="J117" s="259"/>
      <c r="K117" s="259"/>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3"/>
        <v>0</v>
      </c>
      <c r="AG117" s="107"/>
      <c r="AH117" s="107"/>
      <c r="AI117" s="107"/>
      <c r="AJ117" s="111"/>
      <c r="AK117" s="111"/>
      <c r="AL117" s="111"/>
      <c r="AM117" s="108">
        <f>AG117*'1. Standard_Cost'!$B$27+'Incremental_Cost Year 2'!AH117*'1. Standard_Cost'!$C$27+'Incremental_Cost Year 2'!AI117*'1. Standard_Cost'!$D$27+'Incremental_Cost Year 2'!AJ117+'Incremental_Cost Year 2'!AL117+AK117</f>
        <v>0</v>
      </c>
      <c r="AN117" s="108">
        <f>AM117*'1. Standard_Cost'!$C$31</f>
        <v>0</v>
      </c>
      <c r="AO117" s="125" t="s">
        <v>349</v>
      </c>
      <c r="AQ117" s="14">
        <f t="shared" si="114"/>
        <v>0</v>
      </c>
      <c r="AR117" s="14">
        <f t="shared" si="115"/>
        <v>0</v>
      </c>
      <c r="AS117" s="14">
        <f t="shared" si="116"/>
        <v>0</v>
      </c>
      <c r="AT117" s="14">
        <f t="shared" si="118"/>
        <v>0</v>
      </c>
      <c r="AU117" s="15"/>
      <c r="AV117" s="15"/>
      <c r="AW117" s="15"/>
      <c r="AX117" s="234"/>
      <c r="AY117" s="297"/>
      <c r="AZ117" s="234"/>
      <c r="BA117" s="234"/>
      <c r="BB117" s="16">
        <f t="shared" si="117"/>
        <v>0</v>
      </c>
      <c r="BF117" s="295"/>
    </row>
    <row r="118" spans="1:58" ht="62.4" outlineLevel="2">
      <c r="A118" s="98"/>
      <c r="B118" s="102"/>
      <c r="C118" s="23"/>
      <c r="D118" s="269"/>
      <c r="E118" s="269"/>
      <c r="F118" s="269"/>
      <c r="G118" s="269"/>
      <c r="H118" s="302" t="s">
        <v>464</v>
      </c>
      <c r="I118" s="258"/>
      <c r="J118" s="259"/>
      <c r="K118" s="259"/>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3"/>
        <v>0</v>
      </c>
      <c r="AG118" s="107"/>
      <c r="AH118" s="107"/>
      <c r="AI118" s="107"/>
      <c r="AJ118" s="111"/>
      <c r="AK118" s="111"/>
      <c r="AL118" s="111"/>
      <c r="AM118" s="108">
        <f>AG118*'1. Standard_Cost'!$B$27+'Incremental_Cost Year 2'!AH118*'1. Standard_Cost'!$C$27+'Incremental_Cost Year 2'!AI118*'1. Standard_Cost'!$D$27+'Incremental_Cost Year 2'!AJ118+'Incremental_Cost Year 2'!AL118+AK118</f>
        <v>0</v>
      </c>
      <c r="AN118" s="108">
        <f>AM118*'1. Standard_Cost'!$C$31</f>
        <v>0</v>
      </c>
      <c r="AO118" s="125" t="s">
        <v>352</v>
      </c>
      <c r="AQ118" s="14">
        <f t="shared" si="114"/>
        <v>0</v>
      </c>
      <c r="AR118" s="14">
        <f t="shared" si="115"/>
        <v>0</v>
      </c>
      <c r="AS118" s="14">
        <f t="shared" si="116"/>
        <v>0</v>
      </c>
      <c r="AT118" s="14">
        <f t="shared" si="118"/>
        <v>0</v>
      </c>
      <c r="AU118" s="15"/>
      <c r="AV118" s="15"/>
      <c r="AW118" s="15"/>
      <c r="AX118" s="234"/>
      <c r="AY118" s="297"/>
      <c r="AZ118" s="234"/>
      <c r="BA118" s="234"/>
      <c r="BB118" s="16">
        <f t="shared" si="117"/>
        <v>0</v>
      </c>
      <c r="BF118" s="295"/>
    </row>
    <row r="119" spans="1:58" ht="62.4" outlineLevel="2">
      <c r="A119" s="98"/>
      <c r="B119" s="102"/>
      <c r="C119" s="23"/>
      <c r="D119" s="269"/>
      <c r="E119" s="269"/>
      <c r="F119" s="269"/>
      <c r="G119" s="269"/>
      <c r="H119" s="302" t="s">
        <v>465</v>
      </c>
      <c r="I119" s="258"/>
      <c r="J119" s="259"/>
      <c r="K119" s="259"/>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v>10500000</v>
      </c>
      <c r="AD119" s="110"/>
      <c r="AE119" s="108">
        <v>0</v>
      </c>
      <c r="AF119" s="108">
        <f t="shared" si="113"/>
        <v>10500000</v>
      </c>
      <c r="AG119" s="107"/>
      <c r="AH119" s="107"/>
      <c r="AI119" s="107"/>
      <c r="AJ119" s="111"/>
      <c r="AK119" s="111"/>
      <c r="AL119" s="111"/>
      <c r="AM119" s="108">
        <f>AG119*'1. Standard_Cost'!$B$27+'Incremental_Cost Year 2'!AH119*'1. Standard_Cost'!$C$27+'Incremental_Cost Year 2'!AI119*'1. Standard_Cost'!$D$27+'Incremental_Cost Year 2'!AJ119+'Incremental_Cost Year 2'!AL119+AK119</f>
        <v>0</v>
      </c>
      <c r="AN119" s="108">
        <f>AM119*'1. Standard_Cost'!$C$31</f>
        <v>0</v>
      </c>
      <c r="AO119" s="125" t="s">
        <v>353</v>
      </c>
      <c r="AQ119" s="14">
        <f t="shared" si="114"/>
        <v>0</v>
      </c>
      <c r="AR119" s="14">
        <f t="shared" si="115"/>
        <v>10500000</v>
      </c>
      <c r="AS119" s="14">
        <f t="shared" si="116"/>
        <v>0</v>
      </c>
      <c r="AT119" s="14">
        <f t="shared" si="118"/>
        <v>10500000</v>
      </c>
      <c r="AU119" s="15"/>
      <c r="AV119" s="15"/>
      <c r="AW119" s="15"/>
      <c r="AX119" s="234"/>
      <c r="AY119" s="297"/>
      <c r="AZ119" s="234">
        <v>10500000</v>
      </c>
      <c r="BA119" s="234"/>
      <c r="BB119" s="16">
        <f t="shared" si="117"/>
        <v>0</v>
      </c>
      <c r="BF119" s="295"/>
    </row>
    <row r="120" spans="1:58" ht="31.2" outlineLevel="2">
      <c r="A120" s="98"/>
      <c r="B120" s="102"/>
      <c r="C120" s="23"/>
      <c r="D120" s="269"/>
      <c r="E120" s="269"/>
      <c r="F120" s="269"/>
      <c r="G120" s="269"/>
      <c r="H120" s="302" t="s">
        <v>466</v>
      </c>
      <c r="I120" s="258"/>
      <c r="J120" s="259"/>
      <c r="K120" s="259"/>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3"/>
        <v>0</v>
      </c>
      <c r="AG120" s="107"/>
      <c r="AH120" s="107"/>
      <c r="AI120" s="107"/>
      <c r="AJ120" s="111"/>
      <c r="AK120" s="111"/>
      <c r="AL120" s="111"/>
      <c r="AM120" s="108">
        <f>AG120*'1. Standard_Cost'!$B$27+'Incremental_Cost Year 2'!AH120*'1. Standard_Cost'!$C$27+'Incremental_Cost Year 2'!AI120*'1. Standard_Cost'!$D$27+'Incremental_Cost Year 2'!AJ120+'Incremental_Cost Year 2'!AL120+AK120</f>
        <v>0</v>
      </c>
      <c r="AN120" s="108">
        <f>AM120*'1. Standard_Cost'!$C$31</f>
        <v>0</v>
      </c>
      <c r="AO120" s="125" t="s">
        <v>354</v>
      </c>
      <c r="AQ120" s="14">
        <f t="shared" si="114"/>
        <v>0</v>
      </c>
      <c r="AR120" s="14">
        <f t="shared" si="115"/>
        <v>0</v>
      </c>
      <c r="AS120" s="14">
        <f t="shared" si="116"/>
        <v>0</v>
      </c>
      <c r="AT120" s="14">
        <f t="shared" si="118"/>
        <v>0</v>
      </c>
      <c r="AU120" s="15"/>
      <c r="AV120" s="15"/>
      <c r="AW120" s="15"/>
      <c r="AX120" s="234"/>
      <c r="AY120" s="297"/>
      <c r="AZ120" s="234"/>
      <c r="BA120" s="234"/>
      <c r="BB120" s="16">
        <f t="shared" si="117"/>
        <v>0</v>
      </c>
      <c r="BF120" s="295"/>
    </row>
    <row r="121" spans="1:58" ht="78" outlineLevel="2">
      <c r="A121" s="98"/>
      <c r="B121" s="102"/>
      <c r="C121" s="23"/>
      <c r="D121" s="269"/>
      <c r="E121" s="269"/>
      <c r="F121" s="174"/>
      <c r="G121" s="174"/>
      <c r="H121" s="302" t="s">
        <v>467</v>
      </c>
      <c r="I121" s="258"/>
      <c r="J121" s="259"/>
      <c r="K121" s="259"/>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v>600000</v>
      </c>
      <c r="AD121" s="110"/>
      <c r="AE121" s="108">
        <v>0</v>
      </c>
      <c r="AF121" s="108">
        <f t="shared" si="113"/>
        <v>600000</v>
      </c>
      <c r="AG121" s="107"/>
      <c r="AH121" s="107"/>
      <c r="AI121" s="107"/>
      <c r="AJ121" s="111"/>
      <c r="AK121" s="111"/>
      <c r="AL121" s="111"/>
      <c r="AM121" s="108">
        <f>AG121*'1. Standard_Cost'!$B$27+'Incremental_Cost Year 2'!AH121*'1. Standard_Cost'!$C$27+'Incremental_Cost Year 2'!AI121*'1. Standard_Cost'!$D$27+'Incremental_Cost Year 2'!AJ121+'Incremental_Cost Year 2'!AL121+AK121</f>
        <v>0</v>
      </c>
      <c r="AN121" s="108">
        <f>AM121*'1. Standard_Cost'!$C$31</f>
        <v>0</v>
      </c>
      <c r="AO121" s="125" t="s">
        <v>335</v>
      </c>
      <c r="AQ121" s="14">
        <f t="shared" si="114"/>
        <v>0</v>
      </c>
      <c r="AR121" s="14">
        <f t="shared" si="115"/>
        <v>600000</v>
      </c>
      <c r="AS121" s="14">
        <f t="shared" si="116"/>
        <v>0</v>
      </c>
      <c r="AT121" s="14">
        <f t="shared" si="118"/>
        <v>600000</v>
      </c>
      <c r="AU121" s="15"/>
      <c r="AV121" s="15"/>
      <c r="AW121" s="15"/>
      <c r="AX121" s="234"/>
      <c r="AY121" s="297"/>
      <c r="AZ121" s="234">
        <v>600000</v>
      </c>
      <c r="BA121" s="234"/>
      <c r="BB121" s="16">
        <f t="shared" si="117"/>
        <v>0</v>
      </c>
      <c r="BF121" s="295"/>
    </row>
    <row r="122" spans="1:58" ht="62.4" outlineLevel="2">
      <c r="A122" s="98"/>
      <c r="B122" s="102"/>
      <c r="C122" s="23"/>
      <c r="D122" s="269"/>
      <c r="E122" s="269"/>
      <c r="F122" s="269"/>
      <c r="G122" s="269"/>
      <c r="H122" s="302" t="s">
        <v>468</v>
      </c>
      <c r="I122" s="258"/>
      <c r="J122" s="259"/>
      <c r="K122" s="259"/>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3"/>
        <v>0</v>
      </c>
      <c r="AG122" s="107"/>
      <c r="AH122" s="107"/>
      <c r="AI122" s="107"/>
      <c r="AJ122" s="111"/>
      <c r="AK122" s="111"/>
      <c r="AL122" s="111"/>
      <c r="AM122" s="108">
        <f>AG122*'1. Standard_Cost'!$B$27+'Incremental_Cost Year 2'!AH122*'1. Standard_Cost'!$C$27+'Incremental_Cost Year 2'!AI122*'1. Standard_Cost'!$D$27+'Incremental_Cost Year 2'!AJ122+'Incremental_Cost Year 2'!AL122+AK122</f>
        <v>0</v>
      </c>
      <c r="AN122" s="108">
        <f>AM122*'1. Standard_Cost'!$C$31</f>
        <v>0</v>
      </c>
      <c r="AO122" s="125" t="s">
        <v>355</v>
      </c>
      <c r="AQ122" s="14">
        <f t="shared" si="114"/>
        <v>0</v>
      </c>
      <c r="AR122" s="14">
        <f t="shared" si="115"/>
        <v>0</v>
      </c>
      <c r="AS122" s="14">
        <f t="shared" si="116"/>
        <v>0</v>
      </c>
      <c r="AT122" s="14">
        <f t="shared" si="118"/>
        <v>0</v>
      </c>
      <c r="AU122" s="15"/>
      <c r="AV122" s="15"/>
      <c r="AW122" s="15"/>
      <c r="AX122" s="234"/>
      <c r="AY122" s="297"/>
      <c r="AZ122" s="234"/>
      <c r="BA122" s="234"/>
      <c r="BB122" s="16">
        <f t="shared" si="117"/>
        <v>0</v>
      </c>
      <c r="BF122" s="295"/>
    </row>
    <row r="123" spans="1:58" ht="31.2" outlineLevel="2">
      <c r="A123" s="98"/>
      <c r="B123" s="102"/>
      <c r="C123" s="23"/>
      <c r="D123" s="269"/>
      <c r="E123" s="269"/>
      <c r="F123" s="269"/>
      <c r="G123" s="174"/>
      <c r="H123" s="302" t="s">
        <v>229</v>
      </c>
      <c r="I123" s="258"/>
      <c r="J123" s="259"/>
      <c r="K123" s="259"/>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3"/>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14"/>
        <v>0</v>
      </c>
      <c r="AR123" s="14">
        <f t="shared" si="115"/>
        <v>0</v>
      </c>
      <c r="AS123" s="14">
        <f t="shared" si="116"/>
        <v>0</v>
      </c>
      <c r="AT123" s="14">
        <f t="shared" si="118"/>
        <v>0</v>
      </c>
      <c r="AU123" s="15"/>
      <c r="AV123" s="15"/>
      <c r="AW123" s="15"/>
      <c r="AX123" s="234"/>
      <c r="AY123" s="297"/>
      <c r="AZ123" s="234"/>
      <c r="BA123" s="234"/>
      <c r="BB123" s="16">
        <f t="shared" si="117"/>
        <v>0</v>
      </c>
      <c r="BF123" s="295"/>
    </row>
    <row r="124" spans="1:58" ht="93.6" outlineLevel="2">
      <c r="A124" s="98"/>
      <c r="B124" s="102"/>
      <c r="C124" s="23"/>
      <c r="D124" s="269"/>
      <c r="E124" s="269"/>
      <c r="F124" s="251"/>
      <c r="G124" s="250"/>
      <c r="H124" s="302" t="s">
        <v>469</v>
      </c>
      <c r="I124" s="258"/>
      <c r="J124" s="259"/>
      <c r="K124" s="259"/>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v>8454000</v>
      </c>
      <c r="AD124" s="110"/>
      <c r="AE124" s="108">
        <v>0</v>
      </c>
      <c r="AF124" s="108">
        <f t="shared" si="113"/>
        <v>8454000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14"/>
        <v>0</v>
      </c>
      <c r="AR124" s="14">
        <f t="shared" si="115"/>
        <v>8454000</v>
      </c>
      <c r="AS124" s="14">
        <f t="shared" si="116"/>
        <v>0</v>
      </c>
      <c r="AT124" s="14">
        <f t="shared" si="118"/>
        <v>8454000</v>
      </c>
      <c r="AU124" s="15"/>
      <c r="AV124" s="15"/>
      <c r="AW124" s="15"/>
      <c r="AX124" s="234"/>
      <c r="AY124" s="297"/>
      <c r="AZ124" s="234">
        <v>8454000</v>
      </c>
      <c r="BA124" s="234"/>
      <c r="BB124" s="16">
        <f t="shared" si="117"/>
        <v>0</v>
      </c>
      <c r="BF124" s="295"/>
    </row>
    <row r="125" spans="1:58" ht="62.4" outlineLevel="2">
      <c r="A125" s="98"/>
      <c r="B125" s="102"/>
      <c r="C125" s="23"/>
      <c r="D125" s="269"/>
      <c r="E125" s="269"/>
      <c r="F125" s="269"/>
      <c r="G125" s="269"/>
      <c r="H125" s="302" t="s">
        <v>470</v>
      </c>
      <c r="I125" s="258"/>
      <c r="J125" s="259"/>
      <c r="K125" s="259"/>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3"/>
        <v>0</v>
      </c>
      <c r="AG125" s="107"/>
      <c r="AH125" s="107"/>
      <c r="AI125" s="107"/>
      <c r="AJ125" s="111"/>
      <c r="AK125" s="111"/>
      <c r="AL125" s="111"/>
      <c r="AM125" s="108">
        <f>AG125*'1. Standard_Cost'!$B$27+'Incremental_Cost Year 2'!AH125*'1. Standard_Cost'!$C$27+'Incremental_Cost Year 2'!AI125*'1. Standard_Cost'!$D$27+'Incremental_Cost Year 2'!AJ125+'Incremental_Cost Year 2'!AL125+AK125</f>
        <v>0</v>
      </c>
      <c r="AN125" s="108">
        <f>AM125*'1. Standard_Cost'!$C$31</f>
        <v>0</v>
      </c>
      <c r="AO125" s="125" t="s">
        <v>358</v>
      </c>
      <c r="AQ125" s="14">
        <f t="shared" si="114"/>
        <v>0</v>
      </c>
      <c r="AR125" s="14">
        <f t="shared" si="115"/>
        <v>0</v>
      </c>
      <c r="AS125" s="14">
        <f t="shared" si="116"/>
        <v>0</v>
      </c>
      <c r="AT125" s="14">
        <f t="shared" si="118"/>
        <v>0</v>
      </c>
      <c r="AU125" s="15"/>
      <c r="AV125" s="15"/>
      <c r="AW125" s="15"/>
      <c r="AX125" s="234"/>
      <c r="AY125" s="297"/>
      <c r="AZ125" s="234"/>
      <c r="BA125" s="234"/>
      <c r="BB125" s="16">
        <f t="shared" si="117"/>
        <v>0</v>
      </c>
      <c r="BF125" s="295"/>
    </row>
    <row r="126" spans="1:58" ht="62.4" outlineLevel="2">
      <c r="A126" s="98"/>
      <c r="B126" s="102"/>
      <c r="C126" s="23"/>
      <c r="D126" s="269"/>
      <c r="E126" s="269"/>
      <c r="F126" s="269"/>
      <c r="G126" s="269"/>
      <c r="H126" s="302" t="s">
        <v>471</v>
      </c>
      <c r="I126" s="258" t="s">
        <v>4</v>
      </c>
      <c r="J126" s="259">
        <v>4</v>
      </c>
      <c r="K126" s="259">
        <v>4</v>
      </c>
      <c r="L126" s="106">
        <f>IF(I126&lt;&gt;0,((VLOOKUP(I126,'1. Standard_Cost'!$B$4:$D$11,2)+VLOOKUP(I126,'1. Standard_Cost'!$B$4:$D$11,3))*J126*K126),"0")</f>
        <v>1292000</v>
      </c>
      <c r="M126" s="106">
        <f>L126*'1. Standard_Cost'!$F$4</f>
        <v>215764</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3"/>
        <v>0</v>
      </c>
      <c r="AG126" s="107"/>
      <c r="AH126" s="107"/>
      <c r="AI126" s="107"/>
      <c r="AJ126" s="111"/>
      <c r="AK126" s="111"/>
      <c r="AL126" s="111"/>
      <c r="AM126" s="108">
        <f>AG126*'1. Standard_Cost'!$B$27+'Incremental_Cost Year 2'!AH126*'1. Standard_Cost'!$C$27+'Incremental_Cost Year 2'!AI126*'1. Standard_Cost'!$D$27+'Incremental_Cost Year 2'!AJ126+'Incremental_Cost Year 2'!AL126+AK126</f>
        <v>0</v>
      </c>
      <c r="AN126" s="108">
        <f>AM126*'1. Standard_Cost'!$C$31</f>
        <v>0</v>
      </c>
      <c r="AO126" s="125" t="s">
        <v>359</v>
      </c>
      <c r="AQ126" s="14">
        <f t="shared" si="114"/>
        <v>1507764</v>
      </c>
      <c r="AR126" s="14">
        <f t="shared" si="115"/>
        <v>0</v>
      </c>
      <c r="AS126" s="14">
        <f t="shared" si="116"/>
        <v>0</v>
      </c>
      <c r="AT126" s="14">
        <f t="shared" si="118"/>
        <v>1507764</v>
      </c>
      <c r="AU126" s="15">
        <v>1507764</v>
      </c>
      <c r="AV126" s="15"/>
      <c r="AW126" s="15"/>
      <c r="AX126" s="234"/>
      <c r="AY126" s="297"/>
      <c r="AZ126" s="234"/>
      <c r="BA126" s="234"/>
      <c r="BB126" s="16">
        <f t="shared" si="117"/>
        <v>0</v>
      </c>
      <c r="BF126" s="295"/>
    </row>
    <row r="127" spans="1:58" ht="46.8" outlineLevel="2">
      <c r="A127" s="98"/>
      <c r="B127" s="102"/>
      <c r="C127" s="23"/>
      <c r="D127" s="269"/>
      <c r="E127" s="269"/>
      <c r="F127" s="174"/>
      <c r="G127" s="269"/>
      <c r="H127" s="302" t="s">
        <v>472</v>
      </c>
      <c r="I127" s="258" t="s">
        <v>4</v>
      </c>
      <c r="J127" s="259">
        <v>3</v>
      </c>
      <c r="K127" s="259">
        <v>4</v>
      </c>
      <c r="L127" s="106">
        <f>IF(I127&lt;&gt;0,((VLOOKUP(I127,'1. Standard_Cost'!$B$4:$D$11,2)+VLOOKUP(I127,'1. Standard_Cost'!$B$4:$D$11,3))*J127*K127),"0")</f>
        <v>969000</v>
      </c>
      <c r="M127" s="106">
        <f>L127*'1. Standard_Cost'!$F$4</f>
        <v>161823</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3"/>
        <v>0</v>
      </c>
      <c r="AG127" s="107"/>
      <c r="AH127" s="107"/>
      <c r="AI127" s="107"/>
      <c r="AJ127" s="111"/>
      <c r="AK127" s="111"/>
      <c r="AL127" s="111"/>
      <c r="AM127" s="108">
        <f>AG127*'1. Standard_Cost'!$B$27+'Incremental_Cost Year 2'!AH127*'1. Standard_Cost'!$C$27+'Incremental_Cost Year 2'!AI127*'1. Standard_Cost'!$D$27+'Incremental_Cost Year 2'!AJ127+'Incremental_Cost Year 2'!AL127+AK127</f>
        <v>0</v>
      </c>
      <c r="AN127" s="108">
        <f>AM127*'1. Standard_Cost'!$C$31</f>
        <v>0</v>
      </c>
      <c r="AO127" s="125" t="s">
        <v>349</v>
      </c>
      <c r="AQ127" s="14">
        <f t="shared" si="114"/>
        <v>1130823</v>
      </c>
      <c r="AR127" s="14">
        <f t="shared" si="115"/>
        <v>0</v>
      </c>
      <c r="AS127" s="14">
        <f t="shared" si="116"/>
        <v>0</v>
      </c>
      <c r="AT127" s="14">
        <f t="shared" si="118"/>
        <v>1130823</v>
      </c>
      <c r="AU127" s="15"/>
      <c r="AV127" s="15"/>
      <c r="AW127" s="15"/>
      <c r="AX127" s="234"/>
      <c r="AY127" s="297"/>
      <c r="AZ127" s="234"/>
      <c r="BA127" s="234"/>
      <c r="BB127" s="16">
        <f t="shared" si="117"/>
        <v>-1130823</v>
      </c>
      <c r="BF127" s="295"/>
    </row>
    <row r="128" spans="1:58" ht="46.8" outlineLevel="2">
      <c r="A128" s="98"/>
      <c r="B128" s="102"/>
      <c r="C128" s="23"/>
      <c r="D128" s="269"/>
      <c r="E128" s="269"/>
      <c r="F128" s="174"/>
      <c r="G128" s="174"/>
      <c r="H128" s="302" t="s">
        <v>473</v>
      </c>
      <c r="I128" s="258" t="s">
        <v>4</v>
      </c>
      <c r="J128" s="259">
        <v>2</v>
      </c>
      <c r="K128" s="259">
        <v>4</v>
      </c>
      <c r="L128" s="106">
        <f>IF(I128&lt;&gt;0,((VLOOKUP(I128,'1. Standard_Cost'!$B$4:$D$11,2)+VLOOKUP(I128,'1. Standard_Cost'!$B$4:$D$11,3))*J128*K128),"0")</f>
        <v>646000</v>
      </c>
      <c r="M128" s="106">
        <f>L128*'1. Standard_Cost'!$F$4</f>
        <v>107882</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3"/>
        <v>0</v>
      </c>
      <c r="AG128" s="107"/>
      <c r="AH128" s="107"/>
      <c r="AI128" s="107"/>
      <c r="AJ128" s="111"/>
      <c r="AK128" s="111"/>
      <c r="AL128" s="111"/>
      <c r="AM128" s="108">
        <f>AG128*'1. Standard_Cost'!$B$27+'Incremental_Cost Year 2'!AH128*'1. Standard_Cost'!$C$27+'Incremental_Cost Year 2'!AI128*'1. Standard_Cost'!$D$27+'Incremental_Cost Year 2'!AJ128+'Incremental_Cost Year 2'!AL128+AK128</f>
        <v>0</v>
      </c>
      <c r="AN128" s="108">
        <f>AM128*'1. Standard_Cost'!$C$31</f>
        <v>0</v>
      </c>
      <c r="AO128" s="125" t="s">
        <v>360</v>
      </c>
      <c r="AQ128" s="14">
        <f t="shared" si="114"/>
        <v>753882</v>
      </c>
      <c r="AR128" s="14">
        <f t="shared" si="115"/>
        <v>0</v>
      </c>
      <c r="AS128" s="14">
        <f t="shared" si="116"/>
        <v>0</v>
      </c>
      <c r="AT128" s="14">
        <f t="shared" si="118"/>
        <v>753882</v>
      </c>
      <c r="AU128" s="15"/>
      <c r="AV128" s="15"/>
      <c r="AW128" s="15"/>
      <c r="AX128" s="234"/>
      <c r="AY128" s="297"/>
      <c r="AZ128" s="234"/>
      <c r="BA128" s="234"/>
      <c r="BB128" s="16">
        <f t="shared" si="117"/>
        <v>-753882</v>
      </c>
      <c r="BF128" s="295"/>
    </row>
    <row r="129" spans="1:58" ht="78" outlineLevel="2">
      <c r="A129" s="98"/>
      <c r="B129" s="102"/>
      <c r="C129" s="23"/>
      <c r="D129" s="269"/>
      <c r="E129" s="269"/>
      <c r="F129" s="269"/>
      <c r="G129" s="269"/>
      <c r="H129" s="302" t="s">
        <v>474</v>
      </c>
      <c r="I129" s="258"/>
      <c r="J129" s="259"/>
      <c r="K129" s="259"/>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3"/>
        <v>0</v>
      </c>
      <c r="AG129" s="107"/>
      <c r="AH129" s="107"/>
      <c r="AI129" s="107"/>
      <c r="AJ129" s="111"/>
      <c r="AK129" s="111"/>
      <c r="AL129" s="111"/>
      <c r="AM129" s="108">
        <f>AG129*'1. Standard_Cost'!$B$27+'Incremental_Cost Year 2'!AH129*'1. Standard_Cost'!$C$27+'Incremental_Cost Year 2'!AI129*'1. Standard_Cost'!$D$27+'Incremental_Cost Year 2'!AJ129+'Incremental_Cost Year 2'!AL129+AK129</f>
        <v>0</v>
      </c>
      <c r="AN129" s="108">
        <f>AM129*'1. Standard_Cost'!$C$31</f>
        <v>0</v>
      </c>
      <c r="AO129" s="125" t="s">
        <v>361</v>
      </c>
      <c r="AQ129" s="14">
        <f t="shared" si="114"/>
        <v>0</v>
      </c>
      <c r="AR129" s="14">
        <f t="shared" si="115"/>
        <v>0</v>
      </c>
      <c r="AS129" s="14">
        <f t="shared" si="116"/>
        <v>0</v>
      </c>
      <c r="AT129" s="14">
        <f t="shared" si="118"/>
        <v>0</v>
      </c>
      <c r="AU129" s="15"/>
      <c r="AV129" s="15"/>
      <c r="AW129" s="15"/>
      <c r="AX129" s="234"/>
      <c r="AY129" s="297"/>
      <c r="AZ129" s="234"/>
      <c r="BA129" s="234"/>
      <c r="BB129" s="16">
        <f t="shared" si="117"/>
        <v>0</v>
      </c>
      <c r="BF129" s="295"/>
    </row>
    <row r="130" spans="1:58" ht="202.8" outlineLevel="2">
      <c r="A130" s="98"/>
      <c r="B130" s="102"/>
      <c r="C130" s="23"/>
      <c r="D130" s="269"/>
      <c r="E130" s="269"/>
      <c r="F130" s="174"/>
      <c r="G130" s="174"/>
      <c r="H130" s="302" t="s">
        <v>475</v>
      </c>
      <c r="I130" s="258" t="s">
        <v>4</v>
      </c>
      <c r="J130" s="259">
        <v>0.4</v>
      </c>
      <c r="K130" s="259">
        <v>2</v>
      </c>
      <c r="L130" s="106">
        <f>IF(I130&lt;&gt;0,((VLOOKUP(I130,'1. Standard_Cost'!$B$4:$D$11,2)+VLOOKUP(I130,'1. Standard_Cost'!$B$4:$D$11,3))*J130*K130),"0")</f>
        <v>64600</v>
      </c>
      <c r="M130" s="106">
        <f>L130*'1. Standard_Cost'!$F$4</f>
        <v>10788.2</v>
      </c>
      <c r="N130" s="107">
        <v>1</v>
      </c>
      <c r="O130" s="107">
        <v>3</v>
      </c>
      <c r="P130" s="107">
        <v>25</v>
      </c>
      <c r="Q130" s="107"/>
      <c r="R130" s="108">
        <v>0</v>
      </c>
      <c r="S130" s="108">
        <v>0</v>
      </c>
      <c r="T130" s="108">
        <f>N130*P130*Q130*'1. Standard_Cost'!$D$15</f>
        <v>0</v>
      </c>
      <c r="U130" s="108">
        <v>0</v>
      </c>
      <c r="V130" s="107"/>
      <c r="W130" s="107"/>
      <c r="X130" s="107"/>
      <c r="Y130" s="108">
        <f>+V130*((X130*'1. Standard_Cost'!$B$19)+(W130*X130*'1. Standard_Cost'!$C$19))</f>
        <v>0</v>
      </c>
      <c r="Z130" s="107"/>
      <c r="AA130" s="107">
        <v>7</v>
      </c>
      <c r="AB130" s="108">
        <f>+Z130*'1. Standard_Cost'!$B$23+AA130*'1. Standard_Cost'!$C$23</f>
        <v>133000</v>
      </c>
      <c r="AC130" s="109">
        <v>322500</v>
      </c>
      <c r="AD130" s="110"/>
      <c r="AE130" s="108">
        <f>SUM(AD130,AC130,AB130,Y130,U130,T130,S130,R130)*'1. Standard_Cost'!$B$31</f>
        <v>91100</v>
      </c>
      <c r="AF130" s="108">
        <f t="shared" si="113"/>
        <v>546600</v>
      </c>
      <c r="AG130" s="107"/>
      <c r="AH130" s="107"/>
      <c r="AI130" s="107"/>
      <c r="AJ130" s="111"/>
      <c r="AK130" s="111"/>
      <c r="AL130" s="111"/>
      <c r="AM130" s="108">
        <f>AG130*'1. Standard_Cost'!$B$27+'Incremental_Cost Year 2'!AH130*'1. Standard_Cost'!$C$27+'Incremental_Cost Year 2'!AI130*'1. Standard_Cost'!$D$27+'Incremental_Cost Year 2'!AJ130+'Incremental_Cost Year 2'!AL130+AK130</f>
        <v>0</v>
      </c>
      <c r="AN130" s="108">
        <f>AM130*'1. Standard_Cost'!$C$31</f>
        <v>0</v>
      </c>
      <c r="AO130" s="125" t="s">
        <v>362</v>
      </c>
      <c r="AQ130" s="14">
        <f t="shared" si="114"/>
        <v>75388.2</v>
      </c>
      <c r="AR130" s="14">
        <f t="shared" si="115"/>
        <v>546600</v>
      </c>
      <c r="AS130" s="14">
        <f t="shared" si="116"/>
        <v>0</v>
      </c>
      <c r="AT130" s="14">
        <f t="shared" si="118"/>
        <v>621988.19999999995</v>
      </c>
      <c r="AU130" s="15">
        <v>75388.2</v>
      </c>
      <c r="AV130" s="15"/>
      <c r="AW130" s="15"/>
      <c r="AX130" s="234"/>
      <c r="AY130" s="297"/>
      <c r="AZ130" s="234"/>
      <c r="BA130" s="234"/>
      <c r="BB130" s="16">
        <f t="shared" si="117"/>
        <v>-546600</v>
      </c>
      <c r="BF130" s="295"/>
    </row>
    <row r="131" spans="1:58" ht="113.4" customHeight="1" outlineLevel="2">
      <c r="A131" s="98"/>
      <c r="B131" s="102"/>
      <c r="C131" s="23"/>
      <c r="D131" s="269"/>
      <c r="E131" s="269"/>
      <c r="F131" s="269"/>
      <c r="G131" s="269"/>
      <c r="H131" s="305" t="s">
        <v>442</v>
      </c>
      <c r="I131" s="258" t="s">
        <v>4</v>
      </c>
      <c r="J131" s="259">
        <v>0.4</v>
      </c>
      <c r="K131" s="259">
        <v>2</v>
      </c>
      <c r="L131" s="106">
        <f>IF(I131&lt;&gt;0,((VLOOKUP(I131,'[1]1. Standard_Cost'!$B$4:$D$11,2)+VLOOKUP(I131,'[1]1. Standard_Cost'!$B$4:$D$11,3))*J131*K131),"0")</f>
        <v>64600</v>
      </c>
      <c r="M131" s="106">
        <f>L131*'[1]1. Standard_Cost'!$F$4</f>
        <v>10788.2</v>
      </c>
      <c r="N131" s="107">
        <v>750</v>
      </c>
      <c r="O131" s="107">
        <v>1</v>
      </c>
      <c r="P131" s="107">
        <v>15</v>
      </c>
      <c r="Q131" s="107"/>
      <c r="R131" s="108">
        <v>0</v>
      </c>
      <c r="S131" s="108">
        <v>0</v>
      </c>
      <c r="T131" s="108">
        <f>N131*P131*Q131*'[1]1. Standard_Cost'!$D$15</f>
        <v>0</v>
      </c>
      <c r="U131" s="108">
        <v>0</v>
      </c>
      <c r="V131" s="107"/>
      <c r="W131" s="107"/>
      <c r="X131" s="107"/>
      <c r="Y131" s="108">
        <f>+V131*((X131*'[1]1. Standard_Cost'!$B$19)+(W131*X131*'[1]1. Standard_Cost'!$C$19))</f>
        <v>0</v>
      </c>
      <c r="Z131" s="107"/>
      <c r="AA131" s="107">
        <v>750</v>
      </c>
      <c r="AB131" s="108">
        <f>+Z131*'1. Standard_Cost'!$B$23+AA131*'1. Standard_Cost'!$F$23</f>
        <v>6750000</v>
      </c>
      <c r="AC131" s="109">
        <v>150000</v>
      </c>
      <c r="AD131" s="110"/>
      <c r="AE131" s="108">
        <v>0</v>
      </c>
      <c r="AF131" s="108">
        <f t="shared" si="113"/>
        <v>6900000</v>
      </c>
      <c r="AG131" s="107"/>
      <c r="AH131" s="107"/>
      <c r="AI131" s="107"/>
      <c r="AJ131" s="111"/>
      <c r="AK131" s="111"/>
      <c r="AL131" s="111"/>
      <c r="AM131" s="108">
        <f>AG131*'1. Standard_Cost'!$B$27+'Incremental_Cost Year 2'!AH131*'1. Standard_Cost'!$C$27+'Incremental_Cost Year 2'!AI131*'1. Standard_Cost'!$D$27+'Incremental_Cost Year 2'!AJ131+'Incremental_Cost Year 2'!AL131+AK131</f>
        <v>0</v>
      </c>
      <c r="AN131" s="108">
        <f>AM131*'1. Standard_Cost'!$C$31</f>
        <v>0</v>
      </c>
      <c r="AO131" s="125" t="s">
        <v>656</v>
      </c>
      <c r="AQ131" s="14">
        <f t="shared" si="114"/>
        <v>75388.2</v>
      </c>
      <c r="AR131" s="14">
        <f t="shared" si="115"/>
        <v>6900000</v>
      </c>
      <c r="AS131" s="14">
        <f>AM131+AN131</f>
        <v>0</v>
      </c>
      <c r="AT131" s="14">
        <f t="shared" si="118"/>
        <v>6975388.2000000002</v>
      </c>
      <c r="AU131" s="15"/>
      <c r="AV131" s="15"/>
      <c r="AW131" s="15"/>
      <c r="AX131" s="234"/>
      <c r="AY131" s="297"/>
      <c r="AZ131" s="234">
        <v>6975388.2000000002</v>
      </c>
      <c r="BA131" s="234"/>
      <c r="BB131" s="16">
        <f t="shared" si="117"/>
        <v>0</v>
      </c>
      <c r="BF131" s="295"/>
    </row>
    <row r="132" spans="1:58" ht="156" outlineLevel="2">
      <c r="A132" s="98"/>
      <c r="B132" s="102"/>
      <c r="C132" s="23"/>
      <c r="D132" s="269"/>
      <c r="E132" s="269"/>
      <c r="F132" s="174"/>
      <c r="G132" s="174"/>
      <c r="H132" s="302" t="s">
        <v>476</v>
      </c>
      <c r="I132" s="258" t="s">
        <v>4</v>
      </c>
      <c r="J132" s="259">
        <v>1</v>
      </c>
      <c r="K132" s="259">
        <v>2</v>
      </c>
      <c r="L132" s="106">
        <f>IF(I132&lt;&gt;0,((VLOOKUP(I132,'1. Standard_Cost'!$B$4:$D$11,2)+VLOOKUP(I132,'1. Standard_Cost'!$B$4:$D$11,3))*J132*K132),"0")</f>
        <v>161500</v>
      </c>
      <c r="M132" s="106">
        <f>L132*'1. Standard_Cost'!$F$4</f>
        <v>26970.5</v>
      </c>
      <c r="N132" s="107">
        <v>2</v>
      </c>
      <c r="O132" s="107">
        <v>2</v>
      </c>
      <c r="P132" s="107">
        <v>70</v>
      </c>
      <c r="Q132" s="107"/>
      <c r="R132" s="108">
        <v>0</v>
      </c>
      <c r="S132" s="108">
        <v>0</v>
      </c>
      <c r="T132" s="108">
        <f>N132*P132*Q132*'1. Standard_Cost'!$D$15</f>
        <v>0</v>
      </c>
      <c r="U132" s="108">
        <v>0</v>
      </c>
      <c r="V132" s="107"/>
      <c r="W132" s="107"/>
      <c r="X132" s="107"/>
      <c r="Y132" s="108">
        <f>+V132*((X132*'1. Standard_Cost'!$B$19)+(W132*X132*'1. Standard_Cost'!$C$19))</f>
        <v>0</v>
      </c>
      <c r="Z132" s="107"/>
      <c r="AA132" s="107">
        <v>15</v>
      </c>
      <c r="AB132" s="108">
        <f>+Z132*'1. Standard_Cost'!$B$23+AA132*'1. Standard_Cost'!$C$23</f>
        <v>285000</v>
      </c>
      <c r="AC132" s="109">
        <v>29000</v>
      </c>
      <c r="AD132" s="110"/>
      <c r="AE132" s="108">
        <f>SUM(AD132,AC132,AB132,Y132,U132,T132,S132,R132)*'1. Standard_Cost'!$B$31</f>
        <v>62800</v>
      </c>
      <c r="AF132" s="108">
        <f t="shared" si="113"/>
        <v>376800</v>
      </c>
      <c r="AG132" s="107"/>
      <c r="AH132" s="107"/>
      <c r="AI132" s="107"/>
      <c r="AJ132" s="111"/>
      <c r="AK132" s="111"/>
      <c r="AL132" s="111"/>
      <c r="AM132" s="108">
        <f>AG132*'1. Standard_Cost'!$B$27+'Incremental_Cost Year 2'!AH132*'1. Standard_Cost'!$C$27+'Incremental_Cost Year 2'!AI132*'1. Standard_Cost'!$D$27+'Incremental_Cost Year 2'!AJ132+'Incremental_Cost Year 2'!AL132+AK132</f>
        <v>0</v>
      </c>
      <c r="AN132" s="108">
        <f>AM132*'1. Standard_Cost'!$C$31</f>
        <v>0</v>
      </c>
      <c r="AO132" s="125" t="s">
        <v>363</v>
      </c>
      <c r="AQ132" s="14">
        <f t="shared" si="114"/>
        <v>188470.5</v>
      </c>
      <c r="AR132" s="14">
        <f t="shared" si="115"/>
        <v>376800</v>
      </c>
      <c r="AS132" s="14">
        <f t="shared" si="116"/>
        <v>0</v>
      </c>
      <c r="AT132" s="14">
        <f t="shared" si="118"/>
        <v>565270.5</v>
      </c>
      <c r="AU132" s="15">
        <v>188470.5</v>
      </c>
      <c r="AV132" s="15"/>
      <c r="AW132" s="15"/>
      <c r="AX132" s="234"/>
      <c r="AY132" s="297"/>
      <c r="AZ132" s="234">
        <v>376800</v>
      </c>
      <c r="BA132" s="234"/>
      <c r="BB132" s="16">
        <f t="shared" si="117"/>
        <v>0</v>
      </c>
      <c r="BF132" s="295"/>
    </row>
    <row r="133" spans="1:58" ht="46.8" outlineLevel="2">
      <c r="A133" s="98"/>
      <c r="B133" s="102"/>
      <c r="C133" s="23"/>
      <c r="D133" s="269"/>
      <c r="E133" s="269"/>
      <c r="F133" s="174"/>
      <c r="G133" s="174"/>
      <c r="H133" s="302" t="s">
        <v>477</v>
      </c>
      <c r="I133" s="258"/>
      <c r="J133" s="259"/>
      <c r="K133" s="259"/>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3"/>
        <v>0</v>
      </c>
      <c r="AG133" s="107"/>
      <c r="AH133" s="107"/>
      <c r="AI133" s="107"/>
      <c r="AJ133" s="111"/>
      <c r="AK133" s="111"/>
      <c r="AL133" s="111"/>
      <c r="AM133" s="108">
        <f>AG133*'1. Standard_Cost'!$B$27+'Incremental_Cost Year 2'!AH133*'1. Standard_Cost'!$C$27+'Incremental_Cost Year 2'!AI133*'1. Standard_Cost'!$D$27+'Incremental_Cost Year 2'!AJ133+'Incremental_Cost Year 2'!AL133+AK133</f>
        <v>0</v>
      </c>
      <c r="AN133" s="108">
        <f>AM133*'1. Standard_Cost'!$C$31</f>
        <v>0</v>
      </c>
      <c r="AO133" s="125" t="s">
        <v>364</v>
      </c>
      <c r="AQ133" s="14">
        <f t="shared" si="114"/>
        <v>0</v>
      </c>
      <c r="AR133" s="14">
        <f t="shared" si="115"/>
        <v>0</v>
      </c>
      <c r="AS133" s="14">
        <f t="shared" si="116"/>
        <v>0</v>
      </c>
      <c r="AT133" s="14">
        <f t="shared" si="118"/>
        <v>0</v>
      </c>
      <c r="AU133" s="15"/>
      <c r="AV133" s="15"/>
      <c r="AW133" s="15"/>
      <c r="AX133" s="234"/>
      <c r="AY133" s="297"/>
      <c r="AZ133" s="234"/>
      <c r="BA133" s="234"/>
      <c r="BB133" s="16">
        <f t="shared" si="117"/>
        <v>0</v>
      </c>
      <c r="BF133" s="295"/>
    </row>
    <row r="134" spans="1:58" ht="62.4" outlineLevel="2">
      <c r="A134" s="98"/>
      <c r="B134" s="102"/>
      <c r="C134" s="23"/>
      <c r="D134" s="269"/>
      <c r="E134" s="269"/>
      <c r="F134" s="174"/>
      <c r="G134" s="174"/>
      <c r="H134" s="302" t="s">
        <v>478</v>
      </c>
      <c r="I134" s="258" t="s">
        <v>5</v>
      </c>
      <c r="J134" s="259">
        <v>12</v>
      </c>
      <c r="K134" s="259">
        <v>4</v>
      </c>
      <c r="L134" s="106">
        <f>IF(I134&lt;&gt;0,((VLOOKUP(I134,'1. Standard_Cost'!$B$4:$D$11,2)+VLOOKUP(I134,'1. Standard_Cost'!$B$4:$D$11,3))*J134*K134),"0")</f>
        <v>3393600</v>
      </c>
      <c r="M134" s="106">
        <f>L134*'1. Standard_Cost'!$F$4</f>
        <v>566731.20000000007</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3"/>
        <v>0</v>
      </c>
      <c r="AG134" s="107"/>
      <c r="AH134" s="107"/>
      <c r="AI134" s="107"/>
      <c r="AJ134" s="111">
        <v>1000000</v>
      </c>
      <c r="AK134" s="111"/>
      <c r="AL134" s="111"/>
      <c r="AM134" s="108">
        <f>AG134*'1. Standard_Cost'!$B$27+'Incremental_Cost Year 2'!AH134*'1. Standard_Cost'!$C$27+'Incremental_Cost Year 2'!AI134*'1. Standard_Cost'!$D$27+'Incremental_Cost Year 2'!AJ134+'Incremental_Cost Year 2'!AL134+AK134</f>
        <v>1000000</v>
      </c>
      <c r="AN134" s="108">
        <f>AM134*'1. Standard_Cost'!$C$31</f>
        <v>150000</v>
      </c>
      <c r="AO134" s="125" t="s">
        <v>365</v>
      </c>
      <c r="AQ134" s="14">
        <f t="shared" si="114"/>
        <v>3960331.2</v>
      </c>
      <c r="AR134" s="14">
        <f t="shared" si="115"/>
        <v>0</v>
      </c>
      <c r="AS134" s="14">
        <f t="shared" si="116"/>
        <v>1150000</v>
      </c>
      <c r="AT134" s="14">
        <f t="shared" si="118"/>
        <v>5110331.2</v>
      </c>
      <c r="AU134" s="15">
        <v>3960331.2</v>
      </c>
      <c r="AV134" s="15"/>
      <c r="AW134" s="15"/>
      <c r="AX134" s="234"/>
      <c r="AY134" s="297"/>
      <c r="AZ134" s="234"/>
      <c r="BA134" s="234"/>
      <c r="BB134" s="16">
        <f t="shared" si="117"/>
        <v>-1150000</v>
      </c>
      <c r="BF134" s="295"/>
    </row>
    <row r="135" spans="1:58" ht="15.6" outlineLevel="2">
      <c r="A135" s="98"/>
      <c r="B135" s="102"/>
      <c r="C135" s="23"/>
      <c r="D135" s="269"/>
      <c r="E135" s="269"/>
      <c r="F135" s="251"/>
      <c r="G135" s="250"/>
      <c r="H135" s="302"/>
      <c r="I135" s="258"/>
      <c r="J135" s="259"/>
      <c r="K135" s="259">
        <v>2</v>
      </c>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260"/>
      <c r="AB135" s="108">
        <f>+Z135*'1. Standard_Cost'!$B$23+AA135*'1. Standard_Cost'!$C$23</f>
        <v>0</v>
      </c>
      <c r="AC135" s="261"/>
      <c r="AD135" s="110"/>
      <c r="AE135" s="108">
        <f>SUM(AD135,AC135,AB135,Y135,U135,T135,S135,R135)*'1. Standard_Cost'!$B$31</f>
        <v>0</v>
      </c>
      <c r="AF135" s="108">
        <f t="shared" si="113"/>
        <v>0</v>
      </c>
      <c r="AG135" s="107"/>
      <c r="AH135" s="107"/>
      <c r="AI135" s="107"/>
      <c r="AJ135" s="111"/>
      <c r="AK135" s="111"/>
      <c r="AL135" s="111"/>
      <c r="AM135" s="108">
        <f>AG135*'1. Standard_Cost'!$B$27+'Incremental_Cost Year 2'!AH135*'1. Standard_Cost'!$C$27+'Incremental_Cost Year 2'!AI135*'1. Standard_Cost'!$D$27+'Incremental_Cost Year 2'!AJ135+'Incremental_Cost Year 2'!AL135+AK135</f>
        <v>0</v>
      </c>
      <c r="AN135" s="108">
        <f>AM135*'1. Standard_Cost'!$C$31</f>
        <v>0</v>
      </c>
      <c r="AO135" s="125"/>
      <c r="AQ135" s="14">
        <f t="shared" si="114"/>
        <v>0</v>
      </c>
      <c r="AR135" s="14">
        <f t="shared" si="115"/>
        <v>0</v>
      </c>
      <c r="AS135" s="14">
        <f t="shared" si="116"/>
        <v>0</v>
      </c>
      <c r="AT135" s="14">
        <f t="shared" si="118"/>
        <v>0</v>
      </c>
      <c r="AU135" s="15"/>
      <c r="AV135" s="15"/>
      <c r="AW135" s="15"/>
      <c r="AX135" s="234"/>
      <c r="AY135" s="297"/>
      <c r="AZ135" s="234"/>
      <c r="BA135" s="234"/>
      <c r="BB135" s="16">
        <f t="shared" si="117"/>
        <v>0</v>
      </c>
      <c r="BF135" s="295"/>
    </row>
    <row r="136" spans="1:58" ht="138" outlineLevel="1">
      <c r="A136" s="98"/>
      <c r="B136" s="102"/>
      <c r="C136" s="23"/>
      <c r="D136" s="346" t="s">
        <v>634</v>
      </c>
      <c r="E136" s="56" t="s">
        <v>228</v>
      </c>
      <c r="F136" s="253">
        <v>2021</v>
      </c>
      <c r="G136" s="254">
        <v>2026</v>
      </c>
      <c r="H136" s="277" t="s">
        <v>227</v>
      </c>
      <c r="I136" s="112"/>
      <c r="J136" s="112"/>
      <c r="K136" s="112"/>
      <c r="L136" s="113">
        <f>SUM(L114:L135)</f>
        <v>7237300</v>
      </c>
      <c r="M136" s="113">
        <f>SUM(M114:M135)</f>
        <v>1208629.1000000001</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8061000</v>
      </c>
      <c r="AC136" s="113">
        <f>SUM(AC114:AC135)</f>
        <v>23055500</v>
      </c>
      <c r="AD136" s="113">
        <f>SUM(AD114:AD135)</f>
        <v>0</v>
      </c>
      <c r="AE136" s="113">
        <f>SUM(AE114:AE135)</f>
        <v>450900</v>
      </c>
      <c r="AF136" s="113">
        <f>SUM(AF114:AF135)</f>
        <v>31567400</v>
      </c>
      <c r="AG136" s="112"/>
      <c r="AH136" s="112"/>
      <c r="AI136" s="112"/>
      <c r="AJ136" s="113">
        <f>SUM(AJ114:AJ135)</f>
        <v>1000000</v>
      </c>
      <c r="AK136" s="113">
        <f>SUM(AK114:AK135)</f>
        <v>0</v>
      </c>
      <c r="AL136" s="113">
        <f>SUM(AL114:AL135)</f>
        <v>0</v>
      </c>
      <c r="AM136" s="113">
        <f>SUM(AM114:AM135)</f>
        <v>1000000</v>
      </c>
      <c r="AN136" s="113">
        <f>SUM(AN114:AN135)</f>
        <v>150000</v>
      </c>
      <c r="AO136" s="131"/>
      <c r="AP136" s="17"/>
      <c r="AQ136" s="113">
        <f t="shared" ref="AQ136:BB136" si="119">SUM(AQ114:AQ135)</f>
        <v>8445929.1000000015</v>
      </c>
      <c r="AR136" s="113">
        <f t="shared" si="119"/>
        <v>31567400</v>
      </c>
      <c r="AS136" s="113">
        <f t="shared" si="119"/>
        <v>1150000</v>
      </c>
      <c r="AT136" s="113">
        <f t="shared" si="119"/>
        <v>41163329.100000001</v>
      </c>
      <c r="AU136" s="113">
        <f t="shared" si="119"/>
        <v>6485835.9000000004</v>
      </c>
      <c r="AV136" s="113">
        <f t="shared" si="119"/>
        <v>0</v>
      </c>
      <c r="AW136" s="113">
        <f t="shared" si="119"/>
        <v>0</v>
      </c>
      <c r="AX136" s="113">
        <f t="shared" si="119"/>
        <v>3190000</v>
      </c>
      <c r="AY136" s="265">
        <f t="shared" si="119"/>
        <v>0</v>
      </c>
      <c r="AZ136" s="265">
        <f t="shared" si="119"/>
        <v>27906188.199999999</v>
      </c>
      <c r="BA136" s="265">
        <f t="shared" si="119"/>
        <v>0</v>
      </c>
      <c r="BB136" s="113">
        <f t="shared" si="119"/>
        <v>-3581305</v>
      </c>
      <c r="BF136" s="295"/>
    </row>
    <row r="137" spans="1:58" ht="78" outlineLevel="2">
      <c r="A137" s="98"/>
      <c r="B137" s="102"/>
      <c r="C137" s="23"/>
      <c r="D137" s="269"/>
      <c r="E137" s="269"/>
      <c r="F137" s="174"/>
      <c r="G137" s="26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0">SUM(AE137,AD137,AC137,AB137,Y137,U137,T137,S137,R137)</f>
        <v>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21">L137+M137</f>
        <v>0</v>
      </c>
      <c r="AR137" s="14">
        <f t="shared" ref="AR137:AR138" si="122">AF137</f>
        <v>0</v>
      </c>
      <c r="AS137" s="14">
        <f t="shared" ref="AS137:AS138" si="123">AM137+AN137</f>
        <v>0</v>
      </c>
      <c r="AT137" s="14">
        <f t="shared" ref="AT137:AT138" si="124">SUM(AQ137,AR137,AS137)</f>
        <v>0</v>
      </c>
      <c r="AU137" s="15"/>
      <c r="AV137" s="15"/>
      <c r="AW137" s="15"/>
      <c r="AX137" s="15"/>
      <c r="AY137" s="15"/>
      <c r="AZ137" s="15"/>
      <c r="BA137" s="15"/>
      <c r="BB137" s="16">
        <f t="shared" ref="BB137:BB138" si="125">SUM(AU137:BA137)-AT137</f>
        <v>0</v>
      </c>
      <c r="BF137" s="295"/>
    </row>
    <row r="138" spans="1:58" ht="62.4" outlineLevel="2">
      <c r="A138" s="98"/>
      <c r="B138" s="102"/>
      <c r="C138" s="23"/>
      <c r="D138" s="269"/>
      <c r="E138" s="26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0"/>
        <v>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21"/>
        <v>0</v>
      </c>
      <c r="AR138" s="14">
        <f t="shared" si="122"/>
        <v>0</v>
      </c>
      <c r="AS138" s="14">
        <f t="shared" si="123"/>
        <v>0</v>
      </c>
      <c r="AT138" s="14">
        <f t="shared" si="124"/>
        <v>0</v>
      </c>
      <c r="AU138" s="15"/>
      <c r="AV138" s="15"/>
      <c r="AW138" s="15"/>
      <c r="AX138" s="15"/>
      <c r="AY138" s="15"/>
      <c r="AZ138" s="15"/>
      <c r="BA138" s="15"/>
      <c r="BB138" s="16">
        <f t="shared" si="125"/>
        <v>0</v>
      </c>
      <c r="BF138" s="295"/>
    </row>
    <row r="139" spans="1:58" ht="110.4" outlineLevel="1">
      <c r="A139" s="98"/>
      <c r="B139" s="102"/>
      <c r="C139" s="23"/>
      <c r="D139" s="56" t="s">
        <v>635</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6">SUM(R137:R138)</f>
        <v>0</v>
      </c>
      <c r="S139" s="113">
        <f t="shared" si="126"/>
        <v>0</v>
      </c>
      <c r="T139" s="113">
        <f t="shared" si="126"/>
        <v>0</v>
      </c>
      <c r="U139" s="113">
        <f t="shared" si="126"/>
        <v>0</v>
      </c>
      <c r="V139" s="112"/>
      <c r="W139" s="112"/>
      <c r="X139" s="112"/>
      <c r="Y139" s="113">
        <f>SUM(Y137:Y138)</f>
        <v>0</v>
      </c>
      <c r="Z139" s="112"/>
      <c r="AA139" s="112"/>
      <c r="AB139" s="113">
        <f t="shared" ref="AB139:AF139" si="127">SUM(AB137:AB138)</f>
        <v>0</v>
      </c>
      <c r="AC139" s="113">
        <f t="shared" si="127"/>
        <v>0</v>
      </c>
      <c r="AD139" s="113">
        <f t="shared" si="127"/>
        <v>0</v>
      </c>
      <c r="AE139" s="113">
        <f t="shared" si="127"/>
        <v>0</v>
      </c>
      <c r="AF139" s="113">
        <f t="shared" si="127"/>
        <v>0</v>
      </c>
      <c r="AG139" s="112"/>
      <c r="AH139" s="112"/>
      <c r="AI139" s="112"/>
      <c r="AJ139" s="113">
        <f t="shared" ref="AJ139:AN139" si="128">SUM(AJ137:AJ138)</f>
        <v>0</v>
      </c>
      <c r="AK139" s="113">
        <f t="shared" si="128"/>
        <v>0</v>
      </c>
      <c r="AL139" s="113">
        <f t="shared" si="128"/>
        <v>0</v>
      </c>
      <c r="AM139" s="113">
        <f t="shared" si="128"/>
        <v>0</v>
      </c>
      <c r="AN139" s="113">
        <f t="shared" si="128"/>
        <v>0</v>
      </c>
      <c r="AO139" s="131"/>
      <c r="AP139" s="17"/>
      <c r="AQ139" s="113">
        <f t="shared" ref="AQ139:BB139" si="129">SUM(AQ137:AQ138)</f>
        <v>0</v>
      </c>
      <c r="AR139" s="113">
        <f t="shared" si="129"/>
        <v>0</v>
      </c>
      <c r="AS139" s="113">
        <f t="shared" si="129"/>
        <v>0</v>
      </c>
      <c r="AT139" s="113">
        <f t="shared" si="129"/>
        <v>0</v>
      </c>
      <c r="AU139" s="113">
        <f t="shared" si="129"/>
        <v>0</v>
      </c>
      <c r="AV139" s="113">
        <f t="shared" si="129"/>
        <v>0</v>
      </c>
      <c r="AW139" s="113">
        <f t="shared" si="129"/>
        <v>0</v>
      </c>
      <c r="AX139" s="113">
        <f t="shared" si="129"/>
        <v>0</v>
      </c>
      <c r="AY139" s="113">
        <f t="shared" si="129"/>
        <v>0</v>
      </c>
      <c r="AZ139" s="113">
        <f t="shared" si="129"/>
        <v>0</v>
      </c>
      <c r="BA139" s="113">
        <f t="shared" si="129"/>
        <v>0</v>
      </c>
      <c r="BB139" s="113">
        <f t="shared" si="129"/>
        <v>0</v>
      </c>
      <c r="BF139" s="295"/>
    </row>
    <row r="140" spans="1:58" ht="93.6" outlineLevel="2">
      <c r="A140" s="98"/>
      <c r="B140" s="102"/>
      <c r="C140" s="23"/>
      <c r="D140" s="269"/>
      <c r="E140" s="269"/>
      <c r="F140" s="269"/>
      <c r="G140" s="269"/>
      <c r="H140" s="302" t="s">
        <v>481</v>
      </c>
      <c r="I140" s="104" t="s">
        <v>4</v>
      </c>
      <c r="J140" s="105">
        <v>2</v>
      </c>
      <c r="K140" s="105">
        <v>1</v>
      </c>
      <c r="L140" s="106">
        <f>IF(I140&lt;&gt;0,((VLOOKUP(I140,'1. Standard_Cost'!$B$4:$D$11,2)+VLOOKUP(I140,'1. Standard_Cost'!$B$4:$D$11,3))*J140*K140),"0")</f>
        <v>161500</v>
      </c>
      <c r="M140" s="106">
        <f>L140*'1. Standard_Cost'!$F$4</f>
        <v>26970.5</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v>20</v>
      </c>
      <c r="AB140" s="108">
        <f>+Z140*'1. Standard_Cost'!$B$23+AA140*'1. Standard_Cost'!$C$23</f>
        <v>380000</v>
      </c>
      <c r="AC140" s="109"/>
      <c r="AD140" s="110"/>
      <c r="AE140" s="108">
        <f>SUM(AD140,AC140,AB140,Y140,U140,T140,S140,R140)*'1. Standard_Cost'!$B$31</f>
        <v>76000</v>
      </c>
      <c r="AF140" s="108">
        <f t="shared" ref="AF140:AF141" si="130">SUM(AE140,AD140,AC140,AB140,Y140,U140,T140,S140,R140)</f>
        <v>456000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31">L140+M140</f>
        <v>188470.5</v>
      </c>
      <c r="AR140" s="14">
        <f t="shared" ref="AR140:AR141" si="132">AF140</f>
        <v>456000</v>
      </c>
      <c r="AS140" s="14">
        <f t="shared" ref="AS140:AS141" si="133">AM140+AN140</f>
        <v>0</v>
      </c>
      <c r="AT140" s="14">
        <f t="shared" ref="AT140:AT141" si="134">SUM(AQ140,AR140,AS140)</f>
        <v>644470.5</v>
      </c>
      <c r="AU140" s="15">
        <v>188470.5</v>
      </c>
      <c r="AV140" s="15"/>
      <c r="AW140" s="15"/>
      <c r="AX140" s="15"/>
      <c r="AY140" s="15"/>
      <c r="AZ140" s="15">
        <v>456000</v>
      </c>
      <c r="BA140" s="15"/>
      <c r="BB140" s="16">
        <f t="shared" ref="BB140:BB141" si="135">SUM(AU140:BA140)-AT140</f>
        <v>0</v>
      </c>
      <c r="BF140" s="295"/>
    </row>
    <row r="141" spans="1:58" ht="109.2" outlineLevel="2">
      <c r="A141" s="98"/>
      <c r="B141" s="102"/>
      <c r="C141" s="23"/>
      <c r="D141" s="269"/>
      <c r="E141" s="269"/>
      <c r="F141" s="172"/>
      <c r="G141" s="173"/>
      <c r="H141" s="302" t="s">
        <v>482</v>
      </c>
      <c r="I141" s="104"/>
      <c r="J141" s="105"/>
      <c r="K141" s="105"/>
      <c r="L141" s="106" t="str">
        <f>IF(I141&lt;&gt;0,((VLOOKUP(I141,'1. Standard_Cost'!$B$4:$D$11,2)+VLOOKUP(I141,'1. Standard_Cost'!$B$4:$D$11,3))*J141*K141),"0")</f>
        <v>0</v>
      </c>
      <c r="M141" s="106">
        <f>L141*'1. Standard_Cost'!$F$4</f>
        <v>0</v>
      </c>
      <c r="N141" s="107"/>
      <c r="O141" s="107"/>
      <c r="P141" s="107"/>
      <c r="Q141" s="107"/>
      <c r="R141" s="108">
        <f>'1. Standard_Cost'!$B$15*N141*P141</f>
        <v>0</v>
      </c>
      <c r="S141" s="108">
        <f>N141*O141*P141*'1. Standard_Cost'!$C$15</f>
        <v>0</v>
      </c>
      <c r="T141" s="108">
        <f>N141*P141*Q141*'1. Standard_Cost'!$D$15</f>
        <v>0</v>
      </c>
      <c r="U141" s="108">
        <f>N141*O141*'1. Standard_Cost'!$E$15</f>
        <v>0</v>
      </c>
      <c r="V141" s="107"/>
      <c r="W141" s="107"/>
      <c r="X141" s="107"/>
      <c r="Y141" s="108">
        <f>+V141*((X141*'1. Standard_Cost'!$B$19)+(W141*X141*'1. Standard_Cost'!$C$19))</f>
        <v>0</v>
      </c>
      <c r="Z141" s="107"/>
      <c r="AA141" s="107"/>
      <c r="AB141" s="108">
        <f>+Z141*'1. Standard_Cost'!$B$23+AA141*'1. Standard_Cost'!$C$23</f>
        <v>0</v>
      </c>
      <c r="AC141" s="109"/>
      <c r="AD141" s="110"/>
      <c r="AE141" s="108">
        <f>SUM(AD141,AC141,AB141,Y141,U141,T141,S141,R141)*'1. Standard_Cost'!$B$31</f>
        <v>0</v>
      </c>
      <c r="AF141" s="108">
        <f t="shared" si="130"/>
        <v>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31"/>
        <v>0</v>
      </c>
      <c r="AR141" s="14">
        <f t="shared" si="132"/>
        <v>0</v>
      </c>
      <c r="AS141" s="14">
        <f t="shared" si="133"/>
        <v>0</v>
      </c>
      <c r="AT141" s="14">
        <f t="shared" si="134"/>
        <v>0</v>
      </c>
      <c r="AU141" s="15"/>
      <c r="AV141" s="15"/>
      <c r="AW141" s="15"/>
      <c r="AX141" s="15"/>
      <c r="AY141" s="15"/>
      <c r="AZ141" s="15"/>
      <c r="BA141" s="15"/>
      <c r="BB141" s="16">
        <f t="shared" si="135"/>
        <v>0</v>
      </c>
      <c r="BF141" s="295"/>
    </row>
    <row r="142" spans="1:58" ht="28.5" customHeight="1" outlineLevel="1">
      <c r="A142" s="98"/>
      <c r="B142" s="102"/>
      <c r="C142" s="23"/>
      <c r="D142" s="56" t="s">
        <v>636</v>
      </c>
      <c r="E142" s="56" t="s">
        <v>232</v>
      </c>
      <c r="F142" s="253">
        <v>2022</v>
      </c>
      <c r="G142" s="254">
        <v>2023</v>
      </c>
      <c r="H142" s="277" t="s">
        <v>230</v>
      </c>
      <c r="I142" s="112"/>
      <c r="J142" s="112"/>
      <c r="K142" s="112"/>
      <c r="L142" s="113">
        <f>SUM(L140:L141)</f>
        <v>161500</v>
      </c>
      <c r="M142" s="113">
        <f>SUM(M140:M141)</f>
        <v>26970.5</v>
      </c>
      <c r="N142" s="112"/>
      <c r="O142" s="112"/>
      <c r="P142" s="112"/>
      <c r="Q142" s="112"/>
      <c r="R142" s="113">
        <f t="shared" ref="R142:U142" si="136">SUM(R140:R141)</f>
        <v>0</v>
      </c>
      <c r="S142" s="113">
        <f t="shared" si="136"/>
        <v>0</v>
      </c>
      <c r="T142" s="113">
        <f t="shared" si="136"/>
        <v>0</v>
      </c>
      <c r="U142" s="113">
        <f t="shared" si="136"/>
        <v>0</v>
      </c>
      <c r="V142" s="112"/>
      <c r="W142" s="112"/>
      <c r="X142" s="112"/>
      <c r="Y142" s="113">
        <f>SUM(Y140:Y141)</f>
        <v>0</v>
      </c>
      <c r="Z142" s="112"/>
      <c r="AA142" s="112"/>
      <c r="AB142" s="113">
        <f t="shared" ref="AB142:AF142" si="137">SUM(AB140:AB141)</f>
        <v>380000</v>
      </c>
      <c r="AC142" s="113">
        <f t="shared" si="137"/>
        <v>0</v>
      </c>
      <c r="AD142" s="113">
        <f t="shared" si="137"/>
        <v>0</v>
      </c>
      <c r="AE142" s="113">
        <f t="shared" si="137"/>
        <v>76000</v>
      </c>
      <c r="AF142" s="113">
        <f t="shared" si="137"/>
        <v>456000</v>
      </c>
      <c r="AG142" s="112"/>
      <c r="AH142" s="112"/>
      <c r="AI142" s="112"/>
      <c r="AJ142" s="113">
        <f t="shared" ref="AJ142:AN142" si="138">SUM(AJ140:AJ141)</f>
        <v>0</v>
      </c>
      <c r="AK142" s="113">
        <f t="shared" si="138"/>
        <v>0</v>
      </c>
      <c r="AL142" s="113">
        <f t="shared" si="138"/>
        <v>0</v>
      </c>
      <c r="AM142" s="113">
        <f t="shared" si="138"/>
        <v>0</v>
      </c>
      <c r="AN142" s="113">
        <f t="shared" si="138"/>
        <v>0</v>
      </c>
      <c r="AO142" s="131"/>
      <c r="AP142" s="17"/>
      <c r="AQ142" s="113">
        <f t="shared" ref="AQ142:BB142" si="139">SUM(AQ140:AQ141)</f>
        <v>188470.5</v>
      </c>
      <c r="AR142" s="113">
        <f t="shared" si="139"/>
        <v>456000</v>
      </c>
      <c r="AS142" s="113">
        <f t="shared" si="139"/>
        <v>0</v>
      </c>
      <c r="AT142" s="113">
        <f t="shared" si="139"/>
        <v>644470.5</v>
      </c>
      <c r="AU142" s="113">
        <f t="shared" si="139"/>
        <v>188470.5</v>
      </c>
      <c r="AV142" s="113">
        <f t="shared" si="139"/>
        <v>0</v>
      </c>
      <c r="AW142" s="113">
        <f t="shared" si="139"/>
        <v>0</v>
      </c>
      <c r="AX142" s="113">
        <f t="shared" si="139"/>
        <v>0</v>
      </c>
      <c r="AY142" s="113">
        <f t="shared" si="139"/>
        <v>0</v>
      </c>
      <c r="AZ142" s="113">
        <f t="shared" si="139"/>
        <v>456000</v>
      </c>
      <c r="BA142" s="113">
        <f t="shared" si="139"/>
        <v>0</v>
      </c>
      <c r="BB142" s="113">
        <f t="shared" si="139"/>
        <v>0</v>
      </c>
      <c r="BF142" s="295"/>
    </row>
    <row r="143" spans="1:58" s="24" customFormat="1" ht="13.8" customHeight="1">
      <c r="A143" s="114"/>
      <c r="B143" s="115"/>
      <c r="C143" s="314" t="s">
        <v>233</v>
      </c>
      <c r="D143" s="314"/>
      <c r="E143" s="315"/>
      <c r="F143" s="246"/>
      <c r="G143" s="246"/>
      <c r="H143" s="278" t="s">
        <v>188</v>
      </c>
      <c r="I143" s="116"/>
      <c r="J143" s="116"/>
      <c r="K143" s="116"/>
      <c r="L143" s="117">
        <f>SUM(L168,L178)</f>
        <v>12524310</v>
      </c>
      <c r="M143" s="117">
        <f>SUM(M168,M178)</f>
        <v>2091559.7700000003</v>
      </c>
      <c r="N143" s="116"/>
      <c r="O143" s="116"/>
      <c r="P143" s="116"/>
      <c r="Q143" s="116"/>
      <c r="R143" s="117">
        <f t="shared" ref="R143:U143" si="140">SUM(R168,R178)</f>
        <v>400000</v>
      </c>
      <c r="S143" s="117">
        <f t="shared" si="140"/>
        <v>750000</v>
      </c>
      <c r="T143" s="117">
        <f t="shared" si="140"/>
        <v>875000</v>
      </c>
      <c r="U143" s="117">
        <f t="shared" si="140"/>
        <v>160000</v>
      </c>
      <c r="V143" s="116"/>
      <c r="W143" s="116"/>
      <c r="X143" s="116"/>
      <c r="Y143" s="117">
        <f>SUM(Y168,Y178)</f>
        <v>0</v>
      </c>
      <c r="Z143" s="117"/>
      <c r="AA143" s="117"/>
      <c r="AB143" s="117">
        <f t="shared" ref="AB143:AF143" si="141">SUM(AB168,AB178)</f>
        <v>4455000</v>
      </c>
      <c r="AC143" s="117">
        <f t="shared" si="141"/>
        <v>128799000</v>
      </c>
      <c r="AD143" s="117">
        <f t="shared" si="141"/>
        <v>0</v>
      </c>
      <c r="AE143" s="117">
        <f t="shared" si="141"/>
        <v>13279000</v>
      </c>
      <c r="AF143" s="117">
        <f t="shared" si="141"/>
        <v>148718000</v>
      </c>
      <c r="AG143" s="116"/>
      <c r="AH143" s="116"/>
      <c r="AI143" s="116"/>
      <c r="AJ143" s="117">
        <f t="shared" ref="AJ143:AN143" si="142">SUM(AJ168,AJ178)</f>
        <v>0</v>
      </c>
      <c r="AK143" s="117">
        <f t="shared" si="142"/>
        <v>0</v>
      </c>
      <c r="AL143" s="117">
        <f t="shared" si="142"/>
        <v>0</v>
      </c>
      <c r="AM143" s="117">
        <f t="shared" si="142"/>
        <v>0</v>
      </c>
      <c r="AN143" s="117">
        <f t="shared" si="142"/>
        <v>0</v>
      </c>
      <c r="AO143" s="132"/>
      <c r="AP143" s="25"/>
      <c r="AQ143" s="117">
        <f t="shared" ref="AQ143:BB143" si="143">SUM(AQ168,AQ178)</f>
        <v>14615869.77</v>
      </c>
      <c r="AR143" s="117">
        <f t="shared" si="143"/>
        <v>148718000</v>
      </c>
      <c r="AS143" s="117">
        <f t="shared" si="143"/>
        <v>0</v>
      </c>
      <c r="AT143" s="117">
        <f t="shared" si="143"/>
        <v>163333869.76999998</v>
      </c>
      <c r="AU143" s="117">
        <f t="shared" si="143"/>
        <v>86909869.769999996</v>
      </c>
      <c r="AV143" s="117">
        <f t="shared" si="143"/>
        <v>0</v>
      </c>
      <c r="AW143" s="117">
        <f t="shared" si="143"/>
        <v>0</v>
      </c>
      <c r="AX143" s="117">
        <f t="shared" si="143"/>
        <v>2852800</v>
      </c>
      <c r="AY143" s="117">
        <f t="shared" si="143"/>
        <v>0</v>
      </c>
      <c r="AZ143" s="267">
        <f t="shared" si="143"/>
        <v>65935000</v>
      </c>
      <c r="BA143" s="117">
        <f t="shared" si="143"/>
        <v>0</v>
      </c>
      <c r="BB143" s="117">
        <f t="shared" si="143"/>
        <v>-7636200</v>
      </c>
      <c r="BD143" s="5"/>
      <c r="BF143" s="295"/>
    </row>
    <row r="144" spans="1:58" ht="93.6" outlineLevel="2">
      <c r="A144" s="98"/>
      <c r="B144" s="102"/>
      <c r="C144" s="23"/>
      <c r="D144" s="257"/>
      <c r="E144" s="123"/>
      <c r="F144" s="249"/>
      <c r="G144" s="283"/>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144">SUM(AE144,AD144,AC144,AB144,Y144,U144,T144,S144,R144)</f>
        <v>1734000</v>
      </c>
      <c r="AG144" s="107"/>
      <c r="AH144" s="107"/>
      <c r="AI144" s="107"/>
      <c r="AJ144" s="111"/>
      <c r="AK144" s="111"/>
      <c r="AL144" s="111"/>
      <c r="AM144" s="108">
        <f>AG144*'1. Standard_Cost'!$B$27+'Incremental_Cost Year 2'!AH144*'1. Standard_Cost'!$C$27+'Incremental_Cost Year 2'!AI144*'1. Standard_Cost'!$D$27+'Incremental_Cost Year 2'!AJ144+'Incremental_Cost Year 2'!AL144+AK144</f>
        <v>0</v>
      </c>
      <c r="AN144" s="108">
        <f>AM144*'1. Standard_Cost'!$C$31</f>
        <v>0</v>
      </c>
      <c r="AO144" s="125" t="s">
        <v>370</v>
      </c>
      <c r="AQ144" s="14">
        <f t="shared" ref="AQ144:AQ167" si="145">L144+M144</f>
        <v>8028960</v>
      </c>
      <c r="AR144" s="14">
        <f t="shared" ref="AR144:AR167" si="146">AF144</f>
        <v>1734000</v>
      </c>
      <c r="AS144" s="14">
        <f t="shared" ref="AS144:AS167" si="147">AM144+AN144</f>
        <v>0</v>
      </c>
      <c r="AT144" s="14">
        <f>SUM(AQ144,AR144,AS144)</f>
        <v>9762960</v>
      </c>
      <c r="AU144" s="234">
        <v>9762960</v>
      </c>
      <c r="AV144" s="234"/>
      <c r="AW144" s="234"/>
      <c r="AX144" s="234"/>
      <c r="AY144" s="297"/>
      <c r="AZ144" s="234"/>
      <c r="BA144" s="234"/>
      <c r="BB144" s="16">
        <f t="shared" ref="BB144:BB167" si="148">SUM(AU144:BA144)-AT144</f>
        <v>0</v>
      </c>
      <c r="BF144" s="295"/>
    </row>
    <row r="145" spans="1:58" ht="21.6" customHeight="1" outlineLevel="2">
      <c r="A145" s="98"/>
      <c r="B145" s="102"/>
      <c r="C145" s="23"/>
      <c r="D145" s="269"/>
      <c r="E145" s="27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44"/>
        <v>0</v>
      </c>
      <c r="AG145" s="107"/>
      <c r="AH145" s="107"/>
      <c r="AI145" s="107"/>
      <c r="AJ145" s="111"/>
      <c r="AK145" s="111"/>
      <c r="AL145" s="111"/>
      <c r="AM145" s="108">
        <f>AG145*'1. Standard_Cost'!$B$27+'Incremental_Cost Year 2'!AH145*'1. Standard_Cost'!$C$27+'Incremental_Cost Year 2'!AI145*'1. Standard_Cost'!$D$27+'Incremental_Cost Year 2'!AJ145+'Incremental_Cost Year 2'!AL145+AK145</f>
        <v>0</v>
      </c>
      <c r="AN145" s="108">
        <f>AM145*'1. Standard_Cost'!$C$31</f>
        <v>0</v>
      </c>
      <c r="AO145" s="125"/>
      <c r="AQ145" s="14">
        <f t="shared" si="145"/>
        <v>621777.6</v>
      </c>
      <c r="AR145" s="14">
        <f t="shared" si="146"/>
        <v>0</v>
      </c>
      <c r="AS145" s="14">
        <f t="shared" si="147"/>
        <v>0</v>
      </c>
      <c r="AT145" s="14">
        <f>SUM(AQ145,AR145,AS145)</f>
        <v>621777.6</v>
      </c>
      <c r="AU145" s="234">
        <v>621777.6</v>
      </c>
      <c r="AV145" s="234"/>
      <c r="AW145" s="234"/>
      <c r="AX145" s="234"/>
      <c r="AY145" s="297"/>
      <c r="AZ145" s="234"/>
      <c r="BA145" s="234"/>
      <c r="BB145" s="16">
        <f t="shared" si="148"/>
        <v>0</v>
      </c>
      <c r="BD145" s="24"/>
      <c r="BF145" s="295"/>
    </row>
    <row r="146" spans="1:58" ht="19.95" customHeight="1" outlineLevel="2">
      <c r="A146" s="98"/>
      <c r="B146" s="102"/>
      <c r="C146" s="23"/>
      <c r="D146" s="269"/>
      <c r="E146" s="27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44"/>
        <v>0</v>
      </c>
      <c r="AG146" s="107"/>
      <c r="AH146" s="107"/>
      <c r="AI146" s="107"/>
      <c r="AJ146" s="111"/>
      <c r="AK146" s="111"/>
      <c r="AL146" s="111"/>
      <c r="AM146" s="108">
        <f>AG146*'1. Standard_Cost'!$B$27+'Incremental_Cost Year 2'!AH146*'1. Standard_Cost'!$C$27+'Incremental_Cost Year 2'!AI146*'1. Standard_Cost'!$D$27+'Incremental_Cost Year 2'!AJ146+'Incremental_Cost Year 2'!AL146+AK146</f>
        <v>0</v>
      </c>
      <c r="AN146" s="108">
        <f>AM146*'1. Standard_Cost'!$C$31</f>
        <v>0</v>
      </c>
      <c r="AO146" s="125"/>
      <c r="AQ146" s="14">
        <f t="shared" si="145"/>
        <v>1507764</v>
      </c>
      <c r="AR146" s="14">
        <f t="shared" si="146"/>
        <v>0</v>
      </c>
      <c r="AS146" s="14">
        <f t="shared" si="147"/>
        <v>0</v>
      </c>
      <c r="AT146" s="14">
        <f>SUM(AQ146,AR146,AS146)</f>
        <v>1507764</v>
      </c>
      <c r="AU146" s="234">
        <v>1507764</v>
      </c>
      <c r="AV146" s="234"/>
      <c r="AW146" s="234"/>
      <c r="AX146" s="234"/>
      <c r="AY146" s="297"/>
      <c r="AZ146" s="234"/>
      <c r="BA146" s="234"/>
      <c r="BB146" s="16">
        <f t="shared" si="148"/>
        <v>0</v>
      </c>
      <c r="BF146" s="295"/>
    </row>
    <row r="147" spans="1:58" ht="46.8" outlineLevel="2">
      <c r="A147" s="98"/>
      <c r="B147" s="102"/>
      <c r="C147" s="23"/>
      <c r="D147" s="269"/>
      <c r="E147" s="271"/>
      <c r="F147" s="250"/>
      <c r="G147" s="255"/>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44"/>
        <v>0</v>
      </c>
      <c r="AG147" s="107"/>
      <c r="AH147" s="107"/>
      <c r="AI147" s="107"/>
      <c r="AJ147" s="111"/>
      <c r="AK147" s="111"/>
      <c r="AL147" s="111"/>
      <c r="AM147" s="108">
        <f>AG147*'1. Standard_Cost'!$B$27+'Incremental_Cost Year 2'!AH147*'1. Standard_Cost'!$C$27+'Incremental_Cost Year 2'!AI147*'1. Standard_Cost'!$D$27+'Incremental_Cost Year 2'!AJ147+'Incremental_Cost Year 2'!AL147+AK147</f>
        <v>0</v>
      </c>
      <c r="AN147" s="108">
        <f>AM147*'1. Standard_Cost'!$C$31</f>
        <v>0</v>
      </c>
      <c r="AO147" s="125" t="s">
        <v>371</v>
      </c>
      <c r="AQ147" s="14">
        <f t="shared" si="145"/>
        <v>0</v>
      </c>
      <c r="AR147" s="14">
        <f t="shared" si="146"/>
        <v>0</v>
      </c>
      <c r="AS147" s="14">
        <f t="shared" si="147"/>
        <v>0</v>
      </c>
      <c r="AT147" s="14">
        <f t="shared" ref="AT147:AT167" si="149">SUM(AQ147,AR147,AS147)</f>
        <v>0</v>
      </c>
      <c r="AU147" s="234">
        <v>0</v>
      </c>
      <c r="AV147" s="234"/>
      <c r="AW147" s="234"/>
      <c r="AX147" s="234"/>
      <c r="AY147" s="297"/>
      <c r="AZ147" s="234"/>
      <c r="BA147" s="234"/>
      <c r="BB147" s="16">
        <f t="shared" si="148"/>
        <v>0</v>
      </c>
      <c r="BF147" s="295"/>
    </row>
    <row r="148" spans="1:58" ht="124.2" customHeight="1" outlineLevel="2">
      <c r="A148" s="98"/>
      <c r="B148" s="102"/>
      <c r="C148" s="23"/>
      <c r="D148" s="269"/>
      <c r="E148" s="27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f>4000*6000+3444000</f>
        <v>27444000</v>
      </c>
      <c r="AD148" s="110"/>
      <c r="AE148" s="108">
        <v>0</v>
      </c>
      <c r="AF148" s="108">
        <f t="shared" si="144"/>
        <v>27444000</v>
      </c>
      <c r="AG148" s="107"/>
      <c r="AH148" s="107"/>
      <c r="AI148" s="107"/>
      <c r="AJ148" s="111"/>
      <c r="AK148" s="111"/>
      <c r="AL148" s="111"/>
      <c r="AM148" s="108">
        <f>AG148*'1. Standard_Cost'!$B$27+'Incremental_Cost Year 2'!AH148*'1. Standard_Cost'!$C$27+'Incremental_Cost Year 2'!AI148*'1. Standard_Cost'!$D$27+'Incremental_Cost Year 2'!AJ148+'Incremental_Cost Year 2'!AL148+AK148</f>
        <v>0</v>
      </c>
      <c r="AN148" s="108">
        <f>AM148*'1. Standard_Cost'!$C$31</f>
        <v>0</v>
      </c>
      <c r="AO148" s="125" t="s">
        <v>487</v>
      </c>
      <c r="AQ148" s="14">
        <f t="shared" si="145"/>
        <v>0</v>
      </c>
      <c r="AR148" s="14">
        <f t="shared" si="146"/>
        <v>27444000</v>
      </c>
      <c r="AS148" s="14">
        <f t="shared" si="147"/>
        <v>0</v>
      </c>
      <c r="AT148" s="14">
        <f t="shared" si="149"/>
        <v>27444000</v>
      </c>
      <c r="AU148" s="234"/>
      <c r="AV148" s="234"/>
      <c r="AW148" s="234"/>
      <c r="AX148" s="234"/>
      <c r="AY148" s="297"/>
      <c r="AZ148" s="234">
        <v>27444000</v>
      </c>
      <c r="BA148" s="234"/>
      <c r="BB148" s="16">
        <f t="shared" si="148"/>
        <v>0</v>
      </c>
      <c r="BF148" s="295"/>
    </row>
    <row r="149" spans="1:58" ht="93.6" outlineLevel="2">
      <c r="A149" s="98"/>
      <c r="B149" s="102"/>
      <c r="C149" s="23"/>
      <c r="D149" s="269"/>
      <c r="E149" s="271"/>
      <c r="F149" s="250"/>
      <c r="G149" s="255"/>
      <c r="H149" s="302" t="s">
        <v>492</v>
      </c>
      <c r="I149" s="104" t="s">
        <v>4</v>
      </c>
      <c r="J149" s="105">
        <v>2</v>
      </c>
      <c r="K149" s="105">
        <v>2</v>
      </c>
      <c r="L149" s="106">
        <f>IF(I149&lt;&gt;0,((VLOOKUP(I149,'1. Standard_Cost'!$B$4:$D$11,2)+VLOOKUP(I149,'1. Standard_Cost'!$B$4:$D$11,3))*J149*K149),"0")</f>
        <v>323000</v>
      </c>
      <c r="M149" s="106">
        <f>L149*'1. Standard_Cost'!$F$4</f>
        <v>53941</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v>10</v>
      </c>
      <c r="AB149" s="108">
        <f>+Z149*'1. Standard_Cost'!$B$23+AA149*'1. Standard_Cost'!$C$23</f>
        <v>190000</v>
      </c>
      <c r="AC149" s="109">
        <f>2*10*300</f>
        <v>6000</v>
      </c>
      <c r="AD149" s="110"/>
      <c r="AE149" s="108">
        <f>SUM(AD149,AC149,AB149,Y149,U149,T149,S149,R149)*'1. Standard_Cost'!$B$31</f>
        <v>39200</v>
      </c>
      <c r="AF149" s="108">
        <f t="shared" si="144"/>
        <v>235200</v>
      </c>
      <c r="AG149" s="107"/>
      <c r="AH149" s="107"/>
      <c r="AI149" s="107"/>
      <c r="AJ149" s="111"/>
      <c r="AK149" s="111"/>
      <c r="AL149" s="111"/>
      <c r="AM149" s="108">
        <f>AG149*'1. Standard_Cost'!$B$27+'Incremental_Cost Year 2'!AH149*'1. Standard_Cost'!$C$27+'Incremental_Cost Year 2'!AI149*'1. Standard_Cost'!$D$27+'Incremental_Cost Year 2'!AJ149+'Incremental_Cost Year 2'!AL149+AK149</f>
        <v>0</v>
      </c>
      <c r="AN149" s="108">
        <f>AM149*'1. Standard_Cost'!$C$31</f>
        <v>0</v>
      </c>
      <c r="AO149" s="125" t="s">
        <v>372</v>
      </c>
      <c r="AQ149" s="14">
        <f t="shared" si="145"/>
        <v>376941</v>
      </c>
      <c r="AR149" s="14">
        <f t="shared" si="146"/>
        <v>235200</v>
      </c>
      <c r="AS149" s="14">
        <f t="shared" si="147"/>
        <v>0</v>
      </c>
      <c r="AT149" s="14">
        <f t="shared" si="149"/>
        <v>612141</v>
      </c>
      <c r="AU149" s="234">
        <v>376941</v>
      </c>
      <c r="AV149" s="234"/>
      <c r="AW149" s="234"/>
      <c r="AX149" s="234"/>
      <c r="AY149" s="297"/>
      <c r="AZ149" s="234"/>
      <c r="BA149" s="234"/>
      <c r="BB149" s="16">
        <f t="shared" si="148"/>
        <v>-235200</v>
      </c>
      <c r="BF149" s="295"/>
    </row>
    <row r="150" spans="1:58" ht="124.8" outlineLevel="2">
      <c r="A150" s="98"/>
      <c r="B150" s="102"/>
      <c r="C150" s="23"/>
      <c r="D150" s="269"/>
      <c r="E150" s="271"/>
      <c r="F150" s="250"/>
      <c r="G150" s="255"/>
      <c r="H150" s="302" t="s">
        <v>493</v>
      </c>
      <c r="I150" s="104" t="s">
        <v>4</v>
      </c>
      <c r="J150" s="105">
        <v>2</v>
      </c>
      <c r="K150" s="105">
        <v>2</v>
      </c>
      <c r="L150" s="106">
        <f>IF(I150&lt;&gt;0,((VLOOKUP(I150,'1. Standard_Cost'!$B$4:$D$11,2)+VLOOKUP(I150,'1. Standard_Cost'!$B$4:$D$11,3))*J150*K150),"0")</f>
        <v>323000</v>
      </c>
      <c r="M150" s="106">
        <f>L150*'1. Standard_Cost'!$F$4</f>
        <v>53941</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v>10</v>
      </c>
      <c r="AB150" s="108">
        <f>+Z150*'1. Standard_Cost'!$B$23+AA150*'1. Standard_Cost'!$C$23</f>
        <v>190000</v>
      </c>
      <c r="AC150" s="109">
        <f>3*10*300</f>
        <v>9000</v>
      </c>
      <c r="AD150" s="110"/>
      <c r="AE150" s="108"/>
      <c r="AF150" s="108">
        <f t="shared" si="144"/>
        <v>199000</v>
      </c>
      <c r="AG150" s="107"/>
      <c r="AH150" s="107"/>
      <c r="AI150" s="107"/>
      <c r="AJ150" s="111"/>
      <c r="AK150" s="111"/>
      <c r="AL150" s="111"/>
      <c r="AM150" s="108">
        <f>AG150*'1. Standard_Cost'!$B$27+'Incremental_Cost Year 2'!AH150*'1. Standard_Cost'!$C$27+'Incremental_Cost Year 2'!AI150*'1. Standard_Cost'!$D$27+'Incremental_Cost Year 2'!AJ150+'Incremental_Cost Year 2'!AL150+AK150</f>
        <v>0</v>
      </c>
      <c r="AN150" s="108">
        <f>AM150*'1. Standard_Cost'!$C$31</f>
        <v>0</v>
      </c>
      <c r="AO150" s="125" t="s">
        <v>373</v>
      </c>
      <c r="AQ150" s="14">
        <f t="shared" si="145"/>
        <v>376941</v>
      </c>
      <c r="AR150" s="14">
        <f t="shared" si="146"/>
        <v>199000</v>
      </c>
      <c r="AS150" s="14">
        <f t="shared" si="147"/>
        <v>0</v>
      </c>
      <c r="AT150" s="14">
        <f t="shared" si="149"/>
        <v>575941</v>
      </c>
      <c r="AU150" s="234">
        <v>376941</v>
      </c>
      <c r="AV150" s="234"/>
      <c r="AW150" s="234"/>
      <c r="AX150" s="234">
        <v>199000</v>
      </c>
      <c r="AY150" s="297"/>
      <c r="AZ150" s="234"/>
      <c r="BA150" s="234"/>
      <c r="BB150" s="16">
        <f t="shared" si="148"/>
        <v>0</v>
      </c>
      <c r="BF150" s="295"/>
    </row>
    <row r="151" spans="1:58" ht="78" outlineLevel="2">
      <c r="A151" s="98"/>
      <c r="B151" s="102"/>
      <c r="C151" s="23"/>
      <c r="D151" s="269"/>
      <c r="E151" s="271"/>
      <c r="F151" s="250"/>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v>5</v>
      </c>
      <c r="AA151" s="107">
        <v>15</v>
      </c>
      <c r="AB151" s="108">
        <f>+Z151*'1. Standard_Cost'!$B$23+AA151*'1. Standard_Cost'!$C$23</f>
        <v>655000</v>
      </c>
      <c r="AC151" s="109"/>
      <c r="AD151" s="110"/>
      <c r="AE151" s="108">
        <v>0</v>
      </c>
      <c r="AF151" s="108">
        <f t="shared" si="144"/>
        <v>655000</v>
      </c>
      <c r="AG151" s="107"/>
      <c r="AH151" s="107"/>
      <c r="AI151" s="107"/>
      <c r="AJ151" s="111"/>
      <c r="AK151" s="111"/>
      <c r="AL151" s="111"/>
      <c r="AM151" s="108">
        <f>AG151*'1. Standard_Cost'!$B$27+'Incremental_Cost Year 2'!AH151*'1. Standard_Cost'!$C$27+'Incremental_Cost Year 2'!AI151*'1. Standard_Cost'!$D$27+'Incremental_Cost Year 2'!AJ151+'Incremental_Cost Year 2'!AL151+AK151</f>
        <v>0</v>
      </c>
      <c r="AN151" s="108">
        <f>AM151*'1. Standard_Cost'!$C$31</f>
        <v>0</v>
      </c>
      <c r="AO151" s="125" t="s">
        <v>374</v>
      </c>
      <c r="AQ151" s="14">
        <f t="shared" si="145"/>
        <v>0</v>
      </c>
      <c r="AR151" s="14">
        <f t="shared" si="146"/>
        <v>655000</v>
      </c>
      <c r="AS151" s="14">
        <f t="shared" si="147"/>
        <v>0</v>
      </c>
      <c r="AT151" s="14">
        <f t="shared" si="149"/>
        <v>655000</v>
      </c>
      <c r="AU151" s="234"/>
      <c r="AV151" s="234"/>
      <c r="AW151" s="234"/>
      <c r="AX151" s="234">
        <v>655000</v>
      </c>
      <c r="AY151" s="297"/>
      <c r="AZ151" s="234"/>
      <c r="BA151" s="234"/>
      <c r="BB151" s="16">
        <f t="shared" si="148"/>
        <v>0</v>
      </c>
      <c r="BF151" s="295"/>
    </row>
    <row r="152" spans="1:58" ht="41.4" customHeight="1" outlineLevel="2">
      <c r="A152" s="98"/>
      <c r="B152" s="102"/>
      <c r="C152" s="23"/>
      <c r="D152" s="269"/>
      <c r="E152" s="271"/>
      <c r="F152" s="161"/>
      <c r="G152" s="161"/>
      <c r="H152" s="303" t="s">
        <v>488</v>
      </c>
      <c r="I152" s="104" t="s">
        <v>4</v>
      </c>
      <c r="J152" s="105">
        <v>3</v>
      </c>
      <c r="K152" s="105">
        <v>1</v>
      </c>
      <c r="L152" s="106">
        <f>IF(I152&lt;&gt;0,((VLOOKUP(I152,'1. Standard_Cost'!$B$4:$D$11,2)+VLOOKUP(I152,'1. Standard_Cost'!$B$4:$D$11,3))*J152*K152),"0")</f>
        <v>242250</v>
      </c>
      <c r="M152" s="106">
        <f>L152*'1. Standard_Cost'!$F$4</f>
        <v>40455.75</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44"/>
        <v>0</v>
      </c>
      <c r="AG152" s="107"/>
      <c r="AH152" s="107"/>
      <c r="AI152" s="107"/>
      <c r="AJ152" s="111"/>
      <c r="AK152" s="111"/>
      <c r="AL152" s="111"/>
      <c r="AM152" s="108">
        <f>AG152*'1. Standard_Cost'!$B$27+'Incremental_Cost Year 2'!AH152*'1. Standard_Cost'!$C$27+'Incremental_Cost Year 2'!AI152*'1. Standard_Cost'!$D$27+'Incremental_Cost Year 2'!AJ152+'Incremental_Cost Year 2'!AL152+AK152</f>
        <v>0</v>
      </c>
      <c r="AN152" s="108">
        <f>AM152*'1. Standard_Cost'!$C$31</f>
        <v>0</v>
      </c>
      <c r="AO152" s="125" t="s">
        <v>374</v>
      </c>
      <c r="AQ152" s="14">
        <f t="shared" si="145"/>
        <v>282705.75</v>
      </c>
      <c r="AR152" s="14">
        <f t="shared" si="146"/>
        <v>0</v>
      </c>
      <c r="AS152" s="14">
        <f t="shared" si="147"/>
        <v>0</v>
      </c>
      <c r="AT152" s="14">
        <f t="shared" si="149"/>
        <v>282705.75</v>
      </c>
      <c r="AU152" s="234">
        <v>282705.75</v>
      </c>
      <c r="AV152" s="234"/>
      <c r="AW152" s="234"/>
      <c r="AX152" s="234"/>
      <c r="AY152" s="297"/>
      <c r="AZ152" s="234"/>
      <c r="BA152" s="234"/>
      <c r="BB152" s="16">
        <f t="shared" si="148"/>
        <v>0</v>
      </c>
      <c r="BF152" s="295"/>
    </row>
    <row r="153" spans="1:58" ht="234" outlineLevel="2">
      <c r="A153" s="98"/>
      <c r="B153" s="102"/>
      <c r="C153" s="23"/>
      <c r="D153" s="269"/>
      <c r="E153" s="271"/>
      <c r="F153" s="250"/>
      <c r="G153" s="255"/>
      <c r="H153" s="302" t="s">
        <v>495</v>
      </c>
      <c r="I153" s="104" t="s">
        <v>4</v>
      </c>
      <c r="J153" s="105">
        <v>0.4</v>
      </c>
      <c r="K153" s="105">
        <v>3</v>
      </c>
      <c r="L153" s="106">
        <f>IF(I153&lt;&gt;0,((VLOOKUP(I153,'1. Standard_Cost'!$B$4:$D$11,2)+VLOOKUP(I153,'1. Standard_Cost'!$B$4:$D$11,3))*J153*K153),"0")</f>
        <v>96900</v>
      </c>
      <c r="M153" s="106">
        <f>L153*'1. Standard_Cost'!$F$4</f>
        <v>16182.300000000001</v>
      </c>
      <c r="N153" s="107">
        <v>10</v>
      </c>
      <c r="O153" s="107">
        <v>2</v>
      </c>
      <c r="P153" s="107">
        <v>10</v>
      </c>
      <c r="Q153" s="107"/>
      <c r="R153" s="108">
        <v>0</v>
      </c>
      <c r="S153" s="108">
        <v>0</v>
      </c>
      <c r="T153" s="108">
        <f>N153*P153*Q153*'1. Standard_Cost'!$D$15</f>
        <v>0</v>
      </c>
      <c r="U153" s="108">
        <v>0</v>
      </c>
      <c r="V153" s="107"/>
      <c r="W153" s="107"/>
      <c r="X153" s="107"/>
      <c r="Y153" s="108">
        <f>+V153*((X153*'1. Standard_Cost'!$B$19)+(W153*X153*'1. Standard_Cost'!$C$19))</f>
        <v>0</v>
      </c>
      <c r="Z153" s="107"/>
      <c r="AA153" s="107">
        <v>4</v>
      </c>
      <c r="AB153" s="108">
        <f>+Z153*'1. Standard_Cost'!$B$23+AA153*'1. Standard_Cost'!$C$23</f>
        <v>76000</v>
      </c>
      <c r="AC153" s="109">
        <f>700000+500000+105*2*3500+105*2*300</f>
        <v>1998000</v>
      </c>
      <c r="AD153" s="110"/>
      <c r="AE153" s="108">
        <f>SUM(AD153,AC153,AB153,Y153,U153,T153,S153,R153)*'1. Standard_Cost'!$B$31</f>
        <v>414800</v>
      </c>
      <c r="AF153" s="108">
        <f t="shared" si="144"/>
        <v>2488800</v>
      </c>
      <c r="AG153" s="107"/>
      <c r="AH153" s="107"/>
      <c r="AI153" s="107"/>
      <c r="AJ153" s="111"/>
      <c r="AK153" s="111"/>
      <c r="AL153" s="111"/>
      <c r="AM153" s="108">
        <f>AG153*'1. Standard_Cost'!$B$27+'Incremental_Cost Year 2'!AH153*'1. Standard_Cost'!$C$27+'Incremental_Cost Year 2'!AI153*'1. Standard_Cost'!$D$27+'Incremental_Cost Year 2'!AJ153+'Incremental_Cost Year 2'!AL153+AK153</f>
        <v>0</v>
      </c>
      <c r="AN153" s="108">
        <f>AM153*'1. Standard_Cost'!$C$31</f>
        <v>0</v>
      </c>
      <c r="AO153" s="125" t="s">
        <v>313</v>
      </c>
      <c r="AQ153" s="14">
        <f t="shared" si="145"/>
        <v>113082.3</v>
      </c>
      <c r="AR153" s="14">
        <f t="shared" si="146"/>
        <v>2488800</v>
      </c>
      <c r="AS153" s="14">
        <f t="shared" si="147"/>
        <v>0</v>
      </c>
      <c r="AT153" s="14">
        <f t="shared" si="149"/>
        <v>2601882.2999999998</v>
      </c>
      <c r="AU153" s="234">
        <v>113082.3</v>
      </c>
      <c r="AV153" s="234"/>
      <c r="AW153" s="234"/>
      <c r="AX153" s="234">
        <v>1998800</v>
      </c>
      <c r="AY153" s="297"/>
      <c r="AZ153" s="234">
        <v>490000</v>
      </c>
      <c r="BA153" s="234"/>
      <c r="BB153" s="16">
        <f t="shared" si="148"/>
        <v>0</v>
      </c>
      <c r="BF153" s="295"/>
    </row>
    <row r="154" spans="1:58" ht="140.4" outlineLevel="2">
      <c r="A154" s="98"/>
      <c r="B154" s="102"/>
      <c r="C154" s="23"/>
      <c r="D154" s="269"/>
      <c r="E154" s="271"/>
      <c r="F154" s="250"/>
      <c r="G154" s="255"/>
      <c r="H154" s="302" t="s">
        <v>496</v>
      </c>
      <c r="I154" s="104" t="s">
        <v>4</v>
      </c>
      <c r="J154" s="105">
        <v>2</v>
      </c>
      <c r="K154" s="105">
        <v>2</v>
      </c>
      <c r="L154" s="106">
        <f>IF(I154&lt;&gt;0,((VLOOKUP(I154,'1. Standard_Cost'!$B$4:$D$11,2)+VLOOKUP(I154,'1. Standard_Cost'!$B$4:$D$11,3))*J154*K154),"0")</f>
        <v>323000</v>
      </c>
      <c r="M154" s="106">
        <f>L154*'1. Standard_Cost'!$F$4</f>
        <v>53941</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v>5</v>
      </c>
      <c r="AB154" s="108">
        <f>+Z154*'1. Standard_Cost'!$B$23+AA154*'1. Standard_Cost'!$C$23</f>
        <v>95000</v>
      </c>
      <c r="AC154" s="109"/>
      <c r="AD154" s="110"/>
      <c r="AE154" s="108">
        <f>SUM(AD154,AC154,AB154,Y154,U154,T154,S154,R154)*'1. Standard_Cost'!$B$31</f>
        <v>19000</v>
      </c>
      <c r="AF154" s="108">
        <f t="shared" si="144"/>
        <v>114000</v>
      </c>
      <c r="AG154" s="107"/>
      <c r="AH154" s="107"/>
      <c r="AI154" s="107"/>
      <c r="AJ154" s="111"/>
      <c r="AK154" s="111"/>
      <c r="AL154" s="111"/>
      <c r="AM154" s="108">
        <f>AG154*'1. Standard_Cost'!$B$27+'Incremental_Cost Year 2'!AH154*'1. Standard_Cost'!$C$27+'Incremental_Cost Year 2'!AI154*'1. Standard_Cost'!$D$27+'Incremental_Cost Year 2'!AJ154+'Incremental_Cost Year 2'!AL154+AK154</f>
        <v>0</v>
      </c>
      <c r="AN154" s="108">
        <f>AM154*'1. Standard_Cost'!$C$31</f>
        <v>0</v>
      </c>
      <c r="AO154" s="125" t="s">
        <v>375</v>
      </c>
      <c r="AQ154" s="14">
        <f t="shared" si="145"/>
        <v>376941</v>
      </c>
      <c r="AR154" s="14">
        <f t="shared" si="146"/>
        <v>114000</v>
      </c>
      <c r="AS154" s="14">
        <f t="shared" si="147"/>
        <v>0</v>
      </c>
      <c r="AT154" s="14">
        <f t="shared" si="149"/>
        <v>490941</v>
      </c>
      <c r="AU154" s="234">
        <v>376941</v>
      </c>
      <c r="AV154" s="234"/>
      <c r="AW154" s="234"/>
      <c r="AX154" s="234"/>
      <c r="AY154" s="297"/>
      <c r="AZ154" s="234"/>
      <c r="BA154" s="234"/>
      <c r="BB154" s="16">
        <f t="shared" si="148"/>
        <v>-114000</v>
      </c>
      <c r="BF154" s="295"/>
    </row>
    <row r="155" spans="1:58" ht="31.2" outlineLevel="2">
      <c r="A155" s="98"/>
      <c r="B155" s="102"/>
      <c r="C155" s="23"/>
      <c r="D155" s="269"/>
      <c r="E155" s="271"/>
      <c r="F155" s="250"/>
      <c r="G155" s="255"/>
      <c r="H155" s="304" t="s">
        <v>489</v>
      </c>
      <c r="I155" s="104" t="s">
        <v>4</v>
      </c>
      <c r="J155" s="105">
        <v>2</v>
      </c>
      <c r="K155" s="105">
        <v>2</v>
      </c>
      <c r="L155" s="106">
        <f>IF(I155&lt;&gt;0,((VLOOKUP(I155,'1. Standard_Cost'!$B$4:$D$11,2)+VLOOKUP(I155,'1. Standard_Cost'!$B$4:$D$11,3))*J155*K155),"0")</f>
        <v>323000</v>
      </c>
      <c r="M155" s="106">
        <f>L155*'1. Standard_Cost'!$F$4</f>
        <v>53941</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v>5</v>
      </c>
      <c r="AB155" s="108">
        <f>+Z155*'[1]1. Standard_Cost'!$B$23+AA155*'[1]1. Standard_Cost'!$C$23</f>
        <v>95000</v>
      </c>
      <c r="AC155" s="109"/>
      <c r="AD155" s="110"/>
      <c r="AE155" s="108">
        <f>SUM(AD155,AC155,AB155,Y155,U155,T155,S155,R155)*'[1]1. Standard_Cost'!$B$31</f>
        <v>19000</v>
      </c>
      <c r="AF155" s="108">
        <f t="shared" si="144"/>
        <v>114000</v>
      </c>
      <c r="AG155" s="107"/>
      <c r="AH155" s="107"/>
      <c r="AI155" s="107"/>
      <c r="AJ155" s="111"/>
      <c r="AK155" s="111"/>
      <c r="AL155" s="111"/>
      <c r="AM155" s="108">
        <f>AG155*'1. Standard_Cost'!$B$27+'Incremental_Cost Year 2'!AH155*'1. Standard_Cost'!$C$27+'Incremental_Cost Year 2'!AI155*'1. Standard_Cost'!$D$27+'Incremental_Cost Year 2'!AJ155+'Incremental_Cost Year 2'!AL155+AK155</f>
        <v>0</v>
      </c>
      <c r="AN155" s="108">
        <f>AM155*'1. Standard_Cost'!$C$31</f>
        <v>0</v>
      </c>
      <c r="AO155" s="125" t="s">
        <v>376</v>
      </c>
      <c r="AQ155" s="14">
        <f t="shared" si="145"/>
        <v>376941</v>
      </c>
      <c r="AR155" s="14">
        <f t="shared" si="146"/>
        <v>114000</v>
      </c>
      <c r="AS155" s="14">
        <f t="shared" si="147"/>
        <v>0</v>
      </c>
      <c r="AT155" s="14">
        <f t="shared" si="149"/>
        <v>490941</v>
      </c>
      <c r="AU155" s="234">
        <v>376941</v>
      </c>
      <c r="AV155" s="234"/>
      <c r="AW155" s="234"/>
      <c r="AX155" s="234"/>
      <c r="AY155" s="297"/>
      <c r="AZ155" s="234"/>
      <c r="BA155" s="234"/>
      <c r="BB155" s="16">
        <f t="shared" si="148"/>
        <v>-114000</v>
      </c>
      <c r="BF155" s="295"/>
    </row>
    <row r="156" spans="1:58" ht="78" outlineLevel="2">
      <c r="A156" s="98"/>
      <c r="B156" s="102"/>
      <c r="C156" s="23"/>
      <c r="D156" s="269"/>
      <c r="E156" s="271"/>
      <c r="F156" s="250"/>
      <c r="G156" s="255"/>
      <c r="H156" s="302" t="s">
        <v>497</v>
      </c>
      <c r="I156" s="104" t="s">
        <v>4</v>
      </c>
      <c r="J156" s="105">
        <v>2</v>
      </c>
      <c r="K156" s="105">
        <v>2</v>
      </c>
      <c r="L156" s="106">
        <f>IF(I156&lt;&gt;0,((VLOOKUP(I156,'1. Standard_Cost'!$B$4:$D$11,2)+VLOOKUP(I156,'1. Standard_Cost'!$B$4:$D$11,3))*J156*K156),"0")</f>
        <v>323000</v>
      </c>
      <c r="M156" s="106">
        <f>L156*'1. Standard_Cost'!$F$4</f>
        <v>53941</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v>10</v>
      </c>
      <c r="AB156" s="108">
        <f>+Z156*'1. Standard_Cost'!$B$23+AA156*'1. Standard_Cost'!$C$23</f>
        <v>190000</v>
      </c>
      <c r="AC156" s="109">
        <f>10*300</f>
        <v>3000</v>
      </c>
      <c r="AD156" s="110"/>
      <c r="AE156" s="108">
        <v>0</v>
      </c>
      <c r="AF156" s="108">
        <f t="shared" si="144"/>
        <v>193000</v>
      </c>
      <c r="AG156" s="107"/>
      <c r="AH156" s="107"/>
      <c r="AI156" s="107"/>
      <c r="AJ156" s="111"/>
      <c r="AK156" s="111"/>
      <c r="AL156" s="111"/>
      <c r="AM156" s="108">
        <f>AG156*'1. Standard_Cost'!$B$27+'Incremental_Cost Year 2'!AH156*'1. Standard_Cost'!$C$27+'Incremental_Cost Year 2'!AI156*'1. Standard_Cost'!$D$27+'Incremental_Cost Year 2'!AJ156+'Incremental_Cost Year 2'!AL156+AK156</f>
        <v>0</v>
      </c>
      <c r="AN156" s="108">
        <f>AM156*'1. Standard_Cost'!$C$31</f>
        <v>0</v>
      </c>
      <c r="AO156" s="125" t="s">
        <v>377</v>
      </c>
      <c r="AQ156" s="14">
        <f t="shared" si="145"/>
        <v>376941</v>
      </c>
      <c r="AR156" s="14">
        <f t="shared" si="146"/>
        <v>193000</v>
      </c>
      <c r="AS156" s="14">
        <f t="shared" si="147"/>
        <v>0</v>
      </c>
      <c r="AT156" s="14">
        <f t="shared" si="149"/>
        <v>569941</v>
      </c>
      <c r="AU156" s="234">
        <v>376941</v>
      </c>
      <c r="AV156" s="234"/>
      <c r="AW156" s="234"/>
      <c r="AX156" s="234"/>
      <c r="AY156" s="297"/>
      <c r="AZ156" s="234">
        <v>193000</v>
      </c>
      <c r="BA156" s="234"/>
      <c r="BB156" s="16">
        <f t="shared" si="148"/>
        <v>0</v>
      </c>
      <c r="BF156" s="295"/>
    </row>
    <row r="157" spans="1:58" ht="93.6" outlineLevel="2">
      <c r="A157" s="98"/>
      <c r="B157" s="102"/>
      <c r="C157" s="23"/>
      <c r="D157" s="269"/>
      <c r="E157" s="271"/>
      <c r="F157" s="250"/>
      <c r="G157" s="255"/>
      <c r="H157" s="302" t="s">
        <v>498</v>
      </c>
      <c r="I157" s="104" t="s">
        <v>4</v>
      </c>
      <c r="J157" s="105">
        <v>0.5</v>
      </c>
      <c r="K157" s="105">
        <v>4</v>
      </c>
      <c r="L157" s="106">
        <f>IF(I157&lt;&gt;0,((VLOOKUP(I157,'1. Standard_Cost'!$B$4:$D$11,2)+VLOOKUP(I157,'1. Standard_Cost'!$B$4:$D$11,3))*J157*K157),"0")</f>
        <v>161500</v>
      </c>
      <c r="M157" s="106">
        <f>L157*'1. Standard_Cost'!$F$4</f>
        <v>26970.5</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v>10</v>
      </c>
      <c r="AB157" s="108">
        <f>+Z157*'1. Standard_Cost'!$B$23+AA157*'1. Standard_Cost'!$C$23</f>
        <v>190000</v>
      </c>
      <c r="AC157" s="109">
        <f>10*300</f>
        <v>3000</v>
      </c>
      <c r="AD157" s="110"/>
      <c r="AE157" s="108">
        <v>0</v>
      </c>
      <c r="AF157" s="108">
        <f t="shared" si="144"/>
        <v>193000</v>
      </c>
      <c r="AG157" s="107"/>
      <c r="AH157" s="107"/>
      <c r="AI157" s="107"/>
      <c r="AJ157" s="111"/>
      <c r="AK157" s="111"/>
      <c r="AL157" s="111"/>
      <c r="AM157" s="108">
        <f>AG157*'1. Standard_Cost'!$B$27+'Incremental_Cost Year 2'!AH157*'1. Standard_Cost'!$C$27+'Incremental_Cost Year 2'!AI157*'1. Standard_Cost'!$D$27+'Incremental_Cost Year 2'!AJ157+'Incremental_Cost Year 2'!AL157+AK157</f>
        <v>0</v>
      </c>
      <c r="AN157" s="108">
        <f>AM157*'1. Standard_Cost'!$C$31</f>
        <v>0</v>
      </c>
      <c r="AO157" s="125" t="s">
        <v>378</v>
      </c>
      <c r="AQ157" s="14">
        <f t="shared" si="145"/>
        <v>188470.5</v>
      </c>
      <c r="AR157" s="14">
        <f t="shared" si="146"/>
        <v>193000</v>
      </c>
      <c r="AS157" s="14">
        <f t="shared" si="147"/>
        <v>0</v>
      </c>
      <c r="AT157" s="14">
        <f t="shared" si="149"/>
        <v>381470.5</v>
      </c>
      <c r="AU157" s="234">
        <v>188470.5</v>
      </c>
      <c r="AV157" s="234"/>
      <c r="AW157" s="234"/>
      <c r="AX157" s="234"/>
      <c r="AY157" s="297"/>
      <c r="AZ157" s="234"/>
      <c r="BA157" s="234"/>
      <c r="BB157" s="16">
        <f t="shared" si="148"/>
        <v>-193000</v>
      </c>
      <c r="BF157" s="295"/>
    </row>
    <row r="158" spans="1:58" ht="109.2" outlineLevel="2">
      <c r="A158" s="98"/>
      <c r="B158" s="102"/>
      <c r="C158" s="23"/>
      <c r="D158" s="269"/>
      <c r="E158" s="271"/>
      <c r="F158" s="250"/>
      <c r="G158" s="255"/>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12</v>
      </c>
      <c r="AB158" s="108">
        <f>+Z158*'1. Standard_Cost'!$B$23+AA158*'1. Standard_Cost'!$C$23</f>
        <v>228000</v>
      </c>
      <c r="AC158" s="109">
        <f>10*15*3500+10*15*300</f>
        <v>570000</v>
      </c>
      <c r="AD158" s="110"/>
      <c r="AE158" s="108">
        <v>0</v>
      </c>
      <c r="AF158" s="108">
        <f t="shared" si="144"/>
        <v>798000</v>
      </c>
      <c r="AG158" s="107"/>
      <c r="AH158" s="107"/>
      <c r="AI158" s="107"/>
      <c r="AJ158" s="111"/>
      <c r="AK158" s="111"/>
      <c r="AL158" s="111"/>
      <c r="AM158" s="108">
        <f>AG158*'1. Standard_Cost'!$B$27+'Incremental_Cost Year 2'!AH158*'1. Standard_Cost'!$C$27+'Incremental_Cost Year 2'!AI158*'1. Standard_Cost'!$D$27+'Incremental_Cost Year 2'!AJ158+'Incremental_Cost Year 2'!AL158+AK158</f>
        <v>0</v>
      </c>
      <c r="AN158" s="108">
        <f>AM158*'1. Standard_Cost'!$C$31</f>
        <v>0</v>
      </c>
      <c r="AO158" s="125" t="s">
        <v>379</v>
      </c>
      <c r="AQ158" s="14">
        <f t="shared" si="145"/>
        <v>37694.1</v>
      </c>
      <c r="AR158" s="14">
        <f t="shared" si="146"/>
        <v>798000</v>
      </c>
      <c r="AS158" s="14">
        <f t="shared" si="147"/>
        <v>0</v>
      </c>
      <c r="AT158" s="14">
        <f t="shared" si="149"/>
        <v>835694.1</v>
      </c>
      <c r="AU158" s="234">
        <v>37694.1</v>
      </c>
      <c r="AV158" s="234"/>
      <c r="AW158" s="234"/>
      <c r="AX158" s="234"/>
      <c r="AY158" s="297"/>
      <c r="AZ158" s="234"/>
      <c r="BA158" s="234"/>
      <c r="BB158" s="16">
        <f t="shared" si="148"/>
        <v>-798000</v>
      </c>
      <c r="BF158" s="295"/>
    </row>
    <row r="159" spans="1:58" ht="124.8" outlineLevel="2">
      <c r="A159" s="98"/>
      <c r="B159" s="102"/>
      <c r="C159" s="23"/>
      <c r="D159" s="269"/>
      <c r="E159" s="271"/>
      <c r="F159" s="250"/>
      <c r="G159" s="255"/>
      <c r="H159" s="302" t="s">
        <v>500</v>
      </c>
      <c r="I159" s="104" t="s">
        <v>559</v>
      </c>
      <c r="J159" s="105">
        <v>2</v>
      </c>
      <c r="K159" s="105">
        <v>2</v>
      </c>
      <c r="L159" s="106">
        <f>IF(I159&lt;&gt;0,((VLOOKUP(I159,'1. Standard_Cost'!$B$4:$D$11,2)+VLOOKUP(I159,'1. Standard_Cost'!$B$4:$D$11,3))*J159*K159),"0")</f>
        <v>323000</v>
      </c>
      <c r="M159" s="106">
        <f>L159*'1. Standard_Cost'!$F$4</f>
        <v>53941</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v>5</v>
      </c>
      <c r="AB159" s="108">
        <f>+Z159*'1. Standard_Cost'!$B$23+AA159*'1. Standard_Cost'!$C$23</f>
        <v>95000</v>
      </c>
      <c r="AC159" s="109">
        <f>10*300*2</f>
        <v>6000</v>
      </c>
      <c r="AD159" s="110"/>
      <c r="AE159" s="108">
        <v>0</v>
      </c>
      <c r="AF159" s="108">
        <f t="shared" si="144"/>
        <v>101000</v>
      </c>
      <c r="AG159" s="107"/>
      <c r="AH159" s="107"/>
      <c r="AI159" s="107"/>
      <c r="AJ159" s="111"/>
      <c r="AK159" s="111"/>
      <c r="AL159" s="111"/>
      <c r="AM159" s="108">
        <f>AG159*'1. Standard_Cost'!$B$27+'Incremental_Cost Year 2'!AH159*'1. Standard_Cost'!$C$27+'Incremental_Cost Year 2'!AI159*'1. Standard_Cost'!$D$27+'Incremental_Cost Year 2'!AJ159+'Incremental_Cost Year 2'!AL159+AK159</f>
        <v>0</v>
      </c>
      <c r="AN159" s="108">
        <f>AM159*'1. Standard_Cost'!$C$31</f>
        <v>0</v>
      </c>
      <c r="AO159" s="125" t="s">
        <v>380</v>
      </c>
      <c r="AQ159" s="14">
        <f t="shared" si="145"/>
        <v>376941</v>
      </c>
      <c r="AR159" s="14">
        <f t="shared" si="146"/>
        <v>101000</v>
      </c>
      <c r="AS159" s="14">
        <f t="shared" si="147"/>
        <v>0</v>
      </c>
      <c r="AT159" s="14">
        <f t="shared" si="149"/>
        <v>477941</v>
      </c>
      <c r="AU159" s="234">
        <v>376941</v>
      </c>
      <c r="AV159" s="234"/>
      <c r="AW159" s="234"/>
      <c r="AX159" s="234"/>
      <c r="AY159" s="297"/>
      <c r="AZ159" s="234"/>
      <c r="BA159" s="234"/>
      <c r="BB159" s="16">
        <f t="shared" si="148"/>
        <v>-101000</v>
      </c>
      <c r="BF159" s="295"/>
    </row>
    <row r="160" spans="1:58" ht="62.4" outlineLevel="2">
      <c r="A160" s="98"/>
      <c r="B160" s="102"/>
      <c r="C160" s="23"/>
      <c r="D160" s="269"/>
      <c r="E160" s="271"/>
      <c r="F160" s="250"/>
      <c r="G160" s="177"/>
      <c r="H160" s="302" t="s">
        <v>501</v>
      </c>
      <c r="I160" s="104" t="s">
        <v>4</v>
      </c>
      <c r="J160" s="105">
        <v>0.5</v>
      </c>
      <c r="K160" s="105">
        <v>2</v>
      </c>
      <c r="L160" s="106">
        <f>IF(I160&lt;&gt;0,((VLOOKUP(I160,'1. Standard_Cost'!$B$4:$D$11,2)+VLOOKUP(I160,'1. Standard_Cost'!$B$4:$D$11,3))*J160*K160),"0")</f>
        <v>80750</v>
      </c>
      <c r="M160" s="106">
        <f>L160*'1. Standard_Cost'!$F$4</f>
        <v>13485.25</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v>15</v>
      </c>
      <c r="AB160" s="108">
        <f>+Z160*'1. Standard_Cost'!$B$23+AA160*'1. Standard_Cost'!$C$23</f>
        <v>285000</v>
      </c>
      <c r="AC160" s="109"/>
      <c r="AD160" s="110"/>
      <c r="AE160" s="108">
        <v>0</v>
      </c>
      <c r="AF160" s="108">
        <f t="shared" si="144"/>
        <v>285000</v>
      </c>
      <c r="AG160" s="107"/>
      <c r="AH160" s="107"/>
      <c r="AI160" s="107"/>
      <c r="AJ160" s="111"/>
      <c r="AK160" s="111"/>
      <c r="AL160" s="111"/>
      <c r="AM160" s="108">
        <f>AG160*'1. Standard_Cost'!$B$27+'Incremental_Cost Year 2'!AH160*'1. Standard_Cost'!$C$27+'Incremental_Cost Year 2'!AI160*'1. Standard_Cost'!$D$27+'Incremental_Cost Year 2'!AJ160+'Incremental_Cost Year 2'!AL160+AK160</f>
        <v>0</v>
      </c>
      <c r="AN160" s="108">
        <f>AM160*'1. Standard_Cost'!$C$31</f>
        <v>0</v>
      </c>
      <c r="AO160" s="125" t="s">
        <v>381</v>
      </c>
      <c r="AQ160" s="14">
        <f t="shared" si="145"/>
        <v>94235.25</v>
      </c>
      <c r="AR160" s="14">
        <f t="shared" si="146"/>
        <v>285000</v>
      </c>
      <c r="AS160" s="14">
        <f t="shared" si="147"/>
        <v>0</v>
      </c>
      <c r="AT160" s="14">
        <f t="shared" si="149"/>
        <v>379235.25</v>
      </c>
      <c r="AU160" s="234">
        <v>94235.25</v>
      </c>
      <c r="AV160" s="234"/>
      <c r="AW160" s="234"/>
      <c r="AX160" s="234"/>
      <c r="AY160" s="297"/>
      <c r="AZ160" s="234"/>
      <c r="BA160" s="234"/>
      <c r="BB160" s="16">
        <f t="shared" si="148"/>
        <v>-285000</v>
      </c>
      <c r="BF160" s="295"/>
    </row>
    <row r="161" spans="1:58" ht="78" outlineLevel="2">
      <c r="A161" s="98"/>
      <c r="B161" s="102"/>
      <c r="C161" s="23"/>
      <c r="D161" s="269"/>
      <c r="E161" s="271"/>
      <c r="F161" s="250"/>
      <c r="G161" s="255"/>
      <c r="H161" s="302" t="s">
        <v>502</v>
      </c>
      <c r="I161" s="104" t="s">
        <v>4</v>
      </c>
      <c r="J161" s="105">
        <v>0.2</v>
      </c>
      <c r="K161" s="105">
        <v>1</v>
      </c>
      <c r="L161" s="106">
        <f>IF(I161&lt;&gt;0,((VLOOKUP(I161,'1. Standard_Cost'!$B$4:$D$11,2)+VLOOKUP(I161,'1. Standard_Cost'!$B$4:$D$11,3))*J161*K161),"0")</f>
        <v>16150</v>
      </c>
      <c r="M161" s="106">
        <f>L161*'1. Standard_Cost'!$F$4</f>
        <v>2697.05</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v>2000000</v>
      </c>
      <c r="AD161" s="110"/>
      <c r="AE161" s="108">
        <f>SUM(AD161,AC161,AB161,Y161,U161,T161,S161,R161)*'1. Standard_Cost'!$B$31</f>
        <v>400000</v>
      </c>
      <c r="AF161" s="108">
        <f t="shared" si="144"/>
        <v>2400000</v>
      </c>
      <c r="AG161" s="107"/>
      <c r="AH161" s="107"/>
      <c r="AI161" s="107"/>
      <c r="AJ161" s="111"/>
      <c r="AK161" s="111"/>
      <c r="AL161" s="111"/>
      <c r="AM161" s="108">
        <f>AG161*'1. Standard_Cost'!$B$27+'Incremental_Cost Year 2'!AH161*'1. Standard_Cost'!$C$27+'Incremental_Cost Year 2'!AI161*'1. Standard_Cost'!$D$27+'Incremental_Cost Year 2'!AJ161+'Incremental_Cost Year 2'!AL161+AK161</f>
        <v>0</v>
      </c>
      <c r="AN161" s="108">
        <f>AM161*'1. Standard_Cost'!$C$31</f>
        <v>0</v>
      </c>
      <c r="AO161" s="125" t="s">
        <v>277</v>
      </c>
      <c r="AQ161" s="14">
        <f t="shared" si="145"/>
        <v>18847.05</v>
      </c>
      <c r="AR161" s="14">
        <f t="shared" si="146"/>
        <v>2400000</v>
      </c>
      <c r="AS161" s="14">
        <f t="shared" si="147"/>
        <v>0</v>
      </c>
      <c r="AT161" s="14">
        <f t="shared" si="149"/>
        <v>2418847.0499999998</v>
      </c>
      <c r="AU161" s="234">
        <v>18847.05</v>
      </c>
      <c r="AV161" s="234"/>
      <c r="AW161" s="234"/>
      <c r="AX161" s="234"/>
      <c r="AY161" s="297"/>
      <c r="AZ161" s="234"/>
      <c r="BA161" s="234"/>
      <c r="BB161" s="16">
        <f t="shared" si="148"/>
        <v>-2400000</v>
      </c>
      <c r="BF161" s="295"/>
    </row>
    <row r="162" spans="1:58" ht="93.6" outlineLevel="2">
      <c r="A162" s="98"/>
      <c r="B162" s="102"/>
      <c r="C162" s="23"/>
      <c r="D162" s="251"/>
      <c r="E162" s="251"/>
      <c r="F162" s="251"/>
      <c r="G162" s="250"/>
      <c r="H162" s="302" t="s">
        <v>503</v>
      </c>
      <c r="I162" s="104" t="s">
        <v>5</v>
      </c>
      <c r="J162" s="105">
        <v>0.4</v>
      </c>
      <c r="K162" s="105">
        <v>2</v>
      </c>
      <c r="L162" s="106">
        <f>IF(I162&lt;&gt;0,((VLOOKUP(I162,'1. Standard_Cost'!$B$4:$D$11,2)+VLOOKUP(I162,'1. Standard_Cost'!$B$4:$D$11,3))*J162*K162),"0")</f>
        <v>56560</v>
      </c>
      <c r="M162" s="106">
        <f>L162*'1. Standard_Cost'!$F$4</f>
        <v>9445.52</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v>5</v>
      </c>
      <c r="AB162" s="108">
        <f>+Z162*'1. Standard_Cost'!$B$23+AA162*'1. Standard_Cost'!$C$23</f>
        <v>95000</v>
      </c>
      <c r="AC162" s="109"/>
      <c r="AD162" s="110"/>
      <c r="AE162" s="108">
        <v>0</v>
      </c>
      <c r="AF162" s="108">
        <f t="shared" si="144"/>
        <v>95000</v>
      </c>
      <c r="AG162" s="107"/>
      <c r="AH162" s="107"/>
      <c r="AI162" s="107"/>
      <c r="AJ162" s="111"/>
      <c r="AK162" s="111"/>
      <c r="AL162" s="111"/>
      <c r="AM162" s="108">
        <f>AG162*'1. Standard_Cost'!$B$27+'Incremental_Cost Year 2'!AH162*'1. Standard_Cost'!$C$27+'Incremental_Cost Year 2'!AI162*'1. Standard_Cost'!$D$27+'Incremental_Cost Year 2'!AJ162+'Incremental_Cost Year 2'!AL162+AK162</f>
        <v>0</v>
      </c>
      <c r="AN162" s="108">
        <f>AM162*'1. Standard_Cost'!$C$31</f>
        <v>0</v>
      </c>
      <c r="AO162" s="125" t="s">
        <v>382</v>
      </c>
      <c r="AQ162" s="14">
        <f t="shared" si="145"/>
        <v>66005.52</v>
      </c>
      <c r="AR162" s="14">
        <f t="shared" si="146"/>
        <v>95000</v>
      </c>
      <c r="AS162" s="14">
        <f t="shared" si="147"/>
        <v>0</v>
      </c>
      <c r="AT162" s="14">
        <f t="shared" si="149"/>
        <v>161005.52000000002</v>
      </c>
      <c r="AU162" s="234">
        <v>66005.52</v>
      </c>
      <c r="AV162" s="234"/>
      <c r="AW162" s="234"/>
      <c r="AX162" s="234"/>
      <c r="AY162" s="297"/>
      <c r="AZ162" s="234"/>
      <c r="BA162" s="234"/>
      <c r="BB162" s="16">
        <f t="shared" si="148"/>
        <v>-95000.000000000015</v>
      </c>
      <c r="BF162" s="295"/>
    </row>
    <row r="163" spans="1:58" ht="32.25" customHeight="1" outlineLevel="2">
      <c r="A163" s="98"/>
      <c r="B163" s="102"/>
      <c r="C163" s="23"/>
      <c r="D163" s="251"/>
      <c r="E163" s="251"/>
      <c r="F163" s="251"/>
      <c r="G163" s="250"/>
      <c r="H163" s="302" t="s">
        <v>504</v>
      </c>
      <c r="I163" s="104" t="s">
        <v>4</v>
      </c>
      <c r="J163" s="105">
        <v>1</v>
      </c>
      <c r="K163" s="105">
        <v>3</v>
      </c>
      <c r="L163" s="106">
        <f>IF(I163&lt;&gt;0,((VLOOKUP(I163,'1. Standard_Cost'!$B$4:$D$11,2)+VLOOKUP(I163,'1. Standard_Cost'!$B$4:$D$11,3))*J163*K163),"0")</f>
        <v>242250</v>
      </c>
      <c r="M163" s="106">
        <f>L163*'1. Standard_Cost'!$F$4</f>
        <v>40455.75</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v>5</v>
      </c>
      <c r="AB163" s="108">
        <f>+Z163*'1. Standard_Cost'!$B$23+AA163*'1. Standard_Cost'!$C$23</f>
        <v>95000</v>
      </c>
      <c r="AC163" s="109"/>
      <c r="AD163" s="110"/>
      <c r="AE163" s="108">
        <v>0</v>
      </c>
      <c r="AF163" s="108">
        <f t="shared" si="144"/>
        <v>95000</v>
      </c>
      <c r="AG163" s="107"/>
      <c r="AH163" s="107"/>
      <c r="AI163" s="107"/>
      <c r="AJ163" s="111"/>
      <c r="AK163" s="111"/>
      <c r="AL163" s="111"/>
      <c r="AM163" s="108">
        <f>AG163*'1. Standard_Cost'!$B$27+'Incremental_Cost Year 2'!AH163*'1. Standard_Cost'!$C$27+'Incremental_Cost Year 2'!AI163*'1. Standard_Cost'!$D$27+'Incremental_Cost Year 2'!AJ163+'Incremental_Cost Year 2'!AL163+AK163</f>
        <v>0</v>
      </c>
      <c r="AN163" s="108">
        <f>AM163*'1. Standard_Cost'!$C$31</f>
        <v>0</v>
      </c>
      <c r="AO163" s="125" t="s">
        <v>383</v>
      </c>
      <c r="AQ163" s="14">
        <f t="shared" si="145"/>
        <v>282705.75</v>
      </c>
      <c r="AR163" s="14">
        <f t="shared" si="146"/>
        <v>95000</v>
      </c>
      <c r="AS163" s="14">
        <f t="shared" si="147"/>
        <v>0</v>
      </c>
      <c r="AT163" s="14">
        <f t="shared" si="149"/>
        <v>377705.75</v>
      </c>
      <c r="AU163" s="234">
        <v>282705.75</v>
      </c>
      <c r="AV163" s="234"/>
      <c r="AW163" s="234"/>
      <c r="AX163" s="234"/>
      <c r="AY163" s="297"/>
      <c r="AZ163" s="234"/>
      <c r="BA163" s="234"/>
      <c r="BB163" s="16">
        <f t="shared" si="148"/>
        <v>-95000</v>
      </c>
      <c r="BF163" s="295"/>
    </row>
    <row r="164" spans="1:58" ht="45" customHeight="1" outlineLevel="2">
      <c r="A164" s="98"/>
      <c r="B164" s="102"/>
      <c r="C164" s="23"/>
      <c r="D164" s="251"/>
      <c r="E164" s="251"/>
      <c r="F164" s="251"/>
      <c r="G164" s="250"/>
      <c r="H164" s="302" t="s">
        <v>505</v>
      </c>
      <c r="I164" s="104" t="s">
        <v>4</v>
      </c>
      <c r="J164" s="105">
        <v>2</v>
      </c>
      <c r="K164" s="105">
        <v>1</v>
      </c>
      <c r="L164" s="106">
        <f>IF(I164&lt;&gt;0,((VLOOKUP(I164,'1. Standard_Cost'!$B$4:$D$11,2)+VLOOKUP(I164,'1. Standard_Cost'!$B$4:$D$11,3))*J164*K164),"0")</f>
        <v>161500</v>
      </c>
      <c r="M164" s="106">
        <f>L164*'1. Standard_Cost'!$F$4</f>
        <v>26970.5</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v>5</v>
      </c>
      <c r="AB164" s="108">
        <f>+Z164*'1. Standard_Cost'!$B$23+AA164*'1. Standard_Cost'!$C$23</f>
        <v>95000</v>
      </c>
      <c r="AC164" s="109"/>
      <c r="AD164" s="110"/>
      <c r="AE164" s="108">
        <v>0</v>
      </c>
      <c r="AF164" s="108">
        <f t="shared" si="144"/>
        <v>95000</v>
      </c>
      <c r="AG164" s="107"/>
      <c r="AH164" s="107"/>
      <c r="AI164" s="107"/>
      <c r="AJ164" s="111"/>
      <c r="AK164" s="111"/>
      <c r="AL164" s="111"/>
      <c r="AM164" s="108">
        <f>AG164*'1. Standard_Cost'!$B$27+'Incremental_Cost Year 2'!AH164*'1. Standard_Cost'!$C$27+'Incremental_Cost Year 2'!AI164*'1. Standard_Cost'!$D$27+'Incremental_Cost Year 2'!AJ164+'Incremental_Cost Year 2'!AL164+AK164</f>
        <v>0</v>
      </c>
      <c r="AN164" s="108">
        <f>AM164*'1. Standard_Cost'!$C$31</f>
        <v>0</v>
      </c>
      <c r="AO164" s="125" t="s">
        <v>384</v>
      </c>
      <c r="AQ164" s="14">
        <f t="shared" si="145"/>
        <v>188470.5</v>
      </c>
      <c r="AR164" s="14">
        <f t="shared" si="146"/>
        <v>95000</v>
      </c>
      <c r="AS164" s="14">
        <f t="shared" si="147"/>
        <v>0</v>
      </c>
      <c r="AT164" s="14">
        <f t="shared" si="149"/>
        <v>283470.5</v>
      </c>
      <c r="AU164" s="234">
        <v>188470.5</v>
      </c>
      <c r="AV164" s="234"/>
      <c r="AW164" s="234"/>
      <c r="AX164" s="234"/>
      <c r="AY164" s="297"/>
      <c r="AZ164" s="234"/>
      <c r="BA164" s="234"/>
      <c r="BB164" s="16">
        <f t="shared" si="148"/>
        <v>-95000</v>
      </c>
      <c r="BF164" s="295"/>
    </row>
    <row r="165" spans="1:58" ht="124.8" outlineLevel="2">
      <c r="A165" s="98"/>
      <c r="B165" s="102"/>
      <c r="C165" s="23"/>
      <c r="D165" s="251"/>
      <c r="E165" s="251"/>
      <c r="F165" s="251"/>
      <c r="G165" s="250"/>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f>56000000*1.05</f>
        <v>58800000</v>
      </c>
      <c r="AD165" s="110"/>
      <c r="AE165" s="108">
        <f>SUM(AD165,AC165,AB165,Y165,U165,T165,S165,R165)*'1. Standard_Cost'!$B$31</f>
        <v>11760000</v>
      </c>
      <c r="AF165" s="108">
        <f t="shared" si="144"/>
        <v>70560000</v>
      </c>
      <c r="AG165" s="107"/>
      <c r="AH165" s="107"/>
      <c r="AI165" s="107"/>
      <c r="AJ165" s="111"/>
      <c r="AK165" s="111"/>
      <c r="AL165" s="111"/>
      <c r="AM165" s="108">
        <f>AG165*'1. Standard_Cost'!$B$27+'Incremental_Cost Year 2'!AH165*'1. Standard_Cost'!$C$27+'Incremental_Cost Year 2'!AI165*'1. Standard_Cost'!$D$27+'Incremental_Cost Year 2'!AJ165+'Incremental_Cost Year 2'!AL165+AK165</f>
        <v>0</v>
      </c>
      <c r="AN165" s="108">
        <f>AM165*'1. Standard_Cost'!$C$31</f>
        <v>0</v>
      </c>
      <c r="AO165" s="125" t="s">
        <v>385</v>
      </c>
      <c r="AQ165" s="14">
        <f t="shared" si="145"/>
        <v>282705.75</v>
      </c>
      <c r="AR165" s="14">
        <f t="shared" si="146"/>
        <v>70560000</v>
      </c>
      <c r="AS165" s="14">
        <f t="shared" si="147"/>
        <v>0</v>
      </c>
      <c r="AT165" s="14">
        <f t="shared" si="149"/>
        <v>70842705.75</v>
      </c>
      <c r="AU165" s="234">
        <v>70842705.75</v>
      </c>
      <c r="AV165" s="234"/>
      <c r="AW165" s="234"/>
      <c r="AX165" s="234"/>
      <c r="AY165" s="297"/>
      <c r="AZ165" s="234"/>
      <c r="BA165" s="234"/>
      <c r="BB165" s="16">
        <f t="shared" si="148"/>
        <v>0</v>
      </c>
      <c r="BF165" s="295"/>
    </row>
    <row r="166" spans="1:58" ht="161.4" customHeight="1" outlineLevel="2">
      <c r="A166" s="98"/>
      <c r="B166" s="102"/>
      <c r="C166" s="23"/>
      <c r="D166" s="251"/>
      <c r="E166" s="251"/>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36000000</v>
      </c>
      <c r="AD166" s="110"/>
      <c r="AE166" s="108">
        <v>0</v>
      </c>
      <c r="AF166" s="108">
        <f t="shared" si="144"/>
        <v>36000000</v>
      </c>
      <c r="AG166" s="107"/>
      <c r="AH166" s="107"/>
      <c r="AI166" s="107"/>
      <c r="AJ166" s="111"/>
      <c r="AK166" s="111"/>
      <c r="AL166" s="111"/>
      <c r="AM166" s="108">
        <f>AG166*'1. Standard_Cost'!$B$27+'Incremental_Cost Year 2'!AH166*'1. Standard_Cost'!$C$27+'Incremental_Cost Year 2'!AI166*'1. Standard_Cost'!$D$27+'Incremental_Cost Year 2'!AJ166+'Incremental_Cost Year 2'!AL166+AK166</f>
        <v>0</v>
      </c>
      <c r="AN166" s="108">
        <f>AM166*'1. Standard_Cost'!$C$31</f>
        <v>0</v>
      </c>
      <c r="AO166" s="125" t="s">
        <v>509</v>
      </c>
      <c r="AQ166" s="14">
        <f t="shared" si="145"/>
        <v>0</v>
      </c>
      <c r="AR166" s="14">
        <f t="shared" si="146"/>
        <v>36000000</v>
      </c>
      <c r="AS166" s="14">
        <f t="shared" si="147"/>
        <v>0</v>
      </c>
      <c r="AT166" s="14">
        <f t="shared" si="149"/>
        <v>36000000</v>
      </c>
      <c r="AU166" s="234"/>
      <c r="AV166" s="234"/>
      <c r="AW166" s="234"/>
      <c r="AX166" s="234"/>
      <c r="AY166" s="297"/>
      <c r="AZ166" s="234">
        <v>36000000</v>
      </c>
      <c r="BA166" s="234"/>
      <c r="BB166" s="16">
        <f t="shared" si="148"/>
        <v>0</v>
      </c>
      <c r="BF166" s="295"/>
    </row>
    <row r="167" spans="1:58" ht="32.25" customHeight="1" outlineLevel="2">
      <c r="A167" s="98"/>
      <c r="B167" s="102"/>
      <c r="C167" s="23"/>
      <c r="D167" s="251"/>
      <c r="E167" s="251"/>
      <c r="F167" s="251"/>
      <c r="G167" s="250"/>
      <c r="H167" s="302" t="s">
        <v>508</v>
      </c>
      <c r="I167" s="104" t="s">
        <v>4</v>
      </c>
      <c r="J167" s="105">
        <v>1</v>
      </c>
      <c r="K167" s="105">
        <v>2</v>
      </c>
      <c r="L167" s="106">
        <f>IF(I167&lt;&gt;0,((VLOOKUP(I167,'1. Standard_Cost'!$B$4:$D$11,2)+VLOOKUP(I167,'1. Standard_Cost'!$B$4:$D$11,3))*J167*K167),"0")</f>
        <v>161500</v>
      </c>
      <c r="M167" s="106">
        <f>L167*'1. Standard_Cost'!$F$4</f>
        <v>26970.5</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f>5</f>
        <v>5</v>
      </c>
      <c r="AB167" s="108">
        <f>+Z167*'1. Standard_Cost'!$B$23+AA167*'1. Standard_Cost'!$C$23</f>
        <v>95000</v>
      </c>
      <c r="AC167" s="109">
        <v>0</v>
      </c>
      <c r="AD167" s="110"/>
      <c r="AE167" s="108">
        <v>0</v>
      </c>
      <c r="AF167" s="108">
        <f t="shared" si="144"/>
        <v>95000</v>
      </c>
      <c r="AG167" s="107"/>
      <c r="AH167" s="107"/>
      <c r="AI167" s="107"/>
      <c r="AJ167" s="111"/>
      <c r="AK167" s="111"/>
      <c r="AL167" s="111"/>
      <c r="AM167" s="108">
        <f>AG167*'1. Standard_Cost'!$B$27+'Incremental_Cost Year 2'!AH167*'1. Standard_Cost'!$C$27+'Incremental_Cost Year 2'!AI167*'1. Standard_Cost'!$D$27+'Incremental_Cost Year 2'!AJ167+'Incremental_Cost Year 2'!AL167+AK167</f>
        <v>0</v>
      </c>
      <c r="AN167" s="108">
        <f>AM167*'1. Standard_Cost'!$C$31</f>
        <v>0</v>
      </c>
      <c r="AO167" s="137" t="s">
        <v>386</v>
      </c>
      <c r="AQ167" s="14">
        <f t="shared" si="145"/>
        <v>188470.5</v>
      </c>
      <c r="AR167" s="14">
        <f t="shared" si="146"/>
        <v>95000</v>
      </c>
      <c r="AS167" s="14">
        <f t="shared" si="147"/>
        <v>0</v>
      </c>
      <c r="AT167" s="14">
        <f t="shared" si="149"/>
        <v>283470.5</v>
      </c>
      <c r="AU167" s="234">
        <v>188470.5</v>
      </c>
      <c r="AV167" s="234"/>
      <c r="AW167" s="234"/>
      <c r="AX167" s="234"/>
      <c r="AY167" s="297"/>
      <c r="AZ167" s="234"/>
      <c r="BA167" s="234"/>
      <c r="BB167" s="16">
        <f t="shared" si="148"/>
        <v>-95000</v>
      </c>
      <c r="BF167" s="295"/>
    </row>
    <row r="168" spans="1:58" ht="110.4" outlineLevel="1">
      <c r="A168" s="98"/>
      <c r="B168" s="102"/>
      <c r="C168" s="23"/>
      <c r="D168" s="56" t="s">
        <v>637</v>
      </c>
      <c r="E168" s="56" t="s">
        <v>234</v>
      </c>
      <c r="F168" s="253">
        <v>2021</v>
      </c>
      <c r="G168" s="254">
        <v>2026</v>
      </c>
      <c r="H168" s="279" t="s">
        <v>189</v>
      </c>
      <c r="I168" s="112"/>
      <c r="J168" s="112"/>
      <c r="K168" s="112"/>
      <c r="L168" s="113">
        <f>SUM(L144:L167)</f>
        <v>12136710</v>
      </c>
      <c r="M168" s="113">
        <f>SUM(M144:M167)</f>
        <v>2026830.5700000003</v>
      </c>
      <c r="N168" s="112"/>
      <c r="O168" s="112"/>
      <c r="P168" s="112"/>
      <c r="Q168" s="112"/>
      <c r="R168" s="113">
        <f t="shared" ref="R168:U168" si="150">SUM(R144:R167)</f>
        <v>100000</v>
      </c>
      <c r="S168" s="113">
        <f t="shared" si="150"/>
        <v>300000</v>
      </c>
      <c r="T168" s="113">
        <f t="shared" si="150"/>
        <v>125000</v>
      </c>
      <c r="U168" s="113">
        <f t="shared" si="150"/>
        <v>160000</v>
      </c>
      <c r="V168" s="112"/>
      <c r="W168" s="112"/>
      <c r="X168" s="112"/>
      <c r="Y168" s="113">
        <f>SUM(Y144:Y167)</f>
        <v>0</v>
      </c>
      <c r="Z168" s="113"/>
      <c r="AA168" s="112"/>
      <c r="AB168" s="113">
        <f t="shared" ref="AB168:AF168" si="151">SUM(AB144:AB167)</f>
        <v>2669000</v>
      </c>
      <c r="AC168" s="113">
        <f t="shared" si="151"/>
        <v>127599000</v>
      </c>
      <c r="AD168" s="113">
        <f t="shared" si="151"/>
        <v>0</v>
      </c>
      <c r="AE168" s="113">
        <f t="shared" si="151"/>
        <v>12941000</v>
      </c>
      <c r="AF168" s="113">
        <f t="shared" si="151"/>
        <v>143894000</v>
      </c>
      <c r="AG168" s="112"/>
      <c r="AH168" s="112"/>
      <c r="AI168" s="112"/>
      <c r="AJ168" s="113">
        <f t="shared" ref="AJ168:AN168" si="152">SUM(AJ144:AJ167)</f>
        <v>0</v>
      </c>
      <c r="AK168" s="113">
        <f t="shared" si="152"/>
        <v>0</v>
      </c>
      <c r="AL168" s="113">
        <f t="shared" si="152"/>
        <v>0</v>
      </c>
      <c r="AM168" s="113">
        <f t="shared" si="152"/>
        <v>0</v>
      </c>
      <c r="AN168" s="113">
        <f t="shared" si="152"/>
        <v>0</v>
      </c>
      <c r="AO168" s="131"/>
      <c r="AP168" s="17"/>
      <c r="AQ168" s="113">
        <f t="shared" ref="AQ168:BB168" si="153">SUM(AQ144:AQ167)</f>
        <v>14163540.57</v>
      </c>
      <c r="AR168" s="113">
        <f t="shared" si="153"/>
        <v>143894000</v>
      </c>
      <c r="AS168" s="113">
        <f t="shared" si="153"/>
        <v>0</v>
      </c>
      <c r="AT168" s="113">
        <f t="shared" si="153"/>
        <v>158057540.56999999</v>
      </c>
      <c r="AU168" s="113">
        <f t="shared" si="153"/>
        <v>86457540.569999993</v>
      </c>
      <c r="AV168" s="265">
        <f t="shared" si="153"/>
        <v>0</v>
      </c>
      <c r="AW168" s="265">
        <f t="shared" si="153"/>
        <v>0</v>
      </c>
      <c r="AX168" s="265">
        <f t="shared" si="153"/>
        <v>2852800</v>
      </c>
      <c r="AY168" s="265">
        <f t="shared" si="153"/>
        <v>0</v>
      </c>
      <c r="AZ168" s="265">
        <f t="shared" si="153"/>
        <v>64127000</v>
      </c>
      <c r="BA168" s="265">
        <f t="shared" si="153"/>
        <v>0</v>
      </c>
      <c r="BB168" s="265">
        <f t="shared" si="153"/>
        <v>-4620200</v>
      </c>
      <c r="BF168" s="295"/>
    </row>
    <row r="169" spans="1:58" ht="93.6" outlineLevel="2">
      <c r="A169" s="98"/>
      <c r="B169" s="102"/>
      <c r="C169" s="23"/>
      <c r="D169" s="257"/>
      <c r="E169" s="123"/>
      <c r="F169" s="249"/>
      <c r="G169" s="283"/>
      <c r="H169" s="302" t="s">
        <v>511</v>
      </c>
      <c r="I169" s="104" t="s">
        <v>4</v>
      </c>
      <c r="J169" s="105">
        <v>2</v>
      </c>
      <c r="K169" s="105">
        <v>1</v>
      </c>
      <c r="L169" s="106">
        <f>IF(I169&lt;&gt;0,((VLOOKUP(I169,'1. Standard_Cost'!$B$4:$D$11,2)+VLOOKUP(I169,'1. Standard_Cost'!$B$4:$D$11,3))*J169*K169),"0")</f>
        <v>161500</v>
      </c>
      <c r="M169" s="106">
        <f>L169*'1. Standard_Cost'!$F$4</f>
        <v>26970.5</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v>10</v>
      </c>
      <c r="AB169" s="108">
        <f>+Z169*'1. Standard_Cost'!$B$23+AA169*'1. Standard_Cost'!$C$23</f>
        <v>190000</v>
      </c>
      <c r="AC169" s="109"/>
      <c r="AD169" s="110"/>
      <c r="AE169" s="108">
        <v>0</v>
      </c>
      <c r="AF169" s="108">
        <f t="shared" ref="AF169:AF177" si="154">SUM(AE169,AD169,AC169,AB169,Y169,U169,T169,S169,R169)</f>
        <v>190000</v>
      </c>
      <c r="AG169" s="107"/>
      <c r="AH169" s="107"/>
      <c r="AI169" s="107"/>
      <c r="AJ169" s="111"/>
      <c r="AK169" s="111"/>
      <c r="AL169" s="111"/>
      <c r="AM169" s="108">
        <f>AG169*'1. Standard_Cost'!$B$27+'Incremental_Cost Year 2'!AH169*'1. Standard_Cost'!$C$27+'Incremental_Cost Year 2'!AI169*'1. Standard_Cost'!$D$27+'Incremental_Cost Year 2'!AJ169+'Incremental_Cost Year 2'!AL169+AK169</f>
        <v>0</v>
      </c>
      <c r="AN169" s="108">
        <f>AM169*'1. Standard_Cost'!$C$31</f>
        <v>0</v>
      </c>
      <c r="AO169" s="125" t="s">
        <v>387</v>
      </c>
      <c r="AQ169" s="14">
        <f t="shared" ref="AQ169:AQ177" si="155">L169+M169</f>
        <v>188470.5</v>
      </c>
      <c r="AR169" s="14">
        <f t="shared" ref="AR169:AR177" si="156">AF169</f>
        <v>190000</v>
      </c>
      <c r="AS169" s="14">
        <f t="shared" ref="AS169:AS177" si="157">AM169+AN169</f>
        <v>0</v>
      </c>
      <c r="AT169" s="14">
        <f>SUM(AQ169,AR169,AS169)</f>
        <v>378470.5</v>
      </c>
      <c r="AU169" s="15">
        <v>188470.5</v>
      </c>
      <c r="AV169" s="15"/>
      <c r="AW169" s="15"/>
      <c r="AX169" s="15"/>
      <c r="AY169" s="15"/>
      <c r="AZ169" s="15"/>
      <c r="BA169" s="15"/>
      <c r="BB169" s="16">
        <f t="shared" ref="BB169:BB177" si="158">SUM(AU169:BA169)-AT169</f>
        <v>-190000</v>
      </c>
      <c r="BF169" s="295"/>
    </row>
    <row r="170" spans="1:58" ht="46.8" outlineLevel="2">
      <c r="A170" s="98"/>
      <c r="B170" s="102"/>
      <c r="C170" s="23"/>
      <c r="D170" s="269"/>
      <c r="E170" s="271"/>
      <c r="F170" s="250"/>
      <c r="G170" s="255"/>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54"/>
        <v>0</v>
      </c>
      <c r="AG170" s="107"/>
      <c r="AH170" s="107"/>
      <c r="AI170" s="107"/>
      <c r="AJ170" s="111"/>
      <c r="AK170" s="111"/>
      <c r="AL170" s="111"/>
      <c r="AM170" s="108">
        <f>AG170*'1. Standard_Cost'!$B$27+'Incremental_Cost Year 2'!AH170*'1. Standard_Cost'!$C$27+'Incremental_Cost Year 2'!AI170*'1. Standard_Cost'!$D$27+'Incremental_Cost Year 2'!AJ170+'Incremental_Cost Year 2'!AL170+AK170</f>
        <v>0</v>
      </c>
      <c r="AN170" s="108">
        <f>AM170*'1. Standard_Cost'!$C$31</f>
        <v>0</v>
      </c>
      <c r="AO170" s="125" t="s">
        <v>388</v>
      </c>
      <c r="AQ170" s="14">
        <f t="shared" si="155"/>
        <v>0</v>
      </c>
      <c r="AR170" s="14">
        <f t="shared" si="156"/>
        <v>0</v>
      </c>
      <c r="AS170" s="14">
        <f t="shared" si="157"/>
        <v>0</v>
      </c>
      <c r="AT170" s="14">
        <f t="shared" ref="AT170:AT177" si="159">SUM(AQ170,AR170,AS170)</f>
        <v>0</v>
      </c>
      <c r="AU170" s="15"/>
      <c r="AV170" s="15"/>
      <c r="AW170" s="15"/>
      <c r="AX170" s="15"/>
      <c r="AY170" s="15"/>
      <c r="AZ170" s="15"/>
      <c r="BA170" s="15"/>
      <c r="BB170" s="16">
        <f t="shared" si="158"/>
        <v>0</v>
      </c>
      <c r="BF170" s="295"/>
    </row>
    <row r="171" spans="1:58" ht="78" outlineLevel="2">
      <c r="A171" s="98"/>
      <c r="B171" s="102"/>
      <c r="C171" s="23"/>
      <c r="D171" s="269"/>
      <c r="E171" s="271"/>
      <c r="F171" s="250"/>
      <c r="G171" s="255"/>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54"/>
        <v>0</v>
      </c>
      <c r="AG171" s="107"/>
      <c r="AH171" s="107"/>
      <c r="AI171" s="107"/>
      <c r="AJ171" s="111"/>
      <c r="AK171" s="111"/>
      <c r="AL171" s="111"/>
      <c r="AM171" s="108">
        <f>AG171*'1. Standard_Cost'!$B$27+'Incremental_Cost Year 2'!AH171*'1. Standard_Cost'!$C$27+'Incremental_Cost Year 2'!AI171*'1. Standard_Cost'!$D$27+'Incremental_Cost Year 2'!AJ171+'Incremental_Cost Year 2'!AL171+AK171</f>
        <v>0</v>
      </c>
      <c r="AN171" s="108">
        <f>AM171*'1. Standard_Cost'!$C$31</f>
        <v>0</v>
      </c>
      <c r="AO171" s="125" t="s">
        <v>389</v>
      </c>
      <c r="AQ171" s="14">
        <f t="shared" si="155"/>
        <v>0</v>
      </c>
      <c r="AR171" s="14">
        <f t="shared" si="156"/>
        <v>0</v>
      </c>
      <c r="AS171" s="14">
        <f t="shared" si="157"/>
        <v>0</v>
      </c>
      <c r="AT171" s="14">
        <f t="shared" si="159"/>
        <v>0</v>
      </c>
      <c r="AU171" s="15"/>
      <c r="AV171" s="15"/>
      <c r="AW171" s="15"/>
      <c r="AX171" s="15"/>
      <c r="AY171" s="15"/>
      <c r="AZ171" s="15"/>
      <c r="BA171" s="15"/>
      <c r="BB171" s="16">
        <f t="shared" si="158"/>
        <v>0</v>
      </c>
      <c r="BF171" s="295"/>
    </row>
    <row r="172" spans="1:58" ht="46.8" outlineLevel="2">
      <c r="A172" s="98"/>
      <c r="B172" s="102"/>
      <c r="C172" s="23"/>
      <c r="D172" s="269"/>
      <c r="E172" s="271"/>
      <c r="F172" s="250"/>
      <c r="G172" s="255"/>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54"/>
        <v>0</v>
      </c>
      <c r="AG172" s="107"/>
      <c r="AH172" s="107"/>
      <c r="AI172" s="107"/>
      <c r="AJ172" s="111"/>
      <c r="AK172" s="111"/>
      <c r="AL172" s="111"/>
      <c r="AM172" s="108">
        <f>AG172*'1. Standard_Cost'!$B$27+'Incremental_Cost Year 2'!AH172*'1. Standard_Cost'!$C$27+'Incremental_Cost Year 2'!AI172*'1. Standard_Cost'!$D$27+'Incremental_Cost Year 2'!AJ172+'Incremental_Cost Year 2'!AL172+AK172</f>
        <v>0</v>
      </c>
      <c r="AN172" s="108">
        <f>AM172*'1. Standard_Cost'!$C$31</f>
        <v>0</v>
      </c>
      <c r="AO172" s="125" t="s">
        <v>390</v>
      </c>
      <c r="AQ172" s="14">
        <f t="shared" si="155"/>
        <v>0</v>
      </c>
      <c r="AR172" s="14">
        <f t="shared" si="156"/>
        <v>0</v>
      </c>
      <c r="AS172" s="14">
        <f t="shared" si="157"/>
        <v>0</v>
      </c>
      <c r="AT172" s="14">
        <f t="shared" si="159"/>
        <v>0</v>
      </c>
      <c r="AU172" s="15"/>
      <c r="AV172" s="15"/>
      <c r="AW172" s="15"/>
      <c r="AX172" s="15"/>
      <c r="AY172" s="15"/>
      <c r="AZ172" s="15"/>
      <c r="BA172" s="15"/>
      <c r="BB172" s="16">
        <f t="shared" si="158"/>
        <v>0</v>
      </c>
      <c r="BF172" s="295"/>
    </row>
    <row r="173" spans="1:58" ht="46.8" outlineLevel="2">
      <c r="A173" s="98"/>
      <c r="B173" s="102"/>
      <c r="C173" s="23"/>
      <c r="D173" s="269"/>
      <c r="E173" s="271"/>
      <c r="F173" s="250"/>
      <c r="G173" s="255"/>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54"/>
        <v>0</v>
      </c>
      <c r="AG173" s="107"/>
      <c r="AH173" s="107"/>
      <c r="AI173" s="107"/>
      <c r="AJ173" s="111"/>
      <c r="AK173" s="111"/>
      <c r="AL173" s="111"/>
      <c r="AM173" s="108">
        <f>AG173*'1. Standard_Cost'!$B$27+'Incremental_Cost Year 2'!AH173*'1. Standard_Cost'!$C$27+'Incremental_Cost Year 2'!AI173*'1. Standard_Cost'!$D$27+'Incremental_Cost Year 2'!AJ173+'Incremental_Cost Year 2'!AL173+AK173</f>
        <v>0</v>
      </c>
      <c r="AN173" s="108">
        <f>AM173*'1. Standard_Cost'!$C$31</f>
        <v>0</v>
      </c>
      <c r="AO173" s="125" t="s">
        <v>391</v>
      </c>
      <c r="AQ173" s="14">
        <f t="shared" si="155"/>
        <v>0</v>
      </c>
      <c r="AR173" s="14">
        <f t="shared" si="156"/>
        <v>0</v>
      </c>
      <c r="AS173" s="14">
        <f t="shared" si="157"/>
        <v>0</v>
      </c>
      <c r="AT173" s="14">
        <f t="shared" si="159"/>
        <v>0</v>
      </c>
      <c r="AU173" s="15"/>
      <c r="AV173" s="15"/>
      <c r="AW173" s="15"/>
      <c r="AX173" s="15"/>
      <c r="AY173" s="15"/>
      <c r="AZ173" s="15"/>
      <c r="BA173" s="15"/>
      <c r="BB173" s="16">
        <f t="shared" si="158"/>
        <v>0</v>
      </c>
      <c r="BF173" s="295"/>
    </row>
    <row r="174" spans="1:58" ht="78" outlineLevel="2">
      <c r="A174" s="98"/>
      <c r="B174" s="102"/>
      <c r="C174" s="23"/>
      <c r="D174" s="269"/>
      <c r="E174" s="271"/>
      <c r="F174" s="250"/>
      <c r="G174" s="255"/>
      <c r="H174" s="302" t="s">
        <v>512</v>
      </c>
      <c r="I174" s="104" t="s">
        <v>4</v>
      </c>
      <c r="J174" s="105">
        <v>1</v>
      </c>
      <c r="K174" s="105">
        <v>2</v>
      </c>
      <c r="L174" s="106">
        <f>IF(I174&lt;&gt;0,((VLOOKUP(I174,'1. Standard_Cost'!$B$4:$D$11,2)+VLOOKUP(I174,'1. Standard_Cost'!$B$4:$D$11,3))*J174*K174),"0")</f>
        <v>161500</v>
      </c>
      <c r="M174" s="106">
        <f>L174*'1. Standard_Cost'!$F$4</f>
        <v>26970.5</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v>20</v>
      </c>
      <c r="AB174" s="108">
        <f>+Z174*'1. Standard_Cost'!$B$23+AA174*'1. Standard_Cost'!$C$23</f>
        <v>380000</v>
      </c>
      <c r="AC174" s="109"/>
      <c r="AD174" s="110"/>
      <c r="AE174" s="108">
        <v>0</v>
      </c>
      <c r="AF174" s="108">
        <f t="shared" si="154"/>
        <v>380000</v>
      </c>
      <c r="AG174" s="107"/>
      <c r="AH174" s="107"/>
      <c r="AI174" s="107"/>
      <c r="AJ174" s="111"/>
      <c r="AK174" s="111"/>
      <c r="AL174" s="111"/>
      <c r="AM174" s="108">
        <f>AG174*'1. Standard_Cost'!$B$27+'Incremental_Cost Year 2'!AH174*'1. Standard_Cost'!$C$27+'Incremental_Cost Year 2'!AI174*'1. Standard_Cost'!$D$27+'Incremental_Cost Year 2'!AJ174+'Incremental_Cost Year 2'!AL174+AK174</f>
        <v>0</v>
      </c>
      <c r="AN174" s="108">
        <f>AM174*'1. Standard_Cost'!$C$31</f>
        <v>0</v>
      </c>
      <c r="AO174" s="125" t="s">
        <v>392</v>
      </c>
      <c r="AQ174" s="14">
        <f t="shared" si="155"/>
        <v>188470.5</v>
      </c>
      <c r="AR174" s="14">
        <f t="shared" si="156"/>
        <v>380000</v>
      </c>
      <c r="AS174" s="14">
        <f t="shared" si="157"/>
        <v>0</v>
      </c>
      <c r="AT174" s="14">
        <f t="shared" si="159"/>
        <v>568470.5</v>
      </c>
      <c r="AU174" s="15">
        <v>188470.5</v>
      </c>
      <c r="AV174" s="15"/>
      <c r="AW174" s="15"/>
      <c r="AX174" s="15"/>
      <c r="AY174" s="15"/>
      <c r="AZ174" s="15"/>
      <c r="BA174" s="15"/>
      <c r="BB174" s="16">
        <f t="shared" si="158"/>
        <v>-380000</v>
      </c>
      <c r="BF174" s="295"/>
    </row>
    <row r="175" spans="1:58" ht="140.4" outlineLevel="2">
      <c r="A175" s="98"/>
      <c r="B175" s="102"/>
      <c r="C175" s="23"/>
      <c r="D175" s="269"/>
      <c r="E175" s="271"/>
      <c r="F175" s="250"/>
      <c r="G175" s="255"/>
      <c r="H175" s="302" t="s">
        <v>513</v>
      </c>
      <c r="I175" s="104" t="s">
        <v>4</v>
      </c>
      <c r="J175" s="105">
        <v>0.4</v>
      </c>
      <c r="K175" s="105">
        <v>1</v>
      </c>
      <c r="L175" s="106">
        <f>IF(I175&lt;&gt;0,((VLOOKUP(I175,'1. Standard_Cost'!$B$4:$D$11,2)+VLOOKUP(I175,'1. Standard_Cost'!$B$4:$D$11,3))*J175*K175),"0")</f>
        <v>32300</v>
      </c>
      <c r="M175" s="106">
        <f>L175*'1. Standard_Cost'!$F$4</f>
        <v>5394.1</v>
      </c>
      <c r="N175" s="107">
        <v>10</v>
      </c>
      <c r="O175" s="107">
        <v>2</v>
      </c>
      <c r="P175" s="107">
        <v>15</v>
      </c>
      <c r="Q175" s="107">
        <v>1</v>
      </c>
      <c r="R175" s="108">
        <f>'1. Standard_Cost'!$B$15*N175*P175</f>
        <v>300000</v>
      </c>
      <c r="S175" s="108">
        <f>N175*O175*P175*'1. Standard_Cost'!$C$15</f>
        <v>450000</v>
      </c>
      <c r="T175" s="108">
        <f>N175*P175*Q175*'1. Standard_Cost'!$D$15</f>
        <v>750000</v>
      </c>
      <c r="U175" s="108">
        <v>0</v>
      </c>
      <c r="V175" s="107"/>
      <c r="W175" s="107"/>
      <c r="X175" s="107"/>
      <c r="Y175" s="108">
        <f>+V175*((X175*'1. Standard_Cost'!$B$19)+(W175*X175*'1. Standard_Cost'!$C$19))</f>
        <v>0</v>
      </c>
      <c r="Z175" s="107"/>
      <c r="AA175" s="107">
        <f>10</f>
        <v>10</v>
      </c>
      <c r="AB175" s="108">
        <f>+Z175*'1. Standard_Cost'!$B$23+AA175*'1. Standard_Cost'!$C$23</f>
        <v>190000</v>
      </c>
      <c r="AC175" s="109"/>
      <c r="AD175" s="110"/>
      <c r="AE175" s="108">
        <f>SUM(AD175,AC175,AB175,Y175,U175,T175,S175,R175)*'1. Standard_Cost'!$B$31</f>
        <v>338000</v>
      </c>
      <c r="AF175" s="108">
        <f t="shared" si="154"/>
        <v>2028000</v>
      </c>
      <c r="AG175" s="107"/>
      <c r="AH175" s="107"/>
      <c r="AI175" s="107"/>
      <c r="AJ175" s="111"/>
      <c r="AK175" s="111"/>
      <c r="AL175" s="111"/>
      <c r="AM175" s="108">
        <f>AG175*'1. Standard_Cost'!$B$27+'Incremental_Cost Year 2'!AH175*'1. Standard_Cost'!$C$27+'Incremental_Cost Year 2'!AI175*'1. Standard_Cost'!$D$27+'Incremental_Cost Year 2'!AJ175+'Incremental_Cost Year 2'!AL175+AK175</f>
        <v>0</v>
      </c>
      <c r="AN175" s="108">
        <f>AM175*'1. Standard_Cost'!$C$31</f>
        <v>0</v>
      </c>
      <c r="AO175" s="125" t="s">
        <v>393</v>
      </c>
      <c r="AQ175" s="14">
        <f t="shared" si="155"/>
        <v>37694.1</v>
      </c>
      <c r="AR175" s="14">
        <f t="shared" si="156"/>
        <v>2028000</v>
      </c>
      <c r="AS175" s="14">
        <f t="shared" si="157"/>
        <v>0</v>
      </c>
      <c r="AT175" s="14">
        <f t="shared" si="159"/>
        <v>2065694.1</v>
      </c>
      <c r="AU175" s="15">
        <v>37694.1</v>
      </c>
      <c r="AV175" s="15"/>
      <c r="AW175" s="15"/>
      <c r="AX175" s="15"/>
      <c r="AY175" s="15"/>
      <c r="AZ175" s="15"/>
      <c r="BA175" s="15"/>
      <c r="BB175" s="16">
        <f t="shared" si="158"/>
        <v>-2028000</v>
      </c>
      <c r="BF175" s="295"/>
    </row>
    <row r="176" spans="1:58" ht="25.2" customHeight="1" outlineLevel="2">
      <c r="A176" s="98"/>
      <c r="B176" s="102"/>
      <c r="C176" s="23"/>
      <c r="D176" s="269"/>
      <c r="E176" s="271"/>
      <c r="F176" s="27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v>22</v>
      </c>
      <c r="AB176" s="108">
        <f>+Z176*'[1]1. Standard_Cost'!$B$23+AA176*'[1]1. Standard_Cost'!$C$23</f>
        <v>418000</v>
      </c>
      <c r="AC176" s="109"/>
      <c r="AD176" s="110"/>
      <c r="AE176" s="108">
        <v>0</v>
      </c>
      <c r="AF176" s="108">
        <f t="shared" si="154"/>
        <v>418000</v>
      </c>
      <c r="AG176" s="107"/>
      <c r="AH176" s="107"/>
      <c r="AI176" s="107"/>
      <c r="AJ176" s="111"/>
      <c r="AK176" s="111"/>
      <c r="AL176" s="111"/>
      <c r="AM176" s="108">
        <f>AG176*'1. Standard_Cost'!$B$27+'Incremental_Cost Year 2'!AH176*'1. Standard_Cost'!$C$27+'Incremental_Cost Year 2'!AI176*'1. Standard_Cost'!$D$27+'Incremental_Cost Year 2'!AJ176+'Incremental_Cost Year 2'!AL176+AK176</f>
        <v>0</v>
      </c>
      <c r="AN176" s="108">
        <f>AM176*'1. Standard_Cost'!$C$31</f>
        <v>0</v>
      </c>
      <c r="AO176" s="125" t="s">
        <v>393</v>
      </c>
      <c r="AQ176" s="14">
        <f t="shared" si="155"/>
        <v>0</v>
      </c>
      <c r="AR176" s="14">
        <f t="shared" si="156"/>
        <v>418000</v>
      </c>
      <c r="AS176" s="14">
        <f t="shared" si="157"/>
        <v>0</v>
      </c>
      <c r="AT176" s="14">
        <f t="shared" si="159"/>
        <v>418000</v>
      </c>
      <c r="AU176" s="15"/>
      <c r="AV176" s="15"/>
      <c r="AW176" s="15"/>
      <c r="AX176" s="15"/>
      <c r="AY176" s="15"/>
      <c r="AZ176" s="15"/>
      <c r="BA176" s="15"/>
      <c r="BB176" s="16">
        <f t="shared" si="158"/>
        <v>-418000</v>
      </c>
      <c r="BF176" s="295"/>
    </row>
    <row r="177" spans="1:58" ht="156" outlineLevel="2">
      <c r="A177" s="98"/>
      <c r="B177" s="102"/>
      <c r="C177" s="23"/>
      <c r="D177" s="269"/>
      <c r="E177" s="271"/>
      <c r="F177" s="250"/>
      <c r="G177" s="255"/>
      <c r="H177" s="302" t="s">
        <v>514</v>
      </c>
      <c r="I177" s="104" t="s">
        <v>4</v>
      </c>
      <c r="J177" s="105">
        <v>0.4</v>
      </c>
      <c r="K177" s="105">
        <v>1</v>
      </c>
      <c r="L177" s="106">
        <f>IF(I177&lt;&gt;0,((VLOOKUP(I177,'1. Standard_Cost'!$B$4:$D$11,2)+VLOOKUP(I177,'1. Standard_Cost'!$B$4:$D$11,3))*J177*K177),"0")</f>
        <v>32300</v>
      </c>
      <c r="M177" s="106">
        <f>L177*'1. Standard_Cost'!$F$4</f>
        <v>5394.1</v>
      </c>
      <c r="N177" s="107">
        <v>10</v>
      </c>
      <c r="O177" s="107">
        <v>2</v>
      </c>
      <c r="P177" s="107">
        <v>15</v>
      </c>
      <c r="Q177" s="107"/>
      <c r="R177" s="108">
        <v>0</v>
      </c>
      <c r="S177" s="108">
        <v>0</v>
      </c>
      <c r="T177" s="108">
        <f>N177*P177*Q177*'1. Standard_Cost'!$D$15</f>
        <v>0</v>
      </c>
      <c r="U177" s="108">
        <v>0</v>
      </c>
      <c r="V177" s="107"/>
      <c r="W177" s="107"/>
      <c r="X177" s="107"/>
      <c r="Y177" s="108">
        <f>+V177*((X177*'1. Standard_Cost'!$B$19)+(W177*X177*'1. Standard_Cost'!$C$19))</f>
        <v>0</v>
      </c>
      <c r="Z177" s="107"/>
      <c r="AA177" s="107">
        <f>10+22</f>
        <v>32</v>
      </c>
      <c r="AB177" s="108">
        <f>+Z177*'1. Standard_Cost'!$B$23+AA177*'1. Standard_Cost'!$C$23</f>
        <v>608000</v>
      </c>
      <c r="AC177" s="109">
        <f>150*3500*2+150*500*2</f>
        <v>1200000</v>
      </c>
      <c r="AD177" s="110"/>
      <c r="AE177" s="108">
        <v>0</v>
      </c>
      <c r="AF177" s="108">
        <f t="shared" si="154"/>
        <v>1808000</v>
      </c>
      <c r="AG177" s="107"/>
      <c r="AH177" s="107"/>
      <c r="AI177" s="107"/>
      <c r="AJ177" s="111"/>
      <c r="AK177" s="111"/>
      <c r="AL177" s="111"/>
      <c r="AM177" s="108">
        <f>AG177*'1. Standard_Cost'!$B$27+'Incremental_Cost Year 2'!AH177*'1. Standard_Cost'!$C$27+'Incremental_Cost Year 2'!AI177*'1. Standard_Cost'!$D$27+'Incremental_Cost Year 2'!AJ177+'Incremental_Cost Year 2'!AL177+AK177</f>
        <v>0</v>
      </c>
      <c r="AN177" s="108">
        <f>AM177*'1. Standard_Cost'!$C$31</f>
        <v>0</v>
      </c>
      <c r="AO177" s="125" t="s">
        <v>394</v>
      </c>
      <c r="AQ177" s="14">
        <f t="shared" si="155"/>
        <v>37694.1</v>
      </c>
      <c r="AR177" s="14">
        <f t="shared" si="156"/>
        <v>1808000</v>
      </c>
      <c r="AS177" s="14">
        <f t="shared" si="157"/>
        <v>0</v>
      </c>
      <c r="AT177" s="14">
        <f t="shared" si="159"/>
        <v>1845694.1</v>
      </c>
      <c r="AU177" s="15">
        <v>37694.1</v>
      </c>
      <c r="AV177" s="15"/>
      <c r="AW177" s="15"/>
      <c r="AX177" s="15"/>
      <c r="AY177" s="15"/>
      <c r="AZ177" s="15">
        <v>1808000</v>
      </c>
      <c r="BA177" s="15"/>
      <c r="BB177" s="16">
        <f t="shared" si="158"/>
        <v>0</v>
      </c>
      <c r="BF177" s="295"/>
    </row>
    <row r="178" spans="1:58" ht="27.6" outlineLevel="1">
      <c r="A178" s="98"/>
      <c r="B178" s="102"/>
      <c r="C178" s="23"/>
      <c r="D178" s="31" t="s">
        <v>638</v>
      </c>
      <c r="E178" s="56" t="s">
        <v>239</v>
      </c>
      <c r="F178" s="253">
        <v>2021</v>
      </c>
      <c r="G178" s="254">
        <v>2026</v>
      </c>
      <c r="H178" s="279" t="s">
        <v>240</v>
      </c>
      <c r="I178" s="112"/>
      <c r="J178" s="112"/>
      <c r="K178" s="112"/>
      <c r="L178" s="113">
        <f>SUM(L169:L177)</f>
        <v>387600</v>
      </c>
      <c r="M178" s="113">
        <f>SUM(M169:M177)</f>
        <v>64729.2</v>
      </c>
      <c r="N178" s="112"/>
      <c r="O178" s="112"/>
      <c r="P178" s="112"/>
      <c r="Q178" s="112"/>
      <c r="R178" s="113">
        <f>SUM(R169:R177)</f>
        <v>300000</v>
      </c>
      <c r="S178" s="113">
        <f>SUM(S169:S177)</f>
        <v>450000</v>
      </c>
      <c r="T178" s="113">
        <f>SUM(T169:T177)</f>
        <v>750000</v>
      </c>
      <c r="U178" s="113">
        <f>SUM(U169:U177)</f>
        <v>0</v>
      </c>
      <c r="V178" s="112"/>
      <c r="W178" s="112"/>
      <c r="X178" s="112"/>
      <c r="Y178" s="113">
        <f>SUM(Y169:Y177)</f>
        <v>0</v>
      </c>
      <c r="Z178" s="113"/>
      <c r="AA178" s="112"/>
      <c r="AB178" s="113">
        <f>SUM(AB169:AB177)</f>
        <v>1786000</v>
      </c>
      <c r="AC178" s="113">
        <f>SUM(AC169:AC177)</f>
        <v>1200000</v>
      </c>
      <c r="AD178" s="113">
        <f>SUM(AD169:AD177)</f>
        <v>0</v>
      </c>
      <c r="AE178" s="113">
        <f>SUM(AE169:AE177)</f>
        <v>338000</v>
      </c>
      <c r="AF178" s="113">
        <f>SUM(AF169:AF177)</f>
        <v>4824000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BB178" si="160">SUM(AQ169:AQ177)</f>
        <v>452329.19999999995</v>
      </c>
      <c r="AR178" s="113">
        <f t="shared" si="160"/>
        <v>4824000</v>
      </c>
      <c r="AS178" s="113">
        <f t="shared" si="160"/>
        <v>0</v>
      </c>
      <c r="AT178" s="113">
        <f t="shared" si="160"/>
        <v>5276329.2</v>
      </c>
      <c r="AU178" s="113">
        <f t="shared" si="160"/>
        <v>452329.19999999995</v>
      </c>
      <c r="AV178" s="113">
        <f t="shared" si="160"/>
        <v>0</v>
      </c>
      <c r="AW178" s="113">
        <f t="shared" si="160"/>
        <v>0</v>
      </c>
      <c r="AX178" s="113">
        <f t="shared" si="160"/>
        <v>0</v>
      </c>
      <c r="AY178" s="113">
        <f t="shared" si="160"/>
        <v>0</v>
      </c>
      <c r="AZ178" s="113">
        <f t="shared" si="160"/>
        <v>1808000</v>
      </c>
      <c r="BA178" s="113">
        <f t="shared" si="160"/>
        <v>0</v>
      </c>
      <c r="BB178" s="113">
        <f t="shared" si="160"/>
        <v>-3016000</v>
      </c>
      <c r="BF178" s="295"/>
    </row>
    <row r="179" spans="1:58" s="24" customFormat="1" ht="13.8" customHeight="1">
      <c r="A179" s="114"/>
      <c r="B179" s="115"/>
      <c r="C179" s="314" t="s">
        <v>241</v>
      </c>
      <c r="D179" s="314"/>
      <c r="E179" s="315"/>
      <c r="F179" s="246"/>
      <c r="G179" s="246"/>
      <c r="H179" s="278" t="s">
        <v>242</v>
      </c>
      <c r="I179" s="116"/>
      <c r="J179" s="116"/>
      <c r="K179" s="116"/>
      <c r="L179" s="117">
        <f>SUM(L201)</f>
        <v>21497700</v>
      </c>
      <c r="M179" s="117">
        <f>SUM(M201)</f>
        <v>3590115.9000000004</v>
      </c>
      <c r="N179" s="116"/>
      <c r="O179" s="116"/>
      <c r="P179" s="116"/>
      <c r="Q179" s="116"/>
      <c r="R179" s="117">
        <f t="shared" ref="R179:U179" si="161">SUM(R201)</f>
        <v>0</v>
      </c>
      <c r="S179" s="117">
        <f t="shared" si="161"/>
        <v>0</v>
      </c>
      <c r="T179" s="117">
        <f t="shared" si="161"/>
        <v>0</v>
      </c>
      <c r="U179" s="117">
        <f t="shared" si="161"/>
        <v>0</v>
      </c>
      <c r="V179" s="116"/>
      <c r="W179" s="116"/>
      <c r="X179" s="116"/>
      <c r="Y179" s="117">
        <f>SUM(Y201)</f>
        <v>0</v>
      </c>
      <c r="Z179" s="117"/>
      <c r="AA179" s="117"/>
      <c r="AB179" s="117">
        <f t="shared" ref="AB179:AF179" si="162">SUM(AB201)</f>
        <v>5434000</v>
      </c>
      <c r="AC179" s="117">
        <f t="shared" si="162"/>
        <v>21787500</v>
      </c>
      <c r="AD179" s="117">
        <f t="shared" si="162"/>
        <v>0</v>
      </c>
      <c r="AE179" s="117">
        <f t="shared" si="162"/>
        <v>1309800</v>
      </c>
      <c r="AF179" s="117">
        <f t="shared" si="162"/>
        <v>28531300</v>
      </c>
      <c r="AG179" s="116"/>
      <c r="AH179" s="116"/>
      <c r="AI179" s="116"/>
      <c r="AJ179" s="117">
        <f t="shared" ref="AJ179:AN179" si="163">SUM(AJ201)</f>
        <v>0</v>
      </c>
      <c r="AK179" s="117">
        <f t="shared" si="163"/>
        <v>0</v>
      </c>
      <c r="AL179" s="117">
        <f t="shared" si="163"/>
        <v>0</v>
      </c>
      <c r="AM179" s="117">
        <f t="shared" si="163"/>
        <v>0</v>
      </c>
      <c r="AN179" s="117">
        <f t="shared" si="163"/>
        <v>0</v>
      </c>
      <c r="AO179" s="132"/>
      <c r="AP179" s="25"/>
      <c r="AQ179" s="117">
        <f t="shared" ref="AQ179:BB179" si="164">SUM(AQ201)</f>
        <v>25087815.900000002</v>
      </c>
      <c r="AR179" s="117">
        <f t="shared" si="164"/>
        <v>28531300</v>
      </c>
      <c r="AS179" s="117">
        <f t="shared" si="164"/>
        <v>0</v>
      </c>
      <c r="AT179" s="117">
        <f t="shared" si="164"/>
        <v>53619115.900000006</v>
      </c>
      <c r="AU179" s="117">
        <f t="shared" si="164"/>
        <v>24899345.400000002</v>
      </c>
      <c r="AV179" s="117">
        <f t="shared" si="164"/>
        <v>0</v>
      </c>
      <c r="AW179" s="117">
        <f t="shared" si="164"/>
        <v>0</v>
      </c>
      <c r="AX179" s="117">
        <f t="shared" si="164"/>
        <v>470400</v>
      </c>
      <c r="AY179" s="117">
        <f t="shared" si="164"/>
        <v>0</v>
      </c>
      <c r="AZ179" s="117">
        <f t="shared" si="164"/>
        <v>16844146.75</v>
      </c>
      <c r="BA179" s="117">
        <f t="shared" si="164"/>
        <v>0</v>
      </c>
      <c r="BB179" s="117">
        <f t="shared" si="164"/>
        <v>-11405223.75</v>
      </c>
      <c r="BD179" s="5"/>
      <c r="BF179" s="295"/>
    </row>
    <row r="180" spans="1:58" ht="124.8" outlineLevel="2">
      <c r="A180" s="98"/>
      <c r="B180" s="102"/>
      <c r="C180" s="23"/>
      <c r="D180" s="257"/>
      <c r="E180" s="123"/>
      <c r="F180" s="249"/>
      <c r="G180" s="283"/>
      <c r="H180" s="302" t="s">
        <v>516</v>
      </c>
      <c r="I180" s="104" t="s">
        <v>4</v>
      </c>
      <c r="J180" s="105">
        <v>15</v>
      </c>
      <c r="K180" s="105">
        <v>0.4</v>
      </c>
      <c r="L180" s="106">
        <f>IF(I180&lt;&gt;0,((VLOOKUP(I180,'1. Standard_Cost'!$B$4:$D$11,2)+VLOOKUP(I180,'1. Standard_Cost'!$B$4:$D$11,3))*J180*K180),"0")</f>
        <v>484500</v>
      </c>
      <c r="M180" s="106">
        <f>L180*'1. Standard_Cost'!$F$4</f>
        <v>80911.5</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v>15</v>
      </c>
      <c r="AB180" s="108">
        <f>+Z180*'1. Standard_Cost'!$B$23+AA180*'1. Standard_Cost'!$C$23</f>
        <v>285000</v>
      </c>
      <c r="AC180" s="109">
        <f>20*300</f>
        <v>6000</v>
      </c>
      <c r="AD180" s="110"/>
      <c r="AE180" s="108"/>
      <c r="AF180" s="108">
        <f t="shared" ref="AF180:AF200" si="165">SUM(AE180,AD180,AC180,AB180,Y180,U180,T180,S180,R180)</f>
        <v>291000</v>
      </c>
      <c r="AG180" s="107"/>
      <c r="AH180" s="107"/>
      <c r="AI180" s="107"/>
      <c r="AJ180" s="111"/>
      <c r="AK180" s="111"/>
      <c r="AL180" s="111"/>
      <c r="AM180" s="108">
        <f>AG180*'1. Standard_Cost'!$B$27+'Incremental_Cost Year 2'!AH180*'1. Standard_Cost'!$C$27+'Incremental_Cost Year 2'!AI180*'1. Standard_Cost'!$D$27+'Incremental_Cost Year 2'!AJ180+'Incremental_Cost Year 2'!AL180+AK180</f>
        <v>0</v>
      </c>
      <c r="AN180" s="108">
        <f>AM180*'1. Standard_Cost'!$C$31</f>
        <v>0</v>
      </c>
      <c r="AO180" s="125" t="s">
        <v>395</v>
      </c>
      <c r="AQ180" s="14">
        <f t="shared" ref="AQ180:AQ200" si="166">L180+M180</f>
        <v>565411.5</v>
      </c>
      <c r="AR180" s="14">
        <f t="shared" ref="AR180:AR200" si="167">AF180</f>
        <v>291000</v>
      </c>
      <c r="AS180" s="14">
        <f t="shared" ref="AS180:AS200" si="168">AM180+AN180</f>
        <v>0</v>
      </c>
      <c r="AT180" s="14">
        <f>SUM(AQ180,AR180,AS180)</f>
        <v>856411.5</v>
      </c>
      <c r="AU180" s="15">
        <v>565411.5</v>
      </c>
      <c r="AV180" s="15"/>
      <c r="AW180" s="15"/>
      <c r="AX180" s="15"/>
      <c r="AY180" s="15"/>
      <c r="AZ180" s="15"/>
      <c r="BA180" s="15"/>
      <c r="BB180" s="16">
        <f t="shared" ref="BB180:BB200" si="169">SUM(AU180:BA180)-AT180</f>
        <v>-291000</v>
      </c>
      <c r="BF180" s="295"/>
    </row>
    <row r="181" spans="1:58" ht="187.2" outlineLevel="2">
      <c r="A181" s="98"/>
      <c r="B181" s="102"/>
      <c r="C181" s="23"/>
      <c r="D181" s="269"/>
      <c r="E181" s="271"/>
      <c r="F181" s="250"/>
      <c r="G181" s="255"/>
      <c r="H181" s="302" t="s">
        <v>517</v>
      </c>
      <c r="I181" s="104" t="s">
        <v>4</v>
      </c>
      <c r="J181" s="105">
        <v>0.4</v>
      </c>
      <c r="K181" s="105">
        <v>10</v>
      </c>
      <c r="L181" s="106">
        <f>IF(I181&lt;&gt;0,((VLOOKUP(I181,'1. Standard_Cost'!$B$4:$D$11,2)+VLOOKUP(I181,'1. Standard_Cost'!$B$4:$D$11,3))*J181*K181),"0")</f>
        <v>323000</v>
      </c>
      <c r="M181" s="106">
        <f>L181*'1. Standard_Cost'!$F$4</f>
        <v>53941</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v>20</v>
      </c>
      <c r="AB181" s="108">
        <f>+Z181*'1. Standard_Cost'!$B$23+AA181*'1. Standard_Cost'!$C$23</f>
        <v>380000</v>
      </c>
      <c r="AC181" s="109">
        <f>2*20*300</f>
        <v>12000</v>
      </c>
      <c r="AD181" s="110"/>
      <c r="AE181" s="108">
        <f>SUM(AD181,AC181,AB181,Y181,U181,T181,S181,R181)*'1. Standard_Cost'!$B$31</f>
        <v>78400</v>
      </c>
      <c r="AF181" s="108">
        <f t="shared" si="165"/>
        <v>470400</v>
      </c>
      <c r="AG181" s="107"/>
      <c r="AH181" s="107"/>
      <c r="AI181" s="107"/>
      <c r="AJ181" s="111"/>
      <c r="AK181" s="111"/>
      <c r="AL181" s="111"/>
      <c r="AM181" s="108">
        <f>AG181*'1. Standard_Cost'!$B$27+'Incremental_Cost Year 2'!AH181*'1. Standard_Cost'!$C$27+'Incremental_Cost Year 2'!AI181*'1. Standard_Cost'!$D$27+'Incremental_Cost Year 2'!AJ181+'Incremental_Cost Year 2'!AL181+AK181</f>
        <v>0</v>
      </c>
      <c r="AN181" s="108">
        <f>AM181*'1. Standard_Cost'!$C$31</f>
        <v>0</v>
      </c>
      <c r="AO181" s="125" t="s">
        <v>396</v>
      </c>
      <c r="AQ181" s="14">
        <f t="shared" si="166"/>
        <v>376941</v>
      </c>
      <c r="AR181" s="14">
        <f t="shared" si="167"/>
        <v>470400</v>
      </c>
      <c r="AS181" s="14">
        <f t="shared" si="168"/>
        <v>0</v>
      </c>
      <c r="AT181" s="14">
        <f t="shared" ref="AT181:AT200" si="170">SUM(AQ181,AR181,AS181)</f>
        <v>847341</v>
      </c>
      <c r="AU181" s="15">
        <v>376941</v>
      </c>
      <c r="AV181" s="15"/>
      <c r="AW181" s="15"/>
      <c r="AX181" s="15">
        <v>470400</v>
      </c>
      <c r="AY181" s="15"/>
      <c r="AZ181" s="15"/>
      <c r="BA181" s="15"/>
      <c r="BB181" s="16">
        <f t="shared" si="169"/>
        <v>0</v>
      </c>
      <c r="BD181" s="24"/>
      <c r="BF181" s="295"/>
    </row>
    <row r="182" spans="1:58" ht="124.8" outlineLevel="2">
      <c r="A182" s="98"/>
      <c r="B182" s="102"/>
      <c r="C182" s="23"/>
      <c r="D182" s="269"/>
      <c r="E182" s="271"/>
      <c r="F182" s="250"/>
      <c r="G182" s="255"/>
      <c r="H182" s="302" t="s">
        <v>518</v>
      </c>
      <c r="I182" s="104" t="s">
        <v>4</v>
      </c>
      <c r="J182" s="105">
        <v>0.4</v>
      </c>
      <c r="K182" s="105">
        <v>1</v>
      </c>
      <c r="L182" s="106">
        <f>IF(I182&lt;&gt;0,((VLOOKUP(I182,'1. Standard_Cost'!$B$4:$D$11,2)+VLOOKUP(I182,'1. Standard_Cost'!$B$4:$D$11,3))*J182*K182),"0")</f>
        <v>32300</v>
      </c>
      <c r="M182" s="106">
        <f>L182*'1. Standard_Cost'!$F$4</f>
        <v>5394.1</v>
      </c>
      <c r="N182" s="107">
        <v>10</v>
      </c>
      <c r="O182" s="107">
        <v>2</v>
      </c>
      <c r="P182" s="107">
        <v>15</v>
      </c>
      <c r="Q182" s="107"/>
      <c r="R182" s="108">
        <v>0</v>
      </c>
      <c r="S182" s="108">
        <v>0</v>
      </c>
      <c r="T182" s="108">
        <f>N182*P182*Q182*'1. Standard_Cost'!$D$15</f>
        <v>0</v>
      </c>
      <c r="U182" s="108">
        <v>0</v>
      </c>
      <c r="V182" s="107"/>
      <c r="W182" s="107"/>
      <c r="X182" s="107"/>
      <c r="Y182" s="108">
        <f>+V182*((X182*'1. Standard_Cost'!$B$19)+(W182*X182*'1. Standard_Cost'!$C$19))</f>
        <v>0</v>
      </c>
      <c r="Z182" s="107"/>
      <c r="AA182" s="107">
        <f>20+22</f>
        <v>42</v>
      </c>
      <c r="AB182" s="108">
        <f>+Z182*'1. Standard_Cost'!$B$23+AA182*'1. Standard_Cost'!$C$23</f>
        <v>798000</v>
      </c>
      <c r="AC182" s="109">
        <f>150*3500*2+150*2*500</f>
        <v>1200000</v>
      </c>
      <c r="AD182" s="110"/>
      <c r="AE182" s="108"/>
      <c r="AF182" s="108">
        <f t="shared" si="165"/>
        <v>1998000</v>
      </c>
      <c r="AG182" s="107"/>
      <c r="AH182" s="107"/>
      <c r="AI182" s="107"/>
      <c r="AJ182" s="111"/>
      <c r="AK182" s="111"/>
      <c r="AL182" s="111"/>
      <c r="AM182" s="108">
        <f>AG182*'1. Standard_Cost'!$B$27+'Incremental_Cost Year 2'!AH182*'1. Standard_Cost'!$C$27+'Incremental_Cost Year 2'!AI182*'1. Standard_Cost'!$D$27+'Incremental_Cost Year 2'!AJ182+'Incremental_Cost Year 2'!AL182+AK182</f>
        <v>0</v>
      </c>
      <c r="AN182" s="108">
        <f>AM182*'1. Standard_Cost'!$C$31</f>
        <v>0</v>
      </c>
      <c r="AO182" s="125" t="s">
        <v>397</v>
      </c>
      <c r="AQ182" s="14">
        <f t="shared" si="166"/>
        <v>37694.1</v>
      </c>
      <c r="AR182" s="14">
        <f t="shared" si="167"/>
        <v>1998000</v>
      </c>
      <c r="AS182" s="14">
        <f t="shared" si="168"/>
        <v>0</v>
      </c>
      <c r="AT182" s="14">
        <f t="shared" si="170"/>
        <v>2035694.1</v>
      </c>
      <c r="AU182" s="15">
        <v>37694.1</v>
      </c>
      <c r="AV182" s="15"/>
      <c r="AW182" s="15"/>
      <c r="AX182" s="15"/>
      <c r="AY182" s="15"/>
      <c r="AZ182" s="15"/>
      <c r="BA182" s="15"/>
      <c r="BB182" s="16">
        <f t="shared" si="169"/>
        <v>-1998000</v>
      </c>
      <c r="BF182" s="295"/>
    </row>
    <row r="183" spans="1:58" ht="93.6" outlineLevel="2">
      <c r="A183" s="98"/>
      <c r="B183" s="102"/>
      <c r="C183" s="23"/>
      <c r="D183" s="269"/>
      <c r="E183" s="271"/>
      <c r="F183" s="250"/>
      <c r="G183" s="255"/>
      <c r="H183" s="302" t="s">
        <v>519</v>
      </c>
      <c r="I183" s="104" t="s">
        <v>4</v>
      </c>
      <c r="J183" s="105">
        <v>1</v>
      </c>
      <c r="K183" s="105">
        <v>2</v>
      </c>
      <c r="L183" s="106">
        <f>IF(I183&lt;&gt;0,((VLOOKUP(I183,'1. Standard_Cost'!$B$4:$D$11,2)+VLOOKUP(I183,'1. Standard_Cost'!$B$4:$D$11,3))*J183*K183),"0")</f>
        <v>161500</v>
      </c>
      <c r="M183" s="106">
        <f>L183*'1. Standard_Cost'!$F$4</f>
        <v>26970.5</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f>50000+2*200000+4000*30</f>
        <v>570000</v>
      </c>
      <c r="AD183" s="110"/>
      <c r="AE183" s="108">
        <f>SUM(AD183,AC183,AB183,Y183,U183,T183,S183,R183)*'1. Standard_Cost'!$B$31</f>
        <v>114000</v>
      </c>
      <c r="AF183" s="108">
        <f t="shared" si="165"/>
        <v>684000</v>
      </c>
      <c r="AG183" s="107"/>
      <c r="AH183" s="107"/>
      <c r="AI183" s="107"/>
      <c r="AJ183" s="111"/>
      <c r="AK183" s="111"/>
      <c r="AL183" s="111"/>
      <c r="AM183" s="108">
        <f>AG183*'1. Standard_Cost'!$B$27+'Incremental_Cost Year 2'!AH183*'1. Standard_Cost'!$C$27+'Incremental_Cost Year 2'!AI183*'1. Standard_Cost'!$D$27+'Incremental_Cost Year 2'!AJ183+'Incremental_Cost Year 2'!AL183+AK183</f>
        <v>0</v>
      </c>
      <c r="AN183" s="108">
        <f>AM183*'1. Standard_Cost'!$C$31</f>
        <v>0</v>
      </c>
      <c r="AO183" s="125" t="s">
        <v>398</v>
      </c>
      <c r="AQ183" s="14">
        <f t="shared" si="166"/>
        <v>188470.5</v>
      </c>
      <c r="AR183" s="14">
        <f t="shared" si="167"/>
        <v>684000</v>
      </c>
      <c r="AS183" s="14">
        <f t="shared" si="168"/>
        <v>0</v>
      </c>
      <c r="AT183" s="14">
        <f t="shared" si="170"/>
        <v>872470.5</v>
      </c>
      <c r="AU183" s="15">
        <v>188470.5</v>
      </c>
      <c r="AV183" s="15"/>
      <c r="AW183" s="15"/>
      <c r="AX183" s="15"/>
      <c r="AY183" s="15"/>
      <c r="AZ183" s="15"/>
      <c r="BA183" s="15"/>
      <c r="BB183" s="16">
        <f t="shared" si="169"/>
        <v>-684000</v>
      </c>
      <c r="BF183" s="295"/>
    </row>
    <row r="184" spans="1:58" ht="171.6" outlineLevel="2">
      <c r="A184" s="98"/>
      <c r="B184" s="102"/>
      <c r="C184" s="23"/>
      <c r="D184" s="269"/>
      <c r="E184" s="271"/>
      <c r="F184" s="250"/>
      <c r="G184" s="255"/>
      <c r="H184" s="302" t="s">
        <v>520</v>
      </c>
      <c r="I184" s="104" t="s">
        <v>4</v>
      </c>
      <c r="J184" s="105">
        <v>1</v>
      </c>
      <c r="K184" s="105">
        <v>2</v>
      </c>
      <c r="L184" s="106">
        <f>IF(I184&lt;&gt;0,((VLOOKUP(I184,'1. Standard_Cost'!$B$4:$D$11,2)+VLOOKUP(I184,'1. Standard_Cost'!$B$4:$D$11,3))*J184*K184),"0")</f>
        <v>161500</v>
      </c>
      <c r="M184" s="106">
        <f>L184*'1. Standard_Cost'!$F$4</f>
        <v>26970.5</v>
      </c>
      <c r="N184" s="107"/>
      <c r="O184" s="107"/>
      <c r="P184" s="107"/>
      <c r="Q184" s="107"/>
      <c r="R184" s="108">
        <f>'1. Standard_Cost'!$B$15*N184*P184</f>
        <v>0</v>
      </c>
      <c r="S184" s="108">
        <f>N184*O184*P184*'1. Standard_Cost'!$C$15</f>
        <v>0</v>
      </c>
      <c r="T184" s="108">
        <f>N184*P184*Q184*'1. Standard_Cost'!$D$15</f>
        <v>0</v>
      </c>
      <c r="U184" s="108">
        <f>N184*O184*'1. Standard_Cost'!$E$15</f>
        <v>0</v>
      </c>
      <c r="V184" s="107"/>
      <c r="W184" s="107"/>
      <c r="X184" s="107"/>
      <c r="Y184" s="108">
        <f>+V184*((X184*'1. Standard_Cost'!$B$19)+(W184*X184*'1. Standard_Cost'!$C$19))</f>
        <v>0</v>
      </c>
      <c r="Z184" s="107"/>
      <c r="AA184" s="107"/>
      <c r="AB184" s="108">
        <f>+Z184*'1. Standard_Cost'!$B$23+AA184*'1. Standard_Cost'!$C$23</f>
        <v>0</v>
      </c>
      <c r="AC184" s="109">
        <f>4120500+10980000</f>
        <v>15100500</v>
      </c>
      <c r="AD184" s="110"/>
      <c r="AE184" s="108">
        <v>0</v>
      </c>
      <c r="AF184" s="108">
        <f t="shared" si="165"/>
        <v>15100500</v>
      </c>
      <c r="AG184" s="107"/>
      <c r="AH184" s="107"/>
      <c r="AI184" s="107"/>
      <c r="AJ184" s="111"/>
      <c r="AK184" s="111"/>
      <c r="AL184" s="111"/>
      <c r="AM184" s="108">
        <f>AG184*'1. Standard_Cost'!$B$27+'Incremental_Cost Year 2'!AH184*'1. Standard_Cost'!$C$27+'Incremental_Cost Year 2'!AI184*'1. Standard_Cost'!$D$27+'Incremental_Cost Year 2'!AJ184+'Incremental_Cost Year 2'!AL184+AK184</f>
        <v>0</v>
      </c>
      <c r="AN184" s="108">
        <f>AM184*'1. Standard_Cost'!$C$31</f>
        <v>0</v>
      </c>
      <c r="AO184" s="125" t="s">
        <v>399</v>
      </c>
      <c r="AQ184" s="14">
        <f t="shared" si="166"/>
        <v>188470.5</v>
      </c>
      <c r="AR184" s="14">
        <f t="shared" si="167"/>
        <v>15100500</v>
      </c>
      <c r="AS184" s="14">
        <f t="shared" si="168"/>
        <v>0</v>
      </c>
      <c r="AT184" s="14">
        <f t="shared" si="170"/>
        <v>15288970.5</v>
      </c>
      <c r="AU184" s="15"/>
      <c r="AV184" s="15"/>
      <c r="AW184" s="15"/>
      <c r="AX184" s="15"/>
      <c r="AY184" s="15"/>
      <c r="AZ184" s="15">
        <v>15288970.5</v>
      </c>
      <c r="BA184" s="15"/>
      <c r="BB184" s="16">
        <f t="shared" si="169"/>
        <v>0</v>
      </c>
      <c r="BF184" s="295"/>
    </row>
    <row r="185" spans="1:58" ht="124.8" outlineLevel="2">
      <c r="A185" s="98"/>
      <c r="B185" s="102"/>
      <c r="C185" s="23"/>
      <c r="D185" s="269"/>
      <c r="E185" s="271"/>
      <c r="F185" s="250"/>
      <c r="G185" s="255"/>
      <c r="H185" s="302" t="s">
        <v>521</v>
      </c>
      <c r="I185" s="104" t="s">
        <v>4</v>
      </c>
      <c r="J185" s="105">
        <v>1</v>
      </c>
      <c r="K185" s="105">
        <v>3</v>
      </c>
      <c r="L185" s="106">
        <f>IF(I185&lt;&gt;0,((VLOOKUP(I185,'1. Standard_Cost'!$B$4:$D$11,2)+VLOOKUP(I185,'1. Standard_Cost'!$B$4:$D$11,3))*J185*K185),"0")</f>
        <v>242250</v>
      </c>
      <c r="M185" s="106">
        <f>L185*'1. Standard_Cost'!$F$4</f>
        <v>40455.75</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f>50000+2*200000+4000*30</f>
        <v>570000</v>
      </c>
      <c r="AD185" s="110"/>
      <c r="AE185" s="108">
        <f>SUM(AD185,AC185,AB185,Y185,U185,T185,S185,R185)*'1. Standard_Cost'!$B$31</f>
        <v>114000</v>
      </c>
      <c r="AF185" s="108">
        <f t="shared" si="165"/>
        <v>684000</v>
      </c>
      <c r="AG185" s="107"/>
      <c r="AH185" s="107"/>
      <c r="AI185" s="107"/>
      <c r="AJ185" s="111"/>
      <c r="AK185" s="111"/>
      <c r="AL185" s="111"/>
      <c r="AM185" s="108">
        <f>AG185*'1. Standard_Cost'!$B$27+'Incremental_Cost Year 2'!AH185*'1. Standard_Cost'!$C$27+'Incremental_Cost Year 2'!AI185*'1. Standard_Cost'!$D$27+'Incremental_Cost Year 2'!AJ185+'Incremental_Cost Year 2'!AL185+AK185</f>
        <v>0</v>
      </c>
      <c r="AN185" s="108">
        <f>AM185*'1. Standard_Cost'!$C$31</f>
        <v>0</v>
      </c>
      <c r="AO185" s="125" t="s">
        <v>400</v>
      </c>
      <c r="AQ185" s="14">
        <f t="shared" si="166"/>
        <v>282705.75</v>
      </c>
      <c r="AR185" s="14">
        <f t="shared" si="167"/>
        <v>684000</v>
      </c>
      <c r="AS185" s="14">
        <f t="shared" si="168"/>
        <v>0</v>
      </c>
      <c r="AT185" s="14">
        <f t="shared" si="170"/>
        <v>966705.75</v>
      </c>
      <c r="AU185" s="15">
        <v>282705.75</v>
      </c>
      <c r="AV185" s="15"/>
      <c r="AW185" s="15"/>
      <c r="AX185" s="15"/>
      <c r="AY185" s="15"/>
      <c r="AZ185" s="15">
        <v>684000</v>
      </c>
      <c r="BA185" s="15"/>
      <c r="BB185" s="16">
        <f t="shared" si="169"/>
        <v>0</v>
      </c>
      <c r="BF185" s="295"/>
    </row>
    <row r="186" spans="1:58" ht="62.4" outlineLevel="2">
      <c r="A186" s="98"/>
      <c r="B186" s="102"/>
      <c r="C186" s="23"/>
      <c r="D186" s="269"/>
      <c r="E186" s="271"/>
      <c r="F186" s="250"/>
      <c r="G186" s="255"/>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65"/>
        <v>0</v>
      </c>
      <c r="AG186" s="107"/>
      <c r="AH186" s="107"/>
      <c r="AI186" s="107"/>
      <c r="AJ186" s="111"/>
      <c r="AK186" s="111"/>
      <c r="AL186" s="111"/>
      <c r="AM186" s="108">
        <f>AG186*'1. Standard_Cost'!$B$27+'Incremental_Cost Year 2'!AH186*'1. Standard_Cost'!$C$27+'Incremental_Cost Year 2'!AI186*'1. Standard_Cost'!$D$27+'Incremental_Cost Year 2'!AJ186+'Incremental_Cost Year 2'!AL186+AK186</f>
        <v>0</v>
      </c>
      <c r="AN186" s="108">
        <f>AM186*'1. Standard_Cost'!$C$31</f>
        <v>0</v>
      </c>
      <c r="AO186" s="125" t="s">
        <v>401</v>
      </c>
      <c r="AQ186" s="14">
        <f t="shared" si="166"/>
        <v>0</v>
      </c>
      <c r="AR186" s="14">
        <f t="shared" si="167"/>
        <v>0</v>
      </c>
      <c r="AS186" s="14">
        <f t="shared" si="168"/>
        <v>0</v>
      </c>
      <c r="AT186" s="14">
        <f t="shared" si="170"/>
        <v>0</v>
      </c>
      <c r="AU186" s="15">
        <v>0</v>
      </c>
      <c r="AV186" s="15"/>
      <c r="AW186" s="15"/>
      <c r="AX186" s="15"/>
      <c r="AY186" s="15"/>
      <c r="AZ186" s="15"/>
      <c r="BA186" s="15"/>
      <c r="BB186" s="16">
        <f t="shared" si="169"/>
        <v>0</v>
      </c>
      <c r="BF186" s="295"/>
    </row>
    <row r="187" spans="1:58" ht="109.2" outlineLevel="2">
      <c r="A187" s="98"/>
      <c r="B187" s="102"/>
      <c r="C187" s="23"/>
      <c r="D187" s="269"/>
      <c r="E187" s="271"/>
      <c r="F187" s="250"/>
      <c r="G187" s="255"/>
      <c r="H187" s="302" t="s">
        <v>523</v>
      </c>
      <c r="I187" s="104"/>
      <c r="J187" s="105"/>
      <c r="K187" s="105"/>
      <c r="L187" s="106" t="str">
        <f>IF(I187&lt;&gt;0,((VLOOKUP(I187,'1. Standard_Cost'!$B$4:$D$11,2)+VLOOKUP(I187,'1. Standard_Cost'!$B$4:$D$11,3))*J187*K187),"0")</f>
        <v>0</v>
      </c>
      <c r="M187" s="106">
        <f>L187*'1. Standard_Cost'!$F$4</f>
        <v>0</v>
      </c>
      <c r="N187" s="107"/>
      <c r="O187" s="107"/>
      <c r="P187" s="107"/>
      <c r="Q187" s="107"/>
      <c r="R187" s="108">
        <f>'1. Standard_Cost'!$B$15*N187*P187</f>
        <v>0</v>
      </c>
      <c r="S187" s="108">
        <f>N187*O187*P187*'1. Standard_Cost'!$C$15</f>
        <v>0</v>
      </c>
      <c r="T187" s="108">
        <f>N187*P187*Q187*'1. Standard_Cost'!$D$15</f>
        <v>0</v>
      </c>
      <c r="U187" s="108">
        <f>N187*O187*'1. Standard_Cost'!$E$15</f>
        <v>0</v>
      </c>
      <c r="V187" s="107"/>
      <c r="W187" s="107"/>
      <c r="X187" s="107"/>
      <c r="Y187" s="108">
        <f>+V187*((X187*'1. Standard_Cost'!$B$19)+(W187*X187*'1. Standard_Cost'!$C$19))</f>
        <v>0</v>
      </c>
      <c r="Z187" s="107"/>
      <c r="AA187" s="107"/>
      <c r="AB187" s="108">
        <f>+Z187*'1. Standard_Cost'!$B$23+AA187*'1. Standard_Cost'!$C$23</f>
        <v>0</v>
      </c>
      <c r="AC187" s="109">
        <v>0</v>
      </c>
      <c r="AD187" s="110"/>
      <c r="AE187" s="108">
        <f>SUM(AD187,AC187,AB187,Y187,U187,T187,S187,R187)*'1. Standard_Cost'!$B$31</f>
        <v>0</v>
      </c>
      <c r="AF187" s="108">
        <f t="shared" si="165"/>
        <v>0</v>
      </c>
      <c r="AG187" s="107"/>
      <c r="AH187" s="107"/>
      <c r="AI187" s="107"/>
      <c r="AJ187" s="111"/>
      <c r="AK187" s="111"/>
      <c r="AL187" s="111"/>
      <c r="AM187" s="108">
        <f>AG187*'1. Standard_Cost'!$B$27+'Incremental_Cost Year 2'!AH187*'1. Standard_Cost'!$C$27+'Incremental_Cost Year 2'!AI187*'1. Standard_Cost'!$D$27+'Incremental_Cost Year 2'!AJ187+'Incremental_Cost Year 2'!AL187+AK187</f>
        <v>0</v>
      </c>
      <c r="AN187" s="108">
        <f>AM187*'1. Standard_Cost'!$C$31</f>
        <v>0</v>
      </c>
      <c r="AO187" s="125" t="s">
        <v>402</v>
      </c>
      <c r="AQ187" s="14">
        <f t="shared" si="166"/>
        <v>0</v>
      </c>
      <c r="AR187" s="14">
        <f t="shared" si="167"/>
        <v>0</v>
      </c>
      <c r="AS187" s="14">
        <f t="shared" si="168"/>
        <v>0</v>
      </c>
      <c r="AT187" s="14">
        <f t="shared" si="170"/>
        <v>0</v>
      </c>
      <c r="AU187" s="15"/>
      <c r="AV187" s="15"/>
      <c r="AW187" s="15"/>
      <c r="AX187" s="15"/>
      <c r="AY187" s="15"/>
      <c r="AZ187" s="15"/>
      <c r="BA187" s="15"/>
      <c r="BB187" s="16">
        <f t="shared" si="169"/>
        <v>0</v>
      </c>
      <c r="BF187" s="295"/>
    </row>
    <row r="188" spans="1:58" ht="124.8" outlineLevel="2">
      <c r="A188" s="98"/>
      <c r="B188" s="102"/>
      <c r="C188" s="23"/>
      <c r="D188" s="269"/>
      <c r="E188" s="271"/>
      <c r="F188" s="250"/>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c r="AF188" s="108">
        <f t="shared" si="165"/>
        <v>570000</v>
      </c>
      <c r="AG188" s="107"/>
      <c r="AH188" s="107"/>
      <c r="AI188" s="107"/>
      <c r="AJ188" s="111"/>
      <c r="AK188" s="111"/>
      <c r="AL188" s="111"/>
      <c r="AM188" s="108">
        <f>AG188*'1. Standard_Cost'!$B$27+'Incremental_Cost Year 2'!AH188*'1. Standard_Cost'!$C$27+'Incremental_Cost Year 2'!AI188*'1. Standard_Cost'!$D$27+'Incremental_Cost Year 2'!AJ188+'Incremental_Cost Year 2'!AL188+AK188</f>
        <v>0</v>
      </c>
      <c r="AN188" s="108">
        <f>AM188*'1. Standard_Cost'!$C$31</f>
        <v>0</v>
      </c>
      <c r="AO188" s="125" t="s">
        <v>335</v>
      </c>
      <c r="AQ188" s="14">
        <f t="shared" si="166"/>
        <v>282705.75</v>
      </c>
      <c r="AR188" s="14">
        <f t="shared" si="167"/>
        <v>570000</v>
      </c>
      <c r="AS188" s="14">
        <f t="shared" si="168"/>
        <v>0</v>
      </c>
      <c r="AT188" s="14">
        <f t="shared" si="170"/>
        <v>852705.75</v>
      </c>
      <c r="AU188" s="15">
        <v>282705.75</v>
      </c>
      <c r="AV188" s="15"/>
      <c r="AW188" s="15"/>
      <c r="AX188" s="15"/>
      <c r="AY188" s="15"/>
      <c r="AZ188" s="15"/>
      <c r="BA188" s="15"/>
      <c r="BB188" s="16">
        <f t="shared" si="169"/>
        <v>-570000</v>
      </c>
      <c r="BF188" s="295"/>
    </row>
    <row r="189" spans="1:58" ht="46.8" outlineLevel="2">
      <c r="A189" s="98"/>
      <c r="B189" s="102"/>
      <c r="C189" s="23"/>
      <c r="D189" s="269"/>
      <c r="E189" s="271"/>
      <c r="F189" s="250"/>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65"/>
        <v>0</v>
      </c>
      <c r="AG189" s="107"/>
      <c r="AH189" s="107"/>
      <c r="AI189" s="107"/>
      <c r="AJ189" s="111"/>
      <c r="AK189" s="111"/>
      <c r="AL189" s="111"/>
      <c r="AM189" s="108">
        <f>AG189*'1. Standard_Cost'!$B$27+'Incremental_Cost Year 2'!AH189*'1. Standard_Cost'!$C$27+'Incremental_Cost Year 2'!AI189*'1. Standard_Cost'!$D$27+'Incremental_Cost Year 2'!AJ189+'Incremental_Cost Year 2'!AL189+AK189</f>
        <v>0</v>
      </c>
      <c r="AN189" s="108">
        <f>AM189*'1. Standard_Cost'!$C$31</f>
        <v>0</v>
      </c>
      <c r="AO189" s="125" t="s">
        <v>403</v>
      </c>
      <c r="AQ189" s="14">
        <f t="shared" si="166"/>
        <v>423621</v>
      </c>
      <c r="AR189" s="14">
        <f t="shared" si="167"/>
        <v>0</v>
      </c>
      <c r="AS189" s="14">
        <f t="shared" si="168"/>
        <v>0</v>
      </c>
      <c r="AT189" s="14">
        <f t="shared" si="170"/>
        <v>423621</v>
      </c>
      <c r="AU189" s="15">
        <v>423621</v>
      </c>
      <c r="AV189" s="15"/>
      <c r="AW189" s="15"/>
      <c r="AX189" s="15"/>
      <c r="AY189" s="15"/>
      <c r="AZ189" s="15"/>
      <c r="BA189" s="15"/>
      <c r="BB189" s="16">
        <f t="shared" si="169"/>
        <v>0</v>
      </c>
      <c r="BF189" s="295"/>
    </row>
    <row r="190" spans="1:58" ht="124.8" outlineLevel="2">
      <c r="A190" s="98"/>
      <c r="B190" s="102"/>
      <c r="C190" s="23"/>
      <c r="D190" s="269"/>
      <c r="E190" s="271"/>
      <c r="F190" s="250"/>
      <c r="G190" s="255"/>
      <c r="H190" s="302" t="s">
        <v>526</v>
      </c>
      <c r="I190" s="104" t="s">
        <v>4</v>
      </c>
      <c r="J190" s="105">
        <v>0.4</v>
      </c>
      <c r="K190" s="105">
        <v>1</v>
      </c>
      <c r="L190" s="106">
        <f>IF(I190&lt;&gt;0,((VLOOKUP(I190,'1. Standard_Cost'!$B$4:$D$11,2)+VLOOKUP(I190,'1. Standard_Cost'!$B$4:$D$11,3))*J190*K190),"0")</f>
        <v>32300</v>
      </c>
      <c r="M190" s="106">
        <f>L190*'1. Standard_Cost'!$F$4</f>
        <v>5394.1</v>
      </c>
      <c r="N190" s="107">
        <v>10</v>
      </c>
      <c r="O190" s="107">
        <v>2</v>
      </c>
      <c r="P190" s="107">
        <v>15</v>
      </c>
      <c r="Q190" s="107">
        <v>0</v>
      </c>
      <c r="R190" s="108">
        <v>0</v>
      </c>
      <c r="S190" s="108">
        <v>0</v>
      </c>
      <c r="T190" s="108">
        <f>N190*P190*Q190*'1. Standard_Cost'!$D$15</f>
        <v>0</v>
      </c>
      <c r="U190" s="108">
        <v>0</v>
      </c>
      <c r="V190" s="107"/>
      <c r="W190" s="107"/>
      <c r="X190" s="107"/>
      <c r="Y190" s="108">
        <f>+V190*((X190*'1. Standard_Cost'!$B$19)+(W190*X190*'1. Standard_Cost'!$C$19))</f>
        <v>0</v>
      </c>
      <c r="Z190" s="107"/>
      <c r="AA190" s="107">
        <f>20+22</f>
        <v>42</v>
      </c>
      <c r="AB190" s="108">
        <f>+Z190*'1. Standard_Cost'!$B$23+AA190*'1. Standard_Cost'!$C$23</f>
        <v>798000</v>
      </c>
      <c r="AC190" s="109">
        <f>150*3500*2+150*500*2</f>
        <v>1200000</v>
      </c>
      <c r="AD190" s="110"/>
      <c r="AE190" s="108">
        <v>0</v>
      </c>
      <c r="AF190" s="108">
        <f t="shared" si="165"/>
        <v>1998000</v>
      </c>
      <c r="AG190" s="107"/>
      <c r="AH190" s="107"/>
      <c r="AI190" s="107"/>
      <c r="AJ190" s="111"/>
      <c r="AK190" s="111"/>
      <c r="AL190" s="111"/>
      <c r="AM190" s="108">
        <f>AG190*'1. Standard_Cost'!$B$27+'Incremental_Cost Year 2'!AH190*'1. Standard_Cost'!$C$27+'Incremental_Cost Year 2'!AI190*'1. Standard_Cost'!$D$27+'Incremental_Cost Year 2'!AJ190+'Incremental_Cost Year 2'!AL190+AK190</f>
        <v>0</v>
      </c>
      <c r="AN190" s="108">
        <f>AM190*'1. Standard_Cost'!$C$31</f>
        <v>0</v>
      </c>
      <c r="AO190" s="125" t="s">
        <v>404</v>
      </c>
      <c r="AQ190" s="14">
        <f t="shared" si="166"/>
        <v>37694.1</v>
      </c>
      <c r="AR190" s="14">
        <f t="shared" si="167"/>
        <v>1998000</v>
      </c>
      <c r="AS190" s="14">
        <f t="shared" si="168"/>
        <v>0</v>
      </c>
      <c r="AT190" s="14">
        <f t="shared" si="170"/>
        <v>2035694.1</v>
      </c>
      <c r="AU190" s="15">
        <v>37694.1</v>
      </c>
      <c r="AV190" s="15"/>
      <c r="AW190" s="15"/>
      <c r="AX190" s="15"/>
      <c r="AY190" s="15"/>
      <c r="AZ190" s="15"/>
      <c r="BA190" s="15"/>
      <c r="BB190" s="16">
        <f t="shared" si="169"/>
        <v>-1998000</v>
      </c>
      <c r="BF190" s="295"/>
    </row>
    <row r="191" spans="1:58" ht="109.2" outlineLevel="2">
      <c r="A191" s="98"/>
      <c r="B191" s="102"/>
      <c r="C191" s="23"/>
      <c r="D191" s="269"/>
      <c r="E191" s="271"/>
      <c r="F191" s="250"/>
      <c r="G191" s="255"/>
      <c r="H191" s="302" t="s">
        <v>527</v>
      </c>
      <c r="I191" s="104" t="s">
        <v>4</v>
      </c>
      <c r="J191" s="105">
        <v>1</v>
      </c>
      <c r="K191" s="105">
        <v>10</v>
      </c>
      <c r="L191" s="106">
        <f>IF(I191&lt;&gt;0,((VLOOKUP(I191,'1. Standard_Cost'!$B$4:$D$11,2)+VLOOKUP(I191,'1. Standard_Cost'!$B$4:$D$11,3))*J191*K191),"0")</f>
        <v>807500</v>
      </c>
      <c r="M191" s="106">
        <f>L191*'1. Standard_Cost'!$F$4</f>
        <v>134852.5</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v>15</v>
      </c>
      <c r="AB191" s="108">
        <f>+Z191*'1. Standard_Cost'!$B$23+AA191*'1. Standard_Cost'!$C$23</f>
        <v>285000</v>
      </c>
      <c r="AC191" s="109">
        <f>100*500</f>
        <v>50000</v>
      </c>
      <c r="AD191" s="110"/>
      <c r="AE191" s="108">
        <v>0</v>
      </c>
      <c r="AF191" s="108">
        <f t="shared" si="165"/>
        <v>335000</v>
      </c>
      <c r="AG191" s="107"/>
      <c r="AH191" s="107"/>
      <c r="AI191" s="107"/>
      <c r="AJ191" s="111"/>
      <c r="AK191" s="111"/>
      <c r="AL191" s="111"/>
      <c r="AM191" s="108">
        <f>AG191*'1. Standard_Cost'!$B$27+'Incremental_Cost Year 2'!AH191*'1. Standard_Cost'!$C$27+'Incremental_Cost Year 2'!AI191*'1. Standard_Cost'!$D$27+'Incremental_Cost Year 2'!AJ191+'Incremental_Cost Year 2'!AL191+AK191</f>
        <v>0</v>
      </c>
      <c r="AN191" s="108">
        <f>AM191*'1. Standard_Cost'!$C$31</f>
        <v>0</v>
      </c>
      <c r="AO191" s="125" t="s">
        <v>405</v>
      </c>
      <c r="AQ191" s="14">
        <f t="shared" si="166"/>
        <v>942352.5</v>
      </c>
      <c r="AR191" s="14">
        <f t="shared" si="167"/>
        <v>335000</v>
      </c>
      <c r="AS191" s="14">
        <f t="shared" si="168"/>
        <v>0</v>
      </c>
      <c r="AT191" s="14">
        <f t="shared" si="170"/>
        <v>1277352.5</v>
      </c>
      <c r="AU191" s="15">
        <v>942352.5</v>
      </c>
      <c r="AV191" s="15"/>
      <c r="AW191" s="15"/>
      <c r="AX191" s="15"/>
      <c r="AY191" s="15"/>
      <c r="AZ191" s="15"/>
      <c r="BA191" s="15"/>
      <c r="BB191" s="16">
        <f t="shared" si="169"/>
        <v>-335000</v>
      </c>
      <c r="BF191" s="295"/>
    </row>
    <row r="192" spans="1:58" ht="62.4" outlineLevel="2">
      <c r="A192" s="98"/>
      <c r="B192" s="102"/>
      <c r="C192" s="23"/>
      <c r="D192" s="269"/>
      <c r="E192" s="271"/>
      <c r="F192" s="250"/>
      <c r="G192" s="255"/>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65"/>
        <v>0</v>
      </c>
      <c r="AG192" s="107"/>
      <c r="AH192" s="107"/>
      <c r="AI192" s="107"/>
      <c r="AJ192" s="111"/>
      <c r="AK192" s="111"/>
      <c r="AL192" s="111"/>
      <c r="AM192" s="108">
        <f>AG192*'1. Standard_Cost'!$B$27+'Incremental_Cost Year 2'!AH192*'1. Standard_Cost'!$C$27+'Incremental_Cost Year 2'!AI192*'1. Standard_Cost'!$D$27+'Incremental_Cost Year 2'!AJ192+'Incremental_Cost Year 2'!AL192+AK192</f>
        <v>0</v>
      </c>
      <c r="AN192" s="108">
        <f>AM192*'1. Standard_Cost'!$C$31</f>
        <v>0</v>
      </c>
      <c r="AO192" s="125" t="s">
        <v>406</v>
      </c>
      <c r="AQ192" s="14">
        <f t="shared" si="166"/>
        <v>19801656</v>
      </c>
      <c r="AR192" s="14">
        <f t="shared" si="167"/>
        <v>0</v>
      </c>
      <c r="AS192" s="14">
        <f t="shared" si="168"/>
        <v>0</v>
      </c>
      <c r="AT192" s="14">
        <f t="shared" si="170"/>
        <v>19801656</v>
      </c>
      <c r="AU192" s="15">
        <v>19801656</v>
      </c>
      <c r="AV192" s="15"/>
      <c r="AW192" s="15"/>
      <c r="AX192" s="15"/>
      <c r="AY192" s="15"/>
      <c r="AZ192" s="15"/>
      <c r="BA192" s="15"/>
      <c r="BB192" s="16">
        <f t="shared" si="169"/>
        <v>0</v>
      </c>
      <c r="BF192" s="295"/>
    </row>
    <row r="193" spans="1:58" ht="78" outlineLevel="2">
      <c r="A193" s="98"/>
      <c r="B193" s="102"/>
      <c r="C193" s="23"/>
      <c r="D193" s="269"/>
      <c r="E193" s="271"/>
      <c r="F193" s="250"/>
      <c r="G193" s="255"/>
      <c r="H193" s="302" t="s">
        <v>529</v>
      </c>
      <c r="I193" s="104" t="s">
        <v>4</v>
      </c>
      <c r="J193" s="105">
        <v>1</v>
      </c>
      <c r="K193" s="105">
        <v>5</v>
      </c>
      <c r="L193" s="106">
        <f>IF(I193&lt;&gt;0,((VLOOKUP(I193,'1. Standard_Cost'!$B$4:$D$11,2)+VLOOKUP(I193,'1. Standard_Cost'!$B$4:$D$11,3))*J193*K193),"0")</f>
        <v>403750</v>
      </c>
      <c r="M193" s="106">
        <f>L193*'1. Standard_Cost'!$F$4</f>
        <v>67426.25</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v>15</v>
      </c>
      <c r="AB193" s="108">
        <f>+Z193*'1. Standard_Cost'!$B$23+AA193*'1. Standard_Cost'!$C$23</f>
        <v>285000</v>
      </c>
      <c r="AC193" s="109">
        <f>100*500</f>
        <v>50000</v>
      </c>
      <c r="AD193" s="110"/>
      <c r="AE193" s="108">
        <f>SUM(AD193,AC193,AB193,Y193,U193,T193,S193,R193)*'1. Standard_Cost'!$B$31</f>
        <v>67000</v>
      </c>
      <c r="AF193" s="108">
        <f t="shared" si="165"/>
        <v>402000</v>
      </c>
      <c r="AG193" s="107"/>
      <c r="AH193" s="107"/>
      <c r="AI193" s="107"/>
      <c r="AJ193" s="111"/>
      <c r="AK193" s="111"/>
      <c r="AL193" s="111"/>
      <c r="AM193" s="108">
        <f>AG193*'1. Standard_Cost'!$B$27+'Incremental_Cost Year 2'!AH193*'1. Standard_Cost'!$C$27+'Incremental_Cost Year 2'!AI193*'1. Standard_Cost'!$D$27+'Incremental_Cost Year 2'!AJ193+'Incremental_Cost Year 2'!AL193+AK193</f>
        <v>0</v>
      </c>
      <c r="AN193" s="108">
        <f>AM193*'1. Standard_Cost'!$C$31</f>
        <v>0</v>
      </c>
      <c r="AO193" s="125" t="s">
        <v>407</v>
      </c>
      <c r="AQ193" s="14">
        <f t="shared" si="166"/>
        <v>471176.25</v>
      </c>
      <c r="AR193" s="14">
        <f t="shared" si="167"/>
        <v>402000</v>
      </c>
      <c r="AS193" s="14">
        <f t="shared" si="168"/>
        <v>0</v>
      </c>
      <c r="AT193" s="14">
        <f t="shared" si="170"/>
        <v>873176.25</v>
      </c>
      <c r="AU193" s="15">
        <v>471176.25</v>
      </c>
      <c r="AV193" s="15"/>
      <c r="AW193" s="15"/>
      <c r="AX193" s="15"/>
      <c r="AY193" s="15"/>
      <c r="AZ193" s="15"/>
      <c r="BA193" s="15"/>
      <c r="BB193" s="16">
        <f t="shared" si="169"/>
        <v>-402000</v>
      </c>
      <c r="BF193" s="295"/>
    </row>
    <row r="194" spans="1:58" ht="36" customHeight="1" outlineLevel="2">
      <c r="A194" s="98"/>
      <c r="B194" s="102"/>
      <c r="C194" s="23"/>
      <c r="D194" s="251"/>
      <c r="E194" s="251"/>
      <c r="F194" s="251"/>
      <c r="G194" s="250"/>
      <c r="H194" s="302" t="s">
        <v>530</v>
      </c>
      <c r="I194" s="104" t="s">
        <v>4</v>
      </c>
      <c r="J194" s="105">
        <v>0.4</v>
      </c>
      <c r="K194" s="105">
        <v>1</v>
      </c>
      <c r="L194" s="106">
        <f>IF(I194&lt;&gt;0,((VLOOKUP(I194,'1. Standard_Cost'!$B$4:$D$11,2)+VLOOKUP(I194,'1. Standard_Cost'!$B$4:$D$11,3))*J194*K194),"0")</f>
        <v>32300</v>
      </c>
      <c r="M194" s="106">
        <f>L194*'1. Standard_Cost'!$F$4</f>
        <v>5394.1</v>
      </c>
      <c r="N194" s="107">
        <v>10</v>
      </c>
      <c r="O194" s="107">
        <v>2</v>
      </c>
      <c r="P194" s="107">
        <v>15</v>
      </c>
      <c r="Q194" s="107"/>
      <c r="R194" s="108">
        <v>0</v>
      </c>
      <c r="S194" s="108">
        <v>0</v>
      </c>
      <c r="T194" s="108">
        <f>N194*P194*Q194*'1. Standard_Cost'!$D$15</f>
        <v>0</v>
      </c>
      <c r="U194" s="108">
        <v>0</v>
      </c>
      <c r="V194" s="107"/>
      <c r="W194" s="107"/>
      <c r="X194" s="107"/>
      <c r="Y194" s="108">
        <f>+V194*((X194*'1. Standard_Cost'!$B$19)+(W194*X194*'1. Standard_Cost'!$C$19))</f>
        <v>0</v>
      </c>
      <c r="Z194" s="107"/>
      <c r="AA194" s="107">
        <v>15</v>
      </c>
      <c r="AB194" s="108">
        <f>+Z194*'1. Standard_Cost'!$B$23+AA194*'1. Standard_Cost'!$C$23</f>
        <v>285000</v>
      </c>
      <c r="AC194" s="109">
        <f>150*2*3500+150*2*500</f>
        <v>1200000</v>
      </c>
      <c r="AD194" s="110"/>
      <c r="AE194" s="108">
        <f>SUM(AD194,AC194,AB194,Y194,U194,T194,S194,R194)*'1. Standard_Cost'!$B$31</f>
        <v>297000</v>
      </c>
      <c r="AF194" s="108">
        <f t="shared" si="165"/>
        <v>1782000</v>
      </c>
      <c r="AG194" s="107"/>
      <c r="AH194" s="107"/>
      <c r="AI194" s="107"/>
      <c r="AJ194" s="111"/>
      <c r="AK194" s="111"/>
      <c r="AL194" s="111"/>
      <c r="AM194" s="108">
        <f>AG194*'1. Standard_Cost'!$B$27+'Incremental_Cost Year 2'!AH194*'1. Standard_Cost'!$C$27+'Incremental_Cost Year 2'!AI194*'1. Standard_Cost'!$D$27+'Incremental_Cost Year 2'!AJ194+'Incremental_Cost Year 2'!AL194+AK194</f>
        <v>0</v>
      </c>
      <c r="AN194" s="108">
        <f>AM194*'1. Standard_Cost'!$C$31</f>
        <v>0</v>
      </c>
      <c r="AO194" s="125" t="s">
        <v>408</v>
      </c>
      <c r="AQ194" s="14">
        <f t="shared" si="166"/>
        <v>37694.1</v>
      </c>
      <c r="AR194" s="14">
        <f t="shared" si="167"/>
        <v>1782000</v>
      </c>
      <c r="AS194" s="14">
        <f t="shared" si="168"/>
        <v>0</v>
      </c>
      <c r="AT194" s="14">
        <f t="shared" si="170"/>
        <v>1819694.1</v>
      </c>
      <c r="AU194" s="15">
        <v>37694.1</v>
      </c>
      <c r="AV194" s="15"/>
      <c r="AW194" s="15"/>
      <c r="AX194" s="15"/>
      <c r="AY194" s="15"/>
      <c r="AZ194" s="15"/>
      <c r="BA194" s="15"/>
      <c r="BB194" s="16">
        <f t="shared" si="169"/>
        <v>-1782000</v>
      </c>
      <c r="BF194" s="295"/>
    </row>
    <row r="195" spans="1:58" ht="28.95" customHeight="1" outlineLevel="2">
      <c r="A195" s="98"/>
      <c r="B195" s="102"/>
      <c r="C195" s="23"/>
      <c r="D195" s="251"/>
      <c r="E195" s="251"/>
      <c r="F195" s="269"/>
      <c r="G195" s="27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v>22</v>
      </c>
      <c r="AB195" s="108">
        <f>+Z195*'[1]1. Standard_Cost'!$B$23+AA195*'[1]1. Standard_Cost'!$C$23</f>
        <v>418000</v>
      </c>
      <c r="AC195" s="109"/>
      <c r="AD195" s="110"/>
      <c r="AE195" s="108">
        <f>SUM(AD195,AC195,AB195,Y195,U195,T195,S195,R195)*'[1]1. Standard_Cost'!$B$31</f>
        <v>83600</v>
      </c>
      <c r="AF195" s="108">
        <f t="shared" si="165"/>
        <v>501600</v>
      </c>
      <c r="AG195" s="107"/>
      <c r="AH195" s="107"/>
      <c r="AI195" s="107"/>
      <c r="AJ195" s="111"/>
      <c r="AK195" s="111"/>
      <c r="AL195" s="111"/>
      <c r="AM195" s="108">
        <f>AG195*'1. Standard_Cost'!$B$27+'Incremental_Cost Year 2'!AH195*'1. Standard_Cost'!$C$27+'Incremental_Cost Year 2'!AI195*'1. Standard_Cost'!$D$27+'Incremental_Cost Year 2'!AJ195+'Incremental_Cost Year 2'!AL195+AK195</f>
        <v>0</v>
      </c>
      <c r="AN195" s="108">
        <f>AM195*'1. Standard_Cost'!$C$31</f>
        <v>0</v>
      </c>
      <c r="AO195" s="125" t="s">
        <v>408</v>
      </c>
      <c r="AQ195" s="14">
        <f t="shared" si="166"/>
        <v>0</v>
      </c>
      <c r="AR195" s="14">
        <f t="shared" si="167"/>
        <v>501600</v>
      </c>
      <c r="AS195" s="14">
        <f t="shared" si="168"/>
        <v>0</v>
      </c>
      <c r="AT195" s="14">
        <f t="shared" si="170"/>
        <v>501600</v>
      </c>
      <c r="AU195" s="15"/>
      <c r="AV195" s="15"/>
      <c r="AW195" s="15"/>
      <c r="AX195" s="15"/>
      <c r="AY195" s="15"/>
      <c r="AZ195" s="15"/>
      <c r="BA195" s="15"/>
      <c r="BB195" s="16">
        <f t="shared" si="169"/>
        <v>-501600</v>
      </c>
      <c r="BF195" s="295"/>
    </row>
    <row r="196" spans="1:58" ht="32.25" customHeight="1" outlineLevel="2">
      <c r="A196" s="98"/>
      <c r="B196" s="102"/>
      <c r="C196" s="23"/>
      <c r="D196" s="251"/>
      <c r="E196" s="251"/>
      <c r="F196" s="251"/>
      <c r="G196" s="250"/>
      <c r="H196" s="302" t="s">
        <v>531</v>
      </c>
      <c r="I196" s="104" t="s">
        <v>4</v>
      </c>
      <c r="J196" s="105">
        <v>1</v>
      </c>
      <c r="K196" s="105">
        <v>5</v>
      </c>
      <c r="L196" s="106">
        <f>IF(I196&lt;&gt;0,((VLOOKUP(I196,'1. Standard_Cost'!$B$4:$D$11,2)+VLOOKUP(I196,'1. Standard_Cost'!$B$4:$D$11,3))*J196*K196),"0")</f>
        <v>403750</v>
      </c>
      <c r="M196" s="106">
        <f>L196*'1. Standard_Cost'!$F$4</f>
        <v>67426.25</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v>23</v>
      </c>
      <c r="AB196" s="108">
        <f>+Z196*'1. Standard_Cost'!$B$23+AA196*'1. Standard_Cost'!$C$23</f>
        <v>437000</v>
      </c>
      <c r="AC196" s="109">
        <f>100*500</f>
        <v>50000</v>
      </c>
      <c r="AD196" s="110"/>
      <c r="AE196" s="108">
        <f>SUM(AD196,AC196,AB196,Y196,U196,T196,S196,R196)*'1. Standard_Cost'!$B$31</f>
        <v>97400</v>
      </c>
      <c r="AF196" s="108">
        <f t="shared" si="165"/>
        <v>584400</v>
      </c>
      <c r="AG196" s="107"/>
      <c r="AH196" s="107"/>
      <c r="AI196" s="107"/>
      <c r="AJ196" s="111"/>
      <c r="AK196" s="111"/>
      <c r="AL196" s="111"/>
      <c r="AM196" s="108">
        <f>AG196*'1. Standard_Cost'!$B$27+'Incremental_Cost Year 2'!AH196*'1. Standard_Cost'!$C$27+'Incremental_Cost Year 2'!AI196*'1. Standard_Cost'!$D$27+'Incremental_Cost Year 2'!AJ196+'Incremental_Cost Year 2'!AL196+AK196</f>
        <v>0</v>
      </c>
      <c r="AN196" s="108">
        <f>AM196*'1. Standard_Cost'!$C$31</f>
        <v>0</v>
      </c>
      <c r="AO196" s="125" t="s">
        <v>409</v>
      </c>
      <c r="AQ196" s="14">
        <f t="shared" si="166"/>
        <v>471176.25</v>
      </c>
      <c r="AR196" s="14">
        <f t="shared" si="167"/>
        <v>584400</v>
      </c>
      <c r="AS196" s="14">
        <f t="shared" si="168"/>
        <v>0</v>
      </c>
      <c r="AT196" s="14">
        <f t="shared" si="170"/>
        <v>1055576.25</v>
      </c>
      <c r="AU196" s="15">
        <v>471176.25</v>
      </c>
      <c r="AV196" s="15"/>
      <c r="AW196" s="15"/>
      <c r="AX196" s="15"/>
      <c r="AY196" s="15"/>
      <c r="AZ196" s="15"/>
      <c r="BA196" s="15"/>
      <c r="BB196" s="16">
        <f t="shared" si="169"/>
        <v>-584400</v>
      </c>
      <c r="BF196" s="295"/>
    </row>
    <row r="197" spans="1:58" ht="45" customHeight="1" outlineLevel="2">
      <c r="A197" s="98"/>
      <c r="B197" s="102"/>
      <c r="C197" s="23"/>
      <c r="D197" s="251"/>
      <c r="E197" s="251"/>
      <c r="F197" s="251"/>
      <c r="G197" s="250"/>
      <c r="H197" s="302" t="s">
        <v>532</v>
      </c>
      <c r="I197" s="104" t="s">
        <v>4</v>
      </c>
      <c r="J197" s="105">
        <v>0.4</v>
      </c>
      <c r="K197" s="105">
        <v>1</v>
      </c>
      <c r="L197" s="106">
        <f>IF(I197&lt;&gt;0,((VLOOKUP(I197,'1. Standard_Cost'!$B$4:$D$11,2)+VLOOKUP(I197,'1. Standard_Cost'!$B$4:$D$11,3))*J197*K197),"0")</f>
        <v>32300</v>
      </c>
      <c r="M197" s="106">
        <f>L197*'1. Standard_Cost'!$F$4</f>
        <v>5394.1</v>
      </c>
      <c r="N197" s="107">
        <v>10</v>
      </c>
      <c r="O197" s="107">
        <v>2</v>
      </c>
      <c r="P197" s="107">
        <v>15</v>
      </c>
      <c r="Q197" s="107"/>
      <c r="R197" s="108">
        <v>0</v>
      </c>
      <c r="S197" s="108">
        <v>0</v>
      </c>
      <c r="T197" s="108">
        <f>N197*P197*Q197*'1. Standard_Cost'!$D$15</f>
        <v>0</v>
      </c>
      <c r="U197" s="108">
        <v>0</v>
      </c>
      <c r="V197" s="107"/>
      <c r="W197" s="107"/>
      <c r="X197" s="107"/>
      <c r="Y197" s="108">
        <f>+V197*((X197*'1. Standard_Cost'!$B$19)+(W197*X197*'1. Standard_Cost'!$C$19))</f>
        <v>0</v>
      </c>
      <c r="Z197" s="107"/>
      <c r="AA197" s="107">
        <v>20</v>
      </c>
      <c r="AB197" s="108">
        <f>+Z197*'1. Standard_Cost'!$B$23+AA197*'1. Standard_Cost'!$C$23</f>
        <v>380000</v>
      </c>
      <c r="AC197" s="109">
        <f>150*3500*2+150*500*2</f>
        <v>1200000</v>
      </c>
      <c r="AD197" s="110"/>
      <c r="AE197" s="108">
        <f>SUM(AD197,AC197,AB197,Y197,U197,T197,S197,R197)*'1. Standard_Cost'!$B$31</f>
        <v>316000</v>
      </c>
      <c r="AF197" s="108">
        <f t="shared" si="165"/>
        <v>1896000</v>
      </c>
      <c r="AG197" s="107"/>
      <c r="AH197" s="107"/>
      <c r="AI197" s="107"/>
      <c r="AJ197" s="111"/>
      <c r="AK197" s="111"/>
      <c r="AL197" s="111"/>
      <c r="AM197" s="108">
        <f>AG197*'1. Standard_Cost'!$B$27+'Incremental_Cost Year 2'!AH197*'1. Standard_Cost'!$C$27+'Incremental_Cost Year 2'!AI197*'1. Standard_Cost'!$D$27+'Incremental_Cost Year 2'!AJ197+'Incremental_Cost Year 2'!AL197+AK197</f>
        <v>0</v>
      </c>
      <c r="AN197" s="108">
        <f>AM197*'1. Standard_Cost'!$C$31</f>
        <v>0</v>
      </c>
      <c r="AO197" s="125" t="s">
        <v>410</v>
      </c>
      <c r="AQ197" s="14">
        <f t="shared" si="166"/>
        <v>37694.1</v>
      </c>
      <c r="AR197" s="14">
        <f t="shared" si="167"/>
        <v>1896000</v>
      </c>
      <c r="AS197" s="14">
        <f t="shared" si="168"/>
        <v>0</v>
      </c>
      <c r="AT197" s="14">
        <f t="shared" si="170"/>
        <v>1933694.1</v>
      </c>
      <c r="AU197" s="15">
        <v>37694.1</v>
      </c>
      <c r="AV197" s="15"/>
      <c r="AW197" s="15"/>
      <c r="AX197" s="15"/>
      <c r="AY197" s="15"/>
      <c r="AZ197" s="15">
        <v>200000</v>
      </c>
      <c r="BA197" s="15"/>
      <c r="BB197" s="16">
        <f t="shared" si="169"/>
        <v>-1696000</v>
      </c>
      <c r="BF197" s="295"/>
    </row>
    <row r="198" spans="1:58" ht="34.950000000000003" customHeight="1" outlineLevel="2">
      <c r="A198" s="98"/>
      <c r="B198" s="102"/>
      <c r="C198" s="23"/>
      <c r="D198" s="251"/>
      <c r="E198" s="251"/>
      <c r="F198" s="269"/>
      <c r="G198" s="27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v>22</v>
      </c>
      <c r="AB198" s="108">
        <f>+Z198*'[1]1. Standard_Cost'!$B$23+AA198*'[1]1. Standard_Cost'!$C$23</f>
        <v>418000</v>
      </c>
      <c r="AC198" s="109"/>
      <c r="AD198" s="110"/>
      <c r="AE198" s="108">
        <f>SUM(AD198,AC198,AB198,Y198,U198,T198,S198,R198)*'[1]1. Standard_Cost'!$B$31</f>
        <v>83600</v>
      </c>
      <c r="AF198" s="108">
        <f t="shared" si="165"/>
        <v>501600</v>
      </c>
      <c r="AG198" s="107"/>
      <c r="AH198" s="107"/>
      <c r="AI198" s="107"/>
      <c r="AJ198" s="111"/>
      <c r="AK198" s="111"/>
      <c r="AL198" s="111"/>
      <c r="AM198" s="108">
        <f>AG198*'1. Standard_Cost'!$B$27+'Incremental_Cost Year 2'!AH198*'1. Standard_Cost'!$C$27+'Incremental_Cost Year 2'!AI198*'1. Standard_Cost'!$D$27+'Incremental_Cost Year 2'!AJ198+'Incremental_Cost Year 2'!AL198+AK198</f>
        <v>0</v>
      </c>
      <c r="AN198" s="108">
        <f>AM198*'1. Standard_Cost'!$C$31</f>
        <v>0</v>
      </c>
      <c r="AO198" s="125" t="s">
        <v>410</v>
      </c>
      <c r="AQ198" s="14">
        <f t="shared" si="166"/>
        <v>0</v>
      </c>
      <c r="AR198" s="14">
        <f t="shared" si="167"/>
        <v>501600</v>
      </c>
      <c r="AS198" s="14">
        <f t="shared" si="168"/>
        <v>0</v>
      </c>
      <c r="AT198" s="14">
        <f t="shared" si="170"/>
        <v>501600</v>
      </c>
      <c r="AU198" s="15"/>
      <c r="AV198" s="15"/>
      <c r="AW198" s="15"/>
      <c r="AX198" s="15"/>
      <c r="AY198" s="15"/>
      <c r="AZ198" s="15"/>
      <c r="BA198" s="15"/>
      <c r="BB198" s="16">
        <f t="shared" si="169"/>
        <v>-501600</v>
      </c>
      <c r="BF198" s="295"/>
    </row>
    <row r="199" spans="1:58" ht="140.4" outlineLevel="2">
      <c r="A199" s="98"/>
      <c r="B199" s="102"/>
      <c r="C199" s="23"/>
      <c r="D199" s="251"/>
      <c r="E199" s="251"/>
      <c r="F199" s="251"/>
      <c r="G199" s="250"/>
      <c r="H199" s="302" t="s">
        <v>533</v>
      </c>
      <c r="I199" s="104" t="s">
        <v>4</v>
      </c>
      <c r="J199" s="105">
        <v>1</v>
      </c>
      <c r="K199" s="105">
        <v>5</v>
      </c>
      <c r="L199" s="106">
        <f>IF(I199&lt;&gt;0,((VLOOKUP(I199,'1. Standard_Cost'!$B$4:$D$11,2)+VLOOKUP(I199,'1. Standard_Cost'!$B$4:$D$11,3))*J199*K199),"0")</f>
        <v>403750</v>
      </c>
      <c r="M199" s="106">
        <f>L199*'1. Standard_Cost'!$F$4</f>
        <v>67426.25</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v>15</v>
      </c>
      <c r="AB199" s="108">
        <f>+Z199*'1. Standard_Cost'!$B$23+AA199*'1. Standard_Cost'!$C$23</f>
        <v>285000</v>
      </c>
      <c r="AC199" s="109">
        <f>2*15*300</f>
        <v>9000</v>
      </c>
      <c r="AD199" s="110"/>
      <c r="AE199" s="108">
        <f>SUM(AD199,AC199,AB199,Y199,U199,T199,S199,R199)*'1. Standard_Cost'!$B$31</f>
        <v>58800</v>
      </c>
      <c r="AF199" s="108">
        <f t="shared" si="165"/>
        <v>352800</v>
      </c>
      <c r="AG199" s="107"/>
      <c r="AH199" s="107"/>
      <c r="AI199" s="107"/>
      <c r="AJ199" s="111"/>
      <c r="AK199" s="111"/>
      <c r="AL199" s="111"/>
      <c r="AM199" s="108">
        <f>AG199*'1. Standard_Cost'!$B$27+'Incremental_Cost Year 2'!AH199*'1. Standard_Cost'!$C$27+'Incremental_Cost Year 2'!AI199*'1. Standard_Cost'!$D$27+'Incremental_Cost Year 2'!AJ199+'Incremental_Cost Year 2'!AL199+AK199</f>
        <v>0</v>
      </c>
      <c r="AN199" s="108">
        <f>AM199*'1. Standard_Cost'!$C$31</f>
        <v>0</v>
      </c>
      <c r="AO199" s="125" t="s">
        <v>411</v>
      </c>
      <c r="AQ199" s="14">
        <f t="shared" si="166"/>
        <v>471176.25</v>
      </c>
      <c r="AR199" s="14">
        <f t="shared" si="167"/>
        <v>352800</v>
      </c>
      <c r="AS199" s="14">
        <f t="shared" si="168"/>
        <v>0</v>
      </c>
      <c r="AT199" s="14">
        <f t="shared" si="170"/>
        <v>823976.25</v>
      </c>
      <c r="AU199" s="15">
        <v>471176.25</v>
      </c>
      <c r="AV199" s="15"/>
      <c r="AW199" s="15"/>
      <c r="AX199" s="15"/>
      <c r="AY199" s="15"/>
      <c r="AZ199" s="15">
        <v>200000</v>
      </c>
      <c r="BA199" s="15"/>
      <c r="BB199" s="16">
        <f t="shared" si="169"/>
        <v>-152800</v>
      </c>
      <c r="BF199" s="295"/>
    </row>
    <row r="200" spans="1:58" ht="32.25" customHeight="1" outlineLevel="2">
      <c r="A200" s="98"/>
      <c r="B200" s="102"/>
      <c r="C200" s="23"/>
      <c r="D200" s="251"/>
      <c r="E200" s="251"/>
      <c r="F200" s="172"/>
      <c r="G200" s="250"/>
      <c r="H200" s="302" t="s">
        <v>534</v>
      </c>
      <c r="I200" s="104" t="s">
        <v>4</v>
      </c>
      <c r="J200" s="105">
        <v>1</v>
      </c>
      <c r="K200" s="105">
        <v>5</v>
      </c>
      <c r="L200" s="106">
        <f>IF(I200&lt;&gt;0,((VLOOKUP(I200,'1. Standard_Cost'!$B$4:$D$11,2)+VLOOKUP(I200,'1. Standard_Cost'!$B$4:$D$11,3))*J200*K200),"0")</f>
        <v>403750</v>
      </c>
      <c r="M200" s="106">
        <f>L200*'1. Standard_Cost'!$F$4</f>
        <v>67426.25</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v>20</v>
      </c>
      <c r="AB200" s="108">
        <f>+Z200*'1. Standard_Cost'!$B$23+AA200*'1. Standard_Cost'!$C$23</f>
        <v>380000</v>
      </c>
      <c r="AC200" s="109"/>
      <c r="AD200" s="110"/>
      <c r="AE200" s="108">
        <v>0</v>
      </c>
      <c r="AF200" s="108">
        <f t="shared" si="165"/>
        <v>380000</v>
      </c>
      <c r="AG200" s="107"/>
      <c r="AH200" s="107"/>
      <c r="AI200" s="107"/>
      <c r="AJ200" s="111"/>
      <c r="AK200" s="111"/>
      <c r="AL200" s="111"/>
      <c r="AM200" s="108">
        <f>AG200*'1. Standard_Cost'!$B$27+'Incremental_Cost Year 2'!AH200*'1. Standard_Cost'!$C$27+'Incremental_Cost Year 2'!AI200*'1. Standard_Cost'!$D$27+'Incremental_Cost Year 2'!AJ200+'Incremental_Cost Year 2'!AL200+AK200</f>
        <v>0</v>
      </c>
      <c r="AN200" s="108">
        <f>AM200*'1. Standard_Cost'!$C$31</f>
        <v>0</v>
      </c>
      <c r="AO200" s="137" t="s">
        <v>412</v>
      </c>
      <c r="AQ200" s="14">
        <f t="shared" si="166"/>
        <v>471176.25</v>
      </c>
      <c r="AR200" s="14">
        <f t="shared" si="167"/>
        <v>380000</v>
      </c>
      <c r="AS200" s="14">
        <f t="shared" si="168"/>
        <v>0</v>
      </c>
      <c r="AT200" s="14">
        <f t="shared" si="170"/>
        <v>851176.25</v>
      </c>
      <c r="AU200" s="15">
        <v>471176.25</v>
      </c>
      <c r="AV200" s="15"/>
      <c r="AW200" s="15"/>
      <c r="AX200" s="15"/>
      <c r="AY200" s="15"/>
      <c r="AZ200" s="15">
        <v>471176.25</v>
      </c>
      <c r="BA200" s="15"/>
      <c r="BB200" s="16">
        <f t="shared" si="169"/>
        <v>91176.25</v>
      </c>
      <c r="BF200" s="295"/>
    </row>
    <row r="201" spans="1:58" ht="193.2" outlineLevel="1">
      <c r="A201" s="98"/>
      <c r="B201" s="102"/>
      <c r="C201" s="23"/>
      <c r="D201" s="31" t="s">
        <v>639</v>
      </c>
      <c r="E201" s="56" t="s">
        <v>243</v>
      </c>
      <c r="F201" s="253"/>
      <c r="G201" s="254"/>
      <c r="H201" s="279" t="s">
        <v>244</v>
      </c>
      <c r="I201" s="112"/>
      <c r="J201" s="112"/>
      <c r="K201" s="112"/>
      <c r="L201" s="113">
        <f>SUM(L180:L200)</f>
        <v>21497700</v>
      </c>
      <c r="M201" s="113">
        <f>SUM(M180:M200)</f>
        <v>3590115.9000000004</v>
      </c>
      <c r="N201" s="112"/>
      <c r="O201" s="112"/>
      <c r="P201" s="112"/>
      <c r="Q201" s="112"/>
      <c r="R201" s="113">
        <f>SUM(R180:R200)</f>
        <v>0</v>
      </c>
      <c r="S201" s="113">
        <f>SUM(S180:S200)</f>
        <v>0</v>
      </c>
      <c r="T201" s="113">
        <f>SUM(T180:T200)</f>
        <v>0</v>
      </c>
      <c r="U201" s="113">
        <f>SUM(U180:U200)</f>
        <v>0</v>
      </c>
      <c r="V201" s="112"/>
      <c r="W201" s="112"/>
      <c r="X201" s="112"/>
      <c r="Y201" s="113">
        <f>SUM(Y180:Y200)</f>
        <v>0</v>
      </c>
      <c r="Z201" s="113"/>
      <c r="AA201" s="112"/>
      <c r="AB201" s="113">
        <f>SUM(AB180:AB200)</f>
        <v>5434000</v>
      </c>
      <c r="AC201" s="113">
        <f>SUM(AC180:AC200)</f>
        <v>21787500</v>
      </c>
      <c r="AD201" s="113">
        <f>SUM(AD180:AD200)</f>
        <v>0</v>
      </c>
      <c r="AE201" s="113">
        <f>SUM(AE180:AE200)</f>
        <v>1309800</v>
      </c>
      <c r="AF201" s="113">
        <f>SUM(AF180:AF200)</f>
        <v>28531300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BB201" si="171">SUM(AQ180:AQ200)</f>
        <v>25087815.900000002</v>
      </c>
      <c r="AR201" s="113">
        <f t="shared" si="171"/>
        <v>28531300</v>
      </c>
      <c r="AS201" s="113">
        <f t="shared" si="171"/>
        <v>0</v>
      </c>
      <c r="AT201" s="113">
        <f t="shared" si="171"/>
        <v>53619115.900000006</v>
      </c>
      <c r="AU201" s="113">
        <f t="shared" si="171"/>
        <v>24899345.400000002</v>
      </c>
      <c r="AV201" s="113">
        <f t="shared" si="171"/>
        <v>0</v>
      </c>
      <c r="AW201" s="113">
        <f t="shared" si="171"/>
        <v>0</v>
      </c>
      <c r="AX201" s="113">
        <f t="shared" si="171"/>
        <v>470400</v>
      </c>
      <c r="AY201" s="113">
        <f t="shared" si="171"/>
        <v>0</v>
      </c>
      <c r="AZ201" s="113">
        <f t="shared" si="171"/>
        <v>16844146.75</v>
      </c>
      <c r="BA201" s="113">
        <f t="shared" si="171"/>
        <v>0</v>
      </c>
      <c r="BB201" s="113">
        <f t="shared" si="171"/>
        <v>-11405223.75</v>
      </c>
      <c r="BF201" s="295"/>
    </row>
    <row r="202" spans="1:58" s="24" customFormat="1" ht="13.8" customHeight="1">
      <c r="A202" s="114"/>
      <c r="B202" s="115"/>
      <c r="C202" s="314" t="s">
        <v>246</v>
      </c>
      <c r="D202" s="314"/>
      <c r="E202" s="315"/>
      <c r="F202" s="246"/>
      <c r="G202" s="246"/>
      <c r="H202" s="278" t="s">
        <v>245</v>
      </c>
      <c r="I202" s="116"/>
      <c r="J202" s="116"/>
      <c r="K202" s="116"/>
      <c r="L202" s="117">
        <f>SUM(L222)</f>
        <v>4399960</v>
      </c>
      <c r="M202" s="117">
        <f>SUM(M222)</f>
        <v>734793.32000000007</v>
      </c>
      <c r="N202" s="116"/>
      <c r="O202" s="116"/>
      <c r="P202" s="116"/>
      <c r="Q202" s="116"/>
      <c r="R202" s="117">
        <f t="shared" ref="R202:U202" si="172">SUM(R222)</f>
        <v>0</v>
      </c>
      <c r="S202" s="117">
        <f t="shared" si="172"/>
        <v>0</v>
      </c>
      <c r="T202" s="117">
        <f t="shared" si="172"/>
        <v>0</v>
      </c>
      <c r="U202" s="117">
        <f t="shared" si="172"/>
        <v>0</v>
      </c>
      <c r="V202" s="116"/>
      <c r="W202" s="116"/>
      <c r="X202" s="116"/>
      <c r="Y202" s="117">
        <f>SUM(Y222)</f>
        <v>0</v>
      </c>
      <c r="Z202" s="117"/>
      <c r="AA202" s="117"/>
      <c r="AB202" s="117">
        <f t="shared" ref="AB202:AF202" si="173">SUM(AB222)</f>
        <v>1805000</v>
      </c>
      <c r="AC202" s="117">
        <f t="shared" si="173"/>
        <v>3198500</v>
      </c>
      <c r="AD202" s="117">
        <f t="shared" si="173"/>
        <v>0</v>
      </c>
      <c r="AE202" s="117">
        <f t="shared" si="173"/>
        <v>400200</v>
      </c>
      <c r="AF202" s="117">
        <f t="shared" si="173"/>
        <v>5403700</v>
      </c>
      <c r="AG202" s="116"/>
      <c r="AH202" s="116"/>
      <c r="AI202" s="116"/>
      <c r="AJ202" s="117">
        <f t="shared" ref="AJ202:AN202" si="174">SUM(AJ222)</f>
        <v>0</v>
      </c>
      <c r="AK202" s="117">
        <f t="shared" si="174"/>
        <v>0</v>
      </c>
      <c r="AL202" s="117">
        <f t="shared" si="174"/>
        <v>0</v>
      </c>
      <c r="AM202" s="117">
        <f t="shared" si="174"/>
        <v>0</v>
      </c>
      <c r="AN202" s="117">
        <f t="shared" si="174"/>
        <v>0</v>
      </c>
      <c r="AO202" s="132"/>
      <c r="AP202" s="25"/>
      <c r="AQ202" s="117">
        <f t="shared" ref="AQ202:BB202" si="175">SUM(AQ222)</f>
        <v>5134753.32</v>
      </c>
      <c r="AR202" s="117">
        <f t="shared" si="175"/>
        <v>5403700</v>
      </c>
      <c r="AS202" s="117">
        <f t="shared" si="175"/>
        <v>0</v>
      </c>
      <c r="AT202" s="117">
        <f t="shared" si="175"/>
        <v>10538453.32</v>
      </c>
      <c r="AU202" s="117">
        <f t="shared" si="175"/>
        <v>5134753.32</v>
      </c>
      <c r="AV202" s="117">
        <f t="shared" si="175"/>
        <v>0</v>
      </c>
      <c r="AW202" s="117">
        <f t="shared" si="175"/>
        <v>0</v>
      </c>
      <c r="AX202" s="117">
        <f t="shared" si="175"/>
        <v>4723550.6899999995</v>
      </c>
      <c r="AY202" s="117">
        <f t="shared" si="175"/>
        <v>0</v>
      </c>
      <c r="AZ202" s="117">
        <f t="shared" si="175"/>
        <v>0</v>
      </c>
      <c r="BA202" s="117">
        <f t="shared" si="175"/>
        <v>0</v>
      </c>
      <c r="BB202" s="117">
        <f t="shared" si="175"/>
        <v>-680149.31</v>
      </c>
      <c r="BD202" s="5"/>
      <c r="BF202" s="295"/>
    </row>
    <row r="203" spans="1:58" ht="78" outlineLevel="2">
      <c r="A203" s="98"/>
      <c r="B203" s="102"/>
      <c r="C203" s="23"/>
      <c r="D203" s="257"/>
      <c r="E203" s="123"/>
      <c r="F203" s="249"/>
      <c r="G203" s="283"/>
      <c r="H203" s="302" t="s">
        <v>538</v>
      </c>
      <c r="I203" s="104" t="s">
        <v>4</v>
      </c>
      <c r="J203" s="105">
        <v>1</v>
      </c>
      <c r="K203" s="105">
        <v>3</v>
      </c>
      <c r="L203" s="106">
        <f>IF(I203&lt;&gt;0,((VLOOKUP(I203,'1. Standard_Cost'!$B$4:$D$11,2)+VLOOKUP(I203,'1. Standard_Cost'!$B$4:$D$11,3))*J203*K203),"0")</f>
        <v>242250</v>
      </c>
      <c r="M203" s="106">
        <f>L203*'1. Standard_Cost'!$F$4</f>
        <v>40455.75</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v>10</v>
      </c>
      <c r="AB203" s="108">
        <f>+Z203*'1. Standard_Cost'!$B$23+AA203*'1. Standard_Cost'!$C$23</f>
        <v>190000</v>
      </c>
      <c r="AC203" s="109">
        <f>100*500</f>
        <v>50000</v>
      </c>
      <c r="AD203" s="110"/>
      <c r="AE203" s="108">
        <f>SUM(AD203,AC203,AB203,Y203,U203,T203,S203,R203)*'1. Standard_Cost'!$B$31</f>
        <v>48000</v>
      </c>
      <c r="AF203" s="108">
        <f t="shared" ref="AF203:AF221" si="176">SUM(AE203,AD203,AC203,AB203,Y203,U203,T203,S203,R203)</f>
        <v>288000</v>
      </c>
      <c r="AG203" s="107"/>
      <c r="AH203" s="107"/>
      <c r="AI203" s="107"/>
      <c r="AJ203" s="111"/>
      <c r="AK203" s="111"/>
      <c r="AL203" s="111"/>
      <c r="AM203" s="108">
        <f>AG203*'1. Standard_Cost'!$B$27+'Incremental_Cost Year 2'!AH203*'1. Standard_Cost'!$C$27+'Incremental_Cost Year 2'!AI203*'1. Standard_Cost'!$D$27+'Incremental_Cost Year 2'!AJ203+'Incremental_Cost Year 2'!AL203+AK203</f>
        <v>0</v>
      </c>
      <c r="AN203" s="108">
        <f>AM203*'1. Standard_Cost'!$C$31</f>
        <v>0</v>
      </c>
      <c r="AO203" s="125" t="s">
        <v>413</v>
      </c>
      <c r="AQ203" s="14">
        <f t="shared" ref="AQ203:AQ221" si="177">L203+M203</f>
        <v>282705.75</v>
      </c>
      <c r="AR203" s="14">
        <f t="shared" ref="AR203:AR221" si="178">AF203</f>
        <v>288000</v>
      </c>
      <c r="AS203" s="14">
        <f t="shared" ref="AS203:AS221" si="179">AM203+AN203</f>
        <v>0</v>
      </c>
      <c r="AT203" s="14">
        <f>SUM(AQ203,AR203,AS203)</f>
        <v>570705.75</v>
      </c>
      <c r="AU203" s="15">
        <f>AQ203</f>
        <v>282705.75</v>
      </c>
      <c r="AV203" s="15"/>
      <c r="AW203" s="15"/>
      <c r="AX203" s="15">
        <v>288000</v>
      </c>
      <c r="AY203" s="15"/>
      <c r="AZ203" s="15"/>
      <c r="BA203" s="15"/>
      <c r="BB203" s="16">
        <f t="shared" ref="BB203:BB221" si="180">SUM(AU203:BA203)-AT203</f>
        <v>0</v>
      </c>
      <c r="BF203" s="295"/>
    </row>
    <row r="204" spans="1:58" ht="140.4" outlineLevel="2">
      <c r="A204" s="98"/>
      <c r="B204" s="102"/>
      <c r="C204" s="23"/>
      <c r="D204" s="269"/>
      <c r="E204" s="271"/>
      <c r="F204" s="250"/>
      <c r="G204" s="255"/>
      <c r="H204" s="302" t="s">
        <v>539</v>
      </c>
      <c r="I204" s="104" t="s">
        <v>5</v>
      </c>
      <c r="J204" s="105">
        <v>12</v>
      </c>
      <c r="K204" s="105">
        <v>4</v>
      </c>
      <c r="L204" s="106">
        <f>IF(I204&lt;&gt;0,((VLOOKUP(I204,'1. Standard_Cost'!$B$4:$D$11,2)+VLOOKUP(I204,'1. Standard_Cost'!$B$4:$D$11,3))*J204*K204),"0")</f>
        <v>3393600</v>
      </c>
      <c r="M204" s="106">
        <f>L204*'1. Standard_Cost'!$F$4</f>
        <v>566731.20000000007</v>
      </c>
      <c r="N204" s="107">
        <v>1</v>
      </c>
      <c r="O204" s="107">
        <v>2</v>
      </c>
      <c r="P204" s="107">
        <v>12</v>
      </c>
      <c r="Q204" s="107"/>
      <c r="R204" s="108">
        <v>0</v>
      </c>
      <c r="S204" s="108">
        <v>0</v>
      </c>
      <c r="T204" s="108">
        <f>N204*P204*Q204*'1. Standard_Cost'!$D$15</f>
        <v>0</v>
      </c>
      <c r="U204" s="108">
        <v>0</v>
      </c>
      <c r="V204" s="107"/>
      <c r="W204" s="107"/>
      <c r="X204" s="107"/>
      <c r="Y204" s="108">
        <f>+V204*((X204*'1. Standard_Cost'!$B$19)+(W204*X204*'1. Standard_Cost'!$C$19))</f>
        <v>0</v>
      </c>
      <c r="Z204" s="107"/>
      <c r="AA204" s="107">
        <v>10</v>
      </c>
      <c r="AB204" s="108">
        <f>+Z204*'1. Standard_Cost'!$B$23+AA204*'1. Standard_Cost'!$C$23</f>
        <v>190000</v>
      </c>
      <c r="AC204" s="109">
        <f>13*2*3500+13*2*500</f>
        <v>104000</v>
      </c>
      <c r="AD204" s="110"/>
      <c r="AE204" s="108">
        <f>SUM(AD204,AC204,AB204,Y204,U204,T204,S204,R204)*'1. Standard_Cost'!$B$31</f>
        <v>58800</v>
      </c>
      <c r="AF204" s="108">
        <f t="shared" si="176"/>
        <v>352800</v>
      </c>
      <c r="AG204" s="107"/>
      <c r="AH204" s="107"/>
      <c r="AI204" s="107"/>
      <c r="AJ204" s="111"/>
      <c r="AK204" s="111"/>
      <c r="AL204" s="111"/>
      <c r="AM204" s="108">
        <f>AG204*'1. Standard_Cost'!$B$27+'Incremental_Cost Year 2'!AH204*'1. Standard_Cost'!$C$27+'Incremental_Cost Year 2'!AI204*'1. Standard_Cost'!$D$27+'Incremental_Cost Year 2'!AJ204+'Incremental_Cost Year 2'!AL204+AK204</f>
        <v>0</v>
      </c>
      <c r="AN204" s="108">
        <f>AM204*'1. Standard_Cost'!$C$31</f>
        <v>0</v>
      </c>
      <c r="AO204" s="125" t="s">
        <v>414</v>
      </c>
      <c r="AQ204" s="14">
        <f t="shared" si="177"/>
        <v>3960331.2</v>
      </c>
      <c r="AR204" s="14">
        <f t="shared" si="178"/>
        <v>352800</v>
      </c>
      <c r="AS204" s="14">
        <f t="shared" si="179"/>
        <v>0</v>
      </c>
      <c r="AT204" s="14">
        <f t="shared" ref="AT204:AT221" si="181">SUM(AQ204,AR204,AS204)</f>
        <v>4313131.2</v>
      </c>
      <c r="AU204" s="15">
        <f>AQ204</f>
        <v>3960331.2</v>
      </c>
      <c r="AV204" s="15"/>
      <c r="AW204" s="15"/>
      <c r="AX204" s="15">
        <f>AR204</f>
        <v>352800</v>
      </c>
      <c r="AY204" s="15"/>
      <c r="AZ204" s="15"/>
      <c r="BA204" s="15"/>
      <c r="BB204" s="16">
        <f t="shared" si="180"/>
        <v>0</v>
      </c>
      <c r="BD204" s="24"/>
      <c r="BF204" s="295"/>
    </row>
    <row r="205" spans="1:58" ht="31.2" customHeight="1" outlineLevel="2">
      <c r="A205" s="98"/>
      <c r="B205" s="102"/>
      <c r="C205" s="23"/>
      <c r="D205" s="269"/>
      <c r="E205" s="271"/>
      <c r="F205" s="27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v>3</v>
      </c>
      <c r="AB205" s="108">
        <f>+Z205*'[1]1. Standard_Cost'!$B$23+AA205*'[1]1. Standard_Cost'!$C$23</f>
        <v>57000</v>
      </c>
      <c r="AC205" s="109"/>
      <c r="AD205" s="110"/>
      <c r="AE205" s="108">
        <f>SUM(AD205,AC205,AB205,Y205,U205,T205,S205,R205)*'[1]1. Standard_Cost'!$B$31</f>
        <v>11400</v>
      </c>
      <c r="AF205" s="108">
        <f t="shared" si="176"/>
        <v>68400</v>
      </c>
      <c r="AG205" s="107"/>
      <c r="AH205" s="107"/>
      <c r="AI205" s="107"/>
      <c r="AJ205" s="111"/>
      <c r="AK205" s="111"/>
      <c r="AL205" s="111"/>
      <c r="AM205" s="108">
        <f>AG205*'1. Standard_Cost'!$B$27+'Incremental_Cost Year 2'!AH205*'1. Standard_Cost'!$C$27+'Incremental_Cost Year 2'!AI205*'1. Standard_Cost'!$D$27+'Incremental_Cost Year 2'!AJ205+'Incremental_Cost Year 2'!AL205+AK205</f>
        <v>0</v>
      </c>
      <c r="AN205" s="108">
        <f>AM205*'1. Standard_Cost'!$C$31</f>
        <v>0</v>
      </c>
      <c r="AO205" s="125"/>
      <c r="AQ205" s="14">
        <f t="shared" si="177"/>
        <v>0</v>
      </c>
      <c r="AR205" s="14">
        <f t="shared" si="178"/>
        <v>68400</v>
      </c>
      <c r="AS205" s="14">
        <f t="shared" si="179"/>
        <v>0</v>
      </c>
      <c r="AT205" s="14">
        <f t="shared" si="181"/>
        <v>68400</v>
      </c>
      <c r="AU205" s="15"/>
      <c r="AV205" s="15"/>
      <c r="AW205" s="15"/>
      <c r="AX205" s="15">
        <f>AT205</f>
        <v>68400</v>
      </c>
      <c r="AY205" s="15"/>
      <c r="AZ205" s="15"/>
      <c r="BA205" s="15"/>
      <c r="BB205" s="16">
        <f t="shared" si="180"/>
        <v>0</v>
      </c>
      <c r="BF205" s="295"/>
    </row>
    <row r="206" spans="1:58" ht="62.4" outlineLevel="2">
      <c r="A206" s="98"/>
      <c r="B206" s="102"/>
      <c r="C206" s="23"/>
      <c r="D206" s="269"/>
      <c r="E206" s="271"/>
      <c r="F206" s="250"/>
      <c r="G206" s="255"/>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v>1000000</v>
      </c>
      <c r="AD206" s="110"/>
      <c r="AE206" s="108">
        <v>0</v>
      </c>
      <c r="AF206" s="108">
        <f t="shared" si="176"/>
        <v>1000000</v>
      </c>
      <c r="AG206" s="107"/>
      <c r="AH206" s="107"/>
      <c r="AI206" s="107"/>
      <c r="AJ206" s="111"/>
      <c r="AK206" s="111"/>
      <c r="AL206" s="111"/>
      <c r="AM206" s="108">
        <f>AG206*'1. Standard_Cost'!$B$27+'Incremental_Cost Year 2'!AH206*'1. Standard_Cost'!$C$27+'Incremental_Cost Year 2'!AI206*'1. Standard_Cost'!$D$27+'Incremental_Cost Year 2'!AJ206+'Incremental_Cost Year 2'!AL206+AK206</f>
        <v>0</v>
      </c>
      <c r="AN206" s="108">
        <f>AM206*'1. Standard_Cost'!$C$31</f>
        <v>0</v>
      </c>
      <c r="AO206" s="125" t="s">
        <v>415</v>
      </c>
      <c r="AQ206" s="14">
        <f t="shared" si="177"/>
        <v>0</v>
      </c>
      <c r="AR206" s="14">
        <f t="shared" si="178"/>
        <v>1000000</v>
      </c>
      <c r="AS206" s="14">
        <f t="shared" si="179"/>
        <v>0</v>
      </c>
      <c r="AT206" s="14">
        <f t="shared" si="181"/>
        <v>1000000</v>
      </c>
      <c r="AU206" s="15"/>
      <c r="AV206" s="15"/>
      <c r="AW206" s="15"/>
      <c r="AX206" s="15">
        <f>AT206</f>
        <v>1000000</v>
      </c>
      <c r="AY206" s="15"/>
      <c r="AZ206" s="15"/>
      <c r="BA206" s="15"/>
      <c r="BB206" s="16">
        <f t="shared" si="180"/>
        <v>0</v>
      </c>
      <c r="BF206" s="295"/>
    </row>
    <row r="207" spans="1:58" ht="36" customHeight="1" outlineLevel="2">
      <c r="A207" s="98"/>
      <c r="B207" s="102"/>
      <c r="C207" s="23"/>
      <c r="D207" s="269"/>
      <c r="E207" s="271"/>
      <c r="F207" s="250"/>
      <c r="G207" s="255"/>
      <c r="H207" s="302" t="s">
        <v>541</v>
      </c>
      <c r="I207" s="104" t="s">
        <v>4</v>
      </c>
      <c r="J207" s="105">
        <v>0.4</v>
      </c>
      <c r="K207" s="105">
        <v>3</v>
      </c>
      <c r="L207" s="106">
        <f>IF(I207&lt;&gt;0,((VLOOKUP(I207,'1. Standard_Cost'!$B$4:$D$11,2)+VLOOKUP(I207,'1. Standard_Cost'!$B$4:$D$11,3))*J207*K207),"0")</f>
        <v>96900</v>
      </c>
      <c r="M207" s="106">
        <f>L207*'1. Standard_Cost'!$F$4</f>
        <v>16182.300000000001</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v>10</v>
      </c>
      <c r="AB207" s="108">
        <f>+Z207*'1. Standard_Cost'!$B$23+AA207*'1. Standard_Cost'!$C$23</f>
        <v>190000</v>
      </c>
      <c r="AC207" s="109">
        <f>2*10*300</f>
        <v>6000</v>
      </c>
      <c r="AD207" s="110"/>
      <c r="AE207" s="108">
        <f>SUM(AD207,AC207,AB207,Y207,U207,T207,S207,R207)*'1. Standard_Cost'!$B$31</f>
        <v>39200</v>
      </c>
      <c r="AF207" s="108">
        <f t="shared" si="176"/>
        <v>235200</v>
      </c>
      <c r="AG207" s="107"/>
      <c r="AH207" s="107"/>
      <c r="AI207" s="107"/>
      <c r="AJ207" s="111"/>
      <c r="AK207" s="111"/>
      <c r="AL207" s="111"/>
      <c r="AM207" s="108">
        <f>AG207*'1. Standard_Cost'!$B$27+'Incremental_Cost Year 2'!AH207*'1. Standard_Cost'!$C$27+'Incremental_Cost Year 2'!AI207*'1. Standard_Cost'!$D$27+'Incremental_Cost Year 2'!AJ207+'Incremental_Cost Year 2'!AL207+AK207</f>
        <v>0</v>
      </c>
      <c r="AN207" s="108">
        <f>AM207*'1. Standard_Cost'!$C$31</f>
        <v>0</v>
      </c>
      <c r="AO207" s="125" t="s">
        <v>416</v>
      </c>
      <c r="AQ207" s="14">
        <f t="shared" si="177"/>
        <v>113082.3</v>
      </c>
      <c r="AR207" s="14">
        <f t="shared" si="178"/>
        <v>235200</v>
      </c>
      <c r="AS207" s="14">
        <f t="shared" si="179"/>
        <v>0</v>
      </c>
      <c r="AT207" s="14">
        <f t="shared" si="181"/>
        <v>348282.3</v>
      </c>
      <c r="AU207" s="15">
        <f>AQ207</f>
        <v>113082.3</v>
      </c>
      <c r="AV207" s="15"/>
      <c r="AW207" s="15"/>
      <c r="AX207" s="15"/>
      <c r="AY207" s="15"/>
      <c r="AZ207" s="15"/>
      <c r="BA207" s="15"/>
      <c r="BB207" s="16">
        <f t="shared" si="180"/>
        <v>-235200</v>
      </c>
      <c r="BF207" s="295"/>
    </row>
    <row r="208" spans="1:58" ht="109.2" outlineLevel="2">
      <c r="A208" s="98"/>
      <c r="B208" s="102"/>
      <c r="C208" s="23"/>
      <c r="D208" s="269"/>
      <c r="E208" s="271"/>
      <c r="F208" s="250"/>
      <c r="G208" s="255"/>
      <c r="H208" s="302" t="s">
        <v>542</v>
      </c>
      <c r="I208" s="104"/>
      <c r="J208" s="105"/>
      <c r="K208" s="105"/>
      <c r="L208" s="106" t="str">
        <f>IF(I208&lt;&gt;0,((VLOOKUP(I208,'1. Standard_Cost'!$B$4:$D$11,2)+VLOOKUP(I208,'1. Standard_Cost'!$B$4:$D$11,3))*J208*K208),"0")</f>
        <v>0</v>
      </c>
      <c r="M208" s="106">
        <f>L208*'1. Standard_Cost'!$F$4</f>
        <v>0</v>
      </c>
      <c r="N208" s="107">
        <v>3</v>
      </c>
      <c r="O208" s="107">
        <v>1</v>
      </c>
      <c r="P208" s="107">
        <v>13</v>
      </c>
      <c r="Q208" s="107"/>
      <c r="R208" s="108">
        <v>0</v>
      </c>
      <c r="S208" s="108">
        <v>0</v>
      </c>
      <c r="T208" s="108">
        <f>N208*P208*Q208*'1. Standard_Cost'!$D$15</f>
        <v>0</v>
      </c>
      <c r="U208" s="108">
        <v>0</v>
      </c>
      <c r="V208" s="107"/>
      <c r="W208" s="107"/>
      <c r="X208" s="107"/>
      <c r="Y208" s="108">
        <f>+V208*((X208*'1. Standard_Cost'!$B$19)+(W208*X208*'1. Standard_Cost'!$C$19))</f>
        <v>0</v>
      </c>
      <c r="Z208" s="107"/>
      <c r="AA208" s="107">
        <v>10</v>
      </c>
      <c r="AB208" s="108">
        <f>+Z208*'1. Standard_Cost'!$B$23+AA208*'1. Standard_Cost'!$C$23</f>
        <v>190000</v>
      </c>
      <c r="AC208" s="109">
        <f>13*3500+13*500</f>
        <v>52000</v>
      </c>
      <c r="AD208" s="110"/>
      <c r="AE208" s="108">
        <v>0</v>
      </c>
      <c r="AF208" s="108">
        <f t="shared" si="176"/>
        <v>242000</v>
      </c>
      <c r="AG208" s="107"/>
      <c r="AH208" s="107"/>
      <c r="AI208" s="107"/>
      <c r="AJ208" s="111"/>
      <c r="AK208" s="111"/>
      <c r="AL208" s="111"/>
      <c r="AM208" s="108">
        <f>AG208*'1. Standard_Cost'!$B$27+'Incremental_Cost Year 2'!AH208*'1. Standard_Cost'!$C$27+'Incremental_Cost Year 2'!AI208*'1. Standard_Cost'!$D$27+'Incremental_Cost Year 2'!AJ208+'Incremental_Cost Year 2'!AL208+AK208</f>
        <v>0</v>
      </c>
      <c r="AN208" s="108">
        <f>AM208*'1. Standard_Cost'!$C$31</f>
        <v>0</v>
      </c>
      <c r="AO208" s="125" t="s">
        <v>417</v>
      </c>
      <c r="AQ208" s="14">
        <f t="shared" si="177"/>
        <v>0</v>
      </c>
      <c r="AR208" s="14">
        <f t="shared" si="178"/>
        <v>242000</v>
      </c>
      <c r="AS208" s="14">
        <f t="shared" si="179"/>
        <v>0</v>
      </c>
      <c r="AT208" s="14">
        <f t="shared" si="181"/>
        <v>242000</v>
      </c>
      <c r="AU208" s="15"/>
      <c r="AV208" s="15"/>
      <c r="AW208" s="15"/>
      <c r="AX208" s="15"/>
      <c r="AY208" s="15"/>
      <c r="AZ208" s="15"/>
      <c r="BA208" s="15"/>
      <c r="BB208" s="16">
        <f t="shared" si="180"/>
        <v>-242000</v>
      </c>
      <c r="BF208" s="295"/>
    </row>
    <row r="209" spans="1:58" ht="15.6" outlineLevel="2">
      <c r="A209" s="98"/>
      <c r="B209" s="102"/>
      <c r="C209" s="23"/>
      <c r="D209" s="269"/>
      <c r="E209" s="271"/>
      <c r="F209" s="27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v>3</v>
      </c>
      <c r="AB209" s="108">
        <f>+Z209*'[1]1. Standard_Cost'!$B$23+AA209*'[1]1. Standard_Cost'!$C$23</f>
        <v>57000</v>
      </c>
      <c r="AC209" s="109"/>
      <c r="AD209" s="110"/>
      <c r="AE209" s="108">
        <v>0</v>
      </c>
      <c r="AF209" s="108">
        <f t="shared" si="176"/>
        <v>57000</v>
      </c>
      <c r="AG209" s="107"/>
      <c r="AH209" s="107"/>
      <c r="AI209" s="107"/>
      <c r="AJ209" s="111"/>
      <c r="AK209" s="111"/>
      <c r="AL209" s="111"/>
      <c r="AM209" s="108">
        <f>AG209*'1. Standard_Cost'!$B$27+'Incremental_Cost Year 2'!AH209*'1. Standard_Cost'!$C$27+'Incremental_Cost Year 2'!AI209*'1. Standard_Cost'!$D$27+'Incremental_Cost Year 2'!AJ209+'Incremental_Cost Year 2'!AL209+AK209</f>
        <v>0</v>
      </c>
      <c r="AN209" s="108">
        <f>AM209*'1. Standard_Cost'!$C$31</f>
        <v>0</v>
      </c>
      <c r="AO209" s="125" t="s">
        <v>418</v>
      </c>
      <c r="AQ209" s="14">
        <f t="shared" si="177"/>
        <v>0</v>
      </c>
      <c r="AR209" s="14">
        <f t="shared" si="178"/>
        <v>57000</v>
      </c>
      <c r="AS209" s="14">
        <f t="shared" si="179"/>
        <v>0</v>
      </c>
      <c r="AT209" s="14">
        <f t="shared" si="181"/>
        <v>57000</v>
      </c>
      <c r="AU209" s="15"/>
      <c r="AV209" s="15"/>
      <c r="AW209" s="15"/>
      <c r="AX209" s="15"/>
      <c r="AY209" s="15"/>
      <c r="AZ209" s="15"/>
      <c r="BA209" s="15"/>
      <c r="BB209" s="16">
        <f t="shared" si="180"/>
        <v>-57000</v>
      </c>
      <c r="BF209" s="295"/>
    </row>
    <row r="210" spans="1:58" ht="109.2" outlineLevel="2">
      <c r="A210" s="98"/>
      <c r="B210" s="102"/>
      <c r="C210" s="23"/>
      <c r="D210" s="269"/>
      <c r="E210" s="271"/>
      <c r="F210" s="250"/>
      <c r="G210" s="255"/>
      <c r="H210" s="302" t="s">
        <v>543</v>
      </c>
      <c r="I210" s="104" t="s">
        <v>4</v>
      </c>
      <c r="J210" s="105">
        <v>1</v>
      </c>
      <c r="K210" s="105">
        <v>3</v>
      </c>
      <c r="L210" s="106">
        <f>IF(I210&lt;&gt;0,((VLOOKUP(I210,'1. Standard_Cost'!$B$4:$D$11,2)+VLOOKUP(I210,'1. Standard_Cost'!$B$4:$D$11,3))*J210*K210),"0")</f>
        <v>242250</v>
      </c>
      <c r="M210" s="106">
        <f>L210*'1. Standard_Cost'!$F$4</f>
        <v>40455.75</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v>9</v>
      </c>
      <c r="AB210" s="108">
        <f>+Z210*'1. Standard_Cost'!$B$23+AA210*'1. Standard_Cost'!$C$23</f>
        <v>171000</v>
      </c>
      <c r="AC210" s="109">
        <f>2*10*300</f>
        <v>6000</v>
      </c>
      <c r="AD210" s="110"/>
      <c r="AE210" s="108">
        <f>SUM(AD210,AC210,AB210,Y210,U210,T210,S210,R210)*'1. Standard_Cost'!$B$31</f>
        <v>35400</v>
      </c>
      <c r="AF210" s="108">
        <f t="shared" si="176"/>
        <v>212400</v>
      </c>
      <c r="AG210" s="107"/>
      <c r="AH210" s="107"/>
      <c r="AI210" s="107"/>
      <c r="AJ210" s="111"/>
      <c r="AK210" s="111"/>
      <c r="AL210" s="111"/>
      <c r="AM210" s="108">
        <f>AG210*'1. Standard_Cost'!$B$27+'Incremental_Cost Year 2'!AH210*'1. Standard_Cost'!$C$27+'Incremental_Cost Year 2'!AI210*'1. Standard_Cost'!$D$27+'Incremental_Cost Year 2'!AJ210+'Incremental_Cost Year 2'!AL210+AK210</f>
        <v>0</v>
      </c>
      <c r="AN210" s="108">
        <f>AM210*'1. Standard_Cost'!$C$31</f>
        <v>0</v>
      </c>
      <c r="AO210" s="125" t="s">
        <v>418</v>
      </c>
      <c r="AQ210" s="14">
        <f t="shared" si="177"/>
        <v>282705.75</v>
      </c>
      <c r="AR210" s="14">
        <f t="shared" si="178"/>
        <v>212400</v>
      </c>
      <c r="AS210" s="14">
        <f t="shared" si="179"/>
        <v>0</v>
      </c>
      <c r="AT210" s="14">
        <f t="shared" si="181"/>
        <v>495105.75</v>
      </c>
      <c r="AU210" s="15">
        <f>AQ210</f>
        <v>282705.75</v>
      </c>
      <c r="AV210" s="15"/>
      <c r="AW210" s="15"/>
      <c r="AX210" s="15"/>
      <c r="AY210" s="15"/>
      <c r="AZ210" s="15"/>
      <c r="BA210" s="15"/>
      <c r="BB210" s="16">
        <f t="shared" si="180"/>
        <v>-212400</v>
      </c>
      <c r="BF210" s="295"/>
    </row>
    <row r="211" spans="1:58" ht="78" outlineLevel="2">
      <c r="A211" s="98"/>
      <c r="B211" s="102"/>
      <c r="C211" s="23"/>
      <c r="D211" s="269"/>
      <c r="E211" s="271"/>
      <c r="F211" s="250"/>
      <c r="G211" s="255"/>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v>1000000</v>
      </c>
      <c r="AD211" s="110"/>
      <c r="AE211" s="108">
        <v>0</v>
      </c>
      <c r="AF211" s="108">
        <f t="shared" si="176"/>
        <v>1000000</v>
      </c>
      <c r="AG211" s="107"/>
      <c r="AH211" s="107"/>
      <c r="AI211" s="107"/>
      <c r="AJ211" s="111"/>
      <c r="AK211" s="111"/>
      <c r="AL211" s="111"/>
      <c r="AM211" s="108">
        <f>AG211*'1. Standard_Cost'!$B$27+'Incremental_Cost Year 2'!AH211*'1. Standard_Cost'!$C$27+'Incremental_Cost Year 2'!AI211*'1. Standard_Cost'!$D$27+'Incremental_Cost Year 2'!AJ211+'Incremental_Cost Year 2'!AL211+AK211</f>
        <v>0</v>
      </c>
      <c r="AN211" s="108">
        <f>AM211*'1. Standard_Cost'!$C$31</f>
        <v>0</v>
      </c>
      <c r="AO211" s="125" t="s">
        <v>419</v>
      </c>
      <c r="AQ211" s="14">
        <f t="shared" si="177"/>
        <v>0</v>
      </c>
      <c r="AR211" s="14">
        <f t="shared" si="178"/>
        <v>1000000</v>
      </c>
      <c r="AS211" s="14">
        <f t="shared" si="179"/>
        <v>0</v>
      </c>
      <c r="AT211" s="14">
        <f t="shared" si="181"/>
        <v>1000000</v>
      </c>
      <c r="AU211" s="15"/>
      <c r="AV211" s="15"/>
      <c r="AW211" s="15"/>
      <c r="AX211" s="15">
        <f>AT211</f>
        <v>1000000</v>
      </c>
      <c r="AY211" s="15"/>
      <c r="AZ211" s="15"/>
      <c r="BA211" s="15"/>
      <c r="BB211" s="16">
        <f t="shared" si="180"/>
        <v>0</v>
      </c>
      <c r="BF211" s="295"/>
    </row>
    <row r="212" spans="1:58" ht="109.2" outlineLevel="2">
      <c r="A212" s="98"/>
      <c r="B212" s="102"/>
      <c r="C212" s="23"/>
      <c r="D212" s="269"/>
      <c r="E212" s="271"/>
      <c r="F212" s="250"/>
      <c r="G212" s="255"/>
      <c r="H212" s="302" t="s">
        <v>545</v>
      </c>
      <c r="I212" s="104" t="s">
        <v>4</v>
      </c>
      <c r="J212" s="105">
        <v>1</v>
      </c>
      <c r="K212" s="105">
        <v>2</v>
      </c>
      <c r="L212" s="106">
        <f>IF(I212&lt;&gt;0,((VLOOKUP(I212,'1. Standard_Cost'!$B$4:$D$11,2)+VLOOKUP(I212,'1. Standard_Cost'!$B$4:$D$11,3))*J212*K212),"0")</f>
        <v>161500</v>
      </c>
      <c r="M212" s="106">
        <f>L212*'1. Standard_Cost'!$F$4</f>
        <v>26970.5</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v>15</v>
      </c>
      <c r="AB212" s="108">
        <f>+Z212*'1. Standard_Cost'!$B$23+AA212*'1. Standard_Cost'!$C$23</f>
        <v>285000</v>
      </c>
      <c r="AC212" s="109">
        <f>2*10*300</f>
        <v>6000</v>
      </c>
      <c r="AD212" s="110"/>
      <c r="AE212" s="108">
        <v>0</v>
      </c>
      <c r="AF212" s="108">
        <f t="shared" si="176"/>
        <v>291000</v>
      </c>
      <c r="AG212" s="107"/>
      <c r="AH212" s="107"/>
      <c r="AI212" s="107"/>
      <c r="AJ212" s="111"/>
      <c r="AK212" s="111"/>
      <c r="AL212" s="111"/>
      <c r="AM212" s="108">
        <f>AG212*'1. Standard_Cost'!$B$27+'Incremental_Cost Year 2'!AH212*'1. Standard_Cost'!$C$27+'Incremental_Cost Year 2'!AI212*'1. Standard_Cost'!$D$27+'Incremental_Cost Year 2'!AJ212+'Incremental_Cost Year 2'!AL212+AK212</f>
        <v>0</v>
      </c>
      <c r="AN212" s="108">
        <f>AM212*'1. Standard_Cost'!$C$31</f>
        <v>0</v>
      </c>
      <c r="AO212" s="125" t="s">
        <v>300</v>
      </c>
      <c r="AQ212" s="14">
        <f t="shared" si="177"/>
        <v>188470.5</v>
      </c>
      <c r="AR212" s="14">
        <f t="shared" si="178"/>
        <v>291000</v>
      </c>
      <c r="AS212" s="14">
        <f t="shared" si="179"/>
        <v>0</v>
      </c>
      <c r="AT212" s="14">
        <f t="shared" si="181"/>
        <v>479470.5</v>
      </c>
      <c r="AU212" s="15">
        <f>AQ212</f>
        <v>188470.5</v>
      </c>
      <c r="AV212" s="15"/>
      <c r="AW212" s="15"/>
      <c r="AX212" s="15">
        <v>349200</v>
      </c>
      <c r="AY212" s="15"/>
      <c r="AZ212" s="15"/>
      <c r="BA212" s="15"/>
      <c r="BB212" s="16">
        <f t="shared" si="180"/>
        <v>58200</v>
      </c>
      <c r="BF212" s="295"/>
    </row>
    <row r="213" spans="1:58" ht="93.6" outlineLevel="2">
      <c r="A213" s="98"/>
      <c r="B213" s="102"/>
      <c r="C213" s="23"/>
      <c r="D213" s="269"/>
      <c r="E213" s="271"/>
      <c r="F213" s="250"/>
      <c r="G213" s="255"/>
      <c r="H213" s="302" t="s">
        <v>546</v>
      </c>
      <c r="I213" s="104" t="s">
        <v>5</v>
      </c>
      <c r="J213" s="105">
        <v>0.1</v>
      </c>
      <c r="K213" s="105">
        <v>1</v>
      </c>
      <c r="L213" s="106">
        <f>IF(I213&lt;&gt;0,((VLOOKUP(I213,'1. Standard_Cost'!$B$4:$D$11,2)+VLOOKUP(I213,'1. Standard_Cost'!$B$4:$D$11,3))*J213*K213),"0")</f>
        <v>7070</v>
      </c>
      <c r="M213" s="106">
        <f>L213*'1. Standard_Cost'!$F$4</f>
        <v>1180.69</v>
      </c>
      <c r="N213" s="107">
        <v>1</v>
      </c>
      <c r="O213" s="107">
        <v>3</v>
      </c>
      <c r="P213" s="107">
        <v>13</v>
      </c>
      <c r="Q213" s="107"/>
      <c r="R213" s="108">
        <v>0</v>
      </c>
      <c r="S213" s="108">
        <v>0</v>
      </c>
      <c r="T213" s="108">
        <f>N213*P213*Q213*'1. Standard_Cost'!$D$15</f>
        <v>0</v>
      </c>
      <c r="U213" s="108">
        <v>0</v>
      </c>
      <c r="V213" s="107"/>
      <c r="W213" s="107"/>
      <c r="X213" s="107"/>
      <c r="Y213" s="108">
        <f>+V213*((X213*'1. Standard_Cost'!$B$19)+(W213*X213*'1. Standard_Cost'!$C$19))</f>
        <v>0</v>
      </c>
      <c r="Z213" s="107"/>
      <c r="AA213" s="107">
        <v>5</v>
      </c>
      <c r="AB213" s="108">
        <f>+Z213*'1. Standard_Cost'!$B$23+AA213*'1. Standard_Cost'!$C$23</f>
        <v>95000</v>
      </c>
      <c r="AC213" s="109">
        <f>14*3*3500+14*500*3</f>
        <v>168000</v>
      </c>
      <c r="AD213" s="110"/>
      <c r="AE213" s="108">
        <f>SUM(AD213,AC213,AB213,Y213,U213,T213,S213,R213)*'1. Standard_Cost'!$B$31</f>
        <v>52600</v>
      </c>
      <c r="AF213" s="108">
        <f t="shared" si="176"/>
        <v>315600</v>
      </c>
      <c r="AG213" s="107"/>
      <c r="AH213" s="107"/>
      <c r="AI213" s="107"/>
      <c r="AJ213" s="111"/>
      <c r="AK213" s="111"/>
      <c r="AL213" s="111"/>
      <c r="AM213" s="108">
        <f>AG213*'1. Standard_Cost'!$B$27+'Incremental_Cost Year 2'!AH213*'1. Standard_Cost'!$C$27+'Incremental_Cost Year 2'!AI213*'1. Standard_Cost'!$D$27+'Incremental_Cost Year 2'!AJ213+'Incremental_Cost Year 2'!AL213+AK213</f>
        <v>0</v>
      </c>
      <c r="AN213" s="108">
        <f>AM213*'1. Standard_Cost'!$C$31</f>
        <v>0</v>
      </c>
      <c r="AO213" s="125" t="s">
        <v>420</v>
      </c>
      <c r="AQ213" s="14">
        <f t="shared" si="177"/>
        <v>8250.69</v>
      </c>
      <c r="AR213" s="14">
        <f t="shared" si="178"/>
        <v>315600</v>
      </c>
      <c r="AS213" s="14">
        <f t="shared" si="179"/>
        <v>0</v>
      </c>
      <c r="AT213" s="14">
        <f t="shared" si="181"/>
        <v>323850.69</v>
      </c>
      <c r="AU213" s="15">
        <f>AQ213</f>
        <v>8250.69</v>
      </c>
      <c r="AV213" s="15"/>
      <c r="AW213" s="169"/>
      <c r="AX213" s="15">
        <f>AT213</f>
        <v>323850.69</v>
      </c>
      <c r="AY213" s="15"/>
      <c r="AZ213" s="15"/>
      <c r="BA213" s="15"/>
      <c r="BB213" s="16">
        <f t="shared" si="180"/>
        <v>8250.6900000000023</v>
      </c>
      <c r="BF213" s="295"/>
    </row>
    <row r="214" spans="1:58" ht="21" customHeight="1" outlineLevel="2">
      <c r="A214" s="98"/>
      <c r="B214" s="102"/>
      <c r="C214" s="23"/>
      <c r="D214" s="269"/>
      <c r="E214" s="271"/>
      <c r="F214" s="27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v>4</v>
      </c>
      <c r="AB214" s="108">
        <f>+Z214*'[1]1. Standard_Cost'!$B$23+AA214*'[1]1. Standard_Cost'!$C$23</f>
        <v>76000</v>
      </c>
      <c r="AC214" s="109"/>
      <c r="AD214" s="110"/>
      <c r="AE214" s="108">
        <f>SUM(AD214,AC214,AB214,Y214,U214,T214,S214,R214)*'[1]1. Standard_Cost'!$B$31</f>
        <v>15200</v>
      </c>
      <c r="AF214" s="108">
        <f t="shared" si="176"/>
        <v>91200</v>
      </c>
      <c r="AG214" s="107"/>
      <c r="AH214" s="107"/>
      <c r="AI214" s="107"/>
      <c r="AJ214" s="111"/>
      <c r="AK214" s="111"/>
      <c r="AL214" s="111"/>
      <c r="AM214" s="108">
        <f>AG214*'1. Standard_Cost'!$B$27+'Incremental_Cost Year 2'!AH214*'1. Standard_Cost'!$C$27+'Incremental_Cost Year 2'!AI214*'1. Standard_Cost'!$D$27+'Incremental_Cost Year 2'!AJ214+'Incremental_Cost Year 2'!AL214+AK214</f>
        <v>0</v>
      </c>
      <c r="AN214" s="108">
        <f>AM214*'1. Standard_Cost'!$C$31</f>
        <v>0</v>
      </c>
      <c r="AO214" s="125" t="s">
        <v>421</v>
      </c>
      <c r="AQ214" s="14">
        <f t="shared" si="177"/>
        <v>0</v>
      </c>
      <c r="AR214" s="14">
        <f t="shared" si="178"/>
        <v>91200</v>
      </c>
      <c r="AS214" s="14">
        <f t="shared" si="179"/>
        <v>0</v>
      </c>
      <c r="AT214" s="14">
        <f t="shared" si="181"/>
        <v>91200</v>
      </c>
      <c r="AU214" s="15"/>
      <c r="AV214" s="170"/>
      <c r="AX214" s="15">
        <f>AT214</f>
        <v>91200</v>
      </c>
      <c r="AY214" s="15"/>
      <c r="AZ214" s="15"/>
      <c r="BA214" s="15"/>
      <c r="BB214" s="16">
        <f t="shared" si="180"/>
        <v>0</v>
      </c>
      <c r="BF214" s="295"/>
    </row>
    <row r="215" spans="1:58" ht="187.2" outlineLevel="2">
      <c r="A215" s="98"/>
      <c r="B215" s="102"/>
      <c r="C215" s="23"/>
      <c r="D215" s="269"/>
      <c r="E215" s="271"/>
      <c r="F215" s="250"/>
      <c r="G215" s="255"/>
      <c r="H215" s="302" t="s">
        <v>547</v>
      </c>
      <c r="I215" s="104" t="s">
        <v>4</v>
      </c>
      <c r="J215" s="105">
        <v>0.2</v>
      </c>
      <c r="K215" s="105">
        <v>1</v>
      </c>
      <c r="L215" s="106">
        <f>IF(I215&lt;&gt;0,((VLOOKUP(I215,'1. Standard_Cost'!$B$4:$D$11,2)+VLOOKUP(I215,'1. Standard_Cost'!$B$4:$D$11,3))*J215*K215),"0")</f>
        <v>16150</v>
      </c>
      <c r="M215" s="106">
        <f>L215*'1. Standard_Cost'!$F$4</f>
        <v>2697.05</v>
      </c>
      <c r="N215" s="107">
        <v>1</v>
      </c>
      <c r="O215" s="107">
        <v>1</v>
      </c>
      <c r="P215" s="107">
        <v>50</v>
      </c>
      <c r="Q215" s="107"/>
      <c r="R215" s="108">
        <v>0</v>
      </c>
      <c r="S215" s="108">
        <v>0</v>
      </c>
      <c r="T215" s="108">
        <f>N215*P215*Q215*'1. Standard_Cost'!$D$15</f>
        <v>0</v>
      </c>
      <c r="U215" s="108">
        <v>0</v>
      </c>
      <c r="V215" s="107"/>
      <c r="W215" s="107"/>
      <c r="X215" s="107"/>
      <c r="Y215" s="108">
        <f>+V215*((X215*'1. Standard_Cost'!$B$19)+(W215*X215*'1. Standard_Cost'!$C$19))</f>
        <v>0</v>
      </c>
      <c r="Z215" s="107"/>
      <c r="AA215" s="107">
        <v>2</v>
      </c>
      <c r="AB215" s="108">
        <f>+Z215*'1. Standard_Cost'!$B$23+AA215*'1. Standard_Cost'!$C$23</f>
        <v>38000</v>
      </c>
      <c r="AC215" s="109">
        <f>51*3500</f>
        <v>178500</v>
      </c>
      <c r="AD215" s="110"/>
      <c r="AE215" s="108">
        <v>0</v>
      </c>
      <c r="AF215" s="108">
        <f t="shared" si="176"/>
        <v>216500</v>
      </c>
      <c r="AG215" s="107"/>
      <c r="AH215" s="107"/>
      <c r="AI215" s="107"/>
      <c r="AJ215" s="111"/>
      <c r="AK215" s="111"/>
      <c r="AL215" s="111"/>
      <c r="AM215" s="108">
        <f>AG215*'1. Standard_Cost'!$B$27+'Incremental_Cost Year 2'!AH215*'1. Standard_Cost'!$C$27+'Incremental_Cost Year 2'!AI215*'1. Standard_Cost'!$D$27+'Incremental_Cost Year 2'!AJ215+'Incremental_Cost Year 2'!AL215+AK215</f>
        <v>0</v>
      </c>
      <c r="AN215" s="108">
        <f>AM215*'1. Standard_Cost'!$C$31</f>
        <v>0</v>
      </c>
      <c r="AO215" s="125" t="s">
        <v>421</v>
      </c>
      <c r="AQ215" s="14">
        <f t="shared" si="177"/>
        <v>18847.05</v>
      </c>
      <c r="AR215" s="14">
        <f t="shared" si="178"/>
        <v>216500</v>
      </c>
      <c r="AS215" s="14">
        <f t="shared" si="179"/>
        <v>0</v>
      </c>
      <c r="AT215" s="14">
        <f t="shared" si="181"/>
        <v>235347.05</v>
      </c>
      <c r="AU215" s="15">
        <f>AQ215</f>
        <v>18847.05</v>
      </c>
      <c r="AV215" s="15"/>
      <c r="AW215" s="15"/>
      <c r="AX215" s="15">
        <f>AR215</f>
        <v>216500</v>
      </c>
      <c r="AY215" s="15"/>
      <c r="AZ215" s="15"/>
      <c r="BA215" s="15"/>
      <c r="BB215" s="16">
        <f t="shared" si="180"/>
        <v>0</v>
      </c>
      <c r="BF215" s="295"/>
    </row>
    <row r="216" spans="1:58" ht="41.4" outlineLevel="2">
      <c r="A216" s="98"/>
      <c r="B216" s="102"/>
      <c r="C216" s="23"/>
      <c r="D216" s="269"/>
      <c r="E216" s="271"/>
      <c r="F216" s="250"/>
      <c r="G216" s="255"/>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76"/>
        <v>0</v>
      </c>
      <c r="AG216" s="107"/>
      <c r="AH216" s="107"/>
      <c r="AI216" s="107"/>
      <c r="AJ216" s="111"/>
      <c r="AK216" s="111"/>
      <c r="AL216" s="111"/>
      <c r="AM216" s="108">
        <f>AG216*'1. Standard_Cost'!$B$27+'Incremental_Cost Year 2'!AH216*'1. Standard_Cost'!$C$27+'Incremental_Cost Year 2'!AI216*'1. Standard_Cost'!$D$27+'Incremental_Cost Year 2'!AJ216+'Incremental_Cost Year 2'!AL216+AK216</f>
        <v>0</v>
      </c>
      <c r="AN216" s="108">
        <f>AM216*'1. Standard_Cost'!$C$31</f>
        <v>0</v>
      </c>
      <c r="AO216" s="125" t="s">
        <v>422</v>
      </c>
      <c r="AQ216" s="14">
        <f t="shared" si="177"/>
        <v>0</v>
      </c>
      <c r="AR216" s="14">
        <f t="shared" si="178"/>
        <v>0</v>
      </c>
      <c r="AS216" s="14">
        <f t="shared" si="179"/>
        <v>0</v>
      </c>
      <c r="AT216" s="14">
        <f t="shared" si="181"/>
        <v>0</v>
      </c>
      <c r="AU216" s="15"/>
      <c r="AV216" s="15"/>
      <c r="AW216" s="15"/>
      <c r="AX216" s="15"/>
      <c r="AY216" s="15"/>
      <c r="AZ216" s="15"/>
      <c r="BA216" s="15"/>
      <c r="BB216" s="16">
        <f t="shared" si="180"/>
        <v>0</v>
      </c>
      <c r="BF216" s="295"/>
    </row>
    <row r="217" spans="1:58" ht="124.8" outlineLevel="2">
      <c r="A217" s="98"/>
      <c r="B217" s="102"/>
      <c r="C217" s="23"/>
      <c r="D217" s="269"/>
      <c r="E217" s="271"/>
      <c r="F217" s="250"/>
      <c r="G217" s="255"/>
      <c r="H217" s="302" t="s">
        <v>548</v>
      </c>
      <c r="I217" s="104" t="s">
        <v>4</v>
      </c>
      <c r="J217" s="105">
        <v>0.4</v>
      </c>
      <c r="K217" s="105">
        <v>2</v>
      </c>
      <c r="L217" s="106">
        <f>IF(I217&lt;&gt;0,((VLOOKUP(I217,'1. Standard_Cost'!$B$4:$D$11,2)+VLOOKUP(I217,'1. Standard_Cost'!$B$4:$D$11,3))*J217*K217),"0")</f>
        <v>64600</v>
      </c>
      <c r="M217" s="106">
        <f>L217*'1. Standard_Cost'!$F$4</f>
        <v>10788.2</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v>10</v>
      </c>
      <c r="AB217" s="108">
        <f>+Z217*'1. Standard_Cost'!$B$23+AA217*'1. Standard_Cost'!$C$23</f>
        <v>190000</v>
      </c>
      <c r="AC217" s="109">
        <f>20*300</f>
        <v>6000</v>
      </c>
      <c r="AD217" s="110"/>
      <c r="AE217" s="108">
        <v>0</v>
      </c>
      <c r="AF217" s="108">
        <f t="shared" si="176"/>
        <v>196000</v>
      </c>
      <c r="AG217" s="107"/>
      <c r="AH217" s="107"/>
      <c r="AI217" s="107"/>
      <c r="AJ217" s="111"/>
      <c r="AK217" s="111"/>
      <c r="AL217" s="111"/>
      <c r="AM217" s="108">
        <f>AG217*'1. Standard_Cost'!$B$27+'Incremental_Cost Year 2'!AH217*'1. Standard_Cost'!$C$27+'Incremental_Cost Year 2'!AI217*'1. Standard_Cost'!$D$27+'Incremental_Cost Year 2'!AJ217+'Incremental_Cost Year 2'!AL217+AK217</f>
        <v>0</v>
      </c>
      <c r="AN217" s="108">
        <f>AM217*'1. Standard_Cost'!$C$31</f>
        <v>0</v>
      </c>
      <c r="AO217" s="125" t="s">
        <v>423</v>
      </c>
      <c r="AQ217" s="14">
        <f t="shared" si="177"/>
        <v>75388.2</v>
      </c>
      <c r="AR217" s="14">
        <f t="shared" si="178"/>
        <v>196000</v>
      </c>
      <c r="AS217" s="14">
        <f t="shared" si="179"/>
        <v>0</v>
      </c>
      <c r="AT217" s="14">
        <f t="shared" si="181"/>
        <v>271388.2</v>
      </c>
      <c r="AU217" s="15">
        <f>AQ217</f>
        <v>75388.2</v>
      </c>
      <c r="AV217" s="15"/>
      <c r="AW217" s="15"/>
      <c r="AX217" s="15">
        <f>AT217-AU217</f>
        <v>196000</v>
      </c>
      <c r="AY217" s="15"/>
      <c r="AZ217" s="15"/>
      <c r="BA217" s="15"/>
      <c r="BB217" s="16">
        <f t="shared" si="180"/>
        <v>0</v>
      </c>
      <c r="BF217" s="295"/>
    </row>
    <row r="218" spans="1:58" ht="234" outlineLevel="2">
      <c r="A218" s="98"/>
      <c r="B218" s="102"/>
      <c r="C218" s="23"/>
      <c r="D218" s="269"/>
      <c r="E218" s="271"/>
      <c r="F218" s="250"/>
      <c r="G218" s="255"/>
      <c r="H218" s="302" t="s">
        <v>549</v>
      </c>
      <c r="I218" s="104" t="s">
        <v>5</v>
      </c>
      <c r="J218" s="105">
        <v>0.2</v>
      </c>
      <c r="K218" s="105">
        <v>1</v>
      </c>
      <c r="L218" s="106">
        <f>IF(I218&lt;&gt;0,((VLOOKUP(I218,'1. Standard_Cost'!$B$4:$D$11,2)+VLOOKUP(I218,'1. Standard_Cost'!$B$4:$D$11,3))*J218*K218),"0")</f>
        <v>14140</v>
      </c>
      <c r="M218" s="106">
        <f>L218*'1. Standard_Cost'!$F$4</f>
        <v>2361.38</v>
      </c>
      <c r="N218" s="107">
        <v>1</v>
      </c>
      <c r="O218" s="107">
        <v>3</v>
      </c>
      <c r="P218" s="107">
        <v>30</v>
      </c>
      <c r="Q218" s="107"/>
      <c r="R218" s="108">
        <v>0</v>
      </c>
      <c r="S218" s="108">
        <v>0</v>
      </c>
      <c r="T218" s="108">
        <f>N218*P218*Q218*'1. Standard_Cost'!$D$15</f>
        <v>0</v>
      </c>
      <c r="U218" s="108">
        <v>0</v>
      </c>
      <c r="V218" s="107"/>
      <c r="W218" s="107"/>
      <c r="X218" s="107"/>
      <c r="Y218" s="108">
        <f>+V218*((X218*'1. Standard_Cost'!$B$19)+(W218*X218*'1. Standard_Cost'!$C$19))</f>
        <v>0</v>
      </c>
      <c r="Z218" s="107"/>
      <c r="AA218" s="107">
        <v>4</v>
      </c>
      <c r="AB218" s="108">
        <f>+Z218*'1. Standard_Cost'!$B$23+AA218*'1. Standard_Cost'!$C$23</f>
        <v>76000</v>
      </c>
      <c r="AC218" s="109">
        <f>31*3*3500+31*3*500+5*20*500+2*100000</f>
        <v>622000</v>
      </c>
      <c r="AD218" s="110"/>
      <c r="AE218" s="108">
        <f>SUM(AD218,AC218,AB218,Y218,U218,T218,S218,R218)*'1. Standard_Cost'!$B$31</f>
        <v>139600</v>
      </c>
      <c r="AF218" s="108">
        <f t="shared" si="176"/>
        <v>837600</v>
      </c>
      <c r="AG218" s="107"/>
      <c r="AH218" s="107"/>
      <c r="AI218" s="107"/>
      <c r="AJ218" s="111"/>
      <c r="AK218" s="111"/>
      <c r="AL218" s="111"/>
      <c r="AM218" s="108">
        <f>AG218*'1. Standard_Cost'!$B$27+'Incremental_Cost Year 2'!AH218*'1. Standard_Cost'!$C$27+'Incremental_Cost Year 2'!AI218*'1. Standard_Cost'!$D$27+'Incremental_Cost Year 2'!AJ218+'Incremental_Cost Year 2'!AL218+AK218</f>
        <v>0</v>
      </c>
      <c r="AN218" s="108">
        <f>AM218*'1. Standard_Cost'!$C$31</f>
        <v>0</v>
      </c>
      <c r="AO218" s="125" t="s">
        <v>424</v>
      </c>
      <c r="AQ218" s="14">
        <f t="shared" si="177"/>
        <v>16501.38</v>
      </c>
      <c r="AR218" s="14">
        <f t="shared" si="178"/>
        <v>837600</v>
      </c>
      <c r="AS218" s="14">
        <f t="shared" si="179"/>
        <v>0</v>
      </c>
      <c r="AT218" s="14">
        <f t="shared" si="181"/>
        <v>854101.38</v>
      </c>
      <c r="AU218" s="15">
        <f>AQ218</f>
        <v>16501.38</v>
      </c>
      <c r="AV218" s="15"/>
      <c r="AW218" s="15"/>
      <c r="AX218" s="15">
        <v>837600</v>
      </c>
      <c r="AY218" s="15"/>
      <c r="AZ218" s="15"/>
      <c r="BA218" s="15"/>
      <c r="BB218" s="16">
        <f t="shared" si="180"/>
        <v>0</v>
      </c>
      <c r="BF218" s="295"/>
    </row>
    <row r="219" spans="1:58" ht="36" customHeight="1" outlineLevel="2">
      <c r="A219" s="98"/>
      <c r="B219" s="102"/>
      <c r="C219" s="23"/>
      <c r="D219" s="251"/>
      <c r="E219" s="251"/>
      <c r="F219" s="251"/>
      <c r="G219" s="250"/>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76"/>
        <v>0</v>
      </c>
      <c r="AG219" s="107"/>
      <c r="AH219" s="107"/>
      <c r="AI219" s="107"/>
      <c r="AJ219" s="111"/>
      <c r="AK219" s="111"/>
      <c r="AL219" s="111"/>
      <c r="AM219" s="108">
        <f>AG219*'1. Standard_Cost'!$B$27+'Incremental_Cost Year 2'!AH219*'1. Standard_Cost'!$C$27+'Incremental_Cost Year 2'!AI219*'1. Standard_Cost'!$D$27+'Incremental_Cost Year 2'!AJ219+'Incremental_Cost Year 2'!AL219+AK219</f>
        <v>0</v>
      </c>
      <c r="AN219" s="108">
        <f>AM219*'1. Standard_Cost'!$C$31</f>
        <v>0</v>
      </c>
      <c r="AO219" s="125" t="s">
        <v>425</v>
      </c>
      <c r="AQ219" s="14">
        <f t="shared" si="177"/>
        <v>0</v>
      </c>
      <c r="AR219" s="14">
        <f t="shared" si="178"/>
        <v>0</v>
      </c>
      <c r="AS219" s="14">
        <f t="shared" si="179"/>
        <v>0</v>
      </c>
      <c r="AT219" s="14">
        <f t="shared" si="181"/>
        <v>0</v>
      </c>
      <c r="AU219" s="15"/>
      <c r="AV219" s="15"/>
      <c r="AW219" s="15"/>
      <c r="AX219" s="15"/>
      <c r="AY219" s="15"/>
      <c r="AZ219" s="15"/>
      <c r="BA219" s="15"/>
      <c r="BB219" s="16">
        <f t="shared" si="180"/>
        <v>0</v>
      </c>
      <c r="BF219" s="295"/>
    </row>
    <row r="220" spans="1:58" ht="32.25" customHeight="1" outlineLevel="2">
      <c r="A220" s="98"/>
      <c r="B220" s="102"/>
      <c r="C220" s="23"/>
      <c r="D220" s="251"/>
      <c r="E220" s="251"/>
      <c r="F220" s="251"/>
      <c r="G220" s="250"/>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76"/>
        <v>0</v>
      </c>
      <c r="AG220" s="107"/>
      <c r="AH220" s="107"/>
      <c r="AI220" s="107"/>
      <c r="AJ220" s="111"/>
      <c r="AK220" s="111"/>
      <c r="AL220" s="111"/>
      <c r="AM220" s="108">
        <f>AG220*'1. Standard_Cost'!$B$27+'Incremental_Cost Year 2'!AH220*'1. Standard_Cost'!$C$27+'Incremental_Cost Year 2'!AI220*'1. Standard_Cost'!$D$27+'Incremental_Cost Year 2'!AJ220+'Incremental_Cost Year 2'!AL220+AK220</f>
        <v>0</v>
      </c>
      <c r="AN220" s="108">
        <f>AM220*'1. Standard_Cost'!$C$31</f>
        <v>0</v>
      </c>
      <c r="AO220" s="125" t="s">
        <v>426</v>
      </c>
      <c r="AQ220" s="14">
        <f t="shared" si="177"/>
        <v>0</v>
      </c>
      <c r="AR220" s="14">
        <f t="shared" si="178"/>
        <v>0</v>
      </c>
      <c r="AS220" s="14">
        <f t="shared" si="179"/>
        <v>0</v>
      </c>
      <c r="AT220" s="14">
        <f t="shared" si="181"/>
        <v>0</v>
      </c>
      <c r="AU220" s="15"/>
      <c r="AV220" s="15"/>
      <c r="AW220" s="15"/>
      <c r="AX220" s="15"/>
      <c r="AY220" s="15"/>
      <c r="AZ220" s="15"/>
      <c r="BA220" s="15"/>
      <c r="BB220" s="16">
        <f t="shared" si="180"/>
        <v>0</v>
      </c>
      <c r="BF220" s="295"/>
    </row>
    <row r="221" spans="1:58" ht="45" customHeight="1" outlineLevel="2">
      <c r="A221" s="98"/>
      <c r="B221" s="102"/>
      <c r="C221" s="23"/>
      <c r="D221" s="251"/>
      <c r="E221" s="251"/>
      <c r="F221" s="251"/>
      <c r="G221" s="250"/>
      <c r="H221" s="302" t="s">
        <v>550</v>
      </c>
      <c r="I221" s="104" t="s">
        <v>4</v>
      </c>
      <c r="J221" s="105">
        <v>1</v>
      </c>
      <c r="K221" s="105">
        <v>2</v>
      </c>
      <c r="L221" s="106">
        <f>IF(I221&lt;&gt;0,((VLOOKUP(I221,'1. Standard_Cost'!$B$4:$D$11,2)+VLOOKUP(I221,'1. Standard_Cost'!$B$4:$D$11,3))*J221*K221),"0")</f>
        <v>161500</v>
      </c>
      <c r="M221" s="106">
        <f>L221*'1. Standard_Cost'!$F$4</f>
        <v>26970.5</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76"/>
        <v>0</v>
      </c>
      <c r="AG221" s="107"/>
      <c r="AH221" s="107"/>
      <c r="AI221" s="107"/>
      <c r="AJ221" s="111"/>
      <c r="AK221" s="111"/>
      <c r="AL221" s="111"/>
      <c r="AM221" s="108">
        <f>AG221*'1. Standard_Cost'!$B$27+'Incremental_Cost Year 2'!AH221*'1. Standard_Cost'!$C$27+'Incremental_Cost Year 2'!AI221*'1. Standard_Cost'!$D$27+'Incremental_Cost Year 2'!AJ221+'Incremental_Cost Year 2'!AL221+AK221</f>
        <v>0</v>
      </c>
      <c r="AN221" s="108">
        <f>AM221*'1. Standard_Cost'!$C$31</f>
        <v>0</v>
      </c>
      <c r="AO221" s="125" t="s">
        <v>427</v>
      </c>
      <c r="AQ221" s="14">
        <f t="shared" si="177"/>
        <v>188470.5</v>
      </c>
      <c r="AR221" s="14">
        <f t="shared" si="178"/>
        <v>0</v>
      </c>
      <c r="AS221" s="14">
        <f t="shared" si="179"/>
        <v>0</v>
      </c>
      <c r="AT221" s="14">
        <f t="shared" si="181"/>
        <v>188470.5</v>
      </c>
      <c r="AU221" s="15">
        <f>AT221</f>
        <v>188470.5</v>
      </c>
      <c r="AV221" s="15"/>
      <c r="AW221" s="15"/>
      <c r="AX221" s="15"/>
      <c r="AY221" s="15"/>
      <c r="AZ221" s="15"/>
      <c r="BA221" s="15"/>
      <c r="BB221" s="16">
        <f t="shared" si="180"/>
        <v>0</v>
      </c>
      <c r="BF221" s="295"/>
    </row>
    <row r="222" spans="1:58" ht="82.8" outlineLevel="1">
      <c r="A222" s="98"/>
      <c r="B222" s="102"/>
      <c r="C222" s="23"/>
      <c r="D222" s="31" t="s">
        <v>712</v>
      </c>
      <c r="E222" s="56" t="s">
        <v>247</v>
      </c>
      <c r="F222" s="253">
        <v>2021</v>
      </c>
      <c r="G222" s="254">
        <v>2026</v>
      </c>
      <c r="H222" s="279" t="s">
        <v>248</v>
      </c>
      <c r="I222" s="112"/>
      <c r="J222" s="112"/>
      <c r="K222" s="112"/>
      <c r="L222" s="113">
        <f>SUM(L203:L221)</f>
        <v>4399960</v>
      </c>
      <c r="M222" s="113">
        <f>SUM(M203:M221)</f>
        <v>734793.32000000007</v>
      </c>
      <c r="N222" s="112"/>
      <c r="O222" s="112"/>
      <c r="P222" s="112"/>
      <c r="Q222" s="112"/>
      <c r="R222" s="113">
        <f>SUM(R203:R221)</f>
        <v>0</v>
      </c>
      <c r="S222" s="113">
        <f>SUM(S203:S221)</f>
        <v>0</v>
      </c>
      <c r="T222" s="113">
        <f>SUM(T203:T221)</f>
        <v>0</v>
      </c>
      <c r="U222" s="113">
        <f>SUM(U203:U221)</f>
        <v>0</v>
      </c>
      <c r="V222" s="112"/>
      <c r="W222" s="112"/>
      <c r="X222" s="112"/>
      <c r="Y222" s="113">
        <f>SUM(Y203:Y221)</f>
        <v>0</v>
      </c>
      <c r="Z222" s="113"/>
      <c r="AA222" s="112"/>
      <c r="AB222" s="113">
        <f>SUM(AB203:AB221)</f>
        <v>1805000</v>
      </c>
      <c r="AC222" s="113">
        <f>SUM(AC203:AC221)</f>
        <v>3198500</v>
      </c>
      <c r="AD222" s="113">
        <f>SUM(AD203:AD221)</f>
        <v>0</v>
      </c>
      <c r="AE222" s="113">
        <f>SUM(AE203:AE221)</f>
        <v>400200</v>
      </c>
      <c r="AF222" s="113">
        <f>SUM(AF203:AF221)</f>
        <v>5403700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BB222" si="182">SUM(AQ203:AQ221)</f>
        <v>5134753.32</v>
      </c>
      <c r="AR222" s="113">
        <f t="shared" si="182"/>
        <v>5403700</v>
      </c>
      <c r="AS222" s="113">
        <f t="shared" si="182"/>
        <v>0</v>
      </c>
      <c r="AT222" s="113">
        <f t="shared" si="182"/>
        <v>10538453.32</v>
      </c>
      <c r="AU222" s="113">
        <f t="shared" si="182"/>
        <v>5134753.32</v>
      </c>
      <c r="AV222" s="113">
        <f t="shared" si="182"/>
        <v>0</v>
      </c>
      <c r="AW222" s="113">
        <f t="shared" si="182"/>
        <v>0</v>
      </c>
      <c r="AX222" s="113">
        <f t="shared" si="182"/>
        <v>4723550.6899999995</v>
      </c>
      <c r="AY222" s="113">
        <f t="shared" si="182"/>
        <v>0</v>
      </c>
      <c r="AZ222" s="113">
        <f t="shared" si="182"/>
        <v>0</v>
      </c>
      <c r="BA222" s="113">
        <f t="shared" si="182"/>
        <v>0</v>
      </c>
      <c r="BB222" s="113">
        <f t="shared" si="182"/>
        <v>-680149.31</v>
      </c>
      <c r="BF222" s="295"/>
    </row>
    <row r="223" spans="1:58" s="13" customFormat="1" ht="13.8" customHeight="1">
      <c r="A223" s="101"/>
      <c r="B223" s="316" t="s">
        <v>253</v>
      </c>
      <c r="C223" s="317"/>
      <c r="D223" s="317"/>
      <c r="E223" s="318"/>
      <c r="F223" s="241"/>
      <c r="G223" s="241"/>
      <c r="H223" s="241" t="s">
        <v>252</v>
      </c>
      <c r="I223" s="40"/>
      <c r="J223" s="40"/>
      <c r="K223" s="40"/>
      <c r="L223" s="41">
        <f>SUM(L224)</f>
        <v>3609650</v>
      </c>
      <c r="M223" s="41">
        <f>SUM(M224)</f>
        <v>602811.55000000005</v>
      </c>
      <c r="N223" s="40"/>
      <c r="O223" s="40"/>
      <c r="P223" s="40"/>
      <c r="Q223" s="40"/>
      <c r="R223" s="41">
        <f t="shared" ref="R223:U223" si="183">SUM(R224)</f>
        <v>0</v>
      </c>
      <c r="S223" s="41">
        <f t="shared" si="183"/>
        <v>0</v>
      </c>
      <c r="T223" s="41">
        <f t="shared" si="183"/>
        <v>0</v>
      </c>
      <c r="U223" s="41">
        <f t="shared" si="183"/>
        <v>0</v>
      </c>
      <c r="V223" s="40"/>
      <c r="W223" s="40"/>
      <c r="X223" s="40"/>
      <c r="Y223" s="41">
        <f t="shared" ref="Y223:Z223" si="184">SUM(Y224)</f>
        <v>0</v>
      </c>
      <c r="Z223" s="41">
        <f t="shared" si="184"/>
        <v>0</v>
      </c>
      <c r="AA223" s="40"/>
      <c r="AB223" s="41">
        <f t="shared" ref="AB223:AF223" si="185">SUM(AB224)</f>
        <v>893000</v>
      </c>
      <c r="AC223" s="41">
        <f t="shared" si="185"/>
        <v>826000</v>
      </c>
      <c r="AD223" s="41">
        <f t="shared" si="185"/>
        <v>0</v>
      </c>
      <c r="AE223" s="41">
        <f t="shared" si="185"/>
        <v>212200</v>
      </c>
      <c r="AF223" s="41">
        <f t="shared" si="185"/>
        <v>1931200</v>
      </c>
      <c r="AG223" s="40"/>
      <c r="AH223" s="40"/>
      <c r="AI223" s="40"/>
      <c r="AJ223" s="41">
        <f t="shared" ref="AJ223:AN223" si="186">SUM(AJ224)</f>
        <v>0</v>
      </c>
      <c r="AK223" s="41">
        <f t="shared" si="186"/>
        <v>0</v>
      </c>
      <c r="AL223" s="41">
        <f t="shared" si="186"/>
        <v>1680000</v>
      </c>
      <c r="AM223" s="41">
        <f t="shared" si="186"/>
        <v>2580000</v>
      </c>
      <c r="AN223" s="41">
        <f t="shared" si="186"/>
        <v>387000</v>
      </c>
      <c r="AO223" s="129"/>
      <c r="AQ223" s="41">
        <f t="shared" ref="AQ223:BB223" si="187">SUM(AQ224)</f>
        <v>4212461.55</v>
      </c>
      <c r="AR223" s="41">
        <f t="shared" si="187"/>
        <v>1931200</v>
      </c>
      <c r="AS223" s="41">
        <f t="shared" si="187"/>
        <v>2967000</v>
      </c>
      <c r="AT223" s="41">
        <f t="shared" si="187"/>
        <v>9110661.5500000007</v>
      </c>
      <c r="AU223" s="41">
        <f t="shared" si="187"/>
        <v>4212461.55</v>
      </c>
      <c r="AV223" s="41">
        <f t="shared" si="187"/>
        <v>0</v>
      </c>
      <c r="AW223" s="41">
        <f t="shared" si="187"/>
        <v>0</v>
      </c>
      <c r="AX223" s="41">
        <f t="shared" si="187"/>
        <v>4081000</v>
      </c>
      <c r="AY223" s="41">
        <f t="shared" si="187"/>
        <v>0</v>
      </c>
      <c r="AZ223" s="41">
        <f t="shared" si="187"/>
        <v>0</v>
      </c>
      <c r="BA223" s="41">
        <f t="shared" si="187"/>
        <v>0</v>
      </c>
      <c r="BB223" s="41">
        <f t="shared" si="187"/>
        <v>-817200</v>
      </c>
      <c r="BD223" s="5"/>
      <c r="BF223" s="295"/>
    </row>
    <row r="224" spans="1:58" s="24" customFormat="1" ht="13.8" customHeight="1">
      <c r="A224" s="114"/>
      <c r="B224" s="115"/>
      <c r="C224" s="314" t="s">
        <v>254</v>
      </c>
      <c r="D224" s="314"/>
      <c r="E224" s="315"/>
      <c r="F224" s="246"/>
      <c r="G224" s="246"/>
      <c r="H224" s="278" t="s">
        <v>255</v>
      </c>
      <c r="I224" s="116"/>
      <c r="J224" s="116"/>
      <c r="K224" s="116"/>
      <c r="L224" s="117">
        <f>SUM(L232,L236,L242)</f>
        <v>3609650</v>
      </c>
      <c r="M224" s="117">
        <f>SUM(M232,M236,M242)</f>
        <v>602811.55000000005</v>
      </c>
      <c r="N224" s="116"/>
      <c r="O224" s="116"/>
      <c r="P224" s="116"/>
      <c r="Q224" s="116"/>
      <c r="R224" s="117">
        <f t="shared" ref="R224:U224" si="188">SUM(R232,R236,R242)</f>
        <v>0</v>
      </c>
      <c r="S224" s="117">
        <f t="shared" si="188"/>
        <v>0</v>
      </c>
      <c r="T224" s="117">
        <f t="shared" si="188"/>
        <v>0</v>
      </c>
      <c r="U224" s="117">
        <f t="shared" si="188"/>
        <v>0</v>
      </c>
      <c r="V224" s="116"/>
      <c r="W224" s="116"/>
      <c r="X224" s="116"/>
      <c r="Y224" s="117">
        <f>SUM(Y232,Y236,Y242)</f>
        <v>0</v>
      </c>
      <c r="Z224" s="116"/>
      <c r="AA224" s="116"/>
      <c r="AB224" s="117">
        <f t="shared" ref="AB224:AF224" si="189">SUM(AB232,AB236,AB242)</f>
        <v>893000</v>
      </c>
      <c r="AC224" s="117">
        <f t="shared" si="189"/>
        <v>826000</v>
      </c>
      <c r="AD224" s="117">
        <f t="shared" si="189"/>
        <v>0</v>
      </c>
      <c r="AE224" s="117">
        <f t="shared" si="189"/>
        <v>212200</v>
      </c>
      <c r="AF224" s="117">
        <f t="shared" si="189"/>
        <v>1931200</v>
      </c>
      <c r="AG224" s="116"/>
      <c r="AH224" s="116"/>
      <c r="AI224" s="116"/>
      <c r="AJ224" s="117">
        <f t="shared" ref="AJ224:AN224" si="190">SUM(AJ232,AJ236,AJ242)</f>
        <v>0</v>
      </c>
      <c r="AK224" s="117">
        <f t="shared" si="190"/>
        <v>0</v>
      </c>
      <c r="AL224" s="117">
        <f t="shared" si="190"/>
        <v>1680000</v>
      </c>
      <c r="AM224" s="117">
        <f t="shared" si="190"/>
        <v>2580000</v>
      </c>
      <c r="AN224" s="117">
        <f t="shared" si="190"/>
        <v>387000</v>
      </c>
      <c r="AO224" s="132"/>
      <c r="AP224" s="25"/>
      <c r="AQ224" s="117">
        <f t="shared" ref="AQ224:BB224" si="191">SUM(AQ232,AQ236,AQ242)</f>
        <v>4212461.55</v>
      </c>
      <c r="AR224" s="117">
        <f t="shared" si="191"/>
        <v>1931200</v>
      </c>
      <c r="AS224" s="117">
        <f t="shared" si="191"/>
        <v>2967000</v>
      </c>
      <c r="AT224" s="117">
        <f t="shared" si="191"/>
        <v>9110661.5500000007</v>
      </c>
      <c r="AU224" s="117">
        <f t="shared" si="191"/>
        <v>4212461.55</v>
      </c>
      <c r="AV224" s="117">
        <f t="shared" si="191"/>
        <v>0</v>
      </c>
      <c r="AW224" s="117">
        <f t="shared" si="191"/>
        <v>0</v>
      </c>
      <c r="AX224" s="117">
        <f t="shared" si="191"/>
        <v>4081000</v>
      </c>
      <c r="AY224" s="117">
        <f t="shared" si="191"/>
        <v>0</v>
      </c>
      <c r="AZ224" s="117">
        <f t="shared" si="191"/>
        <v>0</v>
      </c>
      <c r="BA224" s="117">
        <f t="shared" si="191"/>
        <v>0</v>
      </c>
      <c r="BB224" s="117">
        <f t="shared" si="191"/>
        <v>-817200</v>
      </c>
      <c r="BD224" s="5"/>
      <c r="BF224" s="295"/>
    </row>
    <row r="225" spans="1:58" ht="46.8" outlineLevel="2">
      <c r="A225" s="98"/>
      <c r="B225" s="102"/>
      <c r="C225" s="23"/>
      <c r="D225" s="257"/>
      <c r="E225" s="257"/>
      <c r="F225" s="257"/>
      <c r="G225" s="257"/>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192">SUM(AE225,AD225,AC225,AB225,Y225,U225,T225,S225,R225)</f>
        <v>0</v>
      </c>
      <c r="AG225" s="107"/>
      <c r="AH225" s="107"/>
      <c r="AI225" s="107"/>
      <c r="AJ225" s="111"/>
      <c r="AK225" s="111"/>
      <c r="AL225" s="111"/>
      <c r="AM225" s="108">
        <f>AG225*'1. Standard_Cost'!$B$27+'Incremental_Cost Year 2'!AH225*'1. Standard_Cost'!$C$27+'Incremental_Cost Year 2'!AI225*'1. Standard_Cost'!$D$27+'Incremental_Cost Year 2'!AJ225+'Incremental_Cost Year 2'!AL225+AK225</f>
        <v>0</v>
      </c>
      <c r="AN225" s="108">
        <f>AM225*'1. Standard_Cost'!$C$31</f>
        <v>0</v>
      </c>
      <c r="AO225" s="125" t="s">
        <v>428</v>
      </c>
      <c r="AQ225" s="14">
        <f t="shared" ref="AQ225:AQ231" si="193">L225+M225</f>
        <v>0</v>
      </c>
      <c r="AR225" s="14">
        <f t="shared" ref="AR225:AR231" si="194">AF225</f>
        <v>0</v>
      </c>
      <c r="AS225" s="14">
        <f t="shared" ref="AS225:AS231" si="195">AM225+AN225</f>
        <v>0</v>
      </c>
      <c r="AT225" s="14">
        <f>SUM(AQ225,AR225,AS225)</f>
        <v>0</v>
      </c>
      <c r="AU225" s="15"/>
      <c r="AV225" s="15"/>
      <c r="AW225" s="15"/>
      <c r="AX225" s="15"/>
      <c r="AY225" s="15"/>
      <c r="AZ225" s="15"/>
      <c r="BA225" s="15"/>
      <c r="BB225" s="16">
        <f t="shared" ref="BB225:BB231" si="196">SUM(AU225:BA225)-AT225</f>
        <v>0</v>
      </c>
      <c r="BD225" s="13"/>
      <c r="BF225" s="295"/>
    </row>
    <row r="226" spans="1:58" ht="202.8" outlineLevel="2">
      <c r="A226" s="98"/>
      <c r="B226" s="102"/>
      <c r="C226" s="23"/>
      <c r="D226" s="269"/>
      <c r="E226" s="269"/>
      <c r="F226" s="269"/>
      <c r="G226" s="269"/>
      <c r="H226" s="302" t="s">
        <v>552</v>
      </c>
      <c r="I226" s="104"/>
      <c r="J226" s="105"/>
      <c r="K226" s="105"/>
      <c r="L226" s="106" t="str">
        <f>IF(I226&lt;&gt;0,((VLOOKUP(I226,'1. Standard_Cost'!$B$4:$D$11,2)+VLOOKUP(I226,'1. Standard_Cost'!$B$4:$D$11,3))*J226*K226),"0")</f>
        <v>0</v>
      </c>
      <c r="M226" s="106">
        <f>L226*'1. Standard_Cost'!$F$4</f>
        <v>0</v>
      </c>
      <c r="N226" s="107">
        <v>4</v>
      </c>
      <c r="O226" s="107">
        <v>1</v>
      </c>
      <c r="P226" s="107">
        <v>10</v>
      </c>
      <c r="Q226" s="107"/>
      <c r="R226" s="108">
        <v>0</v>
      </c>
      <c r="S226" s="108">
        <v>0</v>
      </c>
      <c r="T226" s="108">
        <f>N226*P226*Q226*'1. Standard_Cost'!$D$15</f>
        <v>0</v>
      </c>
      <c r="U226" s="108">
        <v>0</v>
      </c>
      <c r="V226" s="107"/>
      <c r="W226" s="107"/>
      <c r="X226" s="107"/>
      <c r="Y226" s="108">
        <f>+V226*((X226*'1. Standard_Cost'!$B$19)+(W226*X226*'1. Standard_Cost'!$C$19))</f>
        <v>0</v>
      </c>
      <c r="Z226" s="107"/>
      <c r="AA226" s="107">
        <v>10</v>
      </c>
      <c r="AB226" s="108">
        <f>+Z226*'1. Standard_Cost'!$B$23+AA226*'1. Standard_Cost'!$C$23</f>
        <v>190000</v>
      </c>
      <c r="AC226" s="109">
        <f>40*3500+40*500+30000</f>
        <v>190000</v>
      </c>
      <c r="AD226" s="110"/>
      <c r="AE226" s="108">
        <f>SUM(AD226,AC226,AB226,Y226,U226,T226,S226,R226)*'1. Standard_Cost'!$B$31</f>
        <v>76000</v>
      </c>
      <c r="AF226" s="108">
        <f t="shared" si="192"/>
        <v>456000</v>
      </c>
      <c r="AG226" s="107">
        <v>10</v>
      </c>
      <c r="AH226" s="107"/>
      <c r="AI226" s="107"/>
      <c r="AJ226" s="111"/>
      <c r="AK226" s="111"/>
      <c r="AL226" s="111">
        <v>500000</v>
      </c>
      <c r="AM226" s="108">
        <f>AG226*'1. Standard_Cost'!$B$27+'Incremental_Cost Year 2'!AH226*'1. Standard_Cost'!$C$27+'Incremental_Cost Year 2'!AI226*'1. Standard_Cost'!$D$27+'Incremental_Cost Year 2'!AJ226+'Incremental_Cost Year 2'!AL226+AK226</f>
        <v>1400000</v>
      </c>
      <c r="AN226" s="108">
        <f>AM226*'1. Standard_Cost'!$C$31</f>
        <v>210000</v>
      </c>
      <c r="AO226" s="125" t="s">
        <v>429</v>
      </c>
      <c r="AQ226" s="14">
        <f t="shared" si="193"/>
        <v>0</v>
      </c>
      <c r="AR226" s="14">
        <f t="shared" si="194"/>
        <v>456000</v>
      </c>
      <c r="AS226" s="14">
        <f t="shared" si="195"/>
        <v>1610000</v>
      </c>
      <c r="AT226" s="14">
        <f t="shared" ref="AT226:AT231" si="197">SUM(AQ226,AR226,AS226)</f>
        <v>2066000</v>
      </c>
      <c r="AU226" s="15"/>
      <c r="AV226" s="15"/>
      <c r="AW226" s="15"/>
      <c r="AX226" s="15">
        <f>AT226</f>
        <v>2066000</v>
      </c>
      <c r="AY226" s="15"/>
      <c r="AZ226" s="15"/>
      <c r="BA226" s="15"/>
      <c r="BB226" s="16">
        <f t="shared" si="196"/>
        <v>0</v>
      </c>
      <c r="BD226" s="24"/>
      <c r="BF226" s="295"/>
    </row>
    <row r="227" spans="1:58" ht="27.6" outlineLevel="2">
      <c r="A227" s="98"/>
      <c r="B227" s="102"/>
      <c r="C227" s="23"/>
      <c r="D227" s="269"/>
      <c r="E227" s="269"/>
      <c r="F227" s="269"/>
      <c r="G227" s="269"/>
      <c r="H227" s="305" t="s">
        <v>551</v>
      </c>
      <c r="I227" s="104" t="s">
        <v>5</v>
      </c>
      <c r="J227" s="105">
        <v>12</v>
      </c>
      <c r="K227" s="105">
        <v>4</v>
      </c>
      <c r="L227" s="106">
        <f>IF(I227&lt;&gt;0,((VLOOKUP(I227,'[1]1. Standard_Cost'!$B$4:$D$11,2)+VLOOKUP(I227,'[1]1. Standard_Cost'!$B$4:$D$11,3))*J227*K227),"0")</f>
        <v>3393600</v>
      </c>
      <c r="M227" s="106">
        <f>L227*'[1]1. Standard_Cost'!$F$4</f>
        <v>566731.20000000007</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192"/>
        <v>0</v>
      </c>
      <c r="AG227" s="107"/>
      <c r="AH227" s="107"/>
      <c r="AI227" s="107"/>
      <c r="AJ227" s="111"/>
      <c r="AK227" s="111"/>
      <c r="AL227" s="111"/>
      <c r="AM227" s="108">
        <f>AG227*'1. Standard_Cost'!$B$27+'Incremental_Cost Year 2'!AH227*'1. Standard_Cost'!$C$27+'Incremental_Cost Year 2'!AI227*'1. Standard_Cost'!$D$27+'Incremental_Cost Year 2'!AJ227+'Incremental_Cost Year 2'!AL227+AK227</f>
        <v>0</v>
      </c>
      <c r="AN227" s="108">
        <f>AM227*'1. Standard_Cost'!$C$31</f>
        <v>0</v>
      </c>
      <c r="AO227" s="125" t="s">
        <v>430</v>
      </c>
      <c r="AQ227" s="14">
        <f t="shared" si="193"/>
        <v>3960331.2</v>
      </c>
      <c r="AR227" s="14">
        <f t="shared" si="194"/>
        <v>0</v>
      </c>
      <c r="AS227" s="14">
        <f t="shared" si="195"/>
        <v>0</v>
      </c>
      <c r="AT227" s="14">
        <f t="shared" si="197"/>
        <v>3960331.2</v>
      </c>
      <c r="AU227" s="15">
        <f>AT227</f>
        <v>3960331.2</v>
      </c>
      <c r="AV227" s="15"/>
      <c r="AW227" s="15"/>
      <c r="AX227" s="15"/>
      <c r="AY227" s="15"/>
      <c r="AZ227" s="15"/>
      <c r="BA227" s="15"/>
      <c r="BB227" s="16">
        <f t="shared" si="196"/>
        <v>0</v>
      </c>
      <c r="BF227" s="295"/>
    </row>
    <row r="228" spans="1:58" ht="78" outlineLevel="2">
      <c r="A228" s="98"/>
      <c r="B228" s="102"/>
      <c r="C228" s="23"/>
      <c r="D228" s="269"/>
      <c r="E228" s="269"/>
      <c r="F228" s="269"/>
      <c r="G228" s="26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192"/>
        <v>0</v>
      </c>
      <c r="AG228" s="107"/>
      <c r="AH228" s="107"/>
      <c r="AI228" s="107"/>
      <c r="AJ228" s="111"/>
      <c r="AK228" s="111"/>
      <c r="AL228" s="111"/>
      <c r="AM228" s="108">
        <f>AG228*'1. Standard_Cost'!$B$27+'Incremental_Cost Year 2'!AH228*'1. Standard_Cost'!$C$27+'Incremental_Cost Year 2'!AI228*'1. Standard_Cost'!$D$27+'Incremental_Cost Year 2'!AJ228+'Incremental_Cost Year 2'!AL228+AK228</f>
        <v>0</v>
      </c>
      <c r="AN228" s="108">
        <f>AM228*'1. Standard_Cost'!$C$31</f>
        <v>0</v>
      </c>
      <c r="AO228" s="125" t="s">
        <v>430</v>
      </c>
      <c r="AQ228" s="14">
        <f t="shared" si="193"/>
        <v>0</v>
      </c>
      <c r="AR228" s="14">
        <f t="shared" si="194"/>
        <v>0</v>
      </c>
      <c r="AS228" s="14">
        <f t="shared" si="195"/>
        <v>0</v>
      </c>
      <c r="AT228" s="14">
        <f t="shared" si="197"/>
        <v>0</v>
      </c>
      <c r="AU228" s="15"/>
      <c r="AV228" s="15"/>
      <c r="AW228" s="15"/>
      <c r="AX228" s="15"/>
      <c r="AY228" s="15"/>
      <c r="AZ228" s="15"/>
      <c r="BA228" s="15"/>
      <c r="BB228" s="16">
        <f t="shared" si="196"/>
        <v>0</v>
      </c>
      <c r="BF228" s="295"/>
    </row>
    <row r="229" spans="1:58" ht="31.2" outlineLevel="2">
      <c r="A229" s="98"/>
      <c r="B229" s="102"/>
      <c r="C229" s="23"/>
      <c r="D229" s="269"/>
      <c r="E229" s="269"/>
      <c r="F229" s="269"/>
      <c r="G229" s="26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192"/>
        <v>0</v>
      </c>
      <c r="AG229" s="107"/>
      <c r="AH229" s="107"/>
      <c r="AI229" s="107"/>
      <c r="AJ229" s="111"/>
      <c r="AK229" s="111"/>
      <c r="AL229" s="111"/>
      <c r="AM229" s="108">
        <f>AG229*'1. Standard_Cost'!$B$27+'Incremental_Cost Year 2'!AH229*'1. Standard_Cost'!$C$27+'Incremental_Cost Year 2'!AI229*'1. Standard_Cost'!$D$27+'Incremental_Cost Year 2'!AJ229+'Incremental_Cost Year 2'!AL229+AK229</f>
        <v>0</v>
      </c>
      <c r="AN229" s="108">
        <f>AM229*'1. Standard_Cost'!$C$31</f>
        <v>0</v>
      </c>
      <c r="AO229" s="125" t="s">
        <v>431</v>
      </c>
      <c r="AQ229" s="14">
        <f t="shared" si="193"/>
        <v>0</v>
      </c>
      <c r="AR229" s="14">
        <f t="shared" si="194"/>
        <v>0</v>
      </c>
      <c r="AS229" s="14">
        <f t="shared" si="195"/>
        <v>0</v>
      </c>
      <c r="AT229" s="14">
        <f t="shared" si="197"/>
        <v>0</v>
      </c>
      <c r="AU229" s="15"/>
      <c r="AV229" s="15"/>
      <c r="AW229" s="15"/>
      <c r="AX229" s="15"/>
      <c r="AY229" s="15"/>
      <c r="AZ229" s="15"/>
      <c r="BA229" s="15"/>
      <c r="BB229" s="16">
        <f t="shared" si="196"/>
        <v>0</v>
      </c>
      <c r="BF229" s="295"/>
    </row>
    <row r="230" spans="1:58" ht="78" outlineLevel="2">
      <c r="A230" s="98"/>
      <c r="B230" s="102"/>
      <c r="C230" s="23"/>
      <c r="D230" s="269"/>
      <c r="E230" s="269"/>
      <c r="F230" s="269"/>
      <c r="G230" s="269"/>
      <c r="H230" s="302" t="s">
        <v>553</v>
      </c>
      <c r="I230" s="104" t="s">
        <v>5</v>
      </c>
      <c r="J230" s="105">
        <v>0.2</v>
      </c>
      <c r="K230" s="105">
        <v>5</v>
      </c>
      <c r="L230" s="106">
        <f>IF(I230&lt;&gt;0,((VLOOKUP(I230,'1. Standard_Cost'!$B$4:$D$11,2)+VLOOKUP(I230,'1. Standard_Cost'!$B$4:$D$11,3))*J230*K230),"0")</f>
        <v>70700</v>
      </c>
      <c r="M230" s="106">
        <f>L230*'1. Standard_Cost'!$F$4</f>
        <v>11806.900000000001</v>
      </c>
      <c r="N230" s="107">
        <v>2</v>
      </c>
      <c r="O230" s="107">
        <v>3</v>
      </c>
      <c r="P230" s="107">
        <v>10</v>
      </c>
      <c r="Q230" s="107"/>
      <c r="R230" s="108">
        <v>0</v>
      </c>
      <c r="S230" s="108">
        <v>0</v>
      </c>
      <c r="T230" s="108">
        <f>N230*P230*Q230*'1. Standard_Cost'!$D$15</f>
        <v>0</v>
      </c>
      <c r="U230" s="108">
        <v>0</v>
      </c>
      <c r="V230" s="107"/>
      <c r="W230" s="107"/>
      <c r="X230" s="107"/>
      <c r="Y230" s="108">
        <f>+V230*((X230*'1. Standard_Cost'!$B$19)+(W230*X230*'1. Standard_Cost'!$C$19))</f>
        <v>0</v>
      </c>
      <c r="Z230" s="107"/>
      <c r="AA230" s="107"/>
      <c r="AB230" s="108">
        <f>+Z230*'1. Standard_Cost'!$B$23+AA230*'1. Standard_Cost'!$C$23</f>
        <v>0</v>
      </c>
      <c r="AC230" s="109">
        <f>20*3500*3+20*500*3</f>
        <v>240000</v>
      </c>
      <c r="AD230" s="110"/>
      <c r="AE230" s="108">
        <v>0</v>
      </c>
      <c r="AF230" s="108">
        <f t="shared" si="192"/>
        <v>240000</v>
      </c>
      <c r="AG230" s="107"/>
      <c r="AH230" s="107"/>
      <c r="AI230" s="107"/>
      <c r="AJ230" s="111"/>
      <c r="AK230" s="111"/>
      <c r="AL230" s="111"/>
      <c r="AM230" s="108">
        <f>AG230*'1. Standard_Cost'!$B$27+'Incremental_Cost Year 2'!AH230*'1. Standard_Cost'!$C$27+'Incremental_Cost Year 2'!AI230*'1. Standard_Cost'!$D$27+'Incremental_Cost Year 2'!AJ230+'Incremental_Cost Year 2'!AL230+AK230</f>
        <v>0</v>
      </c>
      <c r="AN230" s="108">
        <f>AM230*'1. Standard_Cost'!$C$31</f>
        <v>0</v>
      </c>
      <c r="AO230" s="125" t="s">
        <v>432</v>
      </c>
      <c r="AQ230" s="14">
        <f t="shared" si="193"/>
        <v>82506.899999999994</v>
      </c>
      <c r="AR230" s="14">
        <f t="shared" si="194"/>
        <v>240000</v>
      </c>
      <c r="AS230" s="14">
        <f t="shared" si="195"/>
        <v>0</v>
      </c>
      <c r="AT230" s="14">
        <f t="shared" si="197"/>
        <v>322506.90000000002</v>
      </c>
      <c r="AU230" s="15">
        <f>AQ230</f>
        <v>82506.899999999994</v>
      </c>
      <c r="AV230" s="15"/>
      <c r="AW230" s="15"/>
      <c r="AX230" s="15">
        <f>AT230-AU230</f>
        <v>240000.00000000003</v>
      </c>
      <c r="AY230" s="15"/>
      <c r="AZ230" s="15"/>
      <c r="BA230" s="15"/>
      <c r="BB230" s="16">
        <f t="shared" si="196"/>
        <v>0</v>
      </c>
      <c r="BF230" s="295"/>
    </row>
    <row r="231" spans="1:58" ht="78" outlineLevel="2">
      <c r="A231" s="98"/>
      <c r="B231" s="102"/>
      <c r="C231" s="23"/>
      <c r="D231" s="269"/>
      <c r="E231" s="269"/>
      <c r="F231" s="269"/>
      <c r="G231" s="26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22</v>
      </c>
      <c r="AB231" s="108">
        <f>+Z231*'1. Standard_Cost'!$B$23+AA231*'1. Standard_Cost'!$C$23</f>
        <v>418000</v>
      </c>
      <c r="AC231" s="109"/>
      <c r="AD231" s="110"/>
      <c r="AE231" s="108">
        <v>0</v>
      </c>
      <c r="AF231" s="108">
        <f t="shared" si="192"/>
        <v>418000</v>
      </c>
      <c r="AG231" s="107"/>
      <c r="AH231" s="107"/>
      <c r="AI231" s="107"/>
      <c r="AJ231" s="111"/>
      <c r="AK231" s="111"/>
      <c r="AL231" s="111">
        <v>1180000</v>
      </c>
      <c r="AM231" s="108">
        <f>AG231*'1. Standard_Cost'!$B$27+'Incremental_Cost Year 2'!AH231*'1. Standard_Cost'!$C$27+'Incremental_Cost Year 2'!AI231*'1. Standard_Cost'!$D$27+'Incremental_Cost Year 2'!AJ231+'Incremental_Cost Year 2'!AL231+AK231</f>
        <v>1180000</v>
      </c>
      <c r="AN231" s="108">
        <f>AM231*'1. Standard_Cost'!$C$31</f>
        <v>177000</v>
      </c>
      <c r="AO231" s="125" t="s">
        <v>433</v>
      </c>
      <c r="AQ231" s="14">
        <f t="shared" si="193"/>
        <v>0</v>
      </c>
      <c r="AR231" s="14">
        <f t="shared" si="194"/>
        <v>418000</v>
      </c>
      <c r="AS231" s="14">
        <f t="shared" si="195"/>
        <v>1357000</v>
      </c>
      <c r="AT231" s="14">
        <f t="shared" si="197"/>
        <v>1775000</v>
      </c>
      <c r="AU231" s="15"/>
      <c r="AV231" s="15"/>
      <c r="AW231" s="15"/>
      <c r="AX231" s="15">
        <f>AT231</f>
        <v>1775000</v>
      </c>
      <c r="AY231" s="15"/>
      <c r="AZ231" s="15"/>
      <c r="BA231" s="15"/>
      <c r="BB231" s="16">
        <f t="shared" si="196"/>
        <v>0</v>
      </c>
      <c r="BF231" s="295"/>
    </row>
    <row r="232" spans="1:58" ht="82.8" outlineLevel="1">
      <c r="A232" s="98"/>
      <c r="B232" s="102"/>
      <c r="C232" s="23"/>
      <c r="D232" s="31" t="s">
        <v>640</v>
      </c>
      <c r="E232" s="56" t="s">
        <v>259</v>
      </c>
      <c r="F232" s="253">
        <v>2021</v>
      </c>
      <c r="G232" s="254">
        <v>2026</v>
      </c>
      <c r="H232" s="277" t="s">
        <v>260</v>
      </c>
      <c r="I232" s="112"/>
      <c r="J232" s="112"/>
      <c r="K232" s="112"/>
      <c r="L232" s="113">
        <f>SUM(L225:L231)</f>
        <v>3464300</v>
      </c>
      <c r="M232" s="113">
        <f>SUM(M225:M231)</f>
        <v>578538.10000000009</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608000</v>
      </c>
      <c r="AC232" s="113">
        <f>SUM(AC225:AC231)</f>
        <v>430000</v>
      </c>
      <c r="AD232" s="113">
        <f>SUM(AD225:AD231)</f>
        <v>0</v>
      </c>
      <c r="AE232" s="113">
        <f>SUM(AE225:AE231)</f>
        <v>76000</v>
      </c>
      <c r="AF232" s="113">
        <f>SUM(AF225:AF231)</f>
        <v>1114000</v>
      </c>
      <c r="AG232" s="112"/>
      <c r="AH232" s="112"/>
      <c r="AI232" s="112"/>
      <c r="AJ232" s="113">
        <f>SUM(AJ225:AJ231)</f>
        <v>0</v>
      </c>
      <c r="AK232" s="113">
        <f>SUM(AK225:AK231)</f>
        <v>0</v>
      </c>
      <c r="AL232" s="113">
        <f>SUM(AL225:AL231)</f>
        <v>1680000</v>
      </c>
      <c r="AM232" s="113">
        <f>SUM(AM225:AM231)</f>
        <v>2580000</v>
      </c>
      <c r="AN232" s="113">
        <f>SUM(AN225:AN231)</f>
        <v>387000</v>
      </c>
      <c r="AO232" s="131"/>
      <c r="AP232" s="17"/>
      <c r="AQ232" s="113">
        <f t="shared" ref="AQ232:BB232" si="198">SUM(AQ225:AQ231)</f>
        <v>4042838.1</v>
      </c>
      <c r="AR232" s="113">
        <f t="shared" si="198"/>
        <v>1114000</v>
      </c>
      <c r="AS232" s="113">
        <f t="shared" si="198"/>
        <v>2967000</v>
      </c>
      <c r="AT232" s="113">
        <f t="shared" si="198"/>
        <v>8123838.1000000006</v>
      </c>
      <c r="AU232" s="113">
        <f t="shared" si="198"/>
        <v>4042838.1</v>
      </c>
      <c r="AV232" s="113">
        <f t="shared" si="198"/>
        <v>0</v>
      </c>
      <c r="AW232" s="113">
        <f t="shared" si="198"/>
        <v>0</v>
      </c>
      <c r="AX232" s="113">
        <f t="shared" si="198"/>
        <v>4081000</v>
      </c>
      <c r="AY232" s="113">
        <f t="shared" si="198"/>
        <v>0</v>
      </c>
      <c r="AZ232" s="113">
        <f t="shared" si="198"/>
        <v>0</v>
      </c>
      <c r="BA232" s="113">
        <f t="shared" si="198"/>
        <v>0</v>
      </c>
      <c r="BB232" s="113">
        <f t="shared" si="198"/>
        <v>0</v>
      </c>
      <c r="BF232" s="295"/>
    </row>
    <row r="233" spans="1:58" ht="156" outlineLevel="2">
      <c r="A233" s="98"/>
      <c r="B233" s="102"/>
      <c r="C233" s="23"/>
      <c r="D233" s="257"/>
      <c r="E233" s="257"/>
      <c r="F233" s="257"/>
      <c r="G233" s="257"/>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199">SUM(AE233,AD233,AC233,AB233,Y233,U233,T233,S233,R233)</f>
        <v>0</v>
      </c>
      <c r="AG233" s="107"/>
      <c r="AH233" s="107"/>
      <c r="AI233" s="107"/>
      <c r="AJ233" s="111"/>
      <c r="AK233" s="111"/>
      <c r="AL233" s="111"/>
      <c r="AM233" s="108">
        <f>AG233*'1. Standard_Cost'!$B$27+'Incremental_Cost Year 2'!AH233*'1. Standard_Cost'!$C$27+'Incremental_Cost Year 2'!AI233*'1. Standard_Cost'!$D$27+'Incremental_Cost Year 2'!AJ233+'Incremental_Cost Year 2'!AL233+AK233</f>
        <v>0</v>
      </c>
      <c r="AN233" s="108">
        <f>AM233*'1. Standard_Cost'!$C$31</f>
        <v>0</v>
      </c>
      <c r="AO233" s="125" t="s">
        <v>434</v>
      </c>
      <c r="AQ233" s="14">
        <f t="shared" ref="AQ233:AQ235" si="200">L233+M233</f>
        <v>0</v>
      </c>
      <c r="AR233" s="14">
        <f t="shared" ref="AR233:AR235" si="201">AF233</f>
        <v>0</v>
      </c>
      <c r="AS233" s="14">
        <f t="shared" ref="AS233:AS235" si="202">AM233+AN233</f>
        <v>0</v>
      </c>
      <c r="AT233" s="14">
        <f>SUM(AQ233,AR233,AS233)</f>
        <v>0</v>
      </c>
      <c r="AU233" s="15"/>
      <c r="AV233" s="15"/>
      <c r="AW233" s="15"/>
      <c r="AX233" s="15"/>
      <c r="AY233" s="15"/>
      <c r="AZ233" s="15"/>
      <c r="BA233" s="15"/>
      <c r="BB233" s="16">
        <f t="shared" ref="BB233:BB235" si="203">SUM(AU233:BA233)-AT233</f>
        <v>0</v>
      </c>
      <c r="BF233" s="295"/>
    </row>
    <row r="234" spans="1:58" ht="62.4" outlineLevel="2">
      <c r="A234" s="98"/>
      <c r="B234" s="102"/>
      <c r="C234" s="23"/>
      <c r="D234" s="269"/>
      <c r="E234" s="269"/>
      <c r="F234" s="269"/>
      <c r="G234" s="26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199"/>
        <v>0</v>
      </c>
      <c r="AG234" s="107"/>
      <c r="AH234" s="107"/>
      <c r="AI234" s="107"/>
      <c r="AJ234" s="111"/>
      <c r="AK234" s="111"/>
      <c r="AL234" s="111"/>
      <c r="AM234" s="108">
        <f>AG234*'1. Standard_Cost'!$B$27+'Incremental_Cost Year 2'!AH234*'1. Standard_Cost'!$C$27+'Incremental_Cost Year 2'!AI234*'1. Standard_Cost'!$D$27+'Incremental_Cost Year 2'!AJ234+'Incremental_Cost Year 2'!AL234+AK234</f>
        <v>0</v>
      </c>
      <c r="AN234" s="108">
        <f>AM234*'1. Standard_Cost'!$C$31</f>
        <v>0</v>
      </c>
      <c r="AO234" s="125" t="s">
        <v>435</v>
      </c>
      <c r="AQ234" s="14">
        <f t="shared" si="200"/>
        <v>0</v>
      </c>
      <c r="AR234" s="14">
        <f t="shared" si="201"/>
        <v>0</v>
      </c>
      <c r="AS234" s="14">
        <f t="shared" si="202"/>
        <v>0</v>
      </c>
      <c r="AT234" s="14">
        <f t="shared" ref="AT234:AT235" si="204">SUM(AQ234,AR234,AS234)</f>
        <v>0</v>
      </c>
      <c r="AU234" s="15"/>
      <c r="AV234" s="15"/>
      <c r="AW234" s="15"/>
      <c r="AX234" s="15"/>
      <c r="AY234" s="15"/>
      <c r="AZ234" s="15"/>
      <c r="BA234" s="15"/>
      <c r="BB234" s="16">
        <f t="shared" si="203"/>
        <v>0</v>
      </c>
      <c r="BF234" s="295"/>
    </row>
    <row r="235" spans="1:58" ht="124.8" outlineLevel="2">
      <c r="A235" s="98"/>
      <c r="B235" s="102"/>
      <c r="C235" s="23"/>
      <c r="D235" s="269"/>
      <c r="E235" s="269"/>
      <c r="F235" s="269"/>
      <c r="G235" s="174"/>
      <c r="H235" s="302" t="s">
        <v>555</v>
      </c>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199"/>
        <v>0</v>
      </c>
      <c r="AG235" s="107"/>
      <c r="AH235" s="107"/>
      <c r="AI235" s="107"/>
      <c r="AJ235" s="111"/>
      <c r="AK235" s="111"/>
      <c r="AL235" s="111"/>
      <c r="AM235" s="108">
        <f>AG235*'1. Standard_Cost'!$B$27+'Incremental_Cost Year 2'!AH235*'1. Standard_Cost'!$C$27+'Incremental_Cost Year 2'!AI235*'1. Standard_Cost'!$D$27+'Incremental_Cost Year 2'!AJ235+'Incremental_Cost Year 2'!AL235+AK235</f>
        <v>0</v>
      </c>
      <c r="AN235" s="108">
        <f>AM235*'1. Standard_Cost'!$C$31</f>
        <v>0</v>
      </c>
      <c r="AO235" s="125" t="s">
        <v>436</v>
      </c>
      <c r="AQ235" s="14">
        <f t="shared" si="200"/>
        <v>0</v>
      </c>
      <c r="AR235" s="14">
        <f t="shared" si="201"/>
        <v>0</v>
      </c>
      <c r="AS235" s="14">
        <f t="shared" si="202"/>
        <v>0</v>
      </c>
      <c r="AT235" s="14">
        <f t="shared" si="204"/>
        <v>0</v>
      </c>
      <c r="AU235" s="15"/>
      <c r="AV235" s="15"/>
      <c r="AW235" s="15"/>
      <c r="AX235" s="15"/>
      <c r="AY235" s="15"/>
      <c r="AZ235" s="15"/>
      <c r="BA235" s="15"/>
      <c r="BB235" s="16">
        <f t="shared" si="203"/>
        <v>0</v>
      </c>
      <c r="BF235" s="295"/>
    </row>
    <row r="236" spans="1:58" ht="110.4" outlineLevel="1">
      <c r="A236" s="98"/>
      <c r="B236" s="102"/>
      <c r="C236" s="23"/>
      <c r="D236" s="347" t="s">
        <v>641</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05">SUM(AQ233:AQ235)</f>
        <v>0</v>
      </c>
      <c r="AR236" s="113">
        <f t="shared" si="205"/>
        <v>0</v>
      </c>
      <c r="AS236" s="113">
        <f t="shared" si="205"/>
        <v>0</v>
      </c>
      <c r="AT236" s="113">
        <f t="shared" si="205"/>
        <v>0</v>
      </c>
      <c r="AU236" s="113">
        <f t="shared" si="205"/>
        <v>0</v>
      </c>
      <c r="AV236" s="113">
        <f t="shared" si="205"/>
        <v>0</v>
      </c>
      <c r="AW236" s="113">
        <f t="shared" si="205"/>
        <v>0</v>
      </c>
      <c r="AX236" s="113">
        <f t="shared" si="205"/>
        <v>0</v>
      </c>
      <c r="AY236" s="113">
        <f t="shared" si="205"/>
        <v>0</v>
      </c>
      <c r="AZ236" s="113">
        <f t="shared" si="205"/>
        <v>0</v>
      </c>
      <c r="BA236" s="113">
        <f t="shared" si="205"/>
        <v>0</v>
      </c>
      <c r="BB236" s="113">
        <f t="shared" si="205"/>
        <v>0</v>
      </c>
      <c r="BF236" s="295"/>
    </row>
    <row r="237" spans="1:58"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06">SUM(AE237,AD237,AC237,AB237,Y237,U237,T237,S237,R237)</f>
        <v>0</v>
      </c>
      <c r="AG237" s="107"/>
      <c r="AH237" s="107"/>
      <c r="AI237" s="107"/>
      <c r="AJ237" s="111"/>
      <c r="AK237" s="111"/>
      <c r="AL237" s="111"/>
      <c r="AM237" s="108">
        <f>AG237*'1. Standard_Cost'!$B$27+'Incremental_Cost Year 2'!AH237*'1. Standard_Cost'!$C$27+'Incremental_Cost Year 2'!AI237*'1. Standard_Cost'!$D$27+'Incremental_Cost Year 2'!AJ237+'Incremental_Cost Year 2'!AL237+AK237</f>
        <v>0</v>
      </c>
      <c r="AN237" s="108">
        <f>AM237*'1. Standard_Cost'!$C$31</f>
        <v>0</v>
      </c>
      <c r="AO237" s="125" t="s">
        <v>437</v>
      </c>
      <c r="AQ237" s="14">
        <f t="shared" ref="AQ237:AQ241" si="207">L237+M237</f>
        <v>0</v>
      </c>
      <c r="AR237" s="14">
        <f t="shared" ref="AR237:AR241" si="208">AF237</f>
        <v>0</v>
      </c>
      <c r="AS237" s="14">
        <f t="shared" ref="AS237:AS241" si="209">AM237+AN237</f>
        <v>0</v>
      </c>
      <c r="AT237" s="14">
        <f>SUM(AQ237,AR237,AS237)</f>
        <v>0</v>
      </c>
      <c r="AU237" s="15"/>
      <c r="AV237" s="15"/>
      <c r="AW237" s="15"/>
      <c r="AX237" s="15"/>
      <c r="AY237" s="15"/>
      <c r="AZ237" s="15"/>
      <c r="BA237" s="15"/>
      <c r="BB237" s="16">
        <f t="shared" ref="BB237:BB241" si="210">SUM(AU237:BA237)-AT237</f>
        <v>0</v>
      </c>
      <c r="BF237" s="295"/>
    </row>
    <row r="238" spans="1:58" ht="46.8" outlineLevel="2">
      <c r="A238" s="98"/>
      <c r="B238" s="102"/>
      <c r="C238" s="23"/>
      <c r="D238" s="269"/>
      <c r="E238" s="269"/>
      <c r="F238" s="269"/>
      <c r="G238" s="26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06"/>
        <v>0</v>
      </c>
      <c r="AG238" s="107"/>
      <c r="AH238" s="107"/>
      <c r="AI238" s="107"/>
      <c r="AJ238" s="111"/>
      <c r="AK238" s="111"/>
      <c r="AL238" s="111"/>
      <c r="AM238" s="108">
        <f>AG238*'1. Standard_Cost'!$B$27+'Incremental_Cost Year 2'!AH238*'1. Standard_Cost'!$C$27+'Incremental_Cost Year 2'!AI238*'1. Standard_Cost'!$D$27+'Incremental_Cost Year 2'!AJ238+'Incremental_Cost Year 2'!AL238+AK238</f>
        <v>0</v>
      </c>
      <c r="AN238" s="108">
        <f>AM238*'1. Standard_Cost'!$C$31</f>
        <v>0</v>
      </c>
      <c r="AO238" s="125" t="s">
        <v>438</v>
      </c>
      <c r="AQ238" s="14">
        <f t="shared" si="207"/>
        <v>0</v>
      </c>
      <c r="AR238" s="14">
        <f t="shared" si="208"/>
        <v>0</v>
      </c>
      <c r="AS238" s="14">
        <f t="shared" si="209"/>
        <v>0</v>
      </c>
      <c r="AT238" s="14">
        <f t="shared" ref="AT238:AT241" si="211">SUM(AQ238,AR238,AS238)</f>
        <v>0</v>
      </c>
      <c r="AU238" s="15"/>
      <c r="AV238" s="15"/>
      <c r="AW238" s="15"/>
      <c r="AX238" s="15"/>
      <c r="AY238" s="15"/>
      <c r="AZ238" s="15"/>
      <c r="BA238" s="15"/>
      <c r="BB238" s="16">
        <f t="shared" si="210"/>
        <v>0</v>
      </c>
      <c r="BF238" s="295"/>
    </row>
    <row r="239" spans="1:58" ht="62.4" outlineLevel="2">
      <c r="A239" s="98"/>
      <c r="B239" s="102"/>
      <c r="C239" s="23"/>
      <c r="D239" s="269"/>
      <c r="E239" s="269"/>
      <c r="F239" s="269"/>
      <c r="G239" s="26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06"/>
        <v>0</v>
      </c>
      <c r="AG239" s="107"/>
      <c r="AH239" s="107"/>
      <c r="AI239" s="107"/>
      <c r="AJ239" s="111"/>
      <c r="AK239" s="111"/>
      <c r="AL239" s="111"/>
      <c r="AM239" s="108">
        <f>AG239*'1. Standard_Cost'!$B$27+'Incremental_Cost Year 2'!AH239*'1. Standard_Cost'!$C$27+'Incremental_Cost Year 2'!AI239*'1. Standard_Cost'!$D$27+'Incremental_Cost Year 2'!AJ239+'Incremental_Cost Year 2'!AL239+AK239</f>
        <v>0</v>
      </c>
      <c r="AN239" s="108">
        <f>AM239*'1. Standard_Cost'!$C$31</f>
        <v>0</v>
      </c>
      <c r="AO239" s="125" t="s">
        <v>439</v>
      </c>
      <c r="AQ239" s="14">
        <f t="shared" si="207"/>
        <v>0</v>
      </c>
      <c r="AR239" s="14">
        <f t="shared" si="208"/>
        <v>0</v>
      </c>
      <c r="AS239" s="14">
        <f t="shared" si="209"/>
        <v>0</v>
      </c>
      <c r="AT239" s="14">
        <f t="shared" si="211"/>
        <v>0</v>
      </c>
      <c r="AU239" s="15"/>
      <c r="AV239" s="15"/>
      <c r="AW239" s="15"/>
      <c r="AX239" s="15"/>
      <c r="AY239" s="15"/>
      <c r="AZ239" s="15"/>
      <c r="BA239" s="15"/>
      <c r="BB239" s="16">
        <f t="shared" si="210"/>
        <v>0</v>
      </c>
      <c r="BF239" s="295"/>
    </row>
    <row r="240" spans="1:58" ht="109.2" outlineLevel="2">
      <c r="A240" s="98"/>
      <c r="B240" s="102"/>
      <c r="C240" s="23"/>
      <c r="D240" s="269"/>
      <c r="E240" s="269"/>
      <c r="F240" s="269"/>
      <c r="G240" s="269"/>
      <c r="H240" s="302" t="s">
        <v>556</v>
      </c>
      <c r="I240" s="104" t="s">
        <v>4</v>
      </c>
      <c r="J240" s="105">
        <v>0.4</v>
      </c>
      <c r="K240" s="105">
        <v>4</v>
      </c>
      <c r="L240" s="106">
        <f>IF(I240&lt;&gt;0,((VLOOKUP(I240,'1. Standard_Cost'!$B$4:$D$11,2)+VLOOKUP(I240,'1. Standard_Cost'!$B$4:$D$11,3))*J240*K240),"0")</f>
        <v>129200</v>
      </c>
      <c r="M240" s="106">
        <f>L240*'1. Standard_Cost'!$F$4</f>
        <v>21576.400000000001</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v>5</v>
      </c>
      <c r="AB240" s="108">
        <f>+Z240*'1. Standard_Cost'!$B$23+AA240*'1. Standard_Cost'!$C$23</f>
        <v>95000</v>
      </c>
      <c r="AC240" s="109">
        <f>20*300</f>
        <v>6000</v>
      </c>
      <c r="AD240" s="110"/>
      <c r="AE240" s="108">
        <f>SUM(AD240,AC240,AB240,Y240,U240,T240,S240,R240)*'1. Standard_Cost'!$B$31</f>
        <v>20200</v>
      </c>
      <c r="AF240" s="108">
        <f t="shared" si="206"/>
        <v>121200</v>
      </c>
      <c r="AG240" s="107"/>
      <c r="AH240" s="107"/>
      <c r="AI240" s="107"/>
      <c r="AJ240" s="111"/>
      <c r="AK240" s="111"/>
      <c r="AL240" s="111"/>
      <c r="AM240" s="108">
        <f>AG240*'1. Standard_Cost'!$B$27+'Incremental_Cost Year 2'!AH240*'1. Standard_Cost'!$C$27+'Incremental_Cost Year 2'!AI240*'1. Standard_Cost'!$D$27+'Incremental_Cost Year 2'!AJ240+'Incremental_Cost Year 2'!AL240+AK240</f>
        <v>0</v>
      </c>
      <c r="AN240" s="108">
        <f>AM240*'1. Standard_Cost'!$C$31</f>
        <v>0</v>
      </c>
      <c r="AO240" s="125" t="s">
        <v>440</v>
      </c>
      <c r="AQ240" s="14">
        <f t="shared" si="207"/>
        <v>150776.4</v>
      </c>
      <c r="AR240" s="14">
        <f t="shared" si="208"/>
        <v>121200</v>
      </c>
      <c r="AS240" s="14">
        <f t="shared" si="209"/>
        <v>0</v>
      </c>
      <c r="AT240" s="14">
        <f t="shared" si="211"/>
        <v>271976.40000000002</v>
      </c>
      <c r="AU240" s="15">
        <f>AQ240</f>
        <v>150776.4</v>
      </c>
      <c r="AV240" s="15"/>
      <c r="AW240" s="15"/>
      <c r="AX240" s="15"/>
      <c r="AY240" s="15"/>
      <c r="AZ240" s="15"/>
      <c r="BA240" s="15"/>
      <c r="BB240" s="16">
        <f t="shared" si="210"/>
        <v>-121200.00000000003</v>
      </c>
      <c r="BF240" s="295"/>
    </row>
    <row r="241" spans="1:58" ht="140.4" outlineLevel="2">
      <c r="A241" s="98"/>
      <c r="B241" s="102"/>
      <c r="C241" s="23"/>
      <c r="D241" s="269"/>
      <c r="E241" s="269"/>
      <c r="F241" s="269"/>
      <c r="G241" s="269"/>
      <c r="H241" s="302" t="s">
        <v>557</v>
      </c>
      <c r="I241" s="104" t="s">
        <v>4</v>
      </c>
      <c r="J241" s="105">
        <v>0.2</v>
      </c>
      <c r="K241" s="105">
        <v>1</v>
      </c>
      <c r="L241" s="106">
        <f>IF(I241&lt;&gt;0,((VLOOKUP(I241,'1. Standard_Cost'!$B$4:$D$11,2)+VLOOKUP(I241,'1. Standard_Cost'!$B$4:$D$11,3))*J241*K241),"0")</f>
        <v>16150</v>
      </c>
      <c r="M241" s="106">
        <f>L241*'1. Standard_Cost'!$F$4</f>
        <v>2697.05</v>
      </c>
      <c r="N241" s="107">
        <v>2</v>
      </c>
      <c r="O241" s="107">
        <v>2</v>
      </c>
      <c r="P241" s="107">
        <v>25</v>
      </c>
      <c r="Q241" s="107"/>
      <c r="R241" s="108">
        <v>0</v>
      </c>
      <c r="S241" s="108">
        <v>0</v>
      </c>
      <c r="T241" s="108">
        <f>N241*P241*Q241*'1. Standard_Cost'!$D$15</f>
        <v>0</v>
      </c>
      <c r="U241" s="108">
        <v>0</v>
      </c>
      <c r="V241" s="107"/>
      <c r="W241" s="107"/>
      <c r="X241" s="107"/>
      <c r="Y241" s="108">
        <f>+V241*((X241*'1. Standard_Cost'!$B$19)+(W241*X241*'1. Standard_Cost'!$C$19))</f>
        <v>0</v>
      </c>
      <c r="Z241" s="107"/>
      <c r="AA241" s="107">
        <f>5+5</f>
        <v>10</v>
      </c>
      <c r="AB241" s="108">
        <f>+Z241*'1. Standard_Cost'!$B$23+AA241*'1. Standard_Cost'!$C$23</f>
        <v>190000</v>
      </c>
      <c r="AC241" s="109">
        <f>50*2*3500+50*2*400</f>
        <v>390000</v>
      </c>
      <c r="AD241" s="110"/>
      <c r="AE241" s="108">
        <f>SUM(AD241,AC241,AB241,Y241,U241,T241,S241,R241)*'1. Standard_Cost'!$B$31</f>
        <v>116000</v>
      </c>
      <c r="AF241" s="108">
        <f t="shared" si="206"/>
        <v>696000</v>
      </c>
      <c r="AG241" s="107"/>
      <c r="AH241" s="107"/>
      <c r="AI241" s="107"/>
      <c r="AJ241" s="111"/>
      <c r="AK241" s="111"/>
      <c r="AL241" s="111"/>
      <c r="AM241" s="108">
        <f>AG241*'1. Standard_Cost'!$B$27+'Incremental_Cost Year 2'!AH241*'1. Standard_Cost'!$C$27+'Incremental_Cost Year 2'!AI241*'1. Standard_Cost'!$D$27+'Incremental_Cost Year 2'!AJ241+'Incremental_Cost Year 2'!AL241+AK241</f>
        <v>0</v>
      </c>
      <c r="AN241" s="108">
        <f>AM241*'1. Standard_Cost'!$C$31</f>
        <v>0</v>
      </c>
      <c r="AO241" s="125" t="s">
        <v>441</v>
      </c>
      <c r="AQ241" s="14">
        <f t="shared" si="207"/>
        <v>18847.05</v>
      </c>
      <c r="AR241" s="14">
        <f t="shared" si="208"/>
        <v>696000</v>
      </c>
      <c r="AS241" s="14">
        <f t="shared" si="209"/>
        <v>0</v>
      </c>
      <c r="AT241" s="14">
        <f t="shared" si="211"/>
        <v>714847.05</v>
      </c>
      <c r="AU241" s="15">
        <f>AQ241</f>
        <v>18847.05</v>
      </c>
      <c r="AV241" s="15"/>
      <c r="AW241" s="15"/>
      <c r="AX241" s="15"/>
      <c r="AY241" s="15"/>
      <c r="AZ241" s="15"/>
      <c r="BA241" s="15"/>
      <c r="BB241" s="16">
        <f t="shared" si="210"/>
        <v>-696000</v>
      </c>
      <c r="BF241" s="295"/>
    </row>
    <row r="242" spans="1:58" ht="69" outlineLevel="1">
      <c r="A242" s="98"/>
      <c r="B242" s="102"/>
      <c r="C242" s="23"/>
      <c r="D242" s="56" t="s">
        <v>713</v>
      </c>
      <c r="E242" s="56" t="s">
        <v>265</v>
      </c>
      <c r="F242" s="253">
        <v>2021</v>
      </c>
      <c r="G242" s="254">
        <v>2026</v>
      </c>
      <c r="H242" s="277" t="s">
        <v>269</v>
      </c>
      <c r="I242" s="112"/>
      <c r="J242" s="112"/>
      <c r="K242" s="112"/>
      <c r="L242" s="113">
        <f>SUM(L237:L241)</f>
        <v>145350</v>
      </c>
      <c r="M242" s="113">
        <f>SUM(M237:M241)</f>
        <v>24273.45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285000</v>
      </c>
      <c r="AC242" s="113">
        <f>SUM(AC237:AC241)</f>
        <v>396000</v>
      </c>
      <c r="AD242" s="113">
        <f>SUM(AD237:AD241)</f>
        <v>0</v>
      </c>
      <c r="AE242" s="113">
        <f>SUM(AE237:AE241)</f>
        <v>136200</v>
      </c>
      <c r="AF242" s="113">
        <f>SUM(AF237:AF241)</f>
        <v>817200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12">SUM(AQ237:AQ241)</f>
        <v>169623.44999999998</v>
      </c>
      <c r="AR242" s="113">
        <f t="shared" si="212"/>
        <v>817200</v>
      </c>
      <c r="AS242" s="113">
        <f t="shared" si="212"/>
        <v>0</v>
      </c>
      <c r="AT242" s="113">
        <f t="shared" si="212"/>
        <v>986823.45000000007</v>
      </c>
      <c r="AU242" s="113">
        <f t="shared" si="212"/>
        <v>169623.44999999998</v>
      </c>
      <c r="AV242" s="113">
        <f t="shared" si="212"/>
        <v>0</v>
      </c>
      <c r="AW242" s="113">
        <f t="shared" si="212"/>
        <v>0</v>
      </c>
      <c r="AX242" s="113">
        <f t="shared" si="212"/>
        <v>0</v>
      </c>
      <c r="AY242" s="113">
        <f t="shared" si="212"/>
        <v>0</v>
      </c>
      <c r="AZ242" s="113">
        <f t="shared" si="212"/>
        <v>0</v>
      </c>
      <c r="BA242" s="113">
        <f t="shared" si="212"/>
        <v>0</v>
      </c>
      <c r="BB242" s="113">
        <f t="shared" si="212"/>
        <v>-817200</v>
      </c>
      <c r="BF242" s="295"/>
    </row>
  </sheetData>
  <mergeCells count="17">
    <mergeCell ref="B223:E223"/>
    <mergeCell ref="C224:E224"/>
    <mergeCell ref="AQ2:BB2"/>
    <mergeCell ref="B3:E3"/>
    <mergeCell ref="B5:E5"/>
    <mergeCell ref="C6:E6"/>
    <mergeCell ref="B92:E92"/>
    <mergeCell ref="C93:E93"/>
    <mergeCell ref="C143:E143"/>
    <mergeCell ref="C80:E80"/>
    <mergeCell ref="C179:E179"/>
    <mergeCell ref="C202:E202"/>
    <mergeCell ref="B1:L1"/>
    <mergeCell ref="B2:E2"/>
    <mergeCell ref="B31:E31"/>
    <mergeCell ref="C32:E32"/>
    <mergeCell ref="C40:E40"/>
  </mergeCells>
  <conditionalFormatting sqref="BB243:BB286 BB288:BB291 BB293:BB302 BB305:BB308 BB94:BB100 BB26:BB29 BA17:BA18 BB60:BB78 BB311:BB314 BB316:BB330 BB332:BB335 BB337:BB351 BB353:BB356 BB358:BB367 BB370:BB373 BB375:BB379 BB381:BB384 BB386:BB410 BB412:BB415 BB418:BB421 BB423:BB437 BB439:BB442 BB444:BB458 BB460:BB463 BB465:BB479 BB481:BB484 BB486:BB495 BB33:BB38 BB16:BB24 BB41:BB58 BB81:BB90 BB102:BB112 BB114:BB135 BB137:BB138 BB140:BB141 BB169:BB177 BB180:BB200 BB203:BB221 BB225:BB231 BB233:BB235 BB237:BB241 BB7:BB14 BB144:BB167">
    <cfRule type="cellIs" dxfId="1407" priority="173" operator="lessThan">
      <formula>0</formula>
    </cfRule>
    <cfRule type="cellIs" dxfId="1406" priority="174"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legacyDrawing r:id="rId2"/>
  <extLst xmlns:x14="http://schemas.microsoft.com/office/spreadsheetml/2009/9/main">
    <ext uri="{CCE6A557-97BC-4b89-ADB6-D9C93CAAB3DF}">
      <x14:dataValidations xmlns:xm="http://schemas.microsoft.com/office/excel/2006/main" count="3">
        <x14:dataValidation type="list" allowBlank="1" showInputMessage="1" showErrorMessage="1">
          <x14:formula1>
            <xm:f>'1. Standard_Cost'!$B$4:$B$10</xm:f>
          </x14:formula1>
          <xm:sqref>I26:I29 I17</xm:sqref>
        </x14:dataValidation>
        <x14:dataValidation type="list" allowBlank="1" showInputMessage="1" showErrorMessage="1">
          <x14:formula1>
            <xm:f>'[2]1. Standard_Cost'!#REF!</xm:f>
          </x14:formula1>
          <xm:sqref>I33:I34 I36</xm:sqref>
        </x14:dataValidation>
        <x14:dataValidation type="list" allowBlank="1" showInputMessage="1" showErrorMessage="1">
          <x14:formula1>
            <xm:f>'[3]1. Standard_Cost'!#REF!</xm:f>
          </x14:formula1>
          <xm:sqref>I7:I12 I14 I16 I24 I18:I22</xm:sqref>
        </x14:dataValidation>
      </x14:dataValidations>
    </ext>
  </extLst>
</worksheet>
</file>

<file path=xl/worksheets/sheet4.xml><?xml version="1.0" encoding="utf-8"?>
<worksheet xmlns="http://schemas.openxmlformats.org/spreadsheetml/2006/main" xmlns:r="http://schemas.openxmlformats.org/officeDocument/2006/relationships">
  <dimension ref="A1:BE242"/>
  <sheetViews>
    <sheetView showWhiteSpace="0" topLeftCell="A172" zoomScale="60" zoomScaleNormal="60" zoomScalePageLayoutView="90" workbookViewId="0">
      <selection activeCell="AO172" sqref="AO1:AO1048576"/>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9" style="5" customWidth="1" outlineLevel="2"/>
    <col min="37" max="37" width="9" style="5" bestFit="1" customWidth="1" outlineLevel="2"/>
    <col min="38" max="38" width="8.109375" style="5" bestFit="1"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6" width="14.88671875" style="5" customWidth="1"/>
    <col min="47" max="53" width="15" style="4" customWidth="1"/>
    <col min="54" max="54" width="20.88671875" style="4" customWidth="1"/>
    <col min="55" max="55" width="8.88671875" style="5"/>
    <col min="56" max="56" width="14.5546875" style="5" customWidth="1"/>
    <col min="57" max="57" width="12.77734375" style="5" bestFit="1" customWidth="1"/>
    <col min="58"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137</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241"/>
      <c r="G5" s="241"/>
      <c r="H5" s="241" t="s">
        <v>61</v>
      </c>
      <c r="I5" s="40"/>
      <c r="J5" s="40"/>
      <c r="K5" s="40"/>
      <c r="L5" s="41">
        <f>SUM(L6)</f>
        <v>3579050</v>
      </c>
      <c r="M5" s="41">
        <f>SUM(M6)</f>
        <v>597701.35000000009</v>
      </c>
      <c r="N5" s="40"/>
      <c r="O5" s="40"/>
      <c r="P5" s="40"/>
      <c r="Q5" s="40"/>
      <c r="R5" s="41">
        <f t="shared" ref="R5:U5" si="0">SUM(R6)</f>
        <v>242000</v>
      </c>
      <c r="S5" s="41">
        <f t="shared" si="0"/>
        <v>490500</v>
      </c>
      <c r="T5" s="41">
        <f t="shared" si="0"/>
        <v>0</v>
      </c>
      <c r="U5" s="41">
        <f t="shared" si="0"/>
        <v>360000</v>
      </c>
      <c r="V5" s="40"/>
      <c r="W5" s="40"/>
      <c r="X5" s="40"/>
      <c r="Y5" s="41">
        <f t="shared" ref="Y5:AF5" si="1">SUM(Y6)</f>
        <v>0</v>
      </c>
      <c r="Z5" s="41">
        <f t="shared" si="1"/>
        <v>0</v>
      </c>
      <c r="AA5" s="41">
        <f t="shared" si="1"/>
        <v>0</v>
      </c>
      <c r="AB5" s="41">
        <f t="shared" si="1"/>
        <v>1159000</v>
      </c>
      <c r="AC5" s="41">
        <f t="shared" si="1"/>
        <v>3320197.6639999999</v>
      </c>
      <c r="AD5" s="41">
        <f t="shared" si="1"/>
        <v>0</v>
      </c>
      <c r="AE5" s="41">
        <f t="shared" si="1"/>
        <v>1114339.5328000002</v>
      </c>
      <c r="AF5" s="41">
        <f t="shared" si="1"/>
        <v>6686037.1968</v>
      </c>
      <c r="AG5" s="40"/>
      <c r="AH5" s="40"/>
      <c r="AI5" s="40"/>
      <c r="AJ5" s="41">
        <f t="shared" ref="AJ5:AN5" si="2">SUM(AJ6)</f>
        <v>0</v>
      </c>
      <c r="AK5" s="41">
        <f t="shared" si="2"/>
        <v>1800000</v>
      </c>
      <c r="AL5" s="41">
        <f t="shared" si="2"/>
        <v>0</v>
      </c>
      <c r="AM5" s="41">
        <f t="shared" si="2"/>
        <v>1800000</v>
      </c>
      <c r="AN5" s="41">
        <f t="shared" si="2"/>
        <v>270000</v>
      </c>
      <c r="AO5" s="129"/>
      <c r="AQ5" s="41">
        <f t="shared" ref="AQ5:BB5" si="3">SUM(AQ6)</f>
        <v>4176751.35</v>
      </c>
      <c r="AR5" s="41">
        <f t="shared" si="3"/>
        <v>6686037.1968</v>
      </c>
      <c r="AS5" s="41">
        <f t="shared" si="3"/>
        <v>2070000</v>
      </c>
      <c r="AT5" s="41">
        <f t="shared" si="3"/>
        <v>12932788.546800002</v>
      </c>
      <c r="AU5" s="41">
        <f t="shared" si="3"/>
        <v>3801919</v>
      </c>
      <c r="AV5" s="41">
        <f t="shared" si="3"/>
        <v>0</v>
      </c>
      <c r="AW5" s="41">
        <f t="shared" si="3"/>
        <v>0</v>
      </c>
      <c r="AX5" s="41">
        <f t="shared" si="3"/>
        <v>0</v>
      </c>
      <c r="AY5" s="41">
        <f t="shared" si="3"/>
        <v>0</v>
      </c>
      <c r="AZ5" s="41">
        <f t="shared" si="3"/>
        <v>360000</v>
      </c>
      <c r="BA5" s="41">
        <f t="shared" si="3"/>
        <v>2036971</v>
      </c>
      <c r="BB5" s="41">
        <f t="shared" si="3"/>
        <v>-6733898.5468000006</v>
      </c>
    </row>
    <row r="6" spans="1:54" s="13" customFormat="1" ht="13.8" customHeight="1">
      <c r="A6" s="101"/>
      <c r="B6" s="27"/>
      <c r="C6" s="324" t="s">
        <v>204</v>
      </c>
      <c r="D6" s="324"/>
      <c r="E6" s="325"/>
      <c r="F6" s="248"/>
      <c r="G6" s="298"/>
      <c r="H6" s="239" t="s">
        <v>62</v>
      </c>
      <c r="I6" s="37"/>
      <c r="J6" s="37"/>
      <c r="K6" s="37"/>
      <c r="L6" s="42">
        <f>SUM(L15+L17+L25+L30)</f>
        <v>3579050</v>
      </c>
      <c r="M6" s="42">
        <f>SUM(M15+M17+M25+M30)</f>
        <v>597701.35000000009</v>
      </c>
      <c r="N6" s="42"/>
      <c r="O6" s="43"/>
      <c r="P6" s="43"/>
      <c r="Q6" s="43"/>
      <c r="R6" s="42">
        <f t="shared" ref="R6:U6" si="4">SUM(R15+R17+R25+R30)</f>
        <v>242000</v>
      </c>
      <c r="S6" s="42">
        <f t="shared" si="4"/>
        <v>490500</v>
      </c>
      <c r="T6" s="42">
        <f t="shared" si="4"/>
        <v>0</v>
      </c>
      <c r="U6" s="42">
        <f t="shared" si="4"/>
        <v>360000</v>
      </c>
      <c r="V6" s="42"/>
      <c r="W6" s="43"/>
      <c r="X6" s="43"/>
      <c r="Y6" s="42">
        <f t="shared" ref="Y6:AF6" si="5">SUM(Y15+Y17+Y25+Y30)</f>
        <v>0</v>
      </c>
      <c r="Z6" s="42">
        <f t="shared" si="5"/>
        <v>0</v>
      </c>
      <c r="AA6" s="42">
        <f t="shared" si="5"/>
        <v>0</v>
      </c>
      <c r="AB6" s="42">
        <f t="shared" si="5"/>
        <v>1159000</v>
      </c>
      <c r="AC6" s="42">
        <f t="shared" si="5"/>
        <v>3320197.6639999999</v>
      </c>
      <c r="AD6" s="42">
        <f t="shared" si="5"/>
        <v>0</v>
      </c>
      <c r="AE6" s="42">
        <f t="shared" si="5"/>
        <v>1114339.5328000002</v>
      </c>
      <c r="AF6" s="42">
        <f t="shared" si="5"/>
        <v>6686037.1968</v>
      </c>
      <c r="AG6" s="43"/>
      <c r="AH6" s="43"/>
      <c r="AI6" s="43"/>
      <c r="AJ6" s="42">
        <f t="shared" ref="AJ6:AN6" si="6">SUM(AJ15+AJ17+AJ25+AJ30)</f>
        <v>0</v>
      </c>
      <c r="AK6" s="42">
        <f t="shared" si="6"/>
        <v>1800000</v>
      </c>
      <c r="AL6" s="42">
        <f t="shared" si="6"/>
        <v>0</v>
      </c>
      <c r="AM6" s="42">
        <f t="shared" si="6"/>
        <v>1800000</v>
      </c>
      <c r="AN6" s="42">
        <f t="shared" si="6"/>
        <v>270000</v>
      </c>
      <c r="AO6" s="130"/>
      <c r="AQ6" s="42">
        <f t="shared" ref="AQ6:BB6" si="7">SUM(AQ15+AQ17+AQ25+AQ30)</f>
        <v>4176751.35</v>
      </c>
      <c r="AR6" s="42">
        <f t="shared" si="7"/>
        <v>6686037.1968</v>
      </c>
      <c r="AS6" s="42">
        <f t="shared" si="7"/>
        <v>2070000</v>
      </c>
      <c r="AT6" s="42">
        <f t="shared" si="7"/>
        <v>12932788.546800002</v>
      </c>
      <c r="AU6" s="42">
        <f t="shared" si="7"/>
        <v>3801919</v>
      </c>
      <c r="AV6" s="42">
        <f t="shared" si="7"/>
        <v>0</v>
      </c>
      <c r="AW6" s="42">
        <f t="shared" si="7"/>
        <v>0</v>
      </c>
      <c r="AX6" s="42">
        <f t="shared" si="7"/>
        <v>0</v>
      </c>
      <c r="AY6" s="42">
        <f t="shared" si="7"/>
        <v>0</v>
      </c>
      <c r="AZ6" s="42">
        <f t="shared" si="7"/>
        <v>360000</v>
      </c>
      <c r="BA6" s="42">
        <f t="shared" si="7"/>
        <v>2036971</v>
      </c>
      <c r="BB6" s="42">
        <f t="shared" si="7"/>
        <v>-6733898.5468000006</v>
      </c>
    </row>
    <row r="7" spans="1:54" ht="93.6" outlineLevel="2">
      <c r="A7" s="98"/>
      <c r="B7" s="102"/>
      <c r="C7" s="23"/>
      <c r="D7" s="257"/>
      <c r="E7" s="123"/>
      <c r="F7" s="270"/>
      <c r="G7" s="250"/>
      <c r="H7" s="302" t="s">
        <v>659</v>
      </c>
      <c r="I7" s="258" t="s">
        <v>2</v>
      </c>
      <c r="J7" s="259">
        <v>1</v>
      </c>
      <c r="K7" s="259">
        <v>4</v>
      </c>
      <c r="L7" s="106">
        <f>IF(I7&lt;&gt;0,((VLOOKUP(I7,'1. Standard_Cost'!$B$4:$D$11,2)+VLOOKUP(I7,'1. Standard_Cost'!$B$4:$D$11,3))*J7*K7),"0")</f>
        <v>484000</v>
      </c>
      <c r="M7" s="106">
        <f>L7*'1. Standard_Cost'!$F$4</f>
        <v>80828</v>
      </c>
      <c r="N7" s="260"/>
      <c r="O7" s="260"/>
      <c r="P7" s="260"/>
      <c r="Q7" s="260"/>
      <c r="R7" s="108">
        <f>'1. Standard_Cost'!$B$15*N7*P7</f>
        <v>0</v>
      </c>
      <c r="S7" s="108">
        <f>N7*O7*P7*'1. Standard_Cost'!$C$15</f>
        <v>0</v>
      </c>
      <c r="T7" s="108">
        <f>N7*P7*Q7*'1. Standard_Cost'!$D$15</f>
        <v>0</v>
      </c>
      <c r="U7" s="108">
        <f>N7*O7*'1. Standard_Cost'!$E$15</f>
        <v>0</v>
      </c>
      <c r="V7" s="107"/>
      <c r="W7" s="107"/>
      <c r="X7" s="107"/>
      <c r="Y7" s="108">
        <f>+V7*((X7*'1. Standard_Cost'!$B$19)+(W7*X7*'1. Standard_Cost'!$C$19))</f>
        <v>0</v>
      </c>
      <c r="Z7" s="260"/>
      <c r="AA7" s="260"/>
      <c r="AB7" s="108">
        <f>+Z7*'1. Standard_Cost'!$B$23+AA7*'1. Standard_Cost'!$C$23</f>
        <v>0</v>
      </c>
      <c r="AC7" s="261">
        <f>SUM(L7+M7)*0.2</f>
        <v>112965.6</v>
      </c>
      <c r="AD7" s="262"/>
      <c r="AE7" s="108">
        <f>SUM(AD7,AC7,AB7,Y7,U7,T7,S7,R7)*'1. Standard_Cost'!$B$31</f>
        <v>22593.120000000003</v>
      </c>
      <c r="AF7" s="108">
        <f>SUM(AE7,AD7,AC7,AB7,Y7,U7,T7,S7,R7)</f>
        <v>135558.72</v>
      </c>
      <c r="AG7" s="107"/>
      <c r="AH7" s="107"/>
      <c r="AI7" s="107"/>
      <c r="AJ7" s="111"/>
      <c r="AK7" s="111"/>
      <c r="AL7" s="111"/>
      <c r="AM7" s="108">
        <f>AG7*'1. Standard_Cost'!$B$27+'Incremental_Cost Year 3'!AH7*'1. Standard_Cost'!$C$27+'Incremental_Cost Year 3'!AI7*'1. Standard_Cost'!$D$27+'Incremental_Cost Year 3'!AJ7+'Incremental_Cost Year 3'!AL7+AK7</f>
        <v>0</v>
      </c>
      <c r="AN7" s="108">
        <f>AM7*'1. Standard_Cost'!$C$31</f>
        <v>0</v>
      </c>
      <c r="AO7" s="134" t="s">
        <v>270</v>
      </c>
      <c r="AQ7" s="14">
        <f>L7+M7</f>
        <v>564828</v>
      </c>
      <c r="AR7" s="14">
        <f>AF7</f>
        <v>135558.72</v>
      </c>
      <c r="AS7" s="14">
        <f>AM7+AN7</f>
        <v>0</v>
      </c>
      <c r="AT7" s="14">
        <f>SUM(AQ7,AR7,AS7)</f>
        <v>700386.72</v>
      </c>
      <c r="AU7" s="234">
        <v>700387</v>
      </c>
      <c r="AV7" s="234"/>
      <c r="AW7" s="234"/>
      <c r="AX7" s="234"/>
      <c r="AY7" s="234"/>
      <c r="AZ7" s="234"/>
      <c r="BA7" s="234"/>
      <c r="BB7" s="16">
        <f>SUM(AU7:BA7)-AT7</f>
        <v>0.28000000002793968</v>
      </c>
    </row>
    <row r="8" spans="1:54" ht="13.5" customHeight="1" outlineLevel="2">
      <c r="A8" s="98"/>
      <c r="B8" s="102"/>
      <c r="C8" s="23"/>
      <c r="D8" s="269"/>
      <c r="E8" s="271"/>
      <c r="F8" s="270"/>
      <c r="G8" s="250"/>
      <c r="H8" s="302" t="s">
        <v>580</v>
      </c>
      <c r="I8" s="258" t="s">
        <v>3</v>
      </c>
      <c r="J8" s="259">
        <v>0.5</v>
      </c>
      <c r="K8" s="259">
        <v>4</v>
      </c>
      <c r="L8" s="106">
        <f>IF(I8&lt;&gt;0,((VLOOKUP(I8,'1. Standard_Cost'!$B$4:$D$11,2)+VLOOKUP(I8,'1. Standard_Cost'!$B$4:$D$11,3))*J8*K8),"0")</f>
        <v>201600</v>
      </c>
      <c r="M8" s="106">
        <f>L8*'1. Standard_Cost'!$F$4</f>
        <v>33667.200000000004</v>
      </c>
      <c r="N8" s="260"/>
      <c r="O8" s="260"/>
      <c r="P8" s="260"/>
      <c r="Q8" s="260"/>
      <c r="R8" s="108">
        <f>'1. Standard_Cost'!$B$15*N8*P8</f>
        <v>0</v>
      </c>
      <c r="S8" s="108">
        <f>N8*O8*P8*'1. Standard_Cost'!$C$15</f>
        <v>0</v>
      </c>
      <c r="T8" s="108">
        <f>N8*P8*Q8*'1. Standard_Cost'!$D$15</f>
        <v>0</v>
      </c>
      <c r="U8" s="108">
        <f>N8*O8*'1. Standard_Cost'!$E$15</f>
        <v>0</v>
      </c>
      <c r="V8" s="107"/>
      <c r="W8" s="107"/>
      <c r="X8" s="107"/>
      <c r="Y8" s="108">
        <f>+V8*((X8*'1. Standard_Cost'!$B$19)+(W8*X8*'1. Standard_Cost'!$C$19))</f>
        <v>0</v>
      </c>
      <c r="Z8" s="260"/>
      <c r="AA8" s="260"/>
      <c r="AB8" s="108">
        <f>+Z8*'1. Standard_Cost'!$B$23+AA8*'1. Standard_Cost'!$C$23</f>
        <v>0</v>
      </c>
      <c r="AC8" s="261">
        <f>SUM(L8+M8)*0.12</f>
        <v>28232.064000000002</v>
      </c>
      <c r="AD8" s="262"/>
      <c r="AE8" s="108">
        <f>SUM(AD8,AC8,AB8,Y8,U8,T8,S8,R8)*'1. Standard_Cost'!$B$31</f>
        <v>5646.412800000001</v>
      </c>
      <c r="AF8" s="108">
        <f t="shared" ref="AF8:AF14" si="8">SUM(AE8,AD8,AC8,AB8,Y8,U8,T8,S8,R8)</f>
        <v>33878.476800000004</v>
      </c>
      <c r="AG8" s="107"/>
      <c r="AH8" s="107"/>
      <c r="AI8" s="107"/>
      <c r="AJ8" s="111"/>
      <c r="AK8" s="111"/>
      <c r="AL8" s="111"/>
      <c r="AM8" s="108">
        <f>AG8*'1. Standard_Cost'!$B$27+'Incremental_Cost Year 3'!AH8*'1. Standard_Cost'!$C$27+'Incremental_Cost Year 3'!AI8*'1. Standard_Cost'!$D$27+'Incremental_Cost Year 3'!AJ8+'Incremental_Cost Year 3'!AL8+AK8</f>
        <v>0</v>
      </c>
      <c r="AN8" s="108">
        <f>AM8*'1. Standard_Cost'!$C$31</f>
        <v>0</v>
      </c>
      <c r="AO8" s="125" t="s">
        <v>271</v>
      </c>
      <c r="AQ8" s="14">
        <f t="shared" ref="AQ8:AQ14" si="9">L8+M8</f>
        <v>235267.20000000001</v>
      </c>
      <c r="AR8" s="14">
        <f t="shared" ref="AR8:AR14" si="10">AF8</f>
        <v>33878.476800000004</v>
      </c>
      <c r="AS8" s="14">
        <f t="shared" ref="AS8:AS14" si="11">AM8+AN8</f>
        <v>0</v>
      </c>
      <c r="AT8" s="14">
        <f t="shared" ref="AT8:AT14" si="12">SUM(AQ8,AR8,AS8)</f>
        <v>269145.67680000002</v>
      </c>
      <c r="AU8" s="234">
        <v>269146</v>
      </c>
      <c r="AV8" s="234"/>
      <c r="AW8" s="234"/>
      <c r="AX8" s="234"/>
      <c r="AY8" s="234"/>
      <c r="AZ8" s="234"/>
      <c r="BA8" s="234"/>
      <c r="BB8" s="16">
        <f t="shared" ref="BB8:BB14" si="13">SUM(AU8:BA8)-AT8</f>
        <v>0.32319999998435378</v>
      </c>
    </row>
    <row r="9" spans="1:54" ht="93.6" customHeight="1" outlineLevel="2">
      <c r="A9" s="98"/>
      <c r="B9" s="102"/>
      <c r="C9" s="23"/>
      <c r="D9" s="251"/>
      <c r="E9" s="250"/>
      <c r="F9" s="270"/>
      <c r="G9" s="250"/>
      <c r="H9" s="302" t="s">
        <v>660</v>
      </c>
      <c r="I9" s="258" t="s">
        <v>3</v>
      </c>
      <c r="J9" s="259">
        <v>1</v>
      </c>
      <c r="K9" s="259">
        <v>2</v>
      </c>
      <c r="L9" s="106">
        <f>IF(I9&lt;&gt;0,((VLOOKUP(I9,'1. Standard_Cost'!$B$4:$D$11,2)+VLOOKUP(I9,'1. Standard_Cost'!$B$4:$D$11,3))*J9*K9),"0")</f>
        <v>201600</v>
      </c>
      <c r="M9" s="106">
        <f>L9*'1. Standard_Cost'!$F$4</f>
        <v>33667.200000000004</v>
      </c>
      <c r="N9" s="260">
        <v>1</v>
      </c>
      <c r="O9" s="260">
        <v>2</v>
      </c>
      <c r="P9" s="260">
        <v>10</v>
      </c>
      <c r="Q9" s="260"/>
      <c r="R9" s="108">
        <f>'1. Standard_Cost'!$B$15*N9*P9</f>
        <v>20000</v>
      </c>
      <c r="S9" s="108">
        <f>N9*O9*P9*'1. Standard_Cost'!$C$15</f>
        <v>30000</v>
      </c>
      <c r="T9" s="108">
        <f>N9*P9*Q9*'1. Standard_Cost'!$D$15</f>
        <v>0</v>
      </c>
      <c r="U9" s="108">
        <f>N9*O9*'1. Standard_Cost'!$E$15</f>
        <v>80000</v>
      </c>
      <c r="V9" s="107"/>
      <c r="W9" s="107"/>
      <c r="X9" s="107"/>
      <c r="Y9" s="108">
        <f>+V9*((X9*'1. Standard_Cost'!$B$19)+(W9*X9*'1. Standard_Cost'!$C$19))</f>
        <v>0</v>
      </c>
      <c r="Z9" s="260"/>
      <c r="AA9" s="260">
        <v>20</v>
      </c>
      <c r="AB9" s="108">
        <f>+Z9*'1. Standard_Cost'!$B$23+AA9*'1. Standard_Cost'!$C$23</f>
        <v>380000</v>
      </c>
      <c r="AC9" s="261">
        <f>10*500</f>
        <v>5000</v>
      </c>
      <c r="AD9" s="262"/>
      <c r="AE9" s="108">
        <f>SUM(AD9,AC9,AB9,Y9,U9,T9,S9,R9)*'1. Standard_Cost'!$B$31</f>
        <v>103000</v>
      </c>
      <c r="AF9" s="108">
        <f t="shared" si="8"/>
        <v>618000</v>
      </c>
      <c r="AG9" s="107"/>
      <c r="AH9" s="107"/>
      <c r="AI9" s="107"/>
      <c r="AJ9" s="111"/>
      <c r="AK9" s="111"/>
      <c r="AL9" s="111"/>
      <c r="AM9" s="108">
        <f>AG9*'1. Standard_Cost'!$B$27+'Incremental_Cost Year 3'!AH9*'1. Standard_Cost'!$C$27+'Incremental_Cost Year 3'!AI9*'1. Standard_Cost'!$D$27+'Incremental_Cost Year 3'!AJ9+'Incremental_Cost Year 3'!AL9+AK9</f>
        <v>0</v>
      </c>
      <c r="AN9" s="108">
        <f>AM9*'1. Standard_Cost'!$C$31</f>
        <v>0</v>
      </c>
      <c r="AO9" s="125" t="s">
        <v>272</v>
      </c>
      <c r="AQ9" s="14">
        <f t="shared" si="9"/>
        <v>235267.20000000001</v>
      </c>
      <c r="AR9" s="14">
        <f t="shared" si="10"/>
        <v>618000</v>
      </c>
      <c r="AS9" s="14">
        <f t="shared" si="11"/>
        <v>0</v>
      </c>
      <c r="AT9" s="14">
        <f t="shared" si="12"/>
        <v>853267.2</v>
      </c>
      <c r="AU9" s="234">
        <v>235267</v>
      </c>
      <c r="AV9" s="234"/>
      <c r="AW9" s="234"/>
      <c r="AX9" s="234"/>
      <c r="AY9" s="234"/>
      <c r="AZ9" s="234"/>
      <c r="BA9" s="234"/>
      <c r="BB9" s="16">
        <f t="shared" si="13"/>
        <v>-618000.19999999995</v>
      </c>
    </row>
    <row r="10" spans="1:54" ht="78" outlineLevel="2">
      <c r="A10" s="98"/>
      <c r="B10" s="102"/>
      <c r="C10" s="23"/>
      <c r="D10" s="251"/>
      <c r="E10" s="250"/>
      <c r="F10" s="270"/>
      <c r="G10" s="250"/>
      <c r="H10" s="302" t="s">
        <v>581</v>
      </c>
      <c r="I10" s="258"/>
      <c r="J10" s="259"/>
      <c r="K10" s="259"/>
      <c r="L10" s="106" t="str">
        <f>IF(I10&lt;&gt;0,((VLOOKUP(I10,'1. Standard_Cost'!$B$4:$D$11,2)+VLOOKUP(I10,'1. Standard_Cost'!$B$4:$D$11,3))*J10*K10),"0")</f>
        <v>0</v>
      </c>
      <c r="M10" s="106">
        <f>L10*'1. Standard_Cost'!$F$4</f>
        <v>0</v>
      </c>
      <c r="N10" s="260">
        <v>1</v>
      </c>
      <c r="O10" s="260">
        <v>2</v>
      </c>
      <c r="P10" s="260">
        <v>10</v>
      </c>
      <c r="Q10" s="260"/>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260"/>
      <c r="AA10" s="260">
        <v>10</v>
      </c>
      <c r="AB10" s="108">
        <f>+Z10*'1. Standard_Cost'!$B$23+AA10*'1. Standard_Cost'!$C$23</f>
        <v>190000</v>
      </c>
      <c r="AC10" s="261">
        <f>10*500</f>
        <v>5000</v>
      </c>
      <c r="AD10" s="262"/>
      <c r="AE10" s="108">
        <f>SUM(AD10,AC10,AB10,Y10,U10,T10,S10,R10)*'1. Standard_Cost'!$B$31</f>
        <v>65000</v>
      </c>
      <c r="AF10" s="108">
        <f t="shared" si="8"/>
        <v>390000</v>
      </c>
      <c r="AG10" s="107"/>
      <c r="AH10" s="107"/>
      <c r="AI10" s="107"/>
      <c r="AJ10" s="111"/>
      <c r="AK10" s="111"/>
      <c r="AL10" s="111"/>
      <c r="AM10" s="108">
        <f>AG10*'1. Standard_Cost'!$B$27+'Incremental_Cost Year 3'!AH10*'1. Standard_Cost'!$C$27+'Incremental_Cost Year 3'!AI10*'1. Standard_Cost'!$D$27+'Incremental_Cost Year 3'!AJ10+'Incremental_Cost Year 3'!AL10+AK10</f>
        <v>0</v>
      </c>
      <c r="AN10" s="108">
        <f>AM10*'1. Standard_Cost'!$C$31</f>
        <v>0</v>
      </c>
      <c r="AO10" s="134" t="s">
        <v>273</v>
      </c>
      <c r="AQ10" s="14">
        <f t="shared" si="9"/>
        <v>0</v>
      </c>
      <c r="AR10" s="14">
        <f t="shared" si="10"/>
        <v>390000</v>
      </c>
      <c r="AS10" s="14">
        <f t="shared" si="11"/>
        <v>0</v>
      </c>
      <c r="AT10" s="14">
        <f t="shared" si="12"/>
        <v>390000</v>
      </c>
      <c r="AU10" s="234"/>
      <c r="AV10" s="234"/>
      <c r="AW10" s="234"/>
      <c r="AX10" s="234"/>
      <c r="AY10" s="234"/>
      <c r="AZ10" s="234"/>
      <c r="BA10" s="234"/>
      <c r="BB10" s="16">
        <f t="shared" si="13"/>
        <v>-390000</v>
      </c>
    </row>
    <row r="11" spans="1:54" ht="124.8" customHeight="1" outlineLevel="2">
      <c r="A11" s="98"/>
      <c r="B11" s="102"/>
      <c r="C11" s="23"/>
      <c r="D11" s="251"/>
      <c r="E11" s="250"/>
      <c r="F11" s="270"/>
      <c r="G11" s="250"/>
      <c r="H11" s="302" t="s">
        <v>661</v>
      </c>
      <c r="I11" s="258" t="s">
        <v>4</v>
      </c>
      <c r="J11" s="259">
        <v>0.5</v>
      </c>
      <c r="K11" s="259">
        <v>35</v>
      </c>
      <c r="L11" s="106">
        <f>IF(I11&lt;&gt;0,((VLOOKUP(I11,'1. Standard_Cost'!$B$4:$D$11,2)+VLOOKUP(I11,'1. Standard_Cost'!$B$4:$D$11,3))*J11*K11),"0")</f>
        <v>1413125</v>
      </c>
      <c r="M11" s="106">
        <f>L11*'1. Standard_Cost'!$F$4</f>
        <v>235991.875</v>
      </c>
      <c r="N11" s="260"/>
      <c r="O11" s="260"/>
      <c r="P11" s="260"/>
      <c r="Q11" s="260"/>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260"/>
      <c r="AA11" s="260"/>
      <c r="AB11" s="108">
        <f>+Z11*'1. Standard_Cost'!$B$23+AA11*'1. Standard_Cost'!$C$23</f>
        <v>0</v>
      </c>
      <c r="AC11" s="261"/>
      <c r="AD11" s="262"/>
      <c r="AE11" s="108">
        <f>SUM(AD11,AC11,AB11,Y11,U11,T11,S11,R11)*'1. Standard_Cost'!$B$31</f>
        <v>0</v>
      </c>
      <c r="AF11" s="108">
        <f t="shared" si="8"/>
        <v>0</v>
      </c>
      <c r="AG11" s="107"/>
      <c r="AH11" s="107"/>
      <c r="AI11" s="107"/>
      <c r="AJ11" s="111"/>
      <c r="AK11" s="111"/>
      <c r="AL11" s="111"/>
      <c r="AM11" s="108">
        <f>AG11*'1. Standard_Cost'!$B$27+'Incremental_Cost Year 3'!AH11*'1. Standard_Cost'!$C$27+'Incremental_Cost Year 3'!AI11*'1. Standard_Cost'!$D$27+'Incremental_Cost Year 3'!AJ11+'Incremental_Cost Year 3'!AL11+AK11</f>
        <v>0</v>
      </c>
      <c r="AN11" s="108">
        <f>AM11*'1. Standard_Cost'!$C$31</f>
        <v>0</v>
      </c>
      <c r="AO11" s="134" t="s">
        <v>275</v>
      </c>
      <c r="AQ11" s="14">
        <f t="shared" si="9"/>
        <v>1649116.875</v>
      </c>
      <c r="AR11" s="14">
        <f t="shared" si="10"/>
        <v>0</v>
      </c>
      <c r="AS11" s="14">
        <f t="shared" si="11"/>
        <v>0</v>
      </c>
      <c r="AT11" s="14">
        <f t="shared" si="12"/>
        <v>1649116.875</v>
      </c>
      <c r="AU11" s="234"/>
      <c r="AV11" s="234"/>
      <c r="AW11" s="234"/>
      <c r="AX11" s="234"/>
      <c r="AY11" s="234"/>
      <c r="AZ11" s="234"/>
      <c r="BA11" s="234">
        <v>1649117</v>
      </c>
      <c r="BB11" s="16">
        <f t="shared" si="13"/>
        <v>0.125</v>
      </c>
    </row>
    <row r="12" spans="1:54" ht="55.2" customHeight="1" outlineLevel="2">
      <c r="A12" s="98"/>
      <c r="B12" s="102"/>
      <c r="C12" s="23"/>
      <c r="D12" s="251"/>
      <c r="E12" s="250"/>
      <c r="F12" s="270"/>
      <c r="G12" s="250"/>
      <c r="H12" s="302" t="s">
        <v>662</v>
      </c>
      <c r="I12" s="258" t="s">
        <v>3</v>
      </c>
      <c r="J12" s="259">
        <v>1</v>
      </c>
      <c r="K12" s="259">
        <v>2</v>
      </c>
      <c r="L12" s="106">
        <f>IF(I12&lt;&gt;0,((VLOOKUP(I12,'1. Standard_Cost'!$B$4:$D$11,2)+VLOOKUP(I12,'1. Standard_Cost'!$B$4:$D$11,3))*J12*K12),"0")</f>
        <v>201600</v>
      </c>
      <c r="M12" s="106">
        <f>L12*'1. Standard_Cost'!$F$4</f>
        <v>33667.200000000004</v>
      </c>
      <c r="N12" s="260"/>
      <c r="O12" s="260"/>
      <c r="P12" s="260"/>
      <c r="Q12" s="260"/>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8"/>
        <v>0</v>
      </c>
      <c r="AG12" s="107"/>
      <c r="AH12" s="107"/>
      <c r="AI12" s="107"/>
      <c r="AJ12" s="111"/>
      <c r="AK12" s="111"/>
      <c r="AL12" s="111"/>
      <c r="AM12" s="108">
        <f>AG12*'1. Standard_Cost'!$B$27+'Incremental_Cost Year 3'!AH12*'1. Standard_Cost'!$C$27+'Incremental_Cost Year 3'!AI12*'1. Standard_Cost'!$D$27+'Incremental_Cost Year 3'!AJ12+'Incremental_Cost Year 3'!AL12+AK12</f>
        <v>0</v>
      </c>
      <c r="AN12" s="108">
        <f>AM12*'1. Standard_Cost'!$C$31</f>
        <v>0</v>
      </c>
      <c r="AO12" s="134" t="s">
        <v>273</v>
      </c>
      <c r="AQ12" s="14">
        <f t="shared" si="9"/>
        <v>235267.20000000001</v>
      </c>
      <c r="AR12" s="14">
        <f t="shared" si="10"/>
        <v>0</v>
      </c>
      <c r="AS12" s="14">
        <f t="shared" si="11"/>
        <v>0</v>
      </c>
      <c r="AT12" s="14">
        <f t="shared" si="12"/>
        <v>235267.20000000001</v>
      </c>
      <c r="AU12" s="234">
        <v>235267</v>
      </c>
      <c r="AV12" s="234"/>
      <c r="AW12" s="234"/>
      <c r="AX12" s="234"/>
      <c r="AY12" s="234"/>
      <c r="AZ12" s="234"/>
      <c r="BA12" s="234"/>
      <c r="BB12" s="16">
        <f t="shared" si="13"/>
        <v>-0.20000000001164153</v>
      </c>
    </row>
    <row r="13" spans="1:54" ht="69" outlineLevel="2">
      <c r="A13" s="98"/>
      <c r="B13" s="102"/>
      <c r="C13" s="23"/>
      <c r="D13" s="251"/>
      <c r="E13" s="250"/>
      <c r="F13" s="270"/>
      <c r="G13" s="250"/>
      <c r="H13" s="302" t="s">
        <v>663</v>
      </c>
      <c r="I13" s="258" t="s">
        <v>3</v>
      </c>
      <c r="J13" s="259">
        <v>1</v>
      </c>
      <c r="K13" s="259">
        <v>5</v>
      </c>
      <c r="L13" s="106">
        <f>IF(I13&lt;&gt;0,((VLOOKUP(I13,'1. Standard_Cost'!$B$4:$D$11,2)+VLOOKUP(I13,'1. Standard_Cost'!$B$4:$D$11,3))*J13*K13),"0")</f>
        <v>504000</v>
      </c>
      <c r="M13" s="106">
        <f>L13*'1. Standard_Cost'!$F$4</f>
        <v>84168</v>
      </c>
      <c r="N13" s="260"/>
      <c r="O13" s="260"/>
      <c r="P13" s="260"/>
      <c r="Q13" s="260"/>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260"/>
      <c r="AA13" s="260">
        <v>6</v>
      </c>
      <c r="AB13" s="108">
        <f>+Z13*'1. Standard_Cost'!$B$23+AA13*'1. Standard_Cost'!$C$23</f>
        <v>114000</v>
      </c>
      <c r="AC13" s="261"/>
      <c r="AD13" s="262"/>
      <c r="AE13" s="108">
        <f>SUM(AD13,AC13,AB13,Y13,U13,T13,S13,R13)*'1. Standard_Cost'!$B$31</f>
        <v>22800</v>
      </c>
      <c r="AF13" s="108">
        <f t="shared" si="8"/>
        <v>136800</v>
      </c>
      <c r="AG13" s="107"/>
      <c r="AH13" s="107"/>
      <c r="AI13" s="107"/>
      <c r="AJ13" s="111"/>
      <c r="AK13" s="111"/>
      <c r="AL13" s="111"/>
      <c r="AM13" s="108">
        <f>AG13*'1. Standard_Cost'!$B$27+'Incremental_Cost Year 3'!AH13*'1. Standard_Cost'!$C$27+'Incremental_Cost Year 3'!AI13*'1. Standard_Cost'!$D$27+'Incremental_Cost Year 3'!AJ13+'Incremental_Cost Year 3'!AL13+AK13</f>
        <v>0</v>
      </c>
      <c r="AN13" s="108">
        <f>AM13*'1. Standard_Cost'!$C$31</f>
        <v>0</v>
      </c>
      <c r="AO13" s="134" t="s">
        <v>275</v>
      </c>
      <c r="AQ13" s="14">
        <f t="shared" si="9"/>
        <v>588168</v>
      </c>
      <c r="AR13" s="14">
        <f t="shared" si="10"/>
        <v>136800</v>
      </c>
      <c r="AS13" s="14">
        <f t="shared" si="11"/>
        <v>0</v>
      </c>
      <c r="AT13" s="14">
        <f t="shared" si="12"/>
        <v>724968</v>
      </c>
      <c r="AU13" s="234">
        <v>588168</v>
      </c>
      <c r="AV13" s="234"/>
      <c r="AW13" s="234"/>
      <c r="AX13" s="234"/>
      <c r="AY13" s="234"/>
      <c r="AZ13" s="234"/>
      <c r="BA13" s="234"/>
      <c r="BB13" s="16">
        <f t="shared" si="13"/>
        <v>-136800</v>
      </c>
    </row>
    <row r="14" spans="1:54" ht="78" outlineLevel="2">
      <c r="A14" s="98"/>
      <c r="B14" s="102"/>
      <c r="C14" s="23"/>
      <c r="D14" s="251"/>
      <c r="E14" s="250"/>
      <c r="F14" s="270"/>
      <c r="G14" s="250"/>
      <c r="H14" s="302" t="s">
        <v>664</v>
      </c>
      <c r="I14" s="258" t="s">
        <v>5</v>
      </c>
      <c r="J14" s="259">
        <v>0.25</v>
      </c>
      <c r="K14" s="259">
        <v>15</v>
      </c>
      <c r="L14" s="106">
        <f>IF(I14&lt;&gt;0,((VLOOKUP(I14,'1. Standard_Cost'!$B$4:$D$11,2)+VLOOKUP(I14,'1. Standard_Cost'!$B$4:$D$11,3))*J14*K14),"0")</f>
        <v>265125</v>
      </c>
      <c r="M14" s="106">
        <f>L14*'1. Standard_Cost'!$F$4</f>
        <v>44275.875</v>
      </c>
      <c r="N14" s="260"/>
      <c r="O14" s="260"/>
      <c r="P14" s="260"/>
      <c r="Q14" s="260"/>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260"/>
      <c r="AA14" s="260"/>
      <c r="AB14" s="108">
        <f>+Z14*'1. Standard_Cost'!$B$23+AA14*'1. Standard_Cost'!$C$23</f>
        <v>0</v>
      </c>
      <c r="AC14" s="261">
        <v>31000</v>
      </c>
      <c r="AD14" s="262"/>
      <c r="AE14" s="108">
        <f>SUM(AD14,AC14,AB14,Y14,U14,T14,S14,R14)*'1. Standard_Cost'!$B$31</f>
        <v>6200</v>
      </c>
      <c r="AF14" s="108">
        <f t="shared" si="8"/>
        <v>37200</v>
      </c>
      <c r="AG14" s="107"/>
      <c r="AH14" s="107"/>
      <c r="AI14" s="107"/>
      <c r="AJ14" s="111"/>
      <c r="AK14" s="111"/>
      <c r="AL14" s="111"/>
      <c r="AM14" s="108">
        <f>AG14*'1. Standard_Cost'!$B$27+'Incremental_Cost Year 3'!AH14*'1. Standard_Cost'!$C$27+'Incremental_Cost Year 3'!AI14*'1. Standard_Cost'!$D$27+'Incremental_Cost Year 3'!AJ14+'Incremental_Cost Year 3'!AL14+AK14</f>
        <v>0</v>
      </c>
      <c r="AN14" s="108">
        <f>AM14*'1. Standard_Cost'!$C$31</f>
        <v>0</v>
      </c>
      <c r="AO14" s="134" t="s">
        <v>274</v>
      </c>
      <c r="AQ14" s="14">
        <f t="shared" si="9"/>
        <v>309400.875</v>
      </c>
      <c r="AR14" s="14">
        <f t="shared" si="10"/>
        <v>37200</v>
      </c>
      <c r="AS14" s="14">
        <f t="shared" si="11"/>
        <v>0</v>
      </c>
      <c r="AT14" s="14">
        <f t="shared" si="12"/>
        <v>346600.875</v>
      </c>
      <c r="AU14" s="234"/>
      <c r="AV14" s="234"/>
      <c r="AW14" s="234"/>
      <c r="AX14" s="234"/>
      <c r="AY14" s="234"/>
      <c r="AZ14" s="234"/>
      <c r="BA14" s="234">
        <v>346601</v>
      </c>
      <c r="BB14" s="16">
        <f t="shared" si="13"/>
        <v>0.125</v>
      </c>
    </row>
    <row r="15" spans="1:54" ht="262.2" outlineLevel="1">
      <c r="A15" s="98"/>
      <c r="B15" s="102"/>
      <c r="C15" s="23"/>
      <c r="D15" s="301" t="s">
        <v>624</v>
      </c>
      <c r="E15" s="122" t="s">
        <v>206</v>
      </c>
      <c r="F15" s="268">
        <v>2021</v>
      </c>
      <c r="G15" s="254">
        <v>2026</v>
      </c>
      <c r="H15" s="276" t="s">
        <v>48</v>
      </c>
      <c r="I15" s="112"/>
      <c r="J15" s="112"/>
      <c r="K15" s="112"/>
      <c r="L15" s="113">
        <f>SUM(L7:L14)</f>
        <v>3271050</v>
      </c>
      <c r="M15" s="113">
        <f>SUM(M7:M14)</f>
        <v>546265.35000000009</v>
      </c>
      <c r="N15" s="113"/>
      <c r="O15" s="112"/>
      <c r="P15" s="112"/>
      <c r="Q15" s="112"/>
      <c r="R15" s="113">
        <f>SUM(R7:R14)</f>
        <v>40000</v>
      </c>
      <c r="S15" s="113">
        <f>SUM(S7:S14)</f>
        <v>60000</v>
      </c>
      <c r="T15" s="113">
        <f>SUM(T7:T14)</f>
        <v>0</v>
      </c>
      <c r="U15" s="113">
        <f>SUM(U7:U14)</f>
        <v>160000</v>
      </c>
      <c r="V15" s="112"/>
      <c r="W15" s="112"/>
      <c r="X15" s="112"/>
      <c r="Y15" s="113">
        <f>SUM(Y7:Y14)</f>
        <v>0</v>
      </c>
      <c r="Z15" s="112"/>
      <c r="AA15" s="112"/>
      <c r="AB15" s="113">
        <f>SUM(AB7:AB14)</f>
        <v>684000</v>
      </c>
      <c r="AC15" s="113">
        <f>SUM(AC7:AC14)</f>
        <v>182197.66400000002</v>
      </c>
      <c r="AD15" s="113">
        <f>SUM(AD7:AD14)</f>
        <v>0</v>
      </c>
      <c r="AE15" s="113">
        <f>SUM(AE7:AE14)</f>
        <v>225239.53280000002</v>
      </c>
      <c r="AF15" s="113">
        <f>SUM(AF7:AF14)</f>
        <v>1351437.1968</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3817315.35</v>
      </c>
      <c r="AR15" s="113">
        <f t="shared" si="14"/>
        <v>1351437.1968</v>
      </c>
      <c r="AS15" s="113">
        <f t="shared" si="14"/>
        <v>0</v>
      </c>
      <c r="AT15" s="113">
        <f t="shared" si="14"/>
        <v>5168752.5468000006</v>
      </c>
      <c r="AU15" s="113">
        <f t="shared" si="14"/>
        <v>2028235</v>
      </c>
      <c r="AV15" s="113">
        <f t="shared" si="14"/>
        <v>0</v>
      </c>
      <c r="AW15" s="113">
        <f t="shared" si="14"/>
        <v>0</v>
      </c>
      <c r="AX15" s="113">
        <f t="shared" si="14"/>
        <v>0</v>
      </c>
      <c r="AY15" s="113">
        <f t="shared" si="14"/>
        <v>0</v>
      </c>
      <c r="AZ15" s="113">
        <f t="shared" si="14"/>
        <v>0</v>
      </c>
      <c r="BA15" s="113">
        <f t="shared" si="14"/>
        <v>1995718</v>
      </c>
      <c r="BB15" s="113">
        <f t="shared" si="14"/>
        <v>-1144799.5467999999</v>
      </c>
    </row>
    <row r="16" spans="1:54" ht="78" outlineLevel="2">
      <c r="A16" s="98"/>
      <c r="B16" s="102"/>
      <c r="C16" s="23"/>
      <c r="D16" s="251"/>
      <c r="E16" s="250"/>
      <c r="F16" s="270"/>
      <c r="G16" s="250"/>
      <c r="H16" s="302" t="s">
        <v>665</v>
      </c>
      <c r="I16" s="258" t="s">
        <v>5</v>
      </c>
      <c r="J16" s="259">
        <v>1</v>
      </c>
      <c r="K16" s="259">
        <v>1</v>
      </c>
      <c r="L16" s="106">
        <f>IF(I16&lt;&gt;0,((VLOOKUP(I16,'1. Standard_Cost'!$B$4:$D$11,2)+VLOOKUP(I16,'1. Standard_Cost'!$B$4:$D$11,3))*J16*K16),"0")</f>
        <v>70700</v>
      </c>
      <c r="M16" s="106">
        <f>L16*'1. Standard_Cost'!$F$4</f>
        <v>11806.900000000001</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260"/>
      <c r="AA16" s="260">
        <v>10</v>
      </c>
      <c r="AB16" s="108">
        <f>+Z16*'1. Standard_Cost'!$B$23+AA16*'1. Standard_Cost'!$C$23</f>
        <v>190000</v>
      </c>
      <c r="AC16" s="109"/>
      <c r="AD16" s="110"/>
      <c r="AE16" s="108">
        <f>SUM(AD16,AC16,AB16,Y16,U16,T16,S16,R16)*'1. Standard_Cost'!$B$31</f>
        <v>38000</v>
      </c>
      <c r="AF16" s="108">
        <f t="shared" ref="AF16" si="15">SUM(AE16,AD16,AC16,AB16,Y16,U16,T16,S16,R16)</f>
        <v>228000</v>
      </c>
      <c r="AG16" s="107"/>
      <c r="AH16" s="107"/>
      <c r="AI16" s="107"/>
      <c r="AJ16" s="111"/>
      <c r="AK16" s="111"/>
      <c r="AL16" s="111"/>
      <c r="AM16" s="108">
        <f>AG16*'1. Standard_Cost'!$B$27+'Incremental_Cost Year 3'!AH16*'1. Standard_Cost'!$C$27+'Incremental_Cost Year 3'!AI16*'1. Standard_Cost'!$D$27+'Incremental_Cost Year 3'!AJ16+'Incremental_Cost Year 3'!AL16+AK16</f>
        <v>0</v>
      </c>
      <c r="AN16" s="108">
        <f>AM16*'1. Standard_Cost'!$C$31</f>
        <v>0</v>
      </c>
      <c r="AO16" s="125" t="s">
        <v>276</v>
      </c>
      <c r="AQ16" s="14">
        <f t="shared" ref="AQ16:AQ24" si="16">L16+M16</f>
        <v>82506.899999999994</v>
      </c>
      <c r="AR16" s="14">
        <f t="shared" ref="AR16:AR24" si="17">AF16</f>
        <v>228000</v>
      </c>
      <c r="AS16" s="14">
        <f t="shared" ref="AS16:AS24" si="18">AM16+AN16</f>
        <v>0</v>
      </c>
      <c r="AT16" s="14">
        <f>SUM(AQ16,AR16,AS16)</f>
        <v>310506.90000000002</v>
      </c>
      <c r="AU16" s="234">
        <v>82507</v>
      </c>
      <c r="AV16" s="234"/>
      <c r="AW16" s="234"/>
      <c r="AX16" s="234"/>
      <c r="AY16" s="234"/>
      <c r="AZ16" s="234"/>
      <c r="BA16" s="234"/>
      <c r="BB16" s="16">
        <f t="shared" ref="BB16:BB24" si="19">SUM(AU16:BA16)-AT16</f>
        <v>-227999.90000000002</v>
      </c>
    </row>
    <row r="17" spans="1:54" ht="62.4" outlineLevel="1">
      <c r="A17" s="98"/>
      <c r="B17" s="143"/>
      <c r="C17" s="144"/>
      <c r="D17" s="287" t="s">
        <v>625</v>
      </c>
      <c r="E17" s="287" t="s">
        <v>207</v>
      </c>
      <c r="F17" s="287"/>
      <c r="G17" s="287"/>
      <c r="H17" s="287" t="s">
        <v>49</v>
      </c>
      <c r="I17" s="112"/>
      <c r="J17" s="112"/>
      <c r="K17" s="112"/>
      <c r="L17" s="113">
        <f>SUM(L16:L16)</f>
        <v>70700</v>
      </c>
      <c r="M17" s="113">
        <f>SUM(M16:M16)</f>
        <v>11806.900000000001</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190000</v>
      </c>
      <c r="AC17" s="113">
        <f>SUM(AC16:AC16)</f>
        <v>0</v>
      </c>
      <c r="AD17" s="113">
        <f>SUM(AD16:AD16)</f>
        <v>0</v>
      </c>
      <c r="AE17" s="113">
        <f>SUM(AE16:AE16)</f>
        <v>38000</v>
      </c>
      <c r="AF17" s="113">
        <f>SUM(AF16:AF16)</f>
        <v>228000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82506.899999999994</v>
      </c>
      <c r="AR17" s="113">
        <f t="shared" si="20"/>
        <v>228000</v>
      </c>
      <c r="AS17" s="113">
        <f t="shared" si="20"/>
        <v>0</v>
      </c>
      <c r="AT17" s="113">
        <f t="shared" si="20"/>
        <v>310506.90000000002</v>
      </c>
      <c r="AU17" s="113">
        <f t="shared" si="20"/>
        <v>82507</v>
      </c>
      <c r="AV17" s="113">
        <f t="shared" si="20"/>
        <v>0</v>
      </c>
      <c r="AW17" s="113">
        <f t="shared" si="20"/>
        <v>0</v>
      </c>
      <c r="AX17" s="113">
        <f t="shared" si="20"/>
        <v>0</v>
      </c>
      <c r="AY17" s="113">
        <f t="shared" si="20"/>
        <v>0</v>
      </c>
      <c r="AZ17" s="113">
        <f t="shared" si="20"/>
        <v>0</v>
      </c>
      <c r="BA17" s="113">
        <f t="shared" si="20"/>
        <v>0</v>
      </c>
      <c r="BB17" s="16">
        <f t="shared" si="19"/>
        <v>-227999.90000000002</v>
      </c>
    </row>
    <row r="18" spans="1:54" ht="31.2" outlineLevel="2">
      <c r="A18" s="98"/>
      <c r="B18" s="143"/>
      <c r="C18" s="144"/>
      <c r="D18" s="149"/>
      <c r="E18" s="149"/>
      <c r="F18" s="288"/>
      <c r="G18" s="289"/>
      <c r="H18" s="302" t="s">
        <v>666</v>
      </c>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107"/>
      <c r="AA18" s="107"/>
      <c r="AB18" s="108">
        <f>+Z18*'1. Standard_Cost'!$B$23+AA18*'1. Standard_Cost'!$C$23</f>
        <v>0</v>
      </c>
      <c r="AC18" s="261">
        <v>1200000</v>
      </c>
      <c r="AD18" s="262"/>
      <c r="AE18" s="108">
        <f>SUM(AD18,AC18,AB18,Y18,U18,T18,S18,R18)*'1. Standard_Cost'!$B$31</f>
        <v>240000</v>
      </c>
      <c r="AF18" s="108">
        <f t="shared" ref="AF18:AF24" si="21">SUM(AE18,AD18,AC18,AB18,Y18,U18,T18,S18,R18)</f>
        <v>1440000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1440000</v>
      </c>
      <c r="AS18" s="14">
        <f t="shared" ref="AS18" si="24">AM18+AN18</f>
        <v>0</v>
      </c>
      <c r="AT18" s="14">
        <f>SUM(AQ18,AR18,AS18)</f>
        <v>1440000</v>
      </c>
      <c r="AU18" s="234">
        <v>1440000</v>
      </c>
      <c r="AV18" s="234"/>
      <c r="AW18" s="234"/>
      <c r="AX18" s="234"/>
      <c r="AY18" s="234"/>
      <c r="AZ18" s="234"/>
      <c r="BA18" s="234"/>
      <c r="BB18" s="16">
        <f t="shared" si="19"/>
        <v>0</v>
      </c>
    </row>
    <row r="19" spans="1:54" ht="62.4" outlineLevel="2">
      <c r="A19" s="98"/>
      <c r="B19" s="143"/>
      <c r="C19" s="144"/>
      <c r="D19" s="290"/>
      <c r="E19" s="290"/>
      <c r="F19" s="290"/>
      <c r="G19" s="291"/>
      <c r="H19" s="302" t="s">
        <v>667</v>
      </c>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107"/>
      <c r="AA19" s="107"/>
      <c r="AB19" s="108">
        <f>+Z19*'1. Standard_Cost'!$B$23+AA19*'1. Standard_Cost'!$C$23</f>
        <v>0</v>
      </c>
      <c r="AC19" s="261"/>
      <c r="AD19" s="262"/>
      <c r="AE19" s="108">
        <f>SUM(AD19,AC19,AB19,Y19,U19,T19,S19,R19)*'1. Standard_Cost'!$B$31</f>
        <v>0</v>
      </c>
      <c r="AF19" s="108">
        <f t="shared" si="21"/>
        <v>0</v>
      </c>
      <c r="AG19" s="107"/>
      <c r="AH19" s="107"/>
      <c r="AI19" s="107"/>
      <c r="AJ19" s="111"/>
      <c r="AK19" s="111"/>
      <c r="AL19" s="111"/>
      <c r="AM19" s="108">
        <f>AG19*'1. Standard_Cost'!$B$27+'Incremental_Cost Year 3'!AH19*'1. Standard_Cost'!$C$27+'Incremental_Cost Year 3'!AI19*'1. Standard_Cost'!$D$27+'Incremental_Cost Year 3'!AJ19+'Incremental_Cost Year 3'!AL19+AK19</f>
        <v>0</v>
      </c>
      <c r="AN19" s="108">
        <f>AM19*'1. Standard_Cost'!$C$31</f>
        <v>0</v>
      </c>
      <c r="AO19" s="125" t="s">
        <v>278</v>
      </c>
      <c r="AQ19" s="14">
        <f t="shared" si="16"/>
        <v>0</v>
      </c>
      <c r="AR19" s="14">
        <f t="shared" si="17"/>
        <v>0</v>
      </c>
      <c r="AS19" s="14">
        <f t="shared" si="18"/>
        <v>0</v>
      </c>
      <c r="AT19" s="14">
        <f t="shared" ref="AT19:AT24" si="25">SUM(AQ19,AR19,AS19)</f>
        <v>0</v>
      </c>
      <c r="AU19" s="234"/>
      <c r="AV19" s="234"/>
      <c r="AW19" s="234"/>
      <c r="AX19" s="234"/>
      <c r="AY19" s="234"/>
      <c r="AZ19" s="234"/>
      <c r="BA19" s="234"/>
      <c r="BB19" s="16">
        <f t="shared" si="19"/>
        <v>0</v>
      </c>
    </row>
    <row r="20" spans="1:54" ht="62.4" outlineLevel="2">
      <c r="A20" s="98"/>
      <c r="B20" s="143"/>
      <c r="C20" s="144"/>
      <c r="D20" s="290"/>
      <c r="E20" s="290"/>
      <c r="F20" s="171"/>
      <c r="G20" s="291"/>
      <c r="H20" s="302" t="s">
        <v>668</v>
      </c>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107"/>
      <c r="AA20" s="107"/>
      <c r="AB20" s="108">
        <f>+Z20*'1. Standard_Cost'!$B$23+AA20*'1. Standard_Cost'!$C$23</f>
        <v>0</v>
      </c>
      <c r="AC20" s="261"/>
      <c r="AD20" s="262"/>
      <c r="AE20" s="108">
        <f>SUM(AD20,AC20,AB20,Y20,U20,T20,S20,R20)*'1. Standard_Cost'!$B$31</f>
        <v>0</v>
      </c>
      <c r="AF20" s="108">
        <f t="shared" si="21"/>
        <v>0</v>
      </c>
      <c r="AG20" s="107"/>
      <c r="AH20" s="107"/>
      <c r="AI20" s="107"/>
      <c r="AJ20" s="111"/>
      <c r="AK20" s="111"/>
      <c r="AL20" s="111"/>
      <c r="AM20" s="108">
        <f>AG20*'1. Standard_Cost'!$B$27+'Incremental_Cost Year 3'!AH20*'1. Standard_Cost'!$C$27+'Incremental_Cost Year 3'!AI20*'1. Standard_Cost'!$D$27+'Incremental_Cost Year 3'!AJ20+'Incremental_Cost Year 3'!AL20+AK20</f>
        <v>0</v>
      </c>
      <c r="AN20" s="108">
        <f>AM20*'1. Standard_Cost'!$C$31</f>
        <v>0</v>
      </c>
      <c r="AO20" s="125" t="s">
        <v>278</v>
      </c>
      <c r="AQ20" s="14">
        <f t="shared" si="16"/>
        <v>0</v>
      </c>
      <c r="AR20" s="14">
        <f t="shared" si="17"/>
        <v>0</v>
      </c>
      <c r="AS20" s="14">
        <f t="shared" si="18"/>
        <v>0</v>
      </c>
      <c r="AT20" s="14">
        <f t="shared" si="25"/>
        <v>0</v>
      </c>
      <c r="AU20" s="234"/>
      <c r="AV20" s="234"/>
      <c r="AW20" s="234"/>
      <c r="AX20" s="234"/>
      <c r="AY20" s="234"/>
      <c r="AZ20" s="234"/>
      <c r="BA20" s="234"/>
      <c r="BB20" s="16">
        <f t="shared" si="19"/>
        <v>0</v>
      </c>
    </row>
    <row r="21" spans="1:54" ht="62.4" outlineLevel="2">
      <c r="A21" s="98"/>
      <c r="B21" s="143"/>
      <c r="C21" s="144"/>
      <c r="D21" s="290"/>
      <c r="E21" s="290"/>
      <c r="F21" s="290"/>
      <c r="G21" s="291"/>
      <c r="H21" s="302" t="s">
        <v>669</v>
      </c>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107"/>
      <c r="AA21" s="107"/>
      <c r="AB21" s="108">
        <f>+Z21*'1. Standard_Cost'!$B$23+AA21*'1. Standard_Cost'!$C$23</f>
        <v>0</v>
      </c>
      <c r="AC21" s="261"/>
      <c r="AD21" s="262"/>
      <c r="AE21" s="108">
        <f>SUM(AD21,AC21,AB21,Y21,U21,T21,S21,R21)*'1. Standard_Cost'!$B$31</f>
        <v>0</v>
      </c>
      <c r="AF21" s="108">
        <f t="shared" si="21"/>
        <v>0</v>
      </c>
      <c r="AG21" s="107"/>
      <c r="AH21" s="107"/>
      <c r="AI21" s="107"/>
      <c r="AJ21" s="111"/>
      <c r="AK21" s="111"/>
      <c r="AL21" s="111"/>
      <c r="AM21" s="108">
        <f>AG21*'1. Standard_Cost'!$B$27+'Incremental_Cost Year 3'!AH21*'1. Standard_Cost'!$C$27+'Incremental_Cost Year 3'!AI21*'1. Standard_Cost'!$D$27+'Incremental_Cost Year 3'!AJ21+'Incremental_Cost Year 3'!AL21+AK21</f>
        <v>0</v>
      </c>
      <c r="AN21" s="108">
        <f>AM21*'1. Standard_Cost'!$C$31</f>
        <v>0</v>
      </c>
      <c r="AO21" s="125" t="s">
        <v>279</v>
      </c>
      <c r="AQ21" s="14">
        <f t="shared" si="16"/>
        <v>0</v>
      </c>
      <c r="AR21" s="14">
        <f t="shared" si="17"/>
        <v>0</v>
      </c>
      <c r="AS21" s="14">
        <f t="shared" si="18"/>
        <v>0</v>
      </c>
      <c r="AT21" s="14">
        <f t="shared" si="25"/>
        <v>0</v>
      </c>
      <c r="AU21" s="234"/>
      <c r="AV21" s="234"/>
      <c r="AW21" s="234"/>
      <c r="AX21" s="234"/>
      <c r="AY21" s="234"/>
      <c r="AZ21" s="234"/>
      <c r="BA21" s="234"/>
      <c r="BB21" s="16">
        <f t="shared" si="19"/>
        <v>0</v>
      </c>
    </row>
    <row r="22" spans="1:54" ht="78" outlineLevel="2">
      <c r="A22" s="98"/>
      <c r="B22" s="143"/>
      <c r="C22" s="144"/>
      <c r="D22" s="290"/>
      <c r="E22" s="290"/>
      <c r="F22" s="290"/>
      <c r="G22" s="291"/>
      <c r="H22" s="302" t="s">
        <v>670</v>
      </c>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107"/>
      <c r="AA22" s="107"/>
      <c r="AB22" s="108">
        <f>+Z22*'1. Standard_Cost'!$B$23+AA22*'1. Standard_Cost'!$C$23</f>
        <v>0</v>
      </c>
      <c r="AC22" s="261"/>
      <c r="AD22" s="262"/>
      <c r="AE22" s="108">
        <f>SUM(AD22,AC22,AB22,Y22,U22,T22,S22,R22)*'1. Standard_Cost'!$B$31</f>
        <v>0</v>
      </c>
      <c r="AF22" s="108">
        <f t="shared" si="21"/>
        <v>0</v>
      </c>
      <c r="AG22" s="107"/>
      <c r="AH22" s="107"/>
      <c r="AI22" s="107"/>
      <c r="AJ22" s="111"/>
      <c r="AK22" s="111"/>
      <c r="AL22" s="111"/>
      <c r="AM22" s="108">
        <f>AG22*'1. Standard_Cost'!$B$27+'Incremental_Cost Year 3'!AH22*'1. Standard_Cost'!$C$27+'Incremental_Cost Year 3'!AI22*'1. Standard_Cost'!$D$27+'Incremental_Cost Year 3'!AJ22+'Incremental_Cost Year 3'!AL22+AK22</f>
        <v>0</v>
      </c>
      <c r="AN22" s="108">
        <f>AM22*'1. Standard_Cost'!$C$31</f>
        <v>0</v>
      </c>
      <c r="AO22" s="125" t="s">
        <v>280</v>
      </c>
      <c r="AQ22" s="14">
        <f t="shared" si="16"/>
        <v>0</v>
      </c>
      <c r="AR22" s="14">
        <f t="shared" si="17"/>
        <v>0</v>
      </c>
      <c r="AS22" s="14">
        <f t="shared" si="18"/>
        <v>0</v>
      </c>
      <c r="AT22" s="14">
        <f t="shared" si="25"/>
        <v>0</v>
      </c>
      <c r="AU22" s="234"/>
      <c r="AV22" s="234"/>
      <c r="AW22" s="234"/>
      <c r="AX22" s="234"/>
      <c r="AY22" s="234"/>
      <c r="AZ22" s="234"/>
      <c r="BA22" s="234"/>
      <c r="BB22" s="16">
        <f t="shared" si="19"/>
        <v>0</v>
      </c>
    </row>
    <row r="23" spans="1:54" ht="46.8" outlineLevel="2">
      <c r="A23" s="98"/>
      <c r="B23" s="143"/>
      <c r="C23" s="144"/>
      <c r="D23" s="290"/>
      <c r="E23" s="290"/>
      <c r="F23" s="290"/>
      <c r="G23" s="291"/>
      <c r="H23" s="302" t="s">
        <v>671</v>
      </c>
      <c r="I23" s="258" t="s">
        <v>4</v>
      </c>
      <c r="J23" s="259">
        <v>1</v>
      </c>
      <c r="K23" s="259">
        <v>1</v>
      </c>
      <c r="L23" s="106">
        <f>IF(I23&lt;&gt;0,((VLOOKUP(I23,'1. Standard_Cost'!$B$4:$D$11,2)+VLOOKUP(I23,'1. Standard_Cost'!$B$4:$D$11,3))*J23*K23),"0")</f>
        <v>80750</v>
      </c>
      <c r="M23" s="106">
        <f>L23*'1. Standard_Cost'!$F$4</f>
        <v>13485.25</v>
      </c>
      <c r="N23" s="260"/>
      <c r="O23" s="260"/>
      <c r="P23" s="260"/>
      <c r="Q23" s="260"/>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107"/>
      <c r="AA23" s="107"/>
      <c r="AB23" s="108">
        <f>+Z23*'1. Standard_Cost'!$B$23+AA23*'1. Standard_Cost'!$C$23</f>
        <v>0</v>
      </c>
      <c r="AC23" s="261">
        <v>10000</v>
      </c>
      <c r="AD23" s="262"/>
      <c r="AE23" s="108">
        <f>SUM(AD23,AC23,AB23,Y23,U23,T23,S23,R23)*'1. Standard_Cost'!$B$31</f>
        <v>2000</v>
      </c>
      <c r="AF23" s="108">
        <f t="shared" si="21"/>
        <v>12000</v>
      </c>
      <c r="AG23" s="107"/>
      <c r="AH23" s="107"/>
      <c r="AI23" s="107"/>
      <c r="AJ23" s="111"/>
      <c r="AK23" s="111"/>
      <c r="AL23" s="111"/>
      <c r="AM23" s="108">
        <f>AG23*'1. Standard_Cost'!$B$27+'Incremental_Cost Year 3'!AH23*'1. Standard_Cost'!$C$27+'Incremental_Cost Year 3'!AI23*'1. Standard_Cost'!$D$27+'Incremental_Cost Year 3'!AJ23+'Incremental_Cost Year 3'!AL23+AK23</f>
        <v>0</v>
      </c>
      <c r="AN23" s="108">
        <f>AM23*'1. Standard_Cost'!$C$31</f>
        <v>0</v>
      </c>
      <c r="AO23" s="125" t="s">
        <v>281</v>
      </c>
      <c r="AQ23" s="14">
        <f t="shared" si="16"/>
        <v>94235.25</v>
      </c>
      <c r="AR23" s="14">
        <f t="shared" si="17"/>
        <v>12000</v>
      </c>
      <c r="AS23" s="14">
        <f t="shared" si="18"/>
        <v>0</v>
      </c>
      <c r="AT23" s="14">
        <f t="shared" si="25"/>
        <v>106235.25</v>
      </c>
      <c r="AU23" s="234">
        <v>106235</v>
      </c>
      <c r="AV23" s="234"/>
      <c r="AW23" s="234"/>
      <c r="AX23" s="234"/>
      <c r="AY23" s="234"/>
      <c r="AZ23" s="234"/>
      <c r="BA23" s="234"/>
      <c r="BB23" s="16">
        <f t="shared" si="19"/>
        <v>-0.25</v>
      </c>
    </row>
    <row r="24" spans="1:54" ht="93.6" outlineLevel="2">
      <c r="A24" s="98"/>
      <c r="B24" s="143"/>
      <c r="C24" s="144"/>
      <c r="D24" s="290"/>
      <c r="E24" s="290"/>
      <c r="F24" s="290"/>
      <c r="G24" s="291"/>
      <c r="H24" s="302" t="s">
        <v>586</v>
      </c>
      <c r="I24" s="258" t="s">
        <v>5</v>
      </c>
      <c r="J24" s="259">
        <v>0.5</v>
      </c>
      <c r="K24" s="259">
        <v>1</v>
      </c>
      <c r="L24" s="106">
        <f>IF(I24&lt;&gt;0,((VLOOKUP(I24,'1. Standard_Cost'!$B$4:$D$11,2)+VLOOKUP(I24,'1. Standard_Cost'!$B$4:$D$11,3))*J24*K24),"0")</f>
        <v>35350</v>
      </c>
      <c r="M24" s="106">
        <f>L24*'1. Standard_Cost'!$F$4</f>
        <v>5903.4500000000007</v>
      </c>
      <c r="N24" s="260">
        <v>1</v>
      </c>
      <c r="O24" s="260">
        <v>2</v>
      </c>
      <c r="P24" s="260">
        <v>16</v>
      </c>
      <c r="Q24" s="260"/>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107"/>
      <c r="AA24" s="260">
        <v>15</v>
      </c>
      <c r="AB24" s="108">
        <f>+Z24*'1. Standard_Cost'!$B$23+AA24*'1. Standard_Cost'!$C$23</f>
        <v>285000</v>
      </c>
      <c r="AC24" s="261">
        <f>16*500</f>
        <v>8000</v>
      </c>
      <c r="AD24" s="262"/>
      <c r="AE24" s="108">
        <f>SUM(AD24,AC24,AB24,Y24,U24,T24,S24,R24)*'1. Standard_Cost'!$B$31</f>
        <v>90600</v>
      </c>
      <c r="AF24" s="108">
        <f t="shared" si="21"/>
        <v>543600</v>
      </c>
      <c r="AG24" s="107"/>
      <c r="AH24" s="107"/>
      <c r="AI24" s="107"/>
      <c r="AJ24" s="111"/>
      <c r="AK24" s="111"/>
      <c r="AL24" s="111"/>
      <c r="AM24" s="108">
        <f>AG24*'1. Standard_Cost'!$B$27+'Incremental_Cost Year 3'!AH24*'1. Standard_Cost'!$C$27+'Incremental_Cost Year 3'!AI24*'1. Standard_Cost'!$D$27+'Incremental_Cost Year 3'!AJ24+'Incremental_Cost Year 3'!AL24+AK24</f>
        <v>0</v>
      </c>
      <c r="AN24" s="108">
        <f>AM24*'1. Standard_Cost'!$C$31</f>
        <v>0</v>
      </c>
      <c r="AO24" s="125" t="s">
        <v>282</v>
      </c>
      <c r="AQ24" s="14">
        <f t="shared" si="16"/>
        <v>41253.449999999997</v>
      </c>
      <c r="AR24" s="14">
        <f t="shared" si="17"/>
        <v>543600</v>
      </c>
      <c r="AS24" s="14">
        <f t="shared" si="18"/>
        <v>0</v>
      </c>
      <c r="AT24" s="14">
        <f t="shared" si="25"/>
        <v>584853.44999999995</v>
      </c>
      <c r="AU24" s="234"/>
      <c r="AV24" s="234"/>
      <c r="AW24" s="234"/>
      <c r="AX24" s="234"/>
      <c r="AY24" s="234"/>
      <c r="AZ24" s="234"/>
      <c r="BA24" s="234">
        <v>41253</v>
      </c>
      <c r="BB24" s="16">
        <f t="shared" si="19"/>
        <v>-543600.44999999995</v>
      </c>
    </row>
    <row r="25" spans="1:54" ht="93.6" outlineLevel="1">
      <c r="A25" s="98"/>
      <c r="B25" s="143"/>
      <c r="C25" s="144"/>
      <c r="D25" s="287" t="s">
        <v>626</v>
      </c>
      <c r="E25" s="287" t="s">
        <v>208</v>
      </c>
      <c r="F25" s="287"/>
      <c r="G25" s="287"/>
      <c r="H25" s="287" t="s">
        <v>50</v>
      </c>
      <c r="I25" s="112"/>
      <c r="J25" s="112"/>
      <c r="K25" s="112"/>
      <c r="L25" s="113">
        <f>SUM(L18:L24)</f>
        <v>116100</v>
      </c>
      <c r="M25" s="113">
        <f>SUM(M18:M24)</f>
        <v>19388.7</v>
      </c>
      <c r="N25" s="112"/>
      <c r="O25" s="112"/>
      <c r="P25" s="112"/>
      <c r="Q25" s="112"/>
      <c r="R25" s="113">
        <f t="shared" ref="R25:U25" si="26">SUM(R18:R24)</f>
        <v>32000</v>
      </c>
      <c r="S25" s="113">
        <f t="shared" si="26"/>
        <v>48000</v>
      </c>
      <c r="T25" s="113">
        <f t="shared" si="26"/>
        <v>0</v>
      </c>
      <c r="U25" s="113">
        <f t="shared" si="26"/>
        <v>80000</v>
      </c>
      <c r="V25" s="112"/>
      <c r="W25" s="112"/>
      <c r="X25" s="112"/>
      <c r="Y25" s="113">
        <f>SUM(Y18:Y24)</f>
        <v>0</v>
      </c>
      <c r="Z25" s="112"/>
      <c r="AA25" s="112"/>
      <c r="AB25" s="113">
        <f t="shared" ref="AB25:AF25" si="27">SUM(AB18:AB24)</f>
        <v>285000</v>
      </c>
      <c r="AC25" s="113">
        <f t="shared" si="27"/>
        <v>1218000</v>
      </c>
      <c r="AD25" s="113">
        <f t="shared" si="27"/>
        <v>0</v>
      </c>
      <c r="AE25" s="113">
        <f t="shared" si="27"/>
        <v>332600</v>
      </c>
      <c r="AF25" s="113">
        <f t="shared" si="27"/>
        <v>1995600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135488.70000000001</v>
      </c>
      <c r="AR25" s="113">
        <f t="shared" si="29"/>
        <v>1995600</v>
      </c>
      <c r="AS25" s="113">
        <f t="shared" si="29"/>
        <v>0</v>
      </c>
      <c r="AT25" s="113">
        <f t="shared" si="29"/>
        <v>2131088.7000000002</v>
      </c>
      <c r="AU25" s="113">
        <f t="shared" si="29"/>
        <v>1546235</v>
      </c>
      <c r="AV25" s="113">
        <f t="shared" si="29"/>
        <v>0</v>
      </c>
      <c r="AW25" s="113">
        <f t="shared" si="29"/>
        <v>0</v>
      </c>
      <c r="AX25" s="113">
        <f t="shared" si="29"/>
        <v>0</v>
      </c>
      <c r="AY25" s="113">
        <f t="shared" si="29"/>
        <v>0</v>
      </c>
      <c r="AZ25" s="113">
        <f t="shared" si="29"/>
        <v>0</v>
      </c>
      <c r="BA25" s="113">
        <f t="shared" si="29"/>
        <v>41253</v>
      </c>
      <c r="BB25" s="113">
        <f t="shared" si="29"/>
        <v>-543600.69999999995</v>
      </c>
    </row>
    <row r="26" spans="1:54" ht="93.6" outlineLevel="2">
      <c r="A26" s="98"/>
      <c r="B26" s="143"/>
      <c r="C26" s="144"/>
      <c r="D26" s="149"/>
      <c r="E26" s="149"/>
      <c r="F26" s="288"/>
      <c r="G26" s="289"/>
      <c r="H26" s="302" t="s">
        <v>657</v>
      </c>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107"/>
      <c r="AA26" s="107"/>
      <c r="AB26" s="108">
        <f>+Z26*'1. Standard_Cost'!$B$23+AA26*'1. Standard_Cost'!$C$23</f>
        <v>0</v>
      </c>
      <c r="AC26" s="261">
        <f>1*420000</f>
        <v>420000</v>
      </c>
      <c r="AD26" s="262"/>
      <c r="AE26" s="108">
        <f>SUM(AD26,AC26,AB26,Y26,U26,T26,S26,R26)*'1. Standard_Cost'!$B$31</f>
        <v>84000</v>
      </c>
      <c r="AF26" s="108">
        <f t="shared" ref="AF26:AF29" si="30">SUM(AE26,AD26,AC26,AB26,Y26,U26,T26,S26,R26)</f>
        <v>504000</v>
      </c>
      <c r="AG26" s="260"/>
      <c r="AH26" s="260"/>
      <c r="AI26" s="260"/>
      <c r="AJ26" s="263"/>
      <c r="AK26" s="263"/>
      <c r="AL26" s="263"/>
      <c r="AM26" s="108">
        <f>AG26*'1. Standard_Cost'!$B$27+'Incremental_Cost Year 3'!AH26*'1. Standard_Cost'!$C$27+'Incremental_Cost Year 3'!AI26*'1. Standard_Cost'!$D$27+'Incremental_Cost Year 3'!AJ26+'Incremental_Cost Year 3'!AL26+AK26</f>
        <v>0</v>
      </c>
      <c r="AN26" s="108">
        <f>AM26*'1. Standard_Cost'!$C$31</f>
        <v>0</v>
      </c>
      <c r="AO26" s="125" t="s">
        <v>283</v>
      </c>
      <c r="AQ26" s="14">
        <f>L26+M26</f>
        <v>0</v>
      </c>
      <c r="AR26" s="14">
        <f t="shared" ref="AR26:AR29" si="31">AF26</f>
        <v>504000</v>
      </c>
      <c r="AS26" s="14">
        <f t="shared" ref="AS26:AS29" si="32">AM26+AN26</f>
        <v>0</v>
      </c>
      <c r="AT26" s="14">
        <f>SUM(AQ26,AR26,AS26)</f>
        <v>504000</v>
      </c>
      <c r="AU26" s="234"/>
      <c r="AV26" s="234"/>
      <c r="AW26" s="234"/>
      <c r="AX26" s="234"/>
      <c r="AY26" s="234"/>
      <c r="AZ26" s="234"/>
      <c r="BA26" s="234"/>
      <c r="BB26" s="16">
        <f>SUM(AU26:BA26)-AT26</f>
        <v>-504000</v>
      </c>
    </row>
    <row r="27" spans="1:54" ht="218.4" outlineLevel="2">
      <c r="A27" s="98"/>
      <c r="B27" s="143"/>
      <c r="C27" s="144"/>
      <c r="D27" s="290"/>
      <c r="E27" s="290"/>
      <c r="F27" s="290"/>
      <c r="G27" s="291"/>
      <c r="H27" s="302" t="s">
        <v>587</v>
      </c>
      <c r="I27" s="258" t="s">
        <v>193</v>
      </c>
      <c r="J27" s="259">
        <v>0.5</v>
      </c>
      <c r="K27" s="259">
        <v>2</v>
      </c>
      <c r="L27" s="106">
        <f>IF(I27&lt;&gt;0,((VLOOKUP(I27,'1. Standard_Cost'!$B$4:$D$11,2)+VLOOKUP(I27,'1. Standard_Cost'!$B$4:$D$11,3))*J27*K27),"0")</f>
        <v>50500</v>
      </c>
      <c r="M27" s="106">
        <f>L27*'1. Standard_Cost'!$F$4</f>
        <v>8433.5</v>
      </c>
      <c r="N27" s="260"/>
      <c r="O27" s="260"/>
      <c r="P27" s="260"/>
      <c r="Q27" s="260"/>
      <c r="R27" s="108">
        <f>'1. Standard_Cost'!$B$15*N27*P27</f>
        <v>0</v>
      </c>
      <c r="S27" s="108">
        <f>N27*O27*P27*'1. Standard_Cost'!$C$15</f>
        <v>0</v>
      </c>
      <c r="T27" s="108">
        <f>N27*P27*Q27*'1. Standard_Cost'!$D$15</f>
        <v>0</v>
      </c>
      <c r="U27" s="108">
        <f>N27*O27*'1. Standard_Cost'!$E$15</f>
        <v>0</v>
      </c>
      <c r="V27" s="107"/>
      <c r="W27" s="107"/>
      <c r="X27" s="107"/>
      <c r="Y27" s="108">
        <f>+V27*((X27*'1. Standard_Cost'!$B$19)+(W27*X27*'1. Standard_Cost'!$C$19))</f>
        <v>0</v>
      </c>
      <c r="Z27" s="107"/>
      <c r="AA27" s="107"/>
      <c r="AB27" s="108">
        <f>+Z27*'1. Standard_Cost'!$B$23+AA27*'1. Standard_Cost'!$C$23</f>
        <v>0</v>
      </c>
      <c r="AC27" s="261">
        <v>300000</v>
      </c>
      <c r="AD27" s="262"/>
      <c r="AE27" s="108">
        <f>SUM(AD27,AC27,AB27,Y27,U27,T27,S27,R27)*'1. Standard_Cost'!$B$31</f>
        <v>60000</v>
      </c>
      <c r="AF27" s="108">
        <f t="shared" si="30"/>
        <v>360000</v>
      </c>
      <c r="AG27" s="260"/>
      <c r="AH27" s="260"/>
      <c r="AI27" s="260"/>
      <c r="AJ27" s="263"/>
      <c r="AK27" s="263"/>
      <c r="AL27" s="263"/>
      <c r="AM27" s="108">
        <f>AG27*'1. Standard_Cost'!$B$27+'Incremental_Cost Year 3'!AH27*'1. Standard_Cost'!$C$27+'Incremental_Cost Year 3'!AI27*'1. Standard_Cost'!$D$27+'Incremental_Cost Year 3'!AJ27+'Incremental_Cost Year 3'!AL27+AK27</f>
        <v>0</v>
      </c>
      <c r="AN27" s="108">
        <f>AM27*'1. Standard_Cost'!$C$31</f>
        <v>0</v>
      </c>
      <c r="AO27" s="125" t="s">
        <v>284</v>
      </c>
      <c r="AQ27" s="14">
        <f t="shared" ref="AQ27:AQ29" si="33">L27+M27</f>
        <v>58933.5</v>
      </c>
      <c r="AR27" s="14">
        <f t="shared" si="31"/>
        <v>360000</v>
      </c>
      <c r="AS27" s="14">
        <f t="shared" si="32"/>
        <v>0</v>
      </c>
      <c r="AT27" s="14">
        <f t="shared" ref="AT27:AT29" si="34">SUM(AQ27,AR27,AS27)</f>
        <v>418933.5</v>
      </c>
      <c r="AU27" s="234">
        <v>62435</v>
      </c>
      <c r="AV27" s="234"/>
      <c r="AW27" s="234"/>
      <c r="AX27" s="234"/>
      <c r="AY27" s="234"/>
      <c r="AZ27" s="234">
        <v>360000</v>
      </c>
      <c r="BA27" s="234"/>
      <c r="BB27" s="16">
        <f t="shared" ref="BB27:BB29" si="35">SUM(AU27:BA27)-AT27</f>
        <v>3501.5</v>
      </c>
    </row>
    <row r="28" spans="1:54" ht="187.2" customHeight="1" outlineLevel="2">
      <c r="A28" s="98"/>
      <c r="B28" s="143"/>
      <c r="C28" s="144"/>
      <c r="D28" s="290"/>
      <c r="E28" s="290"/>
      <c r="F28" s="290"/>
      <c r="G28" s="291"/>
      <c r="H28" s="302" t="s">
        <v>658</v>
      </c>
      <c r="I28" s="258" t="s">
        <v>5</v>
      </c>
      <c r="J28" s="259">
        <v>0.5</v>
      </c>
      <c r="K28" s="259">
        <v>2</v>
      </c>
      <c r="L28" s="106">
        <f>IF(I28&lt;&gt;0,((VLOOKUP(I28,'1. Standard_Cost'!$B$4:$D$11,2)+VLOOKUP(I28,'1. Standard_Cost'!$B$4:$D$11,3))*J28*K28),"0")</f>
        <v>70700</v>
      </c>
      <c r="M28" s="106">
        <f>L28*'1. Standard_Cost'!$F$4</f>
        <v>11806.900000000001</v>
      </c>
      <c r="N28" s="260">
        <v>1</v>
      </c>
      <c r="O28" s="260">
        <v>3</v>
      </c>
      <c r="P28" s="260">
        <v>85</v>
      </c>
      <c r="Q28" s="260"/>
      <c r="R28" s="108">
        <f>'1. Standard_Cost'!$B$15*N28*P28</f>
        <v>170000</v>
      </c>
      <c r="S28" s="108">
        <f>N28*O28*P28*'1. Standard_Cost'!$C$15</f>
        <v>382500</v>
      </c>
      <c r="T28" s="108">
        <f>N28*P28*Q28*'1. Standard_Cost'!$D$15</f>
        <v>0</v>
      </c>
      <c r="U28" s="108">
        <f>N28*O28*'1. Standard_Cost'!$E$15</f>
        <v>120000</v>
      </c>
      <c r="V28" s="107"/>
      <c r="W28" s="107"/>
      <c r="X28" s="107"/>
      <c r="Y28" s="108">
        <f>+V28*((X28*'1. Standard_Cost'!$B$19)+(W28*X28*'1. Standard_Cost'!$C$19))</f>
        <v>0</v>
      </c>
      <c r="Z28" s="107"/>
      <c r="AA28" s="107"/>
      <c r="AB28" s="108">
        <f>+Z28*'1. Standard_Cost'!$B$23+AA28*'1. Standard_Cost'!$C$23</f>
        <v>0</v>
      </c>
      <c r="AC28" s="261">
        <v>1200000</v>
      </c>
      <c r="AD28" s="262"/>
      <c r="AE28" s="108">
        <f>SUM(AD28,AC28,AB28,Y28,U28,T28,S28,R28)*'1. Standard_Cost'!$B$31</f>
        <v>374500</v>
      </c>
      <c r="AF28" s="108">
        <f t="shared" si="30"/>
        <v>2247000</v>
      </c>
      <c r="AG28" s="260"/>
      <c r="AH28" s="260"/>
      <c r="AI28" s="260"/>
      <c r="AJ28" s="263"/>
      <c r="AK28" s="263"/>
      <c r="AL28" s="263"/>
      <c r="AM28" s="108">
        <f>AG28*'1. Standard_Cost'!$B$27+'Incremental_Cost Year 3'!AH28*'1. Standard_Cost'!$C$27+'Incremental_Cost Year 3'!AI28*'1. Standard_Cost'!$D$27+'Incremental_Cost Year 3'!AJ28+'Incremental_Cost Year 3'!AL28+AK28</f>
        <v>0</v>
      </c>
      <c r="AN28" s="108">
        <f>AM28*'1. Standard_Cost'!$C$31</f>
        <v>0</v>
      </c>
      <c r="AO28" s="125" t="s">
        <v>285</v>
      </c>
      <c r="AQ28" s="14">
        <f t="shared" si="33"/>
        <v>82506.899999999994</v>
      </c>
      <c r="AR28" s="14">
        <f t="shared" si="31"/>
        <v>2247000</v>
      </c>
      <c r="AS28" s="14">
        <f t="shared" si="32"/>
        <v>0</v>
      </c>
      <c r="AT28" s="14">
        <f t="shared" si="34"/>
        <v>2329506.9</v>
      </c>
      <c r="AU28" s="234">
        <v>82507</v>
      </c>
      <c r="AV28" s="234"/>
      <c r="AW28" s="234"/>
      <c r="AX28" s="234"/>
      <c r="AY28" s="234"/>
      <c r="AZ28" s="234"/>
      <c r="BA28" s="234"/>
      <c r="BB28" s="16">
        <f t="shared" si="35"/>
        <v>-2246999.9</v>
      </c>
    </row>
    <row r="29" spans="1:54" ht="93.6" outlineLevel="2">
      <c r="A29" s="98"/>
      <c r="B29" s="143"/>
      <c r="C29" s="144"/>
      <c r="D29" s="290"/>
      <c r="E29" s="290"/>
      <c r="F29" s="290"/>
      <c r="G29" s="291"/>
      <c r="H29" s="302" t="s">
        <v>588</v>
      </c>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107"/>
      <c r="AA29" s="107"/>
      <c r="AB29" s="108">
        <f>+Z29*'1. Standard_Cost'!$B$23+AA29*'1. Standard_Cost'!$C$23</f>
        <v>0</v>
      </c>
      <c r="AC29" s="261"/>
      <c r="AD29" s="262"/>
      <c r="AE29" s="108">
        <f>SUM(AD29,AC29,AB29,Y29,U29,T29,S29,R29)*'1. Standard_Cost'!$B$31</f>
        <v>0</v>
      </c>
      <c r="AF29" s="108">
        <f t="shared" si="30"/>
        <v>0</v>
      </c>
      <c r="AG29" s="260"/>
      <c r="AH29" s="260"/>
      <c r="AI29" s="260"/>
      <c r="AJ29" s="263"/>
      <c r="AK29" s="263">
        <v>1800000</v>
      </c>
      <c r="AL29" s="263"/>
      <c r="AM29" s="108">
        <f>AG29*'1. Standard_Cost'!$B$27+'Incremental_Cost Year 3'!AH29*'1. Standard_Cost'!$C$27+'Incremental_Cost Year 3'!AI29*'1. Standard_Cost'!$D$27+'Incremental_Cost Year 3'!AJ29+'Incremental_Cost Year 3'!AL29+AK29</f>
        <v>1800000</v>
      </c>
      <c r="AN29" s="108">
        <f>AM29*'1. Standard_Cost'!$C$31</f>
        <v>270000</v>
      </c>
      <c r="AO29" s="125" t="s">
        <v>286</v>
      </c>
      <c r="AQ29" s="14">
        <f t="shared" si="33"/>
        <v>0</v>
      </c>
      <c r="AR29" s="14">
        <f t="shared" si="31"/>
        <v>0</v>
      </c>
      <c r="AS29" s="14">
        <f t="shared" si="32"/>
        <v>2070000</v>
      </c>
      <c r="AT29" s="14">
        <f t="shared" si="34"/>
        <v>2070000</v>
      </c>
      <c r="AU29" s="234"/>
      <c r="AV29" s="234"/>
      <c r="AW29" s="234"/>
      <c r="AX29" s="234"/>
      <c r="AY29" s="234"/>
      <c r="AZ29" s="234"/>
      <c r="BA29" s="234"/>
      <c r="BB29" s="16">
        <f t="shared" si="35"/>
        <v>-2070000</v>
      </c>
    </row>
    <row r="30" spans="1:54" ht="78" outlineLevel="1">
      <c r="A30" s="98"/>
      <c r="B30" s="143"/>
      <c r="C30" s="144"/>
      <c r="D30" s="287" t="s">
        <v>627</v>
      </c>
      <c r="E30" s="287" t="s">
        <v>209</v>
      </c>
      <c r="F30" s="287">
        <v>2021</v>
      </c>
      <c r="G30" s="287">
        <v>2026</v>
      </c>
      <c r="H30" s="287" t="s">
        <v>191</v>
      </c>
      <c r="I30" s="112"/>
      <c r="J30" s="112"/>
      <c r="K30" s="112"/>
      <c r="L30" s="113">
        <f>SUM(L26:L29)</f>
        <v>121200</v>
      </c>
      <c r="M30" s="113">
        <f>SUM(M26:M29)</f>
        <v>20240.400000000001</v>
      </c>
      <c r="N30" s="112"/>
      <c r="O30" s="112"/>
      <c r="P30" s="112"/>
      <c r="Q30" s="112"/>
      <c r="R30" s="113">
        <f t="shared" ref="R30:U30" si="36">SUM(R26:R29)</f>
        <v>170000</v>
      </c>
      <c r="S30" s="113">
        <f t="shared" si="36"/>
        <v>382500</v>
      </c>
      <c r="T30" s="113">
        <f t="shared" si="36"/>
        <v>0</v>
      </c>
      <c r="U30" s="113">
        <f t="shared" si="36"/>
        <v>120000</v>
      </c>
      <c r="V30" s="112"/>
      <c r="W30" s="112"/>
      <c r="X30" s="112"/>
      <c r="Y30" s="113">
        <f>SUM(Y26:Y29)</f>
        <v>0</v>
      </c>
      <c r="Z30" s="112"/>
      <c r="AA30" s="112"/>
      <c r="AB30" s="113">
        <f t="shared" ref="AB30:AF30" si="37">SUM(AB26:AB29)</f>
        <v>0</v>
      </c>
      <c r="AC30" s="113">
        <f t="shared" si="37"/>
        <v>1920000</v>
      </c>
      <c r="AD30" s="113">
        <f t="shared" si="37"/>
        <v>0</v>
      </c>
      <c r="AE30" s="113">
        <f t="shared" si="37"/>
        <v>518500</v>
      </c>
      <c r="AF30" s="113">
        <f t="shared" si="37"/>
        <v>3111000</v>
      </c>
      <c r="AG30" s="112"/>
      <c r="AH30" s="112"/>
      <c r="AI30" s="112"/>
      <c r="AJ30" s="113">
        <f t="shared" ref="AJ30:AN30" si="38">SUM(AJ26:AJ29)</f>
        <v>0</v>
      </c>
      <c r="AK30" s="113">
        <f t="shared" si="38"/>
        <v>1800000</v>
      </c>
      <c r="AL30" s="113">
        <f t="shared" si="38"/>
        <v>0</v>
      </c>
      <c r="AM30" s="113">
        <f t="shared" si="38"/>
        <v>1800000</v>
      </c>
      <c r="AN30" s="113">
        <f t="shared" si="38"/>
        <v>270000</v>
      </c>
      <c r="AO30" s="131"/>
      <c r="AP30" s="17"/>
      <c r="AQ30" s="113">
        <f t="shared" ref="AQ30:BB30" si="39">SUM(AQ26:AQ29)</f>
        <v>141440.4</v>
      </c>
      <c r="AR30" s="113">
        <f t="shared" si="39"/>
        <v>3111000</v>
      </c>
      <c r="AS30" s="113">
        <f t="shared" si="39"/>
        <v>2070000</v>
      </c>
      <c r="AT30" s="113">
        <f t="shared" si="39"/>
        <v>5322440.4000000004</v>
      </c>
      <c r="AU30" s="113">
        <f t="shared" si="39"/>
        <v>144942</v>
      </c>
      <c r="AV30" s="113">
        <f t="shared" si="39"/>
        <v>0</v>
      </c>
      <c r="AW30" s="113">
        <f t="shared" si="39"/>
        <v>0</v>
      </c>
      <c r="AX30" s="113">
        <f t="shared" si="39"/>
        <v>0</v>
      </c>
      <c r="AY30" s="113">
        <f t="shared" si="39"/>
        <v>0</v>
      </c>
      <c r="AZ30" s="113">
        <f t="shared" si="39"/>
        <v>360000</v>
      </c>
      <c r="BA30" s="113">
        <f t="shared" si="39"/>
        <v>0</v>
      </c>
      <c r="BB30" s="113">
        <f t="shared" si="39"/>
        <v>-4817498.4000000004</v>
      </c>
    </row>
    <row r="31" spans="1:54" s="13" customFormat="1" ht="15.6" customHeight="1">
      <c r="A31" s="101"/>
      <c r="B31" s="319" t="s">
        <v>211</v>
      </c>
      <c r="C31" s="320"/>
      <c r="D31" s="320"/>
      <c r="E31" s="321"/>
      <c r="F31" s="292"/>
      <c r="G31" s="292"/>
      <c r="H31" s="292" t="s">
        <v>63</v>
      </c>
      <c r="I31" s="40"/>
      <c r="J31" s="40"/>
      <c r="K31" s="40"/>
      <c r="L31" s="41">
        <f>SUM(L32,L40,L80)</f>
        <v>13306030</v>
      </c>
      <c r="M31" s="41">
        <f>SUM(M32,M40,M80)</f>
        <v>2222107.0099999998</v>
      </c>
      <c r="N31" s="40"/>
      <c r="O31" s="40"/>
      <c r="P31" s="40"/>
      <c r="Q31" s="40"/>
      <c r="R31" s="41">
        <f t="shared" ref="R31:U31" si="40">SUM(R32,R40,R80)</f>
        <v>1190000</v>
      </c>
      <c r="S31" s="41">
        <f t="shared" si="40"/>
        <v>1057500</v>
      </c>
      <c r="T31" s="41">
        <f t="shared" si="40"/>
        <v>0</v>
      </c>
      <c r="U31" s="41">
        <f t="shared" si="40"/>
        <v>1640000</v>
      </c>
      <c r="V31" s="40"/>
      <c r="W31" s="40"/>
      <c r="X31" s="40"/>
      <c r="Y31" s="41">
        <f>SUM(Y32,Y40,Y80)</f>
        <v>0</v>
      </c>
      <c r="Z31" s="40"/>
      <c r="AA31" s="40"/>
      <c r="AB31" s="41">
        <f t="shared" ref="AB31:AF31" si="41">SUM(AB32,AB40,AB80)</f>
        <v>7456000</v>
      </c>
      <c r="AC31" s="41">
        <f t="shared" si="41"/>
        <v>22747378.880000003</v>
      </c>
      <c r="AD31" s="41">
        <f t="shared" si="41"/>
        <v>0</v>
      </c>
      <c r="AE31" s="41">
        <f t="shared" si="41"/>
        <v>6818175.7760000005</v>
      </c>
      <c r="AF31" s="41">
        <f t="shared" si="41"/>
        <v>40909054.656000003</v>
      </c>
      <c r="AG31" s="41"/>
      <c r="AH31" s="41"/>
      <c r="AI31" s="41"/>
      <c r="AJ31" s="41">
        <f t="shared" ref="AJ31:AN31" si="42">SUM(AJ32,AJ40,AJ80)</f>
        <v>0</v>
      </c>
      <c r="AK31" s="41">
        <f t="shared" si="42"/>
        <v>6000000</v>
      </c>
      <c r="AL31" s="41">
        <f t="shared" si="42"/>
        <v>1700000</v>
      </c>
      <c r="AM31" s="41">
        <f t="shared" si="42"/>
        <v>7700000</v>
      </c>
      <c r="AN31" s="41">
        <f t="shared" si="42"/>
        <v>1155000</v>
      </c>
      <c r="AO31" s="129"/>
      <c r="AQ31" s="41">
        <f t="shared" ref="AQ31:BB31" si="43">SUM(AQ32,AQ40,AQ80)</f>
        <v>15528137.010000002</v>
      </c>
      <c r="AR31" s="41">
        <f t="shared" si="43"/>
        <v>40909054.656000003</v>
      </c>
      <c r="AS31" s="41">
        <f t="shared" si="43"/>
        <v>8855000</v>
      </c>
      <c r="AT31" s="41">
        <f t="shared" si="43"/>
        <v>65292191.665999994</v>
      </c>
      <c r="AU31" s="41">
        <f t="shared" si="43"/>
        <v>24150419</v>
      </c>
      <c r="AV31" s="41">
        <f t="shared" si="43"/>
        <v>0</v>
      </c>
      <c r="AW31" s="41">
        <f t="shared" si="43"/>
        <v>0</v>
      </c>
      <c r="AX31" s="41">
        <f t="shared" si="43"/>
        <v>3042000</v>
      </c>
      <c r="AY31" s="41">
        <f t="shared" si="43"/>
        <v>0</v>
      </c>
      <c r="AZ31" s="41">
        <f t="shared" si="43"/>
        <v>902400</v>
      </c>
      <c r="BA31" s="41">
        <f t="shared" si="43"/>
        <v>5712757</v>
      </c>
      <c r="BB31" s="41">
        <f t="shared" si="43"/>
        <v>-31484615.666000001</v>
      </c>
    </row>
    <row r="32" spans="1:54" s="13" customFormat="1" ht="15.6" customHeight="1">
      <c r="A32" s="101"/>
      <c r="B32" s="155"/>
      <c r="C32" s="322" t="s">
        <v>210</v>
      </c>
      <c r="D32" s="322"/>
      <c r="E32" s="323"/>
      <c r="F32" s="299"/>
      <c r="G32" s="299"/>
      <c r="H32" s="293" t="s">
        <v>181</v>
      </c>
      <c r="I32" s="37"/>
      <c r="J32" s="37"/>
      <c r="K32" s="37"/>
      <c r="L32" s="42">
        <f>SUM(L39)</f>
        <v>212100</v>
      </c>
      <c r="M32" s="42">
        <f>SUM(M39)</f>
        <v>35420.700000000004</v>
      </c>
      <c r="N32" s="42"/>
      <c r="O32" s="42"/>
      <c r="P32" s="42"/>
      <c r="Q32" s="42"/>
      <c r="R32" s="42">
        <f t="shared" ref="R32:U32" si="44">SUM(R39)</f>
        <v>0</v>
      </c>
      <c r="S32" s="42">
        <f t="shared" si="44"/>
        <v>0</v>
      </c>
      <c r="T32" s="42">
        <f t="shared" si="44"/>
        <v>0</v>
      </c>
      <c r="U32" s="42">
        <f t="shared" si="44"/>
        <v>0</v>
      </c>
      <c r="V32" s="42"/>
      <c r="W32" s="42"/>
      <c r="X32" s="42"/>
      <c r="Y32" s="42">
        <f>SUM(Y39)</f>
        <v>0</v>
      </c>
      <c r="Z32" s="42"/>
      <c r="AA32" s="42"/>
      <c r="AB32" s="42">
        <f t="shared" ref="AB32:AF32" si="45">SUM(AB39)</f>
        <v>475000</v>
      </c>
      <c r="AC32" s="42">
        <f t="shared" si="45"/>
        <v>1950000</v>
      </c>
      <c r="AD32" s="42">
        <f t="shared" si="45"/>
        <v>0</v>
      </c>
      <c r="AE32" s="42">
        <f t="shared" si="45"/>
        <v>485000</v>
      </c>
      <c r="AF32" s="42">
        <f t="shared" si="45"/>
        <v>2910000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247520.69999999998</v>
      </c>
      <c r="AR32" s="42">
        <f t="shared" si="47"/>
        <v>2910000</v>
      </c>
      <c r="AS32" s="42">
        <f t="shared" si="47"/>
        <v>0</v>
      </c>
      <c r="AT32" s="42">
        <f t="shared" si="47"/>
        <v>3157520.7</v>
      </c>
      <c r="AU32" s="42">
        <f t="shared" si="47"/>
        <v>547521</v>
      </c>
      <c r="AV32" s="42">
        <f t="shared" si="47"/>
        <v>0</v>
      </c>
      <c r="AW32" s="42">
        <f t="shared" si="47"/>
        <v>0</v>
      </c>
      <c r="AX32" s="42">
        <f t="shared" si="47"/>
        <v>0</v>
      </c>
      <c r="AY32" s="42">
        <f t="shared" si="47"/>
        <v>0</v>
      </c>
      <c r="AZ32" s="42">
        <f t="shared" si="47"/>
        <v>0</v>
      </c>
      <c r="BA32" s="42">
        <f t="shared" si="47"/>
        <v>0</v>
      </c>
      <c r="BB32" s="42">
        <f t="shared" si="47"/>
        <v>-2609999.7000000002</v>
      </c>
    </row>
    <row r="33" spans="1:54" ht="93.6" outlineLevel="2">
      <c r="A33" s="98"/>
      <c r="B33" s="143"/>
      <c r="C33" s="144"/>
      <c r="D33" s="149"/>
      <c r="E33" s="149"/>
      <c r="F33" s="288"/>
      <c r="G33" s="289"/>
      <c r="H33" s="302" t="s">
        <v>582</v>
      </c>
      <c r="I33" s="280"/>
      <c r="J33" s="281"/>
      <c r="K33" s="281"/>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260"/>
      <c r="AA33" s="260"/>
      <c r="AB33" s="108">
        <f>+Z33*'1. Standard_Cost'!$B$23+AA33*'1. Standard_Cost'!$C$23</f>
        <v>0</v>
      </c>
      <c r="AC33" s="261"/>
      <c r="AD33" s="262"/>
      <c r="AE33" s="108">
        <f>SUM(AD33,AC33,AB33,Y33,U33,T33,S33,R33)*'1. Standard_Cost'!$B$31</f>
        <v>0</v>
      </c>
      <c r="AF33" s="108">
        <f t="shared" ref="AF33:AF38" si="48">SUM(AE33,AD33,AC33,AB33,Y33,U33,T33,S33,R33)</f>
        <v>0</v>
      </c>
      <c r="AG33" s="107"/>
      <c r="AH33" s="107"/>
      <c r="AI33" s="107"/>
      <c r="AJ33" s="111"/>
      <c r="AK33" s="111"/>
      <c r="AL33" s="111"/>
      <c r="AM33" s="108">
        <f>AG33*'1. Standard_Cost'!$B$27+'Incremental_Cost Year 3'!AH33*'1. Standard_Cost'!$C$27+'Incremental_Cost Year 3'!AI33*'1. Standard_Cost'!$D$27+'Incremental_Cost Year 3'!AJ33+'Incremental_Cost Year 3'!AL33+AK33</f>
        <v>0</v>
      </c>
      <c r="AN33" s="108">
        <f>AM33*'1. Standard_Cost'!$C$31</f>
        <v>0</v>
      </c>
      <c r="AO33" s="125" t="s">
        <v>287</v>
      </c>
      <c r="AQ33" s="14">
        <f t="shared" ref="AQ33:AQ38" si="49">L33+M33</f>
        <v>0</v>
      </c>
      <c r="AR33" s="14">
        <f t="shared" ref="AR33:AR38" si="50">AF33</f>
        <v>0</v>
      </c>
      <c r="AS33" s="14">
        <f t="shared" ref="AS33:AS38" si="51">AM33+AN33</f>
        <v>0</v>
      </c>
      <c r="AT33" s="14">
        <f>SUM(AQ33,AR33,AS33)</f>
        <v>0</v>
      </c>
      <c r="AU33" s="234"/>
      <c r="AV33" s="234"/>
      <c r="AW33" s="234"/>
      <c r="AX33" s="234"/>
      <c r="AY33" s="234"/>
      <c r="AZ33" s="234"/>
      <c r="BA33" s="234"/>
      <c r="BB33" s="16">
        <f t="shared" ref="BB33:BB38" si="52">SUM(AU33:BA33)-AT33</f>
        <v>0</v>
      </c>
    </row>
    <row r="34" spans="1:54" ht="124.8" outlineLevel="2">
      <c r="A34" s="98"/>
      <c r="B34" s="143"/>
      <c r="C34" s="144"/>
      <c r="D34" s="290"/>
      <c r="E34" s="290"/>
      <c r="F34" s="290"/>
      <c r="G34" s="291"/>
      <c r="H34" s="302" t="s">
        <v>583</v>
      </c>
      <c r="I34" s="280" t="s">
        <v>5</v>
      </c>
      <c r="J34" s="281">
        <v>1</v>
      </c>
      <c r="K34" s="281">
        <v>2</v>
      </c>
      <c r="L34" s="106">
        <f>IF(I34&lt;&gt;0,((VLOOKUP(I34,'1. Standard_Cost'!$B$4:$D$11,2)+VLOOKUP(I34,'1. Standard_Cost'!$B$4:$D$11,3))*J34*K34),"0")</f>
        <v>141400</v>
      </c>
      <c r="M34" s="106">
        <f>L34*'1. Standard_Cost'!$F$4</f>
        <v>23613.800000000003</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260"/>
      <c r="AA34" s="260">
        <v>10</v>
      </c>
      <c r="AB34" s="108">
        <f>+Z34*'1. Standard_Cost'!$B$23+AA34*'1. Standard_Cost'!$C$23</f>
        <v>190000</v>
      </c>
      <c r="AC34" s="261">
        <v>250000</v>
      </c>
      <c r="AD34" s="262"/>
      <c r="AE34" s="108">
        <f>SUM(AD34,AC34,AB34,Y34,U34,T34,S34,R34)*'1. Standard_Cost'!$B$31</f>
        <v>88000</v>
      </c>
      <c r="AF34" s="108">
        <f t="shared" si="48"/>
        <v>528000</v>
      </c>
      <c r="AG34" s="107"/>
      <c r="AH34" s="107"/>
      <c r="AI34" s="107"/>
      <c r="AJ34" s="111"/>
      <c r="AK34" s="111"/>
      <c r="AL34" s="111"/>
      <c r="AM34" s="108">
        <f>AG34*'1. Standard_Cost'!$B$27+'Incremental_Cost Year 3'!AH34*'1. Standard_Cost'!$C$27+'Incremental_Cost Year 3'!AI34*'1. Standard_Cost'!$D$27+'Incremental_Cost Year 3'!AJ34+'Incremental_Cost Year 3'!AL34+AK34</f>
        <v>0</v>
      </c>
      <c r="AN34" s="108">
        <f>AM34*'1. Standard_Cost'!$C$31</f>
        <v>0</v>
      </c>
      <c r="AO34" s="125" t="s">
        <v>288</v>
      </c>
      <c r="AQ34" s="14">
        <f t="shared" si="49"/>
        <v>165013.79999999999</v>
      </c>
      <c r="AR34" s="14">
        <f t="shared" si="50"/>
        <v>528000</v>
      </c>
      <c r="AS34" s="14">
        <f t="shared" si="51"/>
        <v>0</v>
      </c>
      <c r="AT34" s="14">
        <f t="shared" ref="AT34:AT38" si="53">SUM(AQ34,AR34,AS34)</f>
        <v>693013.8</v>
      </c>
      <c r="AU34" s="234">
        <v>465014</v>
      </c>
      <c r="AV34" s="234"/>
      <c r="AW34" s="234"/>
      <c r="AX34" s="234"/>
      <c r="AY34" s="234"/>
      <c r="AZ34" s="234"/>
      <c r="BA34" s="234"/>
      <c r="BB34" s="16">
        <f t="shared" si="52"/>
        <v>-227999.80000000005</v>
      </c>
    </row>
    <row r="35" spans="1:54" ht="78" outlineLevel="2">
      <c r="A35" s="98"/>
      <c r="B35" s="143"/>
      <c r="C35" s="144"/>
      <c r="D35" s="290"/>
      <c r="E35" s="290"/>
      <c r="F35" s="290"/>
      <c r="G35" s="291"/>
      <c r="H35" s="302" t="s">
        <v>672</v>
      </c>
      <c r="I35" s="258"/>
      <c r="J35" s="259"/>
      <c r="K35" s="259"/>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260"/>
      <c r="AA35" s="260"/>
      <c r="AB35" s="108">
        <f>+Z35*'1. Standard_Cost'!$B$23+AA35*'1. Standard_Cost'!$C$23</f>
        <v>0</v>
      </c>
      <c r="AC35" s="261"/>
      <c r="AD35" s="262"/>
      <c r="AE35" s="108">
        <f>SUM(AD35,AC35,AB35,Y35,U35,T35,S35,R35)*'1. Standard_Cost'!$B$31</f>
        <v>0</v>
      </c>
      <c r="AF35" s="108">
        <f t="shared" si="48"/>
        <v>0</v>
      </c>
      <c r="AG35" s="107"/>
      <c r="AH35" s="107"/>
      <c r="AI35" s="107"/>
      <c r="AJ35" s="111"/>
      <c r="AK35" s="111"/>
      <c r="AL35" s="111"/>
      <c r="AM35" s="108">
        <f>AG35*'1. Standard_Cost'!$B$27+'Incremental_Cost Year 3'!AH35*'1. Standard_Cost'!$C$27+'Incremental_Cost Year 3'!AI35*'1. Standard_Cost'!$D$27+'Incremental_Cost Year 3'!AJ35+'Incremental_Cost Year 3'!AL35+AK35</f>
        <v>0</v>
      </c>
      <c r="AN35" s="108">
        <f>AM35*'1. Standard_Cost'!$C$31</f>
        <v>0</v>
      </c>
      <c r="AO35" s="125" t="s">
        <v>289</v>
      </c>
      <c r="AQ35" s="14">
        <f t="shared" si="49"/>
        <v>0</v>
      </c>
      <c r="AR35" s="14">
        <f t="shared" si="50"/>
        <v>0</v>
      </c>
      <c r="AS35" s="14">
        <f t="shared" si="51"/>
        <v>0</v>
      </c>
      <c r="AT35" s="14">
        <f t="shared" si="53"/>
        <v>0</v>
      </c>
      <c r="AU35" s="234"/>
      <c r="AV35" s="234"/>
      <c r="AW35" s="234"/>
      <c r="AX35" s="234"/>
      <c r="AY35" s="234"/>
      <c r="AZ35" s="234"/>
      <c r="BA35" s="234"/>
      <c r="BB35" s="16">
        <f t="shared" si="52"/>
        <v>0</v>
      </c>
    </row>
    <row r="36" spans="1:54" ht="124.8" outlineLevel="2">
      <c r="A36" s="98"/>
      <c r="B36" s="143"/>
      <c r="C36" s="144"/>
      <c r="D36" s="290"/>
      <c r="E36" s="290"/>
      <c r="F36" s="290"/>
      <c r="G36" s="291"/>
      <c r="H36" s="302" t="s">
        <v>584</v>
      </c>
      <c r="I36" s="280" t="s">
        <v>5</v>
      </c>
      <c r="J36" s="281">
        <v>0.5</v>
      </c>
      <c r="K36" s="281">
        <v>2</v>
      </c>
      <c r="L36" s="106">
        <f>IF(I36&lt;&gt;0,((VLOOKUP(I36,'1. Standard_Cost'!$B$4:$D$11,2)+VLOOKUP(I36,'1. Standard_Cost'!$B$4:$D$11,3))*J36*K36),"0")</f>
        <v>70700</v>
      </c>
      <c r="M36" s="106">
        <f>L36*'1. Standard_Cost'!$F$4</f>
        <v>11806.900000000001</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260"/>
      <c r="AA36" s="260">
        <v>15</v>
      </c>
      <c r="AB36" s="108">
        <f>+Z36*'1. Standard_Cost'!$B$23+AA36*'1. Standard_Cost'!$C$23</f>
        <v>285000</v>
      </c>
      <c r="AC36" s="261"/>
      <c r="AD36" s="262"/>
      <c r="AE36" s="108">
        <f>SUM(AD36,AC36,AB36,Y36,U36,T36,S36,R36)*'1. Standard_Cost'!$B$31</f>
        <v>57000</v>
      </c>
      <c r="AF36" s="108">
        <f t="shared" si="48"/>
        <v>342000</v>
      </c>
      <c r="AG36" s="107"/>
      <c r="AH36" s="107"/>
      <c r="AI36" s="107"/>
      <c r="AJ36" s="111"/>
      <c r="AK36" s="111"/>
      <c r="AL36" s="111"/>
      <c r="AM36" s="108">
        <f>AG36*'1. Standard_Cost'!$B$27+'Incremental_Cost Year 3'!AH36*'1. Standard_Cost'!$C$27+'Incremental_Cost Year 3'!AI36*'1. Standard_Cost'!$D$27+'Incremental_Cost Year 3'!AJ36+'Incremental_Cost Year 3'!AL36+AK36</f>
        <v>0</v>
      </c>
      <c r="AN36" s="108">
        <f>AM36*'1. Standard_Cost'!$C$31</f>
        <v>0</v>
      </c>
      <c r="AO36" s="125" t="s">
        <v>290</v>
      </c>
      <c r="AQ36" s="14">
        <f t="shared" si="49"/>
        <v>82506.899999999994</v>
      </c>
      <c r="AR36" s="14">
        <f t="shared" si="50"/>
        <v>342000</v>
      </c>
      <c r="AS36" s="14">
        <f t="shared" si="51"/>
        <v>0</v>
      </c>
      <c r="AT36" s="14">
        <f t="shared" si="53"/>
        <v>424506.9</v>
      </c>
      <c r="AU36" s="234">
        <v>82507</v>
      </c>
      <c r="AV36" s="234"/>
      <c r="AW36" s="234"/>
      <c r="AX36" s="234"/>
      <c r="AY36" s="234"/>
      <c r="AZ36" s="234"/>
      <c r="BA36" s="234"/>
      <c r="BB36" s="16">
        <f t="shared" si="52"/>
        <v>-341999.9</v>
      </c>
    </row>
    <row r="37" spans="1:54" ht="124.8" outlineLevel="2">
      <c r="A37" s="98"/>
      <c r="B37" s="143"/>
      <c r="C37" s="144"/>
      <c r="D37" s="290"/>
      <c r="E37" s="290"/>
      <c r="F37" s="290"/>
      <c r="G37" s="291"/>
      <c r="H37" s="302" t="s">
        <v>673</v>
      </c>
      <c r="I37" s="258"/>
      <c r="J37" s="259"/>
      <c r="K37" s="259"/>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260"/>
      <c r="AA37" s="260"/>
      <c r="AB37" s="108">
        <f>+Z37*'1. Standard_Cost'!$B$23+AA37*'1. Standard_Cost'!$C$23</f>
        <v>0</v>
      </c>
      <c r="AC37" s="261"/>
      <c r="AD37" s="262"/>
      <c r="AE37" s="108">
        <f>SUM(AD37,AC37,AB37,Y37,U37,T37,S37,R37)*'1. Standard_Cost'!$B$31</f>
        <v>0</v>
      </c>
      <c r="AF37" s="108">
        <f t="shared" si="48"/>
        <v>0</v>
      </c>
      <c r="AG37" s="107"/>
      <c r="AH37" s="107"/>
      <c r="AI37" s="107"/>
      <c r="AJ37" s="111"/>
      <c r="AK37" s="111"/>
      <c r="AL37" s="111"/>
      <c r="AM37" s="108">
        <f>AG37*'1. Standard_Cost'!$B$27+'Incremental_Cost Year 3'!AH37*'1. Standard_Cost'!$C$27+'Incremental_Cost Year 3'!AI37*'1. Standard_Cost'!$D$27+'Incremental_Cost Year 3'!AJ37+'Incremental_Cost Year 3'!AL37+AK37</f>
        <v>0</v>
      </c>
      <c r="AN37" s="108">
        <f>AM37*'1. Standard_Cost'!$C$31</f>
        <v>0</v>
      </c>
      <c r="AO37" s="125" t="s">
        <v>291</v>
      </c>
      <c r="AQ37" s="14">
        <f t="shared" si="49"/>
        <v>0</v>
      </c>
      <c r="AR37" s="14">
        <f t="shared" si="50"/>
        <v>0</v>
      </c>
      <c r="AS37" s="14">
        <f t="shared" si="51"/>
        <v>0</v>
      </c>
      <c r="AT37" s="14">
        <f t="shared" si="53"/>
        <v>0</v>
      </c>
      <c r="AU37" s="234"/>
      <c r="AV37" s="234"/>
      <c r="AW37" s="234"/>
      <c r="AX37" s="234"/>
      <c r="AY37" s="234"/>
      <c r="AZ37" s="234"/>
      <c r="BA37" s="234"/>
      <c r="BB37" s="16">
        <f t="shared" si="52"/>
        <v>0</v>
      </c>
    </row>
    <row r="38" spans="1:54" ht="78" outlineLevel="2">
      <c r="A38" s="98"/>
      <c r="B38" s="143"/>
      <c r="C38" s="144"/>
      <c r="D38" s="290"/>
      <c r="E38" s="290"/>
      <c r="F38" s="290"/>
      <c r="G38" s="291"/>
      <c r="H38" s="302" t="s">
        <v>585</v>
      </c>
      <c r="I38" s="258"/>
      <c r="J38" s="259"/>
      <c r="K38" s="259"/>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260"/>
      <c r="AA38" s="260"/>
      <c r="AB38" s="108">
        <f>+Z38*'1. Standard_Cost'!$B$23+AA38*'1. Standard_Cost'!$C$23</f>
        <v>0</v>
      </c>
      <c r="AC38" s="261">
        <v>1700000</v>
      </c>
      <c r="AD38" s="262"/>
      <c r="AE38" s="108">
        <f>SUM(AD38,AC38,AB38,Y38,U38,T38,S38,R38)*'1. Standard_Cost'!$B$31</f>
        <v>340000</v>
      </c>
      <c r="AF38" s="108">
        <f t="shared" si="48"/>
        <v>2040000</v>
      </c>
      <c r="AG38" s="107"/>
      <c r="AH38" s="107"/>
      <c r="AI38" s="107"/>
      <c r="AJ38" s="111"/>
      <c r="AK38" s="111"/>
      <c r="AL38" s="111"/>
      <c r="AM38" s="108">
        <f>AG38*'1. Standard_Cost'!$B$27+'Incremental_Cost Year 3'!AH38*'1. Standard_Cost'!$C$27+'Incremental_Cost Year 3'!AI38*'1. Standard_Cost'!$D$27+'Incremental_Cost Year 3'!AJ38+'Incremental_Cost Year 3'!AL38+AK38</f>
        <v>0</v>
      </c>
      <c r="AN38" s="108">
        <f>AM38*'1. Standard_Cost'!$C$31</f>
        <v>0</v>
      </c>
      <c r="AO38" s="125" t="s">
        <v>292</v>
      </c>
      <c r="AQ38" s="14">
        <f t="shared" si="49"/>
        <v>0</v>
      </c>
      <c r="AR38" s="14">
        <f t="shared" si="50"/>
        <v>2040000</v>
      </c>
      <c r="AS38" s="14">
        <f t="shared" si="51"/>
        <v>0</v>
      </c>
      <c r="AT38" s="14">
        <f t="shared" si="53"/>
        <v>2040000</v>
      </c>
      <c r="AU38" s="234"/>
      <c r="AV38" s="234"/>
      <c r="AW38" s="234"/>
      <c r="AX38" s="234"/>
      <c r="AY38" s="234"/>
      <c r="AZ38" s="234"/>
      <c r="BA38" s="234"/>
      <c r="BB38" s="16">
        <f t="shared" si="52"/>
        <v>-2040000</v>
      </c>
    </row>
    <row r="39" spans="1:54" ht="156" outlineLevel="1">
      <c r="A39" s="98"/>
      <c r="B39" s="143"/>
      <c r="C39" s="144"/>
      <c r="D39" s="145" t="s">
        <v>628</v>
      </c>
      <c r="E39" s="145" t="s">
        <v>212</v>
      </c>
      <c r="F39" s="285">
        <v>2021</v>
      </c>
      <c r="G39" s="286">
        <v>2026</v>
      </c>
      <c r="H39" s="287" t="s">
        <v>214</v>
      </c>
      <c r="I39" s="112"/>
      <c r="J39" s="112"/>
      <c r="K39" s="112"/>
      <c r="L39" s="113">
        <f>SUM(L33:L38)</f>
        <v>212100</v>
      </c>
      <c r="M39" s="113">
        <f>SUM(M33:M38)</f>
        <v>35420.700000000004</v>
      </c>
      <c r="N39" s="112"/>
      <c r="O39" s="112"/>
      <c r="P39" s="112"/>
      <c r="Q39" s="112"/>
      <c r="R39" s="113">
        <f t="shared" ref="R39:U39" si="54">SUM(R33:R38)</f>
        <v>0</v>
      </c>
      <c r="S39" s="113">
        <f t="shared" si="54"/>
        <v>0</v>
      </c>
      <c r="T39" s="113">
        <f t="shared" si="54"/>
        <v>0</v>
      </c>
      <c r="U39" s="113">
        <f t="shared" si="54"/>
        <v>0</v>
      </c>
      <c r="V39" s="112"/>
      <c r="W39" s="112"/>
      <c r="X39" s="112"/>
      <c r="Y39" s="113">
        <f>SUM(Y33:Y38)</f>
        <v>0</v>
      </c>
      <c r="Z39" s="112"/>
      <c r="AA39" s="112"/>
      <c r="AB39" s="113">
        <f>SUM(AB33:AB38)</f>
        <v>475000</v>
      </c>
      <c r="AC39" s="113">
        <f t="shared" ref="AC39:AF39" si="55">SUM(AC33:AC38)</f>
        <v>1950000</v>
      </c>
      <c r="AD39" s="113">
        <f t="shared" si="55"/>
        <v>0</v>
      </c>
      <c r="AE39" s="113">
        <f t="shared" si="55"/>
        <v>485000</v>
      </c>
      <c r="AF39" s="113">
        <f t="shared" si="55"/>
        <v>2910000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247520.69999999998</v>
      </c>
      <c r="AR39" s="113">
        <f t="shared" si="57"/>
        <v>2910000</v>
      </c>
      <c r="AS39" s="113">
        <f t="shared" si="57"/>
        <v>0</v>
      </c>
      <c r="AT39" s="113">
        <f t="shared" si="57"/>
        <v>3157520.7</v>
      </c>
      <c r="AU39" s="113">
        <f t="shared" si="57"/>
        <v>547521</v>
      </c>
      <c r="AV39" s="113">
        <f t="shared" si="57"/>
        <v>0</v>
      </c>
      <c r="AW39" s="113">
        <f t="shared" si="57"/>
        <v>0</v>
      </c>
      <c r="AX39" s="113">
        <f t="shared" si="57"/>
        <v>0</v>
      </c>
      <c r="AY39" s="113">
        <f t="shared" si="57"/>
        <v>0</v>
      </c>
      <c r="AZ39" s="113">
        <f t="shared" si="57"/>
        <v>0</v>
      </c>
      <c r="BA39" s="113">
        <f t="shared" si="57"/>
        <v>0</v>
      </c>
      <c r="BB39" s="113">
        <f t="shared" si="57"/>
        <v>-2609999.7000000002</v>
      </c>
    </row>
    <row r="40" spans="1:54" s="24" customFormat="1" ht="13.8" customHeight="1">
      <c r="A40" s="114"/>
      <c r="B40" s="115"/>
      <c r="C40" s="314" t="s">
        <v>192</v>
      </c>
      <c r="D40" s="314"/>
      <c r="E40" s="315"/>
      <c r="F40" s="246"/>
      <c r="G40" s="246"/>
      <c r="H40" s="278" t="s">
        <v>184</v>
      </c>
      <c r="I40" s="116"/>
      <c r="J40" s="116"/>
      <c r="K40" s="116"/>
      <c r="L40" s="117">
        <f>SUM(L59,L79)</f>
        <v>12413155</v>
      </c>
      <c r="M40" s="117">
        <f>SUM(M59,M79)</f>
        <v>2072996.8849999998</v>
      </c>
      <c r="N40" s="116"/>
      <c r="O40" s="116"/>
      <c r="P40" s="116"/>
      <c r="Q40" s="116"/>
      <c r="R40" s="117">
        <f t="shared" ref="R40:U40" si="58">SUM(R59,R79)</f>
        <v>840000</v>
      </c>
      <c r="S40" s="117">
        <f t="shared" si="58"/>
        <v>652500</v>
      </c>
      <c r="T40" s="117">
        <f t="shared" si="58"/>
        <v>0</v>
      </c>
      <c r="U40" s="117">
        <f t="shared" si="58"/>
        <v>1160000</v>
      </c>
      <c r="V40" s="116"/>
      <c r="W40" s="116"/>
      <c r="X40" s="116"/>
      <c r="Y40" s="117">
        <f>SUM(Y59,Y79)</f>
        <v>0</v>
      </c>
      <c r="Z40" s="116"/>
      <c r="AA40" s="116"/>
      <c r="AB40" s="117">
        <f t="shared" ref="AB40:AF40" si="59">SUM(AB59,AB79)</f>
        <v>4085000</v>
      </c>
      <c r="AC40" s="117">
        <f t="shared" si="59"/>
        <v>16289378.880000001</v>
      </c>
      <c r="AD40" s="117">
        <f t="shared" si="59"/>
        <v>0</v>
      </c>
      <c r="AE40" s="117">
        <f t="shared" si="59"/>
        <v>4605375.7760000005</v>
      </c>
      <c r="AF40" s="117">
        <f t="shared" si="59"/>
        <v>27632254.655999999</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14486151.885000002</v>
      </c>
      <c r="AR40" s="117">
        <f t="shared" si="61"/>
        <v>27632254.655999999</v>
      </c>
      <c r="AS40" s="117">
        <f t="shared" si="61"/>
        <v>0</v>
      </c>
      <c r="AT40" s="117">
        <f t="shared" si="61"/>
        <v>42118406.540999994</v>
      </c>
      <c r="AU40" s="117">
        <f t="shared" si="61"/>
        <v>11312834</v>
      </c>
      <c r="AV40" s="117">
        <f t="shared" si="61"/>
        <v>0</v>
      </c>
      <c r="AW40" s="117">
        <f t="shared" si="61"/>
        <v>0</v>
      </c>
      <c r="AX40" s="117">
        <f t="shared" si="61"/>
        <v>0</v>
      </c>
      <c r="AY40" s="117">
        <f t="shared" si="61"/>
        <v>0</v>
      </c>
      <c r="AZ40" s="117">
        <f t="shared" si="61"/>
        <v>902400</v>
      </c>
      <c r="BA40" s="117">
        <f t="shared" si="61"/>
        <v>5712757</v>
      </c>
      <c r="BB40" s="117">
        <f t="shared" si="61"/>
        <v>-24190415.541000001</v>
      </c>
    </row>
    <row r="41" spans="1:54" ht="93.6" outlineLevel="2">
      <c r="A41" s="98"/>
      <c r="B41" s="102"/>
      <c r="C41" s="23"/>
      <c r="D41" s="257"/>
      <c r="E41" s="257"/>
      <c r="F41" s="251"/>
      <c r="G41" s="250"/>
      <c r="H41" s="302" t="s">
        <v>589</v>
      </c>
      <c r="I41" s="258" t="s">
        <v>2</v>
      </c>
      <c r="J41" s="259">
        <v>1</v>
      </c>
      <c r="K41" s="259">
        <v>7</v>
      </c>
      <c r="L41" s="106">
        <f>IF(I41&lt;&gt;0,((VLOOKUP(I41,'1. Standard_Cost'!$B$4:$D$11,2)+VLOOKUP(I41,'1. Standard_Cost'!$B$4:$D$11,3))*J41*K41),"0")</f>
        <v>847000</v>
      </c>
      <c r="M41" s="106">
        <f>L41*'1. Standard_Cost'!$F$4</f>
        <v>141449</v>
      </c>
      <c r="N41" s="260"/>
      <c r="O41" s="260"/>
      <c r="P41" s="260"/>
      <c r="Q41" s="260"/>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260"/>
      <c r="AA41" s="260"/>
      <c r="AB41" s="108">
        <f>+Z41*'1. Standard_Cost'!$B$23+AA41*'1. Standard_Cost'!$C$23</f>
        <v>0</v>
      </c>
      <c r="AC41" s="261">
        <v>99000</v>
      </c>
      <c r="AD41" s="262"/>
      <c r="AE41" s="108">
        <f>SUM(AD41,AC41,AB41,Y41,U41,T41,S41,R41)*'1. Standard_Cost'!$B$31</f>
        <v>19800</v>
      </c>
      <c r="AF41" s="108">
        <f t="shared" ref="AF41:AF58" si="62">SUM(AE41,AD41,AC41,AB41,Y41,U41,T41,S41,R41)</f>
        <v>118800</v>
      </c>
      <c r="AG41" s="107"/>
      <c r="AH41" s="107"/>
      <c r="AI41" s="107"/>
      <c r="AJ41" s="111"/>
      <c r="AK41" s="111"/>
      <c r="AL41" s="111"/>
      <c r="AM41" s="108">
        <f>AG41*'1. Standard_Cost'!$B$27+'Incremental_Cost Year 3'!AH41*'1. Standard_Cost'!$C$27+'Incremental_Cost Year 3'!AI41*'1. Standard_Cost'!$D$27+'Incremental_Cost Year 3'!AJ41+'Incremental_Cost Year 3'!AL41+AK41</f>
        <v>0</v>
      </c>
      <c r="AN41" s="108">
        <f>AM41*'1. Standard_Cost'!$C$31</f>
        <v>0</v>
      </c>
      <c r="AO41" s="125" t="s">
        <v>293</v>
      </c>
      <c r="AQ41" s="14">
        <f t="shared" ref="AQ41:AQ58" si="63">L41+M41</f>
        <v>988449</v>
      </c>
      <c r="AR41" s="14">
        <f t="shared" ref="AR41:AR58" si="64">AF41</f>
        <v>118800</v>
      </c>
      <c r="AS41" s="14">
        <f t="shared" ref="AS41:AS58" si="65">AM41+AN41</f>
        <v>0</v>
      </c>
      <c r="AT41" s="14">
        <f>SUM(AQ41,AR41,AS41)</f>
        <v>1107249</v>
      </c>
      <c r="AU41" s="15">
        <v>1107249</v>
      </c>
      <c r="AV41" s="15"/>
      <c r="AW41" s="15"/>
      <c r="AX41" s="15"/>
      <c r="AY41" s="15"/>
      <c r="AZ41" s="15"/>
      <c r="BA41" s="15"/>
      <c r="BB41" s="16">
        <f t="shared" ref="BB41:BB58" si="66">SUM(AU41:BA41)-AT41</f>
        <v>0</v>
      </c>
    </row>
    <row r="42" spans="1:54" ht="109.2" outlineLevel="2">
      <c r="A42" s="98"/>
      <c r="B42" s="102"/>
      <c r="C42" s="23"/>
      <c r="D42" s="251"/>
      <c r="E42" s="251"/>
      <c r="F42" s="251"/>
      <c r="G42" s="250"/>
      <c r="H42" s="302" t="s">
        <v>590</v>
      </c>
      <c r="I42" s="258" t="s">
        <v>2</v>
      </c>
      <c r="J42" s="259">
        <v>0.6</v>
      </c>
      <c r="K42" s="259">
        <v>9</v>
      </c>
      <c r="L42" s="106">
        <f>IF(I42&lt;&gt;0,((VLOOKUP(I42,'1. Standard_Cost'!$B$4:$D$11,2)+VLOOKUP(I42,'1. Standard_Cost'!$B$4:$D$11,3))*J42*K42),"0")</f>
        <v>653400</v>
      </c>
      <c r="M42" s="106">
        <f>L42*'1. Standard_Cost'!$F$4</f>
        <v>109117.8</v>
      </c>
      <c r="N42" s="260"/>
      <c r="O42" s="260"/>
      <c r="P42" s="260"/>
      <c r="Q42" s="260"/>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260"/>
      <c r="AA42" s="260"/>
      <c r="AB42" s="108">
        <f>+Z42*'1. Standard_Cost'!$B$23+AA42*'1. Standard_Cost'!$C$23</f>
        <v>0</v>
      </c>
      <c r="AC42" s="261">
        <v>76200</v>
      </c>
      <c r="AD42" s="262"/>
      <c r="AE42" s="108">
        <f>SUM(AD42,AC42,AB42,Y42,U42,T42,S42,R42)*'1. Standard_Cost'!$B$31</f>
        <v>15240</v>
      </c>
      <c r="AF42" s="108">
        <f t="shared" si="62"/>
        <v>91440</v>
      </c>
      <c r="AG42" s="107"/>
      <c r="AH42" s="107"/>
      <c r="AI42" s="107"/>
      <c r="AJ42" s="111"/>
      <c r="AK42" s="111"/>
      <c r="AL42" s="111"/>
      <c r="AM42" s="108">
        <f>AG42*'1. Standard_Cost'!$B$27+'Incremental_Cost Year 3'!AH42*'1. Standard_Cost'!$C$27+'Incremental_Cost Year 3'!AI42*'1. Standard_Cost'!$D$27+'Incremental_Cost Year 3'!AJ42+'Incremental_Cost Year 3'!AL42+AK42</f>
        <v>0</v>
      </c>
      <c r="AN42" s="108">
        <f>AM42*'1. Standard_Cost'!$C$31</f>
        <v>0</v>
      </c>
      <c r="AO42" s="125" t="s">
        <v>294</v>
      </c>
      <c r="AQ42" s="14">
        <f t="shared" si="63"/>
        <v>762517.8</v>
      </c>
      <c r="AR42" s="14">
        <f t="shared" si="64"/>
        <v>91440</v>
      </c>
      <c r="AS42" s="14">
        <f t="shared" si="65"/>
        <v>0</v>
      </c>
      <c r="AT42" s="14">
        <f t="shared" ref="AT42:AT57" si="67">SUM(AQ42,AR42,AS42)</f>
        <v>853957.8</v>
      </c>
      <c r="AU42" s="15">
        <v>853958</v>
      </c>
      <c r="AV42" s="15">
        <v>0</v>
      </c>
      <c r="AW42" s="15"/>
      <c r="AX42" s="15"/>
      <c r="AY42" s="15"/>
      <c r="AZ42" s="15"/>
      <c r="BA42" s="15"/>
      <c r="BB42" s="16">
        <f t="shared" si="66"/>
        <v>0.19999999995343387</v>
      </c>
    </row>
    <row r="43" spans="1:54" ht="124.8" outlineLevel="2">
      <c r="A43" s="98"/>
      <c r="B43" s="102"/>
      <c r="C43" s="23"/>
      <c r="D43" s="251"/>
      <c r="E43" s="251"/>
      <c r="F43" s="251"/>
      <c r="G43" s="250"/>
      <c r="H43" s="302" t="s">
        <v>591</v>
      </c>
      <c r="I43" s="258" t="s">
        <v>2</v>
      </c>
      <c r="J43" s="259">
        <v>1.2</v>
      </c>
      <c r="K43" s="259">
        <v>7</v>
      </c>
      <c r="L43" s="106">
        <f>IF(I43&lt;&gt;0,((VLOOKUP(I43,'1. Standard_Cost'!$B$4:$D$11,2)+VLOOKUP(I43,'1. Standard_Cost'!$B$4:$D$11,3))*J43*K43),"0")</f>
        <v>1016400</v>
      </c>
      <c r="M43" s="106">
        <f>L43*'1. Standard_Cost'!$F$4</f>
        <v>169738.80000000002</v>
      </c>
      <c r="N43" s="260"/>
      <c r="O43" s="260"/>
      <c r="P43" s="260"/>
      <c r="Q43" s="260"/>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260"/>
      <c r="AA43" s="260">
        <v>20</v>
      </c>
      <c r="AB43" s="108">
        <f>+Z43*'1. Standard_Cost'!$B$23+AA43*'1. Standard_Cost'!$C$23</f>
        <v>380000</v>
      </c>
      <c r="AC43" s="261">
        <v>142337</v>
      </c>
      <c r="AD43" s="262"/>
      <c r="AE43" s="108">
        <f>SUM(AD43,AC43,AB43,Y43,U43,T43,S43,R43)*'1. Standard_Cost'!$B$31</f>
        <v>104467.40000000001</v>
      </c>
      <c r="AF43" s="108">
        <f t="shared" si="62"/>
        <v>626804.4</v>
      </c>
      <c r="AG43" s="107"/>
      <c r="AH43" s="107"/>
      <c r="AI43" s="107"/>
      <c r="AJ43" s="111"/>
      <c r="AK43" s="111"/>
      <c r="AL43" s="111"/>
      <c r="AM43" s="108">
        <f>AG43*'1. Standard_Cost'!$B$27+'Incremental_Cost Year 3'!AH43*'1. Standard_Cost'!$C$27+'Incremental_Cost Year 3'!AI43*'1. Standard_Cost'!$D$27+'Incremental_Cost Year 3'!AJ43+'Incremental_Cost Year 3'!AL43+AK43</f>
        <v>0</v>
      </c>
      <c r="AN43" s="108">
        <f>AM43*'1. Standard_Cost'!$C$31</f>
        <v>0</v>
      </c>
      <c r="AO43" s="125" t="s">
        <v>295</v>
      </c>
      <c r="AQ43" s="14">
        <f t="shared" si="63"/>
        <v>1186138.8</v>
      </c>
      <c r="AR43" s="14">
        <f t="shared" si="64"/>
        <v>626804.4</v>
      </c>
      <c r="AS43" s="14">
        <f t="shared" si="65"/>
        <v>0</v>
      </c>
      <c r="AT43" s="14">
        <f t="shared" si="67"/>
        <v>1812943.2000000002</v>
      </c>
      <c r="AU43" s="15">
        <v>1356943</v>
      </c>
      <c r="AV43" s="15">
        <v>0</v>
      </c>
      <c r="AW43" s="15"/>
      <c r="AX43" s="15"/>
      <c r="AY43" s="15"/>
      <c r="AZ43" s="15"/>
      <c r="BA43" s="15"/>
      <c r="BB43" s="16">
        <f t="shared" si="66"/>
        <v>-456000.20000000019</v>
      </c>
    </row>
    <row r="44" spans="1:54" ht="82.8" outlineLevel="2">
      <c r="A44" s="98"/>
      <c r="B44" s="102"/>
      <c r="C44" s="23"/>
      <c r="D44" s="251"/>
      <c r="E44" s="251"/>
      <c r="F44" s="172"/>
      <c r="G44" s="173"/>
      <c r="H44" s="302" t="s">
        <v>674</v>
      </c>
      <c r="I44" s="258"/>
      <c r="J44" s="259"/>
      <c r="K44" s="259"/>
      <c r="L44" s="106" t="str">
        <f>IF(I44&lt;&gt;0,((VLOOKUP(I44,'1. Standard_Cost'!$B$4:$D$11,2)+VLOOKUP(I44,'1. Standard_Cost'!$B$4:$D$11,3))*J44*K44),"0")</f>
        <v>0</v>
      </c>
      <c r="M44" s="106">
        <f>L44*'1. Standard_Cost'!$F$4</f>
        <v>0</v>
      </c>
      <c r="N44" s="260"/>
      <c r="O44" s="260"/>
      <c r="P44" s="260"/>
      <c r="Q44" s="260"/>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62"/>
        <v>0</v>
      </c>
      <c r="AG44" s="107"/>
      <c r="AH44" s="107"/>
      <c r="AI44" s="107"/>
      <c r="AJ44" s="111"/>
      <c r="AK44" s="111"/>
      <c r="AL44" s="111"/>
      <c r="AM44" s="108">
        <f>AG44*'1. Standard_Cost'!$B$27+'Incremental_Cost Year 3'!AH44*'1. Standard_Cost'!$C$27+'Incremental_Cost Year 3'!AI44*'1. Standard_Cost'!$D$27+'Incremental_Cost Year 3'!AJ44+'Incremental_Cost Year 3'!AL44+AK44</f>
        <v>0</v>
      </c>
      <c r="AN44" s="108">
        <f>AM44*'1. Standard_Cost'!$C$31</f>
        <v>0</v>
      </c>
      <c r="AO44" s="125" t="s">
        <v>296</v>
      </c>
      <c r="AQ44" s="14">
        <f t="shared" si="63"/>
        <v>0</v>
      </c>
      <c r="AR44" s="14">
        <f t="shared" si="64"/>
        <v>0</v>
      </c>
      <c r="AS44" s="14">
        <f t="shared" si="65"/>
        <v>0</v>
      </c>
      <c r="AT44" s="14">
        <f t="shared" si="67"/>
        <v>0</v>
      </c>
      <c r="AU44" s="15"/>
      <c r="AV44" s="15"/>
      <c r="AW44" s="15"/>
      <c r="AX44" s="15"/>
      <c r="AY44" s="15"/>
      <c r="AZ44" s="15"/>
      <c r="BA44" s="15"/>
      <c r="BB44" s="16">
        <f t="shared" si="66"/>
        <v>0</v>
      </c>
    </row>
    <row r="45" spans="1:54" ht="109.2" outlineLevel="2">
      <c r="A45" s="98"/>
      <c r="B45" s="102"/>
      <c r="C45" s="23"/>
      <c r="D45" s="251"/>
      <c r="E45" s="251"/>
      <c r="F45" s="251"/>
      <c r="G45" s="250"/>
      <c r="H45" s="302" t="s">
        <v>592</v>
      </c>
      <c r="I45" s="258" t="s">
        <v>3</v>
      </c>
      <c r="J45" s="259">
        <v>1.2</v>
      </c>
      <c r="K45" s="259">
        <v>12</v>
      </c>
      <c r="L45" s="106">
        <f>IF(I45&lt;&gt;0,((VLOOKUP(I45,'1. Standard_Cost'!$B$4:$D$11,2)+VLOOKUP(I45,'1. Standard_Cost'!$B$4:$D$11,3))*J45*K45),"0")</f>
        <v>1451520</v>
      </c>
      <c r="M45" s="106">
        <f>L45*'1. Standard_Cost'!$F$4</f>
        <v>242403.84000000003</v>
      </c>
      <c r="N45" s="260"/>
      <c r="O45" s="260"/>
      <c r="P45" s="260"/>
      <c r="Q45" s="260"/>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260"/>
      <c r="AA45" s="260">
        <v>40</v>
      </c>
      <c r="AB45" s="108">
        <f>+Z45*'1. Standard_Cost'!$B$23+AA45*'1. Standard_Cost'!$C$23</f>
        <v>760000</v>
      </c>
      <c r="AC45" s="261">
        <v>203271</v>
      </c>
      <c r="AD45" s="262"/>
      <c r="AE45" s="108">
        <f>SUM(AD45,AC45,AB45,Y45,U45,T45,S45,R45)*'1. Standard_Cost'!$B$31</f>
        <v>192654.2</v>
      </c>
      <c r="AF45" s="108">
        <f t="shared" si="62"/>
        <v>1155925.2</v>
      </c>
      <c r="AG45" s="107"/>
      <c r="AH45" s="107"/>
      <c r="AI45" s="107"/>
      <c r="AJ45" s="111"/>
      <c r="AK45" s="111"/>
      <c r="AL45" s="111"/>
      <c r="AM45" s="108">
        <f>AG45*'1. Standard_Cost'!$B$27+'Incremental_Cost Year 3'!AH45*'1. Standard_Cost'!$C$27+'Incremental_Cost Year 3'!AI45*'1. Standard_Cost'!$D$27+'Incremental_Cost Year 3'!AJ45+'Incremental_Cost Year 3'!AL45+AK45</f>
        <v>0</v>
      </c>
      <c r="AN45" s="108">
        <f>AM45*'1. Standard_Cost'!$C$31</f>
        <v>0</v>
      </c>
      <c r="AO45" s="125" t="s">
        <v>297</v>
      </c>
      <c r="AQ45" s="14">
        <f t="shared" si="63"/>
        <v>1693923.84</v>
      </c>
      <c r="AR45" s="14">
        <f t="shared" si="64"/>
        <v>1155925.2</v>
      </c>
      <c r="AS45" s="14">
        <f t="shared" si="65"/>
        <v>0</v>
      </c>
      <c r="AT45" s="14">
        <f t="shared" si="67"/>
        <v>2849849.04</v>
      </c>
      <c r="AU45" s="15">
        <v>1897195</v>
      </c>
      <c r="AV45" s="15">
        <v>0</v>
      </c>
      <c r="AW45" s="15"/>
      <c r="AX45" s="15"/>
      <c r="AY45" s="15"/>
      <c r="AZ45" s="15"/>
      <c r="BA45" s="15"/>
      <c r="BB45" s="16">
        <f t="shared" si="66"/>
        <v>-952654.04</v>
      </c>
    </row>
    <row r="46" spans="1:54" ht="140.4" outlineLevel="2">
      <c r="A46" s="98"/>
      <c r="B46" s="102"/>
      <c r="C46" s="23"/>
      <c r="D46" s="251"/>
      <c r="E46" s="251"/>
      <c r="F46" s="251"/>
      <c r="G46" s="250"/>
      <c r="H46" s="302" t="s">
        <v>593</v>
      </c>
      <c r="I46" s="258" t="s">
        <v>3</v>
      </c>
      <c r="J46" s="259">
        <v>1.2</v>
      </c>
      <c r="K46" s="259">
        <v>6</v>
      </c>
      <c r="L46" s="106">
        <f>IF(I46&lt;&gt;0,((VLOOKUP(I46,'1. Standard_Cost'!$B$4:$D$11,2)+VLOOKUP(I46,'1. Standard_Cost'!$B$4:$D$11,3))*J46*K46),"0")</f>
        <v>725760</v>
      </c>
      <c r="M46" s="106">
        <f>L46*'1. Standard_Cost'!$F$4</f>
        <v>121201.92000000001</v>
      </c>
      <c r="N46" s="260"/>
      <c r="O46" s="260"/>
      <c r="P46" s="260"/>
      <c r="Q46" s="260"/>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260"/>
      <c r="AA46" s="260">
        <v>20</v>
      </c>
      <c r="AB46" s="108">
        <f>+Z46*'1. Standard_Cost'!$B$23+AA46*'1. Standard_Cost'!$C$23</f>
        <v>380000</v>
      </c>
      <c r="AC46" s="261">
        <v>101635</v>
      </c>
      <c r="AD46" s="262"/>
      <c r="AE46" s="108">
        <f>SUM(AD46,AC46,AB46,Y46,U46,T46,S46,R46)*'1. Standard_Cost'!$B$31</f>
        <v>96327</v>
      </c>
      <c r="AF46" s="108">
        <f t="shared" si="62"/>
        <v>577962</v>
      </c>
      <c r="AG46" s="107"/>
      <c r="AH46" s="107"/>
      <c r="AI46" s="107"/>
      <c r="AJ46" s="111"/>
      <c r="AK46" s="111"/>
      <c r="AL46" s="111"/>
      <c r="AM46" s="108">
        <f>AG46*'1. Standard_Cost'!$B$27+'Incremental_Cost Year 3'!AH46*'1. Standard_Cost'!$C$27+'Incremental_Cost Year 3'!AI46*'1. Standard_Cost'!$D$27+'Incremental_Cost Year 3'!AJ46+'Incremental_Cost Year 3'!AL46+AK46</f>
        <v>0</v>
      </c>
      <c r="AN46" s="108">
        <f>AM46*'1. Standard_Cost'!$C$31</f>
        <v>0</v>
      </c>
      <c r="AO46" s="125" t="s">
        <v>298</v>
      </c>
      <c r="AQ46" s="14">
        <f t="shared" si="63"/>
        <v>846961.92</v>
      </c>
      <c r="AR46" s="14">
        <f t="shared" si="64"/>
        <v>577962</v>
      </c>
      <c r="AS46" s="14">
        <f t="shared" si="65"/>
        <v>0</v>
      </c>
      <c r="AT46" s="14">
        <f t="shared" si="67"/>
        <v>1424923.92</v>
      </c>
      <c r="AU46" s="15">
        <v>968924</v>
      </c>
      <c r="AV46" s="15"/>
      <c r="AW46" s="15"/>
      <c r="AX46" s="15"/>
      <c r="AY46" s="15"/>
      <c r="AZ46" s="15"/>
      <c r="BA46" s="15"/>
      <c r="BB46" s="16">
        <f t="shared" si="66"/>
        <v>-455999.91999999993</v>
      </c>
    </row>
    <row r="47" spans="1:54" ht="93.6" outlineLevel="2">
      <c r="A47" s="98"/>
      <c r="B47" s="102"/>
      <c r="C47" s="23"/>
      <c r="D47" s="251"/>
      <c r="E47" s="251"/>
      <c r="F47" s="172"/>
      <c r="G47" s="173"/>
      <c r="H47" s="302" t="s">
        <v>594</v>
      </c>
      <c r="I47" s="258" t="s">
        <v>3</v>
      </c>
      <c r="J47" s="259">
        <v>1.2</v>
      </c>
      <c r="K47" s="259">
        <v>5</v>
      </c>
      <c r="L47" s="106">
        <f>IF(I47&lt;&gt;0,((VLOOKUP(I47,'1. Standard_Cost'!$B$4:$D$11,2)+VLOOKUP(I47,'1. Standard_Cost'!$B$4:$D$11,3))*J47*K47),"0")</f>
        <v>604800</v>
      </c>
      <c r="M47" s="106">
        <f>L47*'1. Standard_Cost'!$F$4</f>
        <v>101001.60000000001</v>
      </c>
      <c r="N47" s="260"/>
      <c r="O47" s="260"/>
      <c r="P47" s="260"/>
      <c r="Q47" s="260"/>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260"/>
      <c r="AA47" s="260">
        <v>5</v>
      </c>
      <c r="AB47" s="108">
        <f>+Z47*'1. Standard_Cost'!$B$23+AA47*'1. Standard_Cost'!$C$23</f>
        <v>95000</v>
      </c>
      <c r="AC47" s="261">
        <v>84696</v>
      </c>
      <c r="AD47" s="262"/>
      <c r="AE47" s="108">
        <f>SUM(AD47,AC47,AB47,Y47,U47,T47,S47,R47)*'1. Standard_Cost'!$B$31</f>
        <v>35939.200000000004</v>
      </c>
      <c r="AF47" s="108">
        <f t="shared" si="62"/>
        <v>215635.20000000001</v>
      </c>
      <c r="AG47" s="107"/>
      <c r="AH47" s="107"/>
      <c r="AI47" s="107"/>
      <c r="AJ47" s="111"/>
      <c r="AK47" s="111"/>
      <c r="AL47" s="111"/>
      <c r="AM47" s="108">
        <f>AG47*'1. Standard_Cost'!$B$27+'Incremental_Cost Year 3'!AH47*'1. Standard_Cost'!$C$27+'Incremental_Cost Year 3'!AI47*'1. Standard_Cost'!$D$27+'Incremental_Cost Year 3'!AJ47+'Incremental_Cost Year 3'!AL47+AK47</f>
        <v>0</v>
      </c>
      <c r="AN47" s="108">
        <f>AM47*'1. Standard_Cost'!$C$31</f>
        <v>0</v>
      </c>
      <c r="AO47" s="125" t="s">
        <v>298</v>
      </c>
      <c r="AQ47" s="14">
        <f t="shared" si="63"/>
        <v>705801.6</v>
      </c>
      <c r="AR47" s="14">
        <f t="shared" si="64"/>
        <v>215635.20000000001</v>
      </c>
      <c r="AS47" s="14">
        <f t="shared" si="65"/>
        <v>0</v>
      </c>
      <c r="AT47" s="14">
        <f t="shared" si="67"/>
        <v>921436.8</v>
      </c>
      <c r="AU47" s="15">
        <v>807437</v>
      </c>
      <c r="AV47" s="15">
        <v>0</v>
      </c>
      <c r="AW47" s="15"/>
      <c r="AX47" s="15"/>
      <c r="AY47" s="15"/>
      <c r="AZ47" s="15"/>
      <c r="BA47" s="15"/>
      <c r="BB47" s="16">
        <f t="shared" si="66"/>
        <v>-113999.80000000005</v>
      </c>
    </row>
    <row r="48" spans="1:54" ht="93.6" outlineLevel="2">
      <c r="A48" s="98"/>
      <c r="B48" s="102"/>
      <c r="C48" s="23"/>
      <c r="D48" s="251"/>
      <c r="E48" s="251"/>
      <c r="F48" s="172"/>
      <c r="G48" s="173"/>
      <c r="H48" s="302" t="s">
        <v>595</v>
      </c>
      <c r="I48" s="258"/>
      <c r="J48" s="259"/>
      <c r="K48" s="259"/>
      <c r="L48" s="106" t="str">
        <f>IF(I48&lt;&gt;0,((VLOOKUP(I48,'1. Standard_Cost'!$B$4:$D$11,2)+VLOOKUP(I48,'1. Standard_Cost'!$B$4:$D$11,3))*J48*K48),"0")</f>
        <v>0</v>
      </c>
      <c r="M48" s="106">
        <f>L48*'1. Standard_Cost'!$F$4</f>
        <v>0</v>
      </c>
      <c r="N48" s="260"/>
      <c r="O48" s="260"/>
      <c r="P48" s="260"/>
      <c r="Q48" s="260"/>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260"/>
      <c r="AA48" s="260"/>
      <c r="AB48" s="108">
        <f>+Z48*'1. Standard_Cost'!$B$23+AA48*'1. Standard_Cost'!$C$23</f>
        <v>0</v>
      </c>
      <c r="AC48" s="261"/>
      <c r="AD48" s="262"/>
      <c r="AE48" s="108">
        <f>SUM(AD48,AC48,AB48,Y48,U48,T48,S48,R48)*'1. Standard_Cost'!$B$31</f>
        <v>0</v>
      </c>
      <c r="AF48" s="108">
        <f t="shared" si="62"/>
        <v>0</v>
      </c>
      <c r="AG48" s="107"/>
      <c r="AH48" s="107"/>
      <c r="AI48" s="107"/>
      <c r="AJ48" s="111"/>
      <c r="AK48" s="111"/>
      <c r="AL48" s="111"/>
      <c r="AM48" s="108">
        <f>AG48*'1. Standard_Cost'!$B$27+'Incremental_Cost Year 3'!AH48*'1. Standard_Cost'!$C$27+'Incremental_Cost Year 3'!AI48*'1. Standard_Cost'!$D$27+'Incremental_Cost Year 3'!AJ48+'Incremental_Cost Year 3'!AL48+AK48</f>
        <v>0</v>
      </c>
      <c r="AN48" s="108">
        <f>AM48*'1. Standard_Cost'!$C$31</f>
        <v>0</v>
      </c>
      <c r="AO48" s="125" t="s">
        <v>298</v>
      </c>
      <c r="AQ48" s="14">
        <f t="shared" si="63"/>
        <v>0</v>
      </c>
      <c r="AR48" s="14">
        <f t="shared" si="64"/>
        <v>0</v>
      </c>
      <c r="AS48" s="14">
        <f t="shared" si="65"/>
        <v>0</v>
      </c>
      <c r="AT48" s="14">
        <f t="shared" si="67"/>
        <v>0</v>
      </c>
      <c r="AU48" s="15"/>
      <c r="AV48" s="15"/>
      <c r="AW48" s="15"/>
      <c r="AX48" s="15"/>
      <c r="AY48" s="15"/>
      <c r="AZ48" s="15"/>
      <c r="BA48" s="15"/>
      <c r="BB48" s="16">
        <f t="shared" si="66"/>
        <v>0</v>
      </c>
    </row>
    <row r="49" spans="1:54" ht="124.8" outlineLevel="2">
      <c r="A49" s="98"/>
      <c r="B49" s="102"/>
      <c r="C49" s="23"/>
      <c r="D49" s="251"/>
      <c r="E49" s="251"/>
      <c r="F49" s="251"/>
      <c r="G49" s="250"/>
      <c r="H49" s="302" t="s">
        <v>596</v>
      </c>
      <c r="I49" s="258"/>
      <c r="J49" s="259"/>
      <c r="K49" s="259"/>
      <c r="L49" s="106" t="str">
        <f>IF(I49&lt;&gt;0,((VLOOKUP(I49,'1. Standard_Cost'!$B$4:$D$11,2)+VLOOKUP(I49,'1. Standard_Cost'!$B$4:$D$11,3))*J49*K49),"0")</f>
        <v>0</v>
      </c>
      <c r="M49" s="106">
        <f>L49*'1. Standard_Cost'!$F$4</f>
        <v>0</v>
      </c>
      <c r="N49" s="260"/>
      <c r="O49" s="260"/>
      <c r="P49" s="260"/>
      <c r="Q49" s="260"/>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260"/>
      <c r="AA49" s="260"/>
      <c r="AB49" s="108">
        <f>+Z49*'1. Standard_Cost'!$B$23+AA49*'1. Standard_Cost'!$C$23</f>
        <v>0</v>
      </c>
      <c r="AC49" s="261"/>
      <c r="AD49" s="262"/>
      <c r="AE49" s="108">
        <f>SUM(AD49,AC49,AB49,Y49,U49,T49,S49,R49)*'1. Standard_Cost'!$B$31</f>
        <v>0</v>
      </c>
      <c r="AF49" s="108">
        <f t="shared" si="62"/>
        <v>0</v>
      </c>
      <c r="AG49" s="107"/>
      <c r="AH49" s="107"/>
      <c r="AI49" s="107"/>
      <c r="AJ49" s="111"/>
      <c r="AK49" s="111"/>
      <c r="AL49" s="111"/>
      <c r="AM49" s="108">
        <f>AG49*'1. Standard_Cost'!$B$27+'Incremental_Cost Year 3'!AH49*'1. Standard_Cost'!$C$27+'Incremental_Cost Year 3'!AI49*'1. Standard_Cost'!$D$27+'Incremental_Cost Year 3'!AJ49+'Incremental_Cost Year 3'!AL49+AK49</f>
        <v>0</v>
      </c>
      <c r="AN49" s="108">
        <f>AM49*'1. Standard_Cost'!$C$31</f>
        <v>0</v>
      </c>
      <c r="AO49" s="125" t="s">
        <v>299</v>
      </c>
      <c r="AQ49" s="14">
        <f t="shared" si="63"/>
        <v>0</v>
      </c>
      <c r="AR49" s="14">
        <f t="shared" si="64"/>
        <v>0</v>
      </c>
      <c r="AS49" s="14">
        <f t="shared" si="65"/>
        <v>0</v>
      </c>
      <c r="AT49" s="14">
        <f t="shared" si="67"/>
        <v>0</v>
      </c>
      <c r="AU49" s="15"/>
      <c r="AV49" s="15">
        <v>0</v>
      </c>
      <c r="AW49" s="15"/>
      <c r="AX49" s="15"/>
      <c r="AY49" s="15"/>
      <c r="AZ49" s="15"/>
      <c r="BA49" s="15"/>
      <c r="BB49" s="16">
        <f t="shared" si="66"/>
        <v>0</v>
      </c>
    </row>
    <row r="50" spans="1:54" ht="140.4" customHeight="1" outlineLevel="2">
      <c r="A50" s="98"/>
      <c r="B50" s="102"/>
      <c r="C50" s="23"/>
      <c r="D50" s="251"/>
      <c r="E50" s="251"/>
      <c r="F50" s="172"/>
      <c r="G50" s="173"/>
      <c r="H50" s="302" t="s">
        <v>597</v>
      </c>
      <c r="I50" s="258" t="s">
        <v>4</v>
      </c>
      <c r="J50" s="259">
        <v>1</v>
      </c>
      <c r="K50" s="259">
        <v>5</v>
      </c>
      <c r="L50" s="106">
        <f>IF(I50&lt;&gt;0,((VLOOKUP(I50,'1. Standard_Cost'!$B$4:$D$11,2)+VLOOKUP(I50,'1. Standard_Cost'!$B$4:$D$11,3))*J50*K50),"0")</f>
        <v>403750</v>
      </c>
      <c r="M50" s="106">
        <f>L50*'1. Standard_Cost'!$F$4</f>
        <v>67426.25</v>
      </c>
      <c r="N50" s="260"/>
      <c r="O50" s="260"/>
      <c r="P50" s="260"/>
      <c r="Q50" s="260"/>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260"/>
      <c r="AA50" s="260">
        <v>10</v>
      </c>
      <c r="AB50" s="108">
        <f>+Z50*'1. Standard_Cost'!$B$23+AA50*'1. Standard_Cost'!$C$23</f>
        <v>190000</v>
      </c>
      <c r="AC50" s="261">
        <f>471176*0.12</f>
        <v>56541.119999999995</v>
      </c>
      <c r="AD50" s="262"/>
      <c r="AE50" s="108">
        <f>SUM(AD50,AC50,AB50,Y50,U50,T50,S50,R50)*'1. Standard_Cost'!$B$31</f>
        <v>49308.224000000002</v>
      </c>
      <c r="AF50" s="108">
        <f t="shared" si="62"/>
        <v>295849.34399999998</v>
      </c>
      <c r="AG50" s="107"/>
      <c r="AH50" s="107"/>
      <c r="AI50" s="107"/>
      <c r="AJ50" s="111"/>
      <c r="AK50" s="111"/>
      <c r="AL50" s="111"/>
      <c r="AM50" s="108">
        <f>AG50*'1. Standard_Cost'!$B$27+'Incremental_Cost Year 3'!AH50*'1. Standard_Cost'!$C$27+'Incremental_Cost Year 3'!AI50*'1. Standard_Cost'!$D$27+'Incremental_Cost Year 3'!AJ50+'Incremental_Cost Year 3'!AL50+AK50</f>
        <v>0</v>
      </c>
      <c r="AN50" s="108">
        <f>AM50*'1. Standard_Cost'!$C$31</f>
        <v>0</v>
      </c>
      <c r="AO50" s="125" t="s">
        <v>300</v>
      </c>
      <c r="AQ50" s="14">
        <f t="shared" si="63"/>
        <v>471176.25</v>
      </c>
      <c r="AR50" s="14">
        <f t="shared" si="64"/>
        <v>295849.34399999998</v>
      </c>
      <c r="AS50" s="14">
        <f t="shared" si="65"/>
        <v>0</v>
      </c>
      <c r="AT50" s="14">
        <f t="shared" si="67"/>
        <v>767025.59400000004</v>
      </c>
      <c r="AU50" s="15">
        <v>539026</v>
      </c>
      <c r="AV50" s="15">
        <v>0</v>
      </c>
      <c r="AW50" s="15"/>
      <c r="AX50" s="15"/>
      <c r="AY50" s="15"/>
      <c r="AZ50" s="15"/>
      <c r="BA50" s="15"/>
      <c r="BB50" s="16">
        <f t="shared" si="66"/>
        <v>-227999.59400000004</v>
      </c>
    </row>
    <row r="51" spans="1:54" ht="109.2" outlineLevel="2">
      <c r="A51" s="98"/>
      <c r="B51" s="102"/>
      <c r="C51" s="23"/>
      <c r="D51" s="251"/>
      <c r="E51" s="251"/>
      <c r="F51" s="251"/>
      <c r="G51" s="173"/>
      <c r="H51" s="302" t="s">
        <v>598</v>
      </c>
      <c r="I51" s="258"/>
      <c r="J51" s="259"/>
      <c r="K51" s="259"/>
      <c r="L51" s="106" t="str">
        <f>IF(I51&lt;&gt;0,((VLOOKUP(I51,'1. Standard_Cost'!$B$4:$D$11,2)+VLOOKUP(I51,'1. Standard_Cost'!$B$4:$D$11,3))*J51*K51),"0")</f>
        <v>0</v>
      </c>
      <c r="M51" s="106">
        <f>L51*'1. Standard_Cost'!$F$4</f>
        <v>0</v>
      </c>
      <c r="N51" s="260"/>
      <c r="O51" s="260"/>
      <c r="P51" s="260"/>
      <c r="Q51" s="260"/>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260"/>
      <c r="AA51" s="260"/>
      <c r="AB51" s="108">
        <f>+Z51*'1. Standard_Cost'!$B$23+AA51*'1. Standard_Cost'!$C$23</f>
        <v>0</v>
      </c>
      <c r="AC51" s="261"/>
      <c r="AD51" s="262"/>
      <c r="AE51" s="108">
        <f>SUM(AD51,AC51,AB51,Y51,U51,T51,S51,R51)*'1. Standard_Cost'!$B$31</f>
        <v>0</v>
      </c>
      <c r="AF51" s="108">
        <f t="shared" si="62"/>
        <v>0</v>
      </c>
      <c r="AG51" s="107"/>
      <c r="AH51" s="107"/>
      <c r="AI51" s="107"/>
      <c r="AJ51" s="111"/>
      <c r="AK51" s="111"/>
      <c r="AL51" s="111"/>
      <c r="AM51" s="108">
        <f>AG51*'1. Standard_Cost'!$B$27+'Incremental_Cost Year 3'!AH51*'1. Standard_Cost'!$C$27+'Incremental_Cost Year 3'!AI51*'1. Standard_Cost'!$D$27+'Incremental_Cost Year 3'!AJ51+'Incremental_Cost Year 3'!AL51+AK51</f>
        <v>0</v>
      </c>
      <c r="AN51" s="108">
        <f>AM51*'1. Standard_Cost'!$C$31</f>
        <v>0</v>
      </c>
      <c r="AO51" s="125" t="s">
        <v>301</v>
      </c>
      <c r="AQ51" s="14">
        <f t="shared" si="63"/>
        <v>0</v>
      </c>
      <c r="AR51" s="14">
        <f t="shared" si="64"/>
        <v>0</v>
      </c>
      <c r="AS51" s="14">
        <f t="shared" si="65"/>
        <v>0</v>
      </c>
      <c r="AT51" s="14">
        <f t="shared" si="67"/>
        <v>0</v>
      </c>
      <c r="AU51" s="15"/>
      <c r="AV51" s="15"/>
      <c r="AW51" s="15"/>
      <c r="AX51" s="15"/>
      <c r="AY51" s="15"/>
      <c r="AZ51" s="15"/>
      <c r="BA51" s="15"/>
      <c r="BB51" s="16">
        <f t="shared" si="66"/>
        <v>0</v>
      </c>
    </row>
    <row r="52" spans="1:54" ht="109.2" outlineLevel="2">
      <c r="A52" s="98"/>
      <c r="B52" s="102"/>
      <c r="C52" s="23"/>
      <c r="D52" s="251"/>
      <c r="E52" s="251"/>
      <c r="F52" s="251"/>
      <c r="G52" s="250"/>
      <c r="H52" s="302" t="s">
        <v>599</v>
      </c>
      <c r="I52" s="258" t="s">
        <v>4</v>
      </c>
      <c r="J52" s="259">
        <v>1</v>
      </c>
      <c r="K52" s="259">
        <v>5</v>
      </c>
      <c r="L52" s="106">
        <f>IF(I52&lt;&gt;0,((VLOOKUP(I52,'1. Standard_Cost'!$B$4:$D$11,2)+VLOOKUP(I52,'1. Standard_Cost'!$B$4:$D$11,3))*J52*K52),"0")</f>
        <v>403750</v>
      </c>
      <c r="M52" s="106">
        <f>L52*'1. Standard_Cost'!$F$4</f>
        <v>67426.25</v>
      </c>
      <c r="N52" s="260"/>
      <c r="O52" s="260"/>
      <c r="P52" s="260"/>
      <c r="Q52" s="260"/>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260"/>
      <c r="AA52" s="260">
        <v>10</v>
      </c>
      <c r="AB52" s="108">
        <f>+Z52*'1. Standard_Cost'!$B$23+AA52*'1. Standard_Cost'!$C$23</f>
        <v>190000</v>
      </c>
      <c r="AC52" s="261">
        <f>471176*0.12</f>
        <v>56541.119999999995</v>
      </c>
      <c r="AD52" s="262"/>
      <c r="AE52" s="108">
        <f>SUM(AD52,AC52,AB52,Y52,U52,T52,S52,R52)*'1. Standard_Cost'!$B$31</f>
        <v>49308.224000000002</v>
      </c>
      <c r="AF52" s="108">
        <f t="shared" si="62"/>
        <v>295849.34399999998</v>
      </c>
      <c r="AG52" s="107"/>
      <c r="AH52" s="107"/>
      <c r="AI52" s="107"/>
      <c r="AJ52" s="111"/>
      <c r="AK52" s="111"/>
      <c r="AL52" s="111"/>
      <c r="AM52" s="108">
        <f>AG52*'1. Standard_Cost'!$B$27+'Incremental_Cost Year 3'!AH52*'1. Standard_Cost'!$C$27+'Incremental_Cost Year 3'!AI52*'1. Standard_Cost'!$D$27+'Incremental_Cost Year 3'!AJ52+'Incremental_Cost Year 3'!AL52+AK52</f>
        <v>0</v>
      </c>
      <c r="AN52" s="108">
        <f>AM52*'1. Standard_Cost'!$C$31</f>
        <v>0</v>
      </c>
      <c r="AO52" s="125" t="s">
        <v>302</v>
      </c>
      <c r="AQ52" s="14">
        <f t="shared" si="63"/>
        <v>471176.25</v>
      </c>
      <c r="AR52" s="14">
        <f t="shared" si="64"/>
        <v>295849.34399999998</v>
      </c>
      <c r="AS52" s="14">
        <f t="shared" si="65"/>
        <v>0</v>
      </c>
      <c r="AT52" s="14">
        <f t="shared" si="67"/>
        <v>767025.59400000004</v>
      </c>
      <c r="AU52" s="15">
        <v>539026</v>
      </c>
      <c r="AV52" s="15">
        <v>0</v>
      </c>
      <c r="AW52" s="15"/>
      <c r="AX52" s="15"/>
      <c r="AY52" s="15"/>
      <c r="AZ52" s="15">
        <v>228000</v>
      </c>
      <c r="BA52" s="15"/>
      <c r="BB52" s="16">
        <f t="shared" si="66"/>
        <v>0.40599999995902181</v>
      </c>
    </row>
    <row r="53" spans="1:54" ht="124.8" outlineLevel="2">
      <c r="A53" s="98"/>
      <c r="B53" s="102"/>
      <c r="C53" s="23"/>
      <c r="D53" s="251"/>
      <c r="E53" s="251"/>
      <c r="F53" s="172"/>
      <c r="G53" s="173"/>
      <c r="H53" s="302" t="s">
        <v>600</v>
      </c>
      <c r="I53" s="258" t="s">
        <v>4</v>
      </c>
      <c r="J53" s="259">
        <v>1</v>
      </c>
      <c r="K53" s="259">
        <v>7</v>
      </c>
      <c r="L53" s="106">
        <f>IF(I53&lt;&gt;0,((VLOOKUP(I53,'1. Standard_Cost'!$B$4:$D$11,2)+VLOOKUP(I53,'1. Standard_Cost'!$B$4:$D$11,3))*J53*K53),"0")</f>
        <v>565250</v>
      </c>
      <c r="M53" s="106">
        <f>L53*'1. Standard_Cost'!$F$4</f>
        <v>94396.75</v>
      </c>
      <c r="N53" s="260"/>
      <c r="O53" s="260"/>
      <c r="P53" s="260"/>
      <c r="Q53" s="260"/>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260"/>
      <c r="AA53" s="260">
        <v>15</v>
      </c>
      <c r="AB53" s="108">
        <f>+Z53*'1. Standard_Cost'!$B$23+AA53*'1. Standard_Cost'!$C$23</f>
        <v>285000</v>
      </c>
      <c r="AC53" s="261">
        <f>659647*0.12</f>
        <v>79157.64</v>
      </c>
      <c r="AD53" s="262"/>
      <c r="AE53" s="108">
        <f>SUM(AD53,AC53,AB53,Y53,U53,T53,S53,R53)*'1. Standard_Cost'!$B$31</f>
        <v>72831.528000000006</v>
      </c>
      <c r="AF53" s="108">
        <f t="shared" si="62"/>
        <v>436989.16800000001</v>
      </c>
      <c r="AG53" s="107"/>
      <c r="AH53" s="107"/>
      <c r="AI53" s="107"/>
      <c r="AJ53" s="111"/>
      <c r="AK53" s="111"/>
      <c r="AL53" s="111"/>
      <c r="AM53" s="108">
        <f>AG53*'1. Standard_Cost'!$B$27+'Incremental_Cost Year 3'!AH53*'1. Standard_Cost'!$C$27+'Incremental_Cost Year 3'!AI53*'1. Standard_Cost'!$D$27+'Incremental_Cost Year 3'!AJ53+'Incremental_Cost Year 3'!AL53+AK53</f>
        <v>0</v>
      </c>
      <c r="AN53" s="108">
        <f>AM53*'1. Standard_Cost'!$C$31</f>
        <v>0</v>
      </c>
      <c r="AO53" s="125" t="s">
        <v>302</v>
      </c>
      <c r="AQ53" s="14">
        <f t="shared" si="63"/>
        <v>659646.75</v>
      </c>
      <c r="AR53" s="14">
        <f t="shared" si="64"/>
        <v>436989.16800000001</v>
      </c>
      <c r="AS53" s="14">
        <f t="shared" si="65"/>
        <v>0</v>
      </c>
      <c r="AT53" s="14">
        <f t="shared" si="67"/>
        <v>1096635.9180000001</v>
      </c>
      <c r="AU53" s="15">
        <v>754636</v>
      </c>
      <c r="AV53" s="15"/>
      <c r="AW53" s="15"/>
      <c r="AX53" s="15"/>
      <c r="AY53" s="15"/>
      <c r="AZ53" s="15"/>
      <c r="BA53" s="15"/>
      <c r="BB53" s="16">
        <f t="shared" si="66"/>
        <v>-341999.91800000006</v>
      </c>
    </row>
    <row r="54" spans="1:54" ht="62.4" outlineLevel="2">
      <c r="A54" s="98"/>
      <c r="B54" s="102"/>
      <c r="C54" s="23"/>
      <c r="D54" s="251"/>
      <c r="E54" s="251"/>
      <c r="F54" s="172"/>
      <c r="G54" s="173"/>
      <c r="H54" s="302" t="s">
        <v>675</v>
      </c>
      <c r="I54" s="258"/>
      <c r="J54" s="259"/>
      <c r="K54" s="259"/>
      <c r="L54" s="106" t="str">
        <f>IF(I54&lt;&gt;0,((VLOOKUP(I54,'1. Standard_Cost'!$B$4:$D$11,2)+VLOOKUP(I54,'1. Standard_Cost'!$B$4:$D$11,3))*J54*K54),"0")</f>
        <v>0</v>
      </c>
      <c r="M54" s="106">
        <f>L54*'1. Standard_Cost'!$F$4</f>
        <v>0</v>
      </c>
      <c r="N54" s="260"/>
      <c r="O54" s="260"/>
      <c r="P54" s="260"/>
      <c r="Q54" s="260"/>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62"/>
        <v>0</v>
      </c>
      <c r="AG54" s="107"/>
      <c r="AH54" s="107"/>
      <c r="AI54" s="107"/>
      <c r="AJ54" s="111"/>
      <c r="AK54" s="111"/>
      <c r="AL54" s="111"/>
      <c r="AM54" s="108">
        <f>AG54*'1. Standard_Cost'!$B$27+'Incremental_Cost Year 3'!AH54*'1. Standard_Cost'!$C$27+'Incremental_Cost Year 3'!AI54*'1. Standard_Cost'!$D$27+'Incremental_Cost Year 3'!AJ54+'Incremental_Cost Year 3'!AL54+AK54</f>
        <v>0</v>
      </c>
      <c r="AN54" s="108">
        <f>AM54*'1. Standard_Cost'!$C$31</f>
        <v>0</v>
      </c>
      <c r="AO54" s="125" t="s">
        <v>300</v>
      </c>
      <c r="AQ54" s="14">
        <f t="shared" si="63"/>
        <v>0</v>
      </c>
      <c r="AR54" s="14">
        <f t="shared" si="64"/>
        <v>0</v>
      </c>
      <c r="AS54" s="14">
        <f t="shared" si="65"/>
        <v>0</v>
      </c>
      <c r="AT54" s="14">
        <f t="shared" si="67"/>
        <v>0</v>
      </c>
      <c r="AU54" s="15"/>
      <c r="AV54" s="15">
        <v>0</v>
      </c>
      <c r="AW54" s="15"/>
      <c r="AX54" s="15"/>
      <c r="AY54" s="15"/>
      <c r="AZ54" s="15"/>
      <c r="BA54" s="15"/>
      <c r="BB54" s="16">
        <f t="shared" si="66"/>
        <v>0</v>
      </c>
    </row>
    <row r="55" spans="1:54" ht="156" outlineLevel="2">
      <c r="A55" s="98"/>
      <c r="B55" s="102"/>
      <c r="C55" s="23"/>
      <c r="D55" s="251"/>
      <c r="E55" s="251"/>
      <c r="F55" s="251"/>
      <c r="G55" s="173"/>
      <c r="H55" s="302" t="s">
        <v>601</v>
      </c>
      <c r="I55" s="258"/>
      <c r="J55" s="259"/>
      <c r="K55" s="259"/>
      <c r="L55" s="106" t="str">
        <f>IF(I55&lt;&gt;0,((VLOOKUP(I55,'1. Standard_Cost'!$B$4:$D$11,2)+VLOOKUP(I55,'1. Standard_Cost'!$B$4:$D$11,3))*J55*K55),"0")</f>
        <v>0</v>
      </c>
      <c r="M55" s="106">
        <f>L55*'1. Standard_Cost'!$F$4</f>
        <v>0</v>
      </c>
      <c r="N55" s="260"/>
      <c r="O55" s="260"/>
      <c r="P55" s="260"/>
      <c r="Q55" s="260"/>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260"/>
      <c r="AA55" s="260"/>
      <c r="AB55" s="108">
        <f>+Z55*'1. Standard_Cost'!$B$23+AA55*'1. Standard_Cost'!$C$23</f>
        <v>0</v>
      </c>
      <c r="AC55" s="261"/>
      <c r="AD55" s="262"/>
      <c r="AE55" s="108">
        <f>SUM(AD55,AC55,AB55,Y55,U55,T55,S55,R55)*'1. Standard_Cost'!$B$31</f>
        <v>0</v>
      </c>
      <c r="AF55" s="108">
        <f t="shared" si="62"/>
        <v>0</v>
      </c>
      <c r="AG55" s="107"/>
      <c r="AH55" s="107"/>
      <c r="AI55" s="107"/>
      <c r="AJ55" s="111"/>
      <c r="AK55" s="111"/>
      <c r="AL55" s="111"/>
      <c r="AM55" s="108">
        <f>AG55*'1. Standard_Cost'!$B$27+'Incremental_Cost Year 3'!AH55*'1. Standard_Cost'!$C$27+'Incremental_Cost Year 3'!AI55*'1. Standard_Cost'!$D$27+'Incremental_Cost Year 3'!AJ55+'Incremental_Cost Year 3'!AL55+AK55</f>
        <v>0</v>
      </c>
      <c r="AN55" s="108">
        <f>AM55*'1. Standard_Cost'!$C$31</f>
        <v>0</v>
      </c>
      <c r="AO55" s="125" t="s">
        <v>303</v>
      </c>
      <c r="AQ55" s="14">
        <f t="shared" si="63"/>
        <v>0</v>
      </c>
      <c r="AR55" s="14">
        <f t="shared" si="64"/>
        <v>0</v>
      </c>
      <c r="AS55" s="14">
        <f t="shared" si="65"/>
        <v>0</v>
      </c>
      <c r="AT55" s="14">
        <f t="shared" si="67"/>
        <v>0</v>
      </c>
      <c r="AU55" s="15"/>
      <c r="AV55" s="15"/>
      <c r="AW55" s="15"/>
      <c r="AX55" s="15"/>
      <c r="AY55" s="15"/>
      <c r="AZ55" s="15"/>
      <c r="BA55" s="15"/>
      <c r="BB55" s="16">
        <f t="shared" si="66"/>
        <v>0</v>
      </c>
    </row>
    <row r="56" spans="1:54" ht="140.4" outlineLevel="2">
      <c r="A56" s="98"/>
      <c r="B56" s="102"/>
      <c r="C56" s="23"/>
      <c r="D56" s="251"/>
      <c r="E56" s="251"/>
      <c r="F56" s="251"/>
      <c r="G56" s="173"/>
      <c r="H56" s="302" t="s">
        <v>602</v>
      </c>
      <c r="I56" s="258"/>
      <c r="J56" s="259"/>
      <c r="K56" s="259"/>
      <c r="L56" s="106" t="str">
        <f>IF(I56&lt;&gt;0,((VLOOKUP(I56,'1. Standard_Cost'!$B$4:$D$11,2)+VLOOKUP(I56,'1. Standard_Cost'!$B$4:$D$11,3))*J56*K56),"0")</f>
        <v>0</v>
      </c>
      <c r="M56" s="106">
        <f>L56*'1. Standard_Cost'!$F$4</f>
        <v>0</v>
      </c>
      <c r="N56" s="260"/>
      <c r="O56" s="260"/>
      <c r="P56" s="260"/>
      <c r="Q56" s="260"/>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260"/>
      <c r="AA56" s="260"/>
      <c r="AB56" s="108">
        <f>+Z56*'1. Standard_Cost'!$B$23+AA56*'1. Standard_Cost'!$C$23</f>
        <v>0</v>
      </c>
      <c r="AC56" s="261"/>
      <c r="AD56" s="262"/>
      <c r="AE56" s="108">
        <f>SUM(AD56,AC56,AB56,Y56,U56,T56,S56,R56)*'1. Standard_Cost'!$B$31</f>
        <v>0</v>
      </c>
      <c r="AF56" s="108">
        <f t="shared" si="62"/>
        <v>0</v>
      </c>
      <c r="AG56" s="107"/>
      <c r="AH56" s="107"/>
      <c r="AI56" s="107"/>
      <c r="AJ56" s="111"/>
      <c r="AK56" s="111"/>
      <c r="AL56" s="111"/>
      <c r="AM56" s="108">
        <f>AG56*'1. Standard_Cost'!$B$27+'Incremental_Cost Year 3'!AH56*'1. Standard_Cost'!$C$27+'Incremental_Cost Year 3'!AI56*'1. Standard_Cost'!$D$27+'Incremental_Cost Year 3'!AJ56+'Incremental_Cost Year 3'!AL56+AK56</f>
        <v>0</v>
      </c>
      <c r="AN56" s="108">
        <f>AM56*'1. Standard_Cost'!$C$31</f>
        <v>0</v>
      </c>
      <c r="AO56" s="125" t="s">
        <v>304</v>
      </c>
      <c r="AQ56" s="14">
        <f t="shared" si="63"/>
        <v>0</v>
      </c>
      <c r="AR56" s="14">
        <f t="shared" si="64"/>
        <v>0</v>
      </c>
      <c r="AS56" s="14">
        <f t="shared" si="65"/>
        <v>0</v>
      </c>
      <c r="AT56" s="14">
        <f t="shared" si="67"/>
        <v>0</v>
      </c>
      <c r="AU56" s="15"/>
      <c r="AV56" s="15">
        <v>0</v>
      </c>
      <c r="AW56" s="15"/>
      <c r="AX56" s="15"/>
      <c r="AY56" s="15"/>
      <c r="AZ56" s="15"/>
      <c r="BA56" s="15"/>
      <c r="BB56" s="16">
        <f t="shared" si="66"/>
        <v>0</v>
      </c>
    </row>
    <row r="57" spans="1:54" ht="78" outlineLevel="2">
      <c r="A57" s="98"/>
      <c r="B57" s="102"/>
      <c r="C57" s="23"/>
      <c r="D57" s="251"/>
      <c r="E57" s="251"/>
      <c r="F57" s="251"/>
      <c r="G57" s="250"/>
      <c r="H57" s="302" t="s">
        <v>603</v>
      </c>
      <c r="I57" s="258" t="s">
        <v>193</v>
      </c>
      <c r="J57" s="259">
        <v>0.5</v>
      </c>
      <c r="K57" s="259">
        <v>183</v>
      </c>
      <c r="L57" s="106">
        <f>IF(I57&lt;&gt;0,((VLOOKUP(I57,'1. Standard_Cost'!$B$4:$D$11,2)+VLOOKUP(I57,'1. Standard_Cost'!$B$4:$D$11,3))*J57*K57),"0")</f>
        <v>4620750</v>
      </c>
      <c r="M57" s="106">
        <f>L57*'1. Standard_Cost'!$F$4</f>
        <v>771665.25</v>
      </c>
      <c r="N57" s="260"/>
      <c r="O57" s="260"/>
      <c r="P57" s="260"/>
      <c r="Q57" s="260"/>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62"/>
        <v>0</v>
      </c>
      <c r="AG57" s="107"/>
      <c r="AH57" s="107"/>
      <c r="AI57" s="107"/>
      <c r="AJ57" s="111"/>
      <c r="AK57" s="111"/>
      <c r="AL57" s="111"/>
      <c r="AM57" s="108">
        <f>AG57*'1. Standard_Cost'!$B$27+'Incremental_Cost Year 3'!AH57*'1. Standard_Cost'!$C$27+'Incremental_Cost Year 3'!AI57*'1. Standard_Cost'!$D$27+'Incremental_Cost Year 3'!AJ57+'Incremental_Cost Year 3'!AL57+AK57</f>
        <v>0</v>
      </c>
      <c r="AN57" s="108">
        <f>AM57*'1. Standard_Cost'!$C$31</f>
        <v>0</v>
      </c>
      <c r="AO57" s="125" t="s">
        <v>305</v>
      </c>
      <c r="AQ57" s="14">
        <f t="shared" si="63"/>
        <v>5392415.25</v>
      </c>
      <c r="AR57" s="14">
        <f t="shared" si="64"/>
        <v>0</v>
      </c>
      <c r="AS57" s="14">
        <f t="shared" si="65"/>
        <v>0</v>
      </c>
      <c r="AT57" s="14">
        <f t="shared" si="67"/>
        <v>5392415.25</v>
      </c>
      <c r="AU57" s="15"/>
      <c r="AV57" s="15"/>
      <c r="AW57" s="15"/>
      <c r="AX57" s="15"/>
      <c r="AY57" s="15"/>
      <c r="AZ57" s="15"/>
      <c r="BA57" s="15">
        <v>5712757</v>
      </c>
      <c r="BB57" s="16">
        <f t="shared" si="66"/>
        <v>320341.75</v>
      </c>
    </row>
    <row r="58" spans="1:54" ht="140.4" outlineLevel="2">
      <c r="A58" s="98"/>
      <c r="B58" s="102"/>
      <c r="C58" s="23"/>
      <c r="D58" s="251"/>
      <c r="E58" s="251"/>
      <c r="F58" s="251"/>
      <c r="G58" s="250"/>
      <c r="H58" s="302" t="s">
        <v>604</v>
      </c>
      <c r="I58" s="258" t="s">
        <v>5</v>
      </c>
      <c r="J58" s="259">
        <v>1</v>
      </c>
      <c r="K58" s="259">
        <v>1</v>
      </c>
      <c r="L58" s="106">
        <f>IF(I58&lt;&gt;0,((VLOOKUP(I58,'1. Standard_Cost'!$B$4:$D$11,2)+VLOOKUP(I58,'1. Standard_Cost'!$B$4:$D$11,3))*J58*K58),"0")</f>
        <v>70700</v>
      </c>
      <c r="M58" s="106">
        <f>L58*'1. Standard_Cost'!$F$4</f>
        <v>11806.900000000001</v>
      </c>
      <c r="N58" s="260">
        <v>15</v>
      </c>
      <c r="O58" s="260">
        <v>1</v>
      </c>
      <c r="P58" s="260">
        <v>15</v>
      </c>
      <c r="Q58" s="260"/>
      <c r="R58" s="108">
        <f>'1. Standard_Cost'!$B$15*N58*P58</f>
        <v>450000</v>
      </c>
      <c r="S58" s="108">
        <f>N58*O58*P58*'1. Standard_Cost'!$C$15</f>
        <v>337500</v>
      </c>
      <c r="T58" s="108">
        <f>N58*P58*Q58*'1. Standard_Cost'!$D$15</f>
        <v>0</v>
      </c>
      <c r="U58" s="108">
        <f>N58*O58*'1. Standard_Cost'!$E$15</f>
        <v>600000</v>
      </c>
      <c r="V58" s="107"/>
      <c r="W58" s="107"/>
      <c r="X58" s="107"/>
      <c r="Y58" s="108">
        <f>+V58*((X58*'1. Standard_Cost'!$B$19)+(W58*X58*'1. Standard_Cost'!$C$19))</f>
        <v>0</v>
      </c>
      <c r="Z58" s="260"/>
      <c r="AA58" s="260">
        <v>17</v>
      </c>
      <c r="AB58" s="108">
        <f>+Z58*'1. Standard_Cost'!$B$23+AA58*'1. Standard_Cost'!$C$23</f>
        <v>323000</v>
      </c>
      <c r="AC58" s="261">
        <f>225*400</f>
        <v>90000</v>
      </c>
      <c r="AD58" s="262"/>
      <c r="AE58" s="108">
        <f>SUM(AD58,AC58,AB58,Y58,U58,T58,S58,R58)*'1. Standard_Cost'!$B$31</f>
        <v>360100</v>
      </c>
      <c r="AF58" s="108">
        <f t="shared" si="62"/>
        <v>2160600</v>
      </c>
      <c r="AG58" s="107"/>
      <c r="AH58" s="107"/>
      <c r="AI58" s="107"/>
      <c r="AJ58" s="111"/>
      <c r="AK58" s="111"/>
      <c r="AL58" s="111"/>
      <c r="AM58" s="108">
        <f>AG58*'1. Standard_Cost'!$B$27+'Incremental_Cost Year 3'!AH58*'1. Standard_Cost'!$C$27+'Incremental_Cost Year 3'!AI58*'1. Standard_Cost'!$D$27+'Incremental_Cost Year 3'!AJ58+'Incremental_Cost Year 3'!AL58+AK58</f>
        <v>0</v>
      </c>
      <c r="AN58" s="108">
        <f>AM58*'1. Standard_Cost'!$C$31</f>
        <v>0</v>
      </c>
      <c r="AO58" s="125" t="s">
        <v>306</v>
      </c>
      <c r="AQ58" s="14">
        <f t="shared" si="63"/>
        <v>82506.899999999994</v>
      </c>
      <c r="AR58" s="14">
        <f t="shared" si="64"/>
        <v>2160600</v>
      </c>
      <c r="AS58" s="14">
        <f t="shared" si="65"/>
        <v>0</v>
      </c>
      <c r="AT58" s="14">
        <f>SUM(AQ58,AR58,AS58)</f>
        <v>2243106.9</v>
      </c>
      <c r="AU58" s="15">
        <v>82507</v>
      </c>
      <c r="AV58" s="15"/>
      <c r="AW58" s="15"/>
      <c r="AX58" s="15"/>
      <c r="AY58" s="15"/>
      <c r="AZ58" s="15"/>
      <c r="BA58" s="15"/>
      <c r="BB58" s="16">
        <f t="shared" si="66"/>
        <v>-2160599.9</v>
      </c>
    </row>
    <row r="59" spans="1:54" ht="345" outlineLevel="1">
      <c r="A59" s="98"/>
      <c r="B59" s="102"/>
      <c r="C59" s="23"/>
      <c r="D59" s="31" t="s">
        <v>629</v>
      </c>
      <c r="E59" s="56" t="s">
        <v>213</v>
      </c>
      <c r="F59" s="253">
        <v>2021</v>
      </c>
      <c r="G59" s="254">
        <v>2026</v>
      </c>
      <c r="H59" s="277" t="s">
        <v>183</v>
      </c>
      <c r="I59" s="112"/>
      <c r="J59" s="112"/>
      <c r="K59" s="112"/>
      <c r="L59" s="113">
        <f>SUM(L41:L58)</f>
        <v>11363080</v>
      </c>
      <c r="M59" s="113">
        <f>SUM(M41:M58)</f>
        <v>1897634.3599999999</v>
      </c>
      <c r="N59" s="112"/>
      <c r="O59" s="112"/>
      <c r="P59" s="112"/>
      <c r="Q59" s="112"/>
      <c r="R59" s="113">
        <f>SUM(R41:R58)</f>
        <v>450000</v>
      </c>
      <c r="S59" s="113">
        <f>SUM(S41:S58)</f>
        <v>337500</v>
      </c>
      <c r="T59" s="113">
        <f>SUM(T41:T58)</f>
        <v>0</v>
      </c>
      <c r="U59" s="113">
        <f>SUM(U41:U58)</f>
        <v>600000</v>
      </c>
      <c r="V59" s="112"/>
      <c r="W59" s="112"/>
      <c r="X59" s="112"/>
      <c r="Y59" s="113">
        <f>SUM(Y41:Y58)</f>
        <v>0</v>
      </c>
      <c r="Z59" s="113">
        <f>SUM(Z41:Z58)</f>
        <v>0</v>
      </c>
      <c r="AA59" s="112"/>
      <c r="AB59" s="113">
        <f>SUM(AB41:AB58)</f>
        <v>2603000</v>
      </c>
      <c r="AC59" s="113">
        <f>SUM(AC41:AC58)</f>
        <v>989378.88</v>
      </c>
      <c r="AD59" s="113">
        <f>SUM(AD41:AD58)</f>
        <v>0</v>
      </c>
      <c r="AE59" s="113">
        <f>SUM(AE41:AE58)</f>
        <v>995975.77600000007</v>
      </c>
      <c r="AF59" s="113">
        <f>SUM(AF41:AF58)</f>
        <v>5975854.6560000004</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13260714.360000001</v>
      </c>
      <c r="AR59" s="113">
        <f t="shared" si="68"/>
        <v>5975854.6560000004</v>
      </c>
      <c r="AS59" s="113">
        <f t="shared" si="68"/>
        <v>0</v>
      </c>
      <c r="AT59" s="113">
        <f t="shared" si="68"/>
        <v>19236569.015999999</v>
      </c>
      <c r="AU59" s="113">
        <f t="shared" si="68"/>
        <v>8906901</v>
      </c>
      <c r="AV59" s="113">
        <f t="shared" si="68"/>
        <v>0</v>
      </c>
      <c r="AW59" s="113">
        <f t="shared" si="68"/>
        <v>0</v>
      </c>
      <c r="AX59" s="113">
        <f t="shared" si="68"/>
        <v>0</v>
      </c>
      <c r="AY59" s="113">
        <f t="shared" si="68"/>
        <v>0</v>
      </c>
      <c r="AZ59" s="113">
        <f t="shared" si="68"/>
        <v>228000</v>
      </c>
      <c r="BA59" s="113">
        <f t="shared" si="68"/>
        <v>5712757</v>
      </c>
      <c r="BB59" s="113">
        <f t="shared" si="68"/>
        <v>-4388911.0160000008</v>
      </c>
    </row>
    <row r="60" spans="1:54" ht="93.6" outlineLevel="2">
      <c r="A60" s="98"/>
      <c r="B60" s="102"/>
      <c r="C60" s="23"/>
      <c r="D60" s="257"/>
      <c r="E60" s="257"/>
      <c r="F60" s="251"/>
      <c r="G60" s="250"/>
      <c r="H60" s="302" t="s">
        <v>605</v>
      </c>
      <c r="I60" s="258" t="s">
        <v>4</v>
      </c>
      <c r="J60" s="259">
        <v>0.5</v>
      </c>
      <c r="K60" s="259">
        <v>3</v>
      </c>
      <c r="L60" s="106">
        <f>IF(I60&lt;&gt;0,((VLOOKUP(I60,'1. Standard_Cost'!$B$4:$D$11,2)+VLOOKUP(I60,'1. Standard_Cost'!$B$4:$D$11,3))*J60*K60),"0")</f>
        <v>121125</v>
      </c>
      <c r="M60" s="106">
        <f>L60*'1. Standard_Cost'!$F$4</f>
        <v>20227.875</v>
      </c>
      <c r="N60" s="260"/>
      <c r="O60" s="260"/>
      <c r="P60" s="260"/>
      <c r="Q60" s="26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60"/>
      <c r="AA60" s="260"/>
      <c r="AB60" s="108">
        <f>+Z60*'1. Standard_Cost'!$B$23+AA60*'1. Standard_Cost'!$C$23</f>
        <v>0</v>
      </c>
      <c r="AC60" s="261">
        <f>100*3000+110000</f>
        <v>410000</v>
      </c>
      <c r="AD60" s="262"/>
      <c r="AE60" s="108">
        <f>SUM(AD60,AC60,AB60,Y60,U60,T60,S60,R60)*'1. Standard_Cost'!$B$31</f>
        <v>82000</v>
      </c>
      <c r="AF60" s="108">
        <f t="shared" ref="AF60:AF78" si="69">SUM(AE60,AD60,AC60,AB60,Y60,U60,T60,S60,R60)</f>
        <v>492000</v>
      </c>
      <c r="AG60" s="107"/>
      <c r="AH60" s="107"/>
      <c r="AI60" s="107"/>
      <c r="AJ60" s="111"/>
      <c r="AK60" s="111"/>
      <c r="AL60" s="111"/>
      <c r="AM60" s="108">
        <f>AG60*'1. Standard_Cost'!$B$27+'Incremental_Cost Year 3'!AH60*'1. Standard_Cost'!$C$27+'Incremental_Cost Year 3'!AI60*'1. Standard_Cost'!$D$27+'Incremental_Cost Year 3'!AJ60+'Incremental_Cost Year 3'!AL60+AK60</f>
        <v>0</v>
      </c>
      <c r="AN60" s="108">
        <f>AM60*'1. Standard_Cost'!$C$31</f>
        <v>0</v>
      </c>
      <c r="AO60" s="125" t="s">
        <v>307</v>
      </c>
      <c r="AQ60" s="14">
        <f t="shared" ref="AQ60:AQ78" si="70">L60+M60</f>
        <v>141352.875</v>
      </c>
      <c r="AR60" s="14">
        <f t="shared" ref="AR60:AR78" si="71">AF60</f>
        <v>492000</v>
      </c>
      <c r="AS60" s="14">
        <f t="shared" ref="AS60:AS78" si="72">AM60+AN60</f>
        <v>0</v>
      </c>
      <c r="AT60" s="14">
        <f>SUM(AQ60,AR60,AS60)</f>
        <v>633352.875</v>
      </c>
      <c r="AU60" s="15">
        <v>141353</v>
      </c>
      <c r="AV60" s="15"/>
      <c r="AW60" s="15"/>
      <c r="AX60" s="15"/>
      <c r="AY60" s="15"/>
      <c r="AZ60" s="15"/>
      <c r="BA60" s="15"/>
      <c r="BB60" s="16">
        <f t="shared" ref="BB60:BB78" si="73">SUM(AU60:BA60)-AT60</f>
        <v>-491999.875</v>
      </c>
    </row>
    <row r="61" spans="1:54" ht="109.2" outlineLevel="2">
      <c r="A61" s="98"/>
      <c r="B61" s="102"/>
      <c r="C61" s="23"/>
      <c r="D61" s="269"/>
      <c r="E61" s="269"/>
      <c r="F61" s="251"/>
      <c r="G61" s="250"/>
      <c r="H61" s="302" t="s">
        <v>606</v>
      </c>
      <c r="I61" s="258" t="s">
        <v>5</v>
      </c>
      <c r="J61" s="259">
        <v>3</v>
      </c>
      <c r="K61" s="259">
        <v>1</v>
      </c>
      <c r="L61" s="106">
        <f>IF(I61&lt;&gt;0,((VLOOKUP(I61,'1. Standard_Cost'!$B$4:$D$11,2)+VLOOKUP(I61,'1. Standard_Cost'!$B$4:$D$11,3))*J61*K61),"0")</f>
        <v>212100</v>
      </c>
      <c r="M61" s="106">
        <f>L61*'1. Standard_Cost'!$F$4</f>
        <v>35420.700000000004</v>
      </c>
      <c r="N61" s="260"/>
      <c r="O61" s="260"/>
      <c r="P61" s="260"/>
      <c r="Q61" s="26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69"/>
        <v>0</v>
      </c>
      <c r="AG61" s="107"/>
      <c r="AH61" s="107"/>
      <c r="AI61" s="107"/>
      <c r="AJ61" s="111"/>
      <c r="AK61" s="111"/>
      <c r="AL61" s="111"/>
      <c r="AM61" s="108">
        <f>AG61*'1. Standard_Cost'!$B$27+'Incremental_Cost Year 3'!AH61*'1. Standard_Cost'!$C$27+'Incremental_Cost Year 3'!AI61*'1. Standard_Cost'!$D$27+'Incremental_Cost Year 3'!AJ61+'Incremental_Cost Year 3'!AL61+AK61</f>
        <v>0</v>
      </c>
      <c r="AN61" s="108">
        <f>AM61*'1. Standard_Cost'!$C$31</f>
        <v>0</v>
      </c>
      <c r="AO61" s="125" t="s">
        <v>308</v>
      </c>
      <c r="AQ61" s="14">
        <f t="shared" si="70"/>
        <v>247520.7</v>
      </c>
      <c r="AR61" s="14">
        <f t="shared" si="71"/>
        <v>0</v>
      </c>
      <c r="AS61" s="14">
        <f t="shared" si="72"/>
        <v>0</v>
      </c>
      <c r="AT61" s="14">
        <f t="shared" ref="AT61:AT78" si="74">SUM(AQ61,AR61,AS61)</f>
        <v>247520.7</v>
      </c>
      <c r="AU61" s="15">
        <v>247521</v>
      </c>
      <c r="AV61" s="15"/>
      <c r="AW61" s="15"/>
      <c r="AX61" s="15"/>
      <c r="AY61" s="15"/>
      <c r="AZ61" s="15"/>
      <c r="BA61" s="15"/>
      <c r="BB61" s="16">
        <f t="shared" si="73"/>
        <v>0.29999999998835847</v>
      </c>
    </row>
    <row r="62" spans="1:54" ht="140.4" outlineLevel="2">
      <c r="A62" s="98"/>
      <c r="B62" s="102"/>
      <c r="C62" s="23"/>
      <c r="D62" s="269"/>
      <c r="E62" s="269"/>
      <c r="F62" s="251"/>
      <c r="G62" s="250"/>
      <c r="H62" s="302" t="s">
        <v>607</v>
      </c>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69"/>
        <v>0</v>
      </c>
      <c r="AG62" s="107"/>
      <c r="AH62" s="107"/>
      <c r="AI62" s="107"/>
      <c r="AJ62" s="111"/>
      <c r="AK62" s="111"/>
      <c r="AL62" s="111"/>
      <c r="AM62" s="108">
        <f>AG62*'1. Standard_Cost'!$B$27+'Incremental_Cost Year 3'!AH62*'1. Standard_Cost'!$C$27+'Incremental_Cost Year 3'!AI62*'1. Standard_Cost'!$D$27+'Incremental_Cost Year 3'!AJ62+'Incremental_Cost Year 3'!AL62+AK62</f>
        <v>0</v>
      </c>
      <c r="AN62" s="108">
        <f>AM62*'1. Standard_Cost'!$C$31</f>
        <v>0</v>
      </c>
      <c r="AO62" s="125" t="s">
        <v>309</v>
      </c>
      <c r="AQ62" s="14">
        <f t="shared" si="70"/>
        <v>0</v>
      </c>
      <c r="AR62" s="14">
        <f t="shared" si="71"/>
        <v>0</v>
      </c>
      <c r="AS62" s="14">
        <f t="shared" si="72"/>
        <v>0</v>
      </c>
      <c r="AT62" s="14">
        <f t="shared" si="74"/>
        <v>0</v>
      </c>
      <c r="AU62" s="15"/>
      <c r="AV62" s="15"/>
      <c r="AW62" s="15"/>
      <c r="AX62" s="15"/>
      <c r="AY62" s="15"/>
      <c r="AZ62" s="15"/>
      <c r="BA62" s="15"/>
      <c r="BB62" s="16">
        <f t="shared" si="73"/>
        <v>0</v>
      </c>
    </row>
    <row r="63" spans="1:54" ht="140.4" outlineLevel="2">
      <c r="A63" s="98"/>
      <c r="B63" s="102"/>
      <c r="C63" s="23"/>
      <c r="D63" s="269"/>
      <c r="E63" s="269"/>
      <c r="F63" s="251"/>
      <c r="G63" s="250"/>
      <c r="H63" s="302" t="s">
        <v>608</v>
      </c>
      <c r="I63" s="258" t="s">
        <v>5</v>
      </c>
      <c r="J63" s="259">
        <v>0.5</v>
      </c>
      <c r="K63" s="259">
        <v>2</v>
      </c>
      <c r="L63" s="106">
        <f>IF(I63&lt;&gt;0,((VLOOKUP(I63,'1. Standard_Cost'!$B$4:$D$11,2)+VLOOKUP(I63,'1. Standard_Cost'!$B$4:$D$11,3))*J63*K63),"0")</f>
        <v>70700</v>
      </c>
      <c r="M63" s="106">
        <f>L63*'1. Standard_Cost'!$F$4</f>
        <v>11806.900000000001</v>
      </c>
      <c r="N63" s="260">
        <v>3</v>
      </c>
      <c r="O63" s="260">
        <v>1</v>
      </c>
      <c r="P63" s="260">
        <v>15</v>
      </c>
      <c r="Q63" s="26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60"/>
      <c r="AA63" s="260">
        <v>14</v>
      </c>
      <c r="AB63" s="108">
        <f>+Z63*'1. Standard_Cost'!$B$23+AA63*'1. Standard_Cost'!$C$23</f>
        <v>266000</v>
      </c>
      <c r="AC63" s="261">
        <f>45*500</f>
        <v>22500</v>
      </c>
      <c r="AD63" s="262"/>
      <c r="AE63" s="108">
        <f>SUM(AD63,AC63,AB63,Y63,U63,T63,S63,R63)*'1. Standard_Cost'!$B$31</f>
        <v>113200</v>
      </c>
      <c r="AF63" s="108">
        <f t="shared" si="69"/>
        <v>679200</v>
      </c>
      <c r="AG63" s="107"/>
      <c r="AH63" s="107"/>
      <c r="AI63" s="107"/>
      <c r="AJ63" s="111"/>
      <c r="AK63" s="111"/>
      <c r="AL63" s="111"/>
      <c r="AM63" s="108">
        <f>AG63*'1. Standard_Cost'!$B$27+'Incremental_Cost Year 3'!AH63*'1. Standard_Cost'!$C$27+'Incremental_Cost Year 3'!AI63*'1. Standard_Cost'!$D$27+'Incremental_Cost Year 3'!AJ63+'Incremental_Cost Year 3'!AL63+AK63</f>
        <v>0</v>
      </c>
      <c r="AN63" s="108">
        <f>AM63*'1. Standard_Cost'!$C$31</f>
        <v>0</v>
      </c>
      <c r="AO63" s="125" t="s">
        <v>310</v>
      </c>
      <c r="AQ63" s="14">
        <f t="shared" si="70"/>
        <v>82506.899999999994</v>
      </c>
      <c r="AR63" s="14">
        <f t="shared" si="71"/>
        <v>679200</v>
      </c>
      <c r="AS63" s="14">
        <f t="shared" si="72"/>
        <v>0</v>
      </c>
      <c r="AT63" s="14">
        <f t="shared" si="74"/>
        <v>761706.9</v>
      </c>
      <c r="AU63" s="15">
        <v>82507</v>
      </c>
      <c r="AV63" s="15"/>
      <c r="AW63" s="15"/>
      <c r="AX63" s="15"/>
      <c r="AY63" s="15"/>
      <c r="AZ63" s="15">
        <v>228000</v>
      </c>
      <c r="BA63" s="15"/>
      <c r="BB63" s="16">
        <f t="shared" si="73"/>
        <v>-451199.9</v>
      </c>
    </row>
    <row r="64" spans="1:54" ht="171.6" outlineLevel="2">
      <c r="A64" s="98"/>
      <c r="B64" s="102"/>
      <c r="C64" s="23"/>
      <c r="D64" s="269"/>
      <c r="E64" s="269"/>
      <c r="F64" s="251"/>
      <c r="G64" s="250"/>
      <c r="H64" s="302" t="s">
        <v>609</v>
      </c>
      <c r="I64" s="258" t="s">
        <v>5</v>
      </c>
      <c r="J64" s="259">
        <v>0.5</v>
      </c>
      <c r="K64" s="259">
        <v>2</v>
      </c>
      <c r="L64" s="106">
        <f>IF(I64&lt;&gt;0,((VLOOKUP(I64,'1. Standard_Cost'!$B$4:$D$11,2)+VLOOKUP(I64,'1. Standard_Cost'!$B$4:$D$11,3))*J64*K64),"0")</f>
        <v>70700</v>
      </c>
      <c r="M64" s="106">
        <f>L64*'1. Standard_Cost'!$F$4</f>
        <v>11806.900000000001</v>
      </c>
      <c r="N64" s="260">
        <v>3</v>
      </c>
      <c r="O64" s="260">
        <v>1</v>
      </c>
      <c r="P64" s="260">
        <v>15</v>
      </c>
      <c r="Q64" s="26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60"/>
      <c r="AA64" s="260">
        <v>14</v>
      </c>
      <c r="AB64" s="108">
        <f>+Z64*'1. Standard_Cost'!$B$23+AA64*'1. Standard_Cost'!$C$23</f>
        <v>266000</v>
      </c>
      <c r="AC64" s="261">
        <f>45*500</f>
        <v>22500</v>
      </c>
      <c r="AD64" s="262"/>
      <c r="AE64" s="108">
        <f>SUM(AD64,AC64,AB64,Y64,U64,T64,S64,R64)*'1. Standard_Cost'!$B$31</f>
        <v>113200</v>
      </c>
      <c r="AF64" s="108">
        <f t="shared" si="69"/>
        <v>679200</v>
      </c>
      <c r="AG64" s="107"/>
      <c r="AH64" s="107"/>
      <c r="AI64" s="107"/>
      <c r="AJ64" s="111"/>
      <c r="AK64" s="111"/>
      <c r="AL64" s="111"/>
      <c r="AM64" s="108">
        <f>AG64*'1. Standard_Cost'!$B$27+'Incremental_Cost Year 3'!AH64*'1. Standard_Cost'!$C$27+'Incremental_Cost Year 3'!AI64*'1. Standard_Cost'!$D$27+'Incremental_Cost Year 3'!AJ64+'Incremental_Cost Year 3'!AL64+AK64</f>
        <v>0</v>
      </c>
      <c r="AN64" s="108">
        <f>AM64*'1. Standard_Cost'!$C$31</f>
        <v>0</v>
      </c>
      <c r="AO64" s="125" t="s">
        <v>311</v>
      </c>
      <c r="AQ64" s="14">
        <f t="shared" si="70"/>
        <v>82506.899999999994</v>
      </c>
      <c r="AR64" s="14">
        <f t="shared" si="71"/>
        <v>679200</v>
      </c>
      <c r="AS64" s="14">
        <f t="shared" si="72"/>
        <v>0</v>
      </c>
      <c r="AT64" s="14">
        <f t="shared" si="74"/>
        <v>761706.9</v>
      </c>
      <c r="AU64" s="15">
        <v>82507</v>
      </c>
      <c r="AV64" s="15"/>
      <c r="AW64" s="15"/>
      <c r="AX64" s="15"/>
      <c r="AY64" s="15"/>
      <c r="AZ64" s="15">
        <v>228000</v>
      </c>
      <c r="BA64" s="15"/>
      <c r="BB64" s="16">
        <f t="shared" si="73"/>
        <v>-451199.9</v>
      </c>
    </row>
    <row r="65" spans="1:54" ht="62.4" outlineLevel="2">
      <c r="A65" s="98"/>
      <c r="B65" s="102"/>
      <c r="C65" s="23"/>
      <c r="D65" s="269"/>
      <c r="E65" s="269"/>
      <c r="F65" s="251"/>
      <c r="G65" s="250"/>
      <c r="H65" s="302" t="s">
        <v>676</v>
      </c>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69"/>
        <v>0</v>
      </c>
      <c r="AG65" s="107"/>
      <c r="AH65" s="107"/>
      <c r="AI65" s="107"/>
      <c r="AJ65" s="111"/>
      <c r="AK65" s="111"/>
      <c r="AL65" s="111"/>
      <c r="AM65" s="108">
        <f>AG65*'1. Standard_Cost'!$B$27+'Incremental_Cost Year 3'!AH65*'1. Standard_Cost'!$C$27+'Incremental_Cost Year 3'!AI65*'1. Standard_Cost'!$D$27+'Incremental_Cost Year 3'!AJ65+'Incremental_Cost Year 3'!AL65+AK65</f>
        <v>0</v>
      </c>
      <c r="AN65" s="108">
        <f>AM65*'1. Standard_Cost'!$C$31</f>
        <v>0</v>
      </c>
      <c r="AO65" s="125" t="s">
        <v>312</v>
      </c>
      <c r="AQ65" s="14">
        <f t="shared" si="70"/>
        <v>0</v>
      </c>
      <c r="AR65" s="14">
        <f t="shared" si="71"/>
        <v>0</v>
      </c>
      <c r="AS65" s="14">
        <f t="shared" si="72"/>
        <v>0</v>
      </c>
      <c r="AT65" s="14">
        <f t="shared" si="74"/>
        <v>0</v>
      </c>
      <c r="AU65" s="15"/>
      <c r="AV65" s="15"/>
      <c r="AW65" s="15"/>
      <c r="AX65" s="15"/>
      <c r="AY65" s="15"/>
      <c r="AZ65" s="15"/>
      <c r="BA65" s="15"/>
      <c r="BB65" s="16">
        <f t="shared" si="73"/>
        <v>0</v>
      </c>
    </row>
    <row r="66" spans="1:54" ht="78" outlineLevel="2">
      <c r="A66" s="98"/>
      <c r="B66" s="102"/>
      <c r="C66" s="23"/>
      <c r="D66" s="269"/>
      <c r="E66" s="269"/>
      <c r="F66" s="251"/>
      <c r="G66" s="250"/>
      <c r="H66" s="302" t="s">
        <v>677</v>
      </c>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69"/>
        <v>0</v>
      </c>
      <c r="AG66" s="107"/>
      <c r="AH66" s="107"/>
      <c r="AI66" s="107"/>
      <c r="AJ66" s="111"/>
      <c r="AK66" s="111"/>
      <c r="AL66" s="111"/>
      <c r="AM66" s="108">
        <f>AG66*'1. Standard_Cost'!$B$27+'Incremental_Cost Year 3'!AH66*'1. Standard_Cost'!$C$27+'Incremental_Cost Year 3'!AI66*'1. Standard_Cost'!$D$27+'Incremental_Cost Year 3'!AJ66+'Incremental_Cost Year 3'!AL66+AK66</f>
        <v>0</v>
      </c>
      <c r="AN66" s="108">
        <f>AM66*'1. Standard_Cost'!$C$31</f>
        <v>0</v>
      </c>
      <c r="AO66" s="125" t="s">
        <v>313</v>
      </c>
      <c r="AQ66" s="14">
        <f t="shared" si="70"/>
        <v>0</v>
      </c>
      <c r="AR66" s="14">
        <f t="shared" si="71"/>
        <v>0</v>
      </c>
      <c r="AS66" s="14">
        <f t="shared" si="72"/>
        <v>0</v>
      </c>
      <c r="AT66" s="14">
        <f t="shared" si="74"/>
        <v>0</v>
      </c>
      <c r="AU66" s="15"/>
      <c r="AV66" s="15"/>
      <c r="AW66" s="15"/>
      <c r="AX66" s="15"/>
      <c r="AY66" s="15"/>
      <c r="AZ66" s="15"/>
      <c r="BA66" s="15"/>
      <c r="BB66" s="16">
        <f t="shared" si="73"/>
        <v>0</v>
      </c>
    </row>
    <row r="67" spans="1:54" ht="93.6" outlineLevel="2">
      <c r="A67" s="98"/>
      <c r="B67" s="102"/>
      <c r="C67" s="23"/>
      <c r="D67" s="269"/>
      <c r="E67" s="269"/>
      <c r="F67" s="251"/>
      <c r="G67" s="173"/>
      <c r="H67" s="302" t="s">
        <v>678</v>
      </c>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69"/>
        <v>0</v>
      </c>
      <c r="AG67" s="107"/>
      <c r="AH67" s="107"/>
      <c r="AI67" s="107"/>
      <c r="AJ67" s="111"/>
      <c r="AK67" s="111"/>
      <c r="AL67" s="111"/>
      <c r="AM67" s="108">
        <f>AG67*'1. Standard_Cost'!$B$27+'Incremental_Cost Year 3'!AH67*'1. Standard_Cost'!$C$27+'Incremental_Cost Year 3'!AI67*'1. Standard_Cost'!$D$27+'Incremental_Cost Year 3'!AJ67+'Incremental_Cost Year 3'!AL67+AK67</f>
        <v>0</v>
      </c>
      <c r="AN67" s="108">
        <f>AM67*'1. Standard_Cost'!$C$31</f>
        <v>0</v>
      </c>
      <c r="AO67" s="125" t="s">
        <v>313</v>
      </c>
      <c r="AQ67" s="14">
        <f t="shared" si="70"/>
        <v>0</v>
      </c>
      <c r="AR67" s="14">
        <f t="shared" si="71"/>
        <v>0</v>
      </c>
      <c r="AS67" s="14">
        <f t="shared" si="72"/>
        <v>0</v>
      </c>
      <c r="AT67" s="14">
        <f t="shared" si="74"/>
        <v>0</v>
      </c>
      <c r="AU67" s="15"/>
      <c r="AV67" s="15"/>
      <c r="AW67" s="15"/>
      <c r="AX67" s="15"/>
      <c r="AY67" s="15"/>
      <c r="AZ67" s="15"/>
      <c r="BA67" s="15"/>
      <c r="BB67" s="16">
        <f t="shared" si="73"/>
        <v>0</v>
      </c>
    </row>
    <row r="68" spans="1:54" ht="109.2" outlineLevel="2">
      <c r="A68" s="98"/>
      <c r="B68" s="102"/>
      <c r="C68" s="23"/>
      <c r="D68" s="269"/>
      <c r="E68" s="269"/>
      <c r="F68" s="251"/>
      <c r="G68" s="173"/>
      <c r="H68" s="302" t="s">
        <v>610</v>
      </c>
      <c r="I68" s="258" t="s">
        <v>4</v>
      </c>
      <c r="J68" s="259">
        <v>0.5</v>
      </c>
      <c r="K68" s="259">
        <v>5</v>
      </c>
      <c r="L68" s="106">
        <f>IF(I68&lt;&gt;0,((VLOOKUP(I68,'1. Standard_Cost'!$B$4:$D$11,2)+VLOOKUP(I68,'1. Standard_Cost'!$B$4:$D$11,3))*J68*K68),"0")</f>
        <v>201875</v>
      </c>
      <c r="M68" s="106">
        <f>L68*'1. Standard_Cost'!$F$4</f>
        <v>33713.125</v>
      </c>
      <c r="N68" s="260"/>
      <c r="O68" s="260"/>
      <c r="P68" s="260"/>
      <c r="Q68" s="26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60"/>
      <c r="AA68" s="260">
        <v>20</v>
      </c>
      <c r="AB68" s="108">
        <f>+Z68*'1. Standard_Cost'!$B$23+AA68*'1. Standard_Cost'!$C$23</f>
        <v>380000</v>
      </c>
      <c r="AC68" s="261"/>
      <c r="AD68" s="262"/>
      <c r="AE68" s="108">
        <f>SUM(AD68,AC68,AB68,Y68,U68,T68,S68,R68)*'1. Standard_Cost'!$B$31</f>
        <v>76000</v>
      </c>
      <c r="AF68" s="108">
        <f t="shared" si="69"/>
        <v>456000</v>
      </c>
      <c r="AG68" s="107"/>
      <c r="AH68" s="107"/>
      <c r="AI68" s="107"/>
      <c r="AJ68" s="111"/>
      <c r="AK68" s="111"/>
      <c r="AL68" s="111"/>
      <c r="AM68" s="108">
        <f>AG68*'1. Standard_Cost'!$B$27+'Incremental_Cost Year 3'!AH68*'1. Standard_Cost'!$C$27+'Incremental_Cost Year 3'!AI68*'1. Standard_Cost'!$D$27+'Incremental_Cost Year 3'!AJ68+'Incremental_Cost Year 3'!AL68+AK68</f>
        <v>0</v>
      </c>
      <c r="AN68" s="108">
        <f>AM68*'1. Standard_Cost'!$C$31</f>
        <v>0</v>
      </c>
      <c r="AO68" s="125" t="s">
        <v>314</v>
      </c>
      <c r="AQ68" s="14">
        <f t="shared" si="70"/>
        <v>235588.125</v>
      </c>
      <c r="AR68" s="14">
        <f t="shared" si="71"/>
        <v>456000</v>
      </c>
      <c r="AS68" s="14">
        <f t="shared" si="72"/>
        <v>0</v>
      </c>
      <c r="AT68" s="14">
        <f t="shared" si="74"/>
        <v>691588.125</v>
      </c>
      <c r="AU68" s="15">
        <v>235588</v>
      </c>
      <c r="AV68" s="15"/>
      <c r="AW68" s="15"/>
      <c r="AX68" s="15"/>
      <c r="AY68" s="15"/>
      <c r="AZ68" s="15"/>
      <c r="BA68" s="15"/>
      <c r="BB68" s="16">
        <f t="shared" si="73"/>
        <v>-456000.125</v>
      </c>
    </row>
    <row r="69" spans="1:54" ht="46.8" outlineLevel="2">
      <c r="A69" s="98"/>
      <c r="B69" s="102"/>
      <c r="C69" s="23"/>
      <c r="D69" s="269"/>
      <c r="E69" s="269"/>
      <c r="F69" s="251"/>
      <c r="G69" s="250"/>
      <c r="H69" s="302" t="s">
        <v>679</v>
      </c>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69"/>
        <v>0</v>
      </c>
      <c r="AG69" s="107"/>
      <c r="AH69" s="107"/>
      <c r="AI69" s="107"/>
      <c r="AJ69" s="111"/>
      <c r="AK69" s="111"/>
      <c r="AL69" s="111"/>
      <c r="AM69" s="108">
        <f>AG69*'1. Standard_Cost'!$B$27+'Incremental_Cost Year 3'!AH69*'1. Standard_Cost'!$C$27+'Incremental_Cost Year 3'!AI69*'1. Standard_Cost'!$D$27+'Incremental_Cost Year 3'!AJ69+'Incremental_Cost Year 3'!AL69+AK69</f>
        <v>0</v>
      </c>
      <c r="AN69" s="108">
        <f>AM69*'1. Standard_Cost'!$C$31</f>
        <v>0</v>
      </c>
      <c r="AO69" s="125" t="s">
        <v>315</v>
      </c>
      <c r="AQ69" s="14">
        <f t="shared" si="70"/>
        <v>0</v>
      </c>
      <c r="AR69" s="14">
        <f t="shared" si="71"/>
        <v>0</v>
      </c>
      <c r="AS69" s="14">
        <f t="shared" si="72"/>
        <v>0</v>
      </c>
      <c r="AT69" s="14">
        <f t="shared" si="74"/>
        <v>0</v>
      </c>
      <c r="AU69" s="15"/>
      <c r="AV69" s="15"/>
      <c r="AW69" s="15"/>
      <c r="AX69" s="15"/>
      <c r="AY69" s="15"/>
      <c r="AZ69" s="15"/>
      <c r="BA69" s="15"/>
      <c r="BB69" s="16">
        <f t="shared" si="73"/>
        <v>0</v>
      </c>
    </row>
    <row r="70" spans="1:54" ht="31.2" outlineLevel="2">
      <c r="A70" s="98"/>
      <c r="B70" s="102"/>
      <c r="C70" s="23"/>
      <c r="D70" s="269"/>
      <c r="E70" s="269"/>
      <c r="F70" s="251"/>
      <c r="G70" s="250"/>
      <c r="H70" s="302" t="s">
        <v>680</v>
      </c>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69"/>
        <v>0</v>
      </c>
      <c r="AG70" s="107"/>
      <c r="AH70" s="107"/>
      <c r="AI70" s="107"/>
      <c r="AJ70" s="111"/>
      <c r="AK70" s="111"/>
      <c r="AL70" s="111"/>
      <c r="AM70" s="108">
        <f>AG70*'1. Standard_Cost'!$B$27+'Incremental_Cost Year 3'!AH70*'1. Standard_Cost'!$C$27+'Incremental_Cost Year 3'!AI70*'1. Standard_Cost'!$D$27+'Incremental_Cost Year 3'!AJ70+'Incremental_Cost Year 3'!AL70+AK70</f>
        <v>0</v>
      </c>
      <c r="AN70" s="108">
        <f>AM70*'1. Standard_Cost'!$C$31</f>
        <v>0</v>
      </c>
      <c r="AO70" s="125" t="s">
        <v>315</v>
      </c>
      <c r="AQ70" s="14">
        <f t="shared" si="70"/>
        <v>0</v>
      </c>
      <c r="AR70" s="14">
        <f t="shared" si="71"/>
        <v>0</v>
      </c>
      <c r="AS70" s="14">
        <f t="shared" si="72"/>
        <v>0</v>
      </c>
      <c r="AT70" s="14">
        <f t="shared" si="74"/>
        <v>0</v>
      </c>
      <c r="AU70" s="15"/>
      <c r="AV70" s="15"/>
      <c r="AW70" s="15"/>
      <c r="AX70" s="15"/>
      <c r="AY70" s="15"/>
      <c r="AZ70" s="15"/>
      <c r="BA70" s="15"/>
      <c r="BB70" s="16">
        <f t="shared" si="73"/>
        <v>0</v>
      </c>
    </row>
    <row r="71" spans="1:54" ht="31.2" outlineLevel="2">
      <c r="A71" s="98"/>
      <c r="B71" s="102"/>
      <c r="C71" s="23"/>
      <c r="D71" s="269"/>
      <c r="E71" s="269"/>
      <c r="F71" s="251"/>
      <c r="G71" s="250"/>
      <c r="H71" s="302" t="s">
        <v>681</v>
      </c>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69"/>
        <v>0</v>
      </c>
      <c r="AG71" s="107"/>
      <c r="AH71" s="107"/>
      <c r="AI71" s="107"/>
      <c r="AJ71" s="111"/>
      <c r="AK71" s="111"/>
      <c r="AL71" s="111"/>
      <c r="AM71" s="108">
        <f>AG71*'1. Standard_Cost'!$B$27+'Incremental_Cost Year 3'!AH71*'1. Standard_Cost'!$C$27+'Incremental_Cost Year 3'!AI71*'1. Standard_Cost'!$D$27+'Incremental_Cost Year 3'!AJ71+'Incremental_Cost Year 3'!AL71+AK71</f>
        <v>0</v>
      </c>
      <c r="AN71" s="108">
        <f>AM71*'1. Standard_Cost'!$C$31</f>
        <v>0</v>
      </c>
      <c r="AO71" s="125" t="s">
        <v>316</v>
      </c>
      <c r="AQ71" s="14">
        <f t="shared" si="70"/>
        <v>0</v>
      </c>
      <c r="AR71" s="14">
        <f t="shared" si="71"/>
        <v>0</v>
      </c>
      <c r="AS71" s="14">
        <f t="shared" si="72"/>
        <v>0</v>
      </c>
      <c r="AT71" s="14">
        <f t="shared" si="74"/>
        <v>0</v>
      </c>
      <c r="AU71" s="15"/>
      <c r="AV71" s="15"/>
      <c r="AW71" s="15"/>
      <c r="AX71" s="15"/>
      <c r="AY71" s="15"/>
      <c r="AZ71" s="15"/>
      <c r="BA71" s="15"/>
      <c r="BB71" s="16">
        <f t="shared" si="73"/>
        <v>0</v>
      </c>
    </row>
    <row r="72" spans="1:54" ht="140.4" outlineLevel="2">
      <c r="A72" s="98"/>
      <c r="B72" s="102"/>
      <c r="C72" s="23"/>
      <c r="D72" s="269"/>
      <c r="E72" s="269"/>
      <c r="F72" s="251"/>
      <c r="G72" s="250"/>
      <c r="H72" s="302" t="s">
        <v>611</v>
      </c>
      <c r="I72" s="258" t="s">
        <v>5</v>
      </c>
      <c r="J72" s="259">
        <v>0.5</v>
      </c>
      <c r="K72" s="259">
        <v>2</v>
      </c>
      <c r="L72" s="106">
        <f>IF(I72&lt;&gt;0,((VLOOKUP(I72,'1. Standard_Cost'!$B$4:$D$11,2)+VLOOKUP(I72,'1. Standard_Cost'!$B$4:$D$11,3))*J72*K72),"0")</f>
        <v>70700</v>
      </c>
      <c r="M72" s="106">
        <f>L72*'1. Standard_Cost'!$F$4</f>
        <v>11806.900000000001</v>
      </c>
      <c r="N72" s="260">
        <v>6</v>
      </c>
      <c r="O72" s="260">
        <v>1</v>
      </c>
      <c r="P72" s="260">
        <v>15</v>
      </c>
      <c r="Q72" s="260"/>
      <c r="R72" s="108">
        <f>'1. Standard_Cost'!$B$15*N72*P72</f>
        <v>180000</v>
      </c>
      <c r="S72" s="108">
        <f>N72*O72*P72*'1. Standard_Cost'!$C$15</f>
        <v>135000</v>
      </c>
      <c r="T72" s="108">
        <f>N72*P72*Q72*'1. Standard_Cost'!$D$15</f>
        <v>0</v>
      </c>
      <c r="U72" s="108">
        <f>N72*O72*'1. Standard_Cost'!$E$15</f>
        <v>240000</v>
      </c>
      <c r="V72" s="107"/>
      <c r="W72" s="107"/>
      <c r="X72" s="107"/>
      <c r="Y72" s="108">
        <f>+V72*((X72*'1. Standard_Cost'!$B$19)+(W72*X72*'1. Standard_Cost'!$C$19))</f>
        <v>0</v>
      </c>
      <c r="Z72" s="260"/>
      <c r="AA72" s="260">
        <v>7</v>
      </c>
      <c r="AB72" s="108">
        <f>+Z72*'1. Standard_Cost'!$B$23+AA72*'1. Standard_Cost'!$C$23</f>
        <v>133000</v>
      </c>
      <c r="AC72" s="261">
        <f>90*500</f>
        <v>45000</v>
      </c>
      <c r="AD72" s="262"/>
      <c r="AE72" s="108">
        <f>SUM(AD72,AC72,AB72,Y72,U72,T72,S72,R72)*'1. Standard_Cost'!$B$31</f>
        <v>146600</v>
      </c>
      <c r="AF72" s="108">
        <f t="shared" si="69"/>
        <v>879600</v>
      </c>
      <c r="AG72" s="107"/>
      <c r="AH72" s="107"/>
      <c r="AI72" s="107"/>
      <c r="AJ72" s="111"/>
      <c r="AK72" s="111"/>
      <c r="AL72" s="111"/>
      <c r="AM72" s="108">
        <f>AG72*'1. Standard_Cost'!$B$27+'Incremental_Cost Year 3'!AH72*'1. Standard_Cost'!$C$27+'Incremental_Cost Year 3'!AI72*'1. Standard_Cost'!$D$27+'Incremental_Cost Year 3'!AJ72+'Incremental_Cost Year 3'!AL72+AK72</f>
        <v>0</v>
      </c>
      <c r="AN72" s="108">
        <f>AM72*'1. Standard_Cost'!$C$31</f>
        <v>0</v>
      </c>
      <c r="AO72" s="125" t="s">
        <v>317</v>
      </c>
      <c r="AQ72" s="14">
        <f t="shared" si="70"/>
        <v>82506.899999999994</v>
      </c>
      <c r="AR72" s="14">
        <f t="shared" si="71"/>
        <v>879600</v>
      </c>
      <c r="AS72" s="14">
        <f t="shared" si="72"/>
        <v>0</v>
      </c>
      <c r="AT72" s="14">
        <f t="shared" si="74"/>
        <v>962106.9</v>
      </c>
      <c r="AU72" s="15"/>
      <c r="AV72" s="15"/>
      <c r="AW72" s="15"/>
      <c r="AX72" s="15"/>
      <c r="AY72" s="15"/>
      <c r="AZ72" s="15"/>
      <c r="BA72" s="15"/>
      <c r="BB72" s="16">
        <f t="shared" si="73"/>
        <v>-962106.9</v>
      </c>
    </row>
    <row r="73" spans="1:54" ht="109.2" outlineLevel="2">
      <c r="A73" s="98"/>
      <c r="B73" s="102"/>
      <c r="C73" s="23"/>
      <c r="D73" s="251"/>
      <c r="E73" s="251"/>
      <c r="F73" s="251"/>
      <c r="G73" s="173"/>
      <c r="H73" s="302" t="s">
        <v>612</v>
      </c>
      <c r="I73" s="258" t="s">
        <v>4</v>
      </c>
      <c r="J73" s="259">
        <v>0.5</v>
      </c>
      <c r="K73" s="259">
        <v>5</v>
      </c>
      <c r="L73" s="106">
        <f>IF(I73&lt;&gt;0,((VLOOKUP(I73,'1. Standard_Cost'!$B$4:$D$11,2)+VLOOKUP(I73,'1. Standard_Cost'!$B$4:$D$11,3))*J73*K73),"0")</f>
        <v>201875</v>
      </c>
      <c r="M73" s="106">
        <f>L73*'1. Standard_Cost'!$F$4</f>
        <v>33713.125</v>
      </c>
      <c r="N73" s="260"/>
      <c r="O73" s="260"/>
      <c r="P73" s="260"/>
      <c r="Q73" s="26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60"/>
      <c r="AA73" s="260">
        <v>20</v>
      </c>
      <c r="AB73" s="108">
        <f>+Z73*'1. Standard_Cost'!$B$23+AA73*'1. Standard_Cost'!$C$23</f>
        <v>380000</v>
      </c>
      <c r="AC73" s="261"/>
      <c r="AD73" s="262"/>
      <c r="AE73" s="108">
        <f>SUM(AD73,AC73,AB73,Y73,U73,T73,S73,R73)*'1. Standard_Cost'!$B$31</f>
        <v>76000</v>
      </c>
      <c r="AF73" s="108">
        <f t="shared" si="69"/>
        <v>456000</v>
      </c>
      <c r="AG73" s="107"/>
      <c r="AH73" s="107"/>
      <c r="AI73" s="107"/>
      <c r="AJ73" s="111"/>
      <c r="AK73" s="111"/>
      <c r="AL73" s="111"/>
      <c r="AM73" s="108">
        <f>AG73*'1. Standard_Cost'!$B$27+'Incremental_Cost Year 3'!AH73*'1. Standard_Cost'!$C$27+'Incremental_Cost Year 3'!AI73*'1. Standard_Cost'!$D$27+'Incremental_Cost Year 3'!AJ73+'Incremental_Cost Year 3'!AL73+AK73</f>
        <v>0</v>
      </c>
      <c r="AN73" s="108">
        <f>AM73*'1. Standard_Cost'!$C$31</f>
        <v>0</v>
      </c>
      <c r="AO73" s="125" t="s">
        <v>318</v>
      </c>
      <c r="AQ73" s="14">
        <f t="shared" si="70"/>
        <v>235588.125</v>
      </c>
      <c r="AR73" s="14">
        <f t="shared" si="71"/>
        <v>456000</v>
      </c>
      <c r="AS73" s="14">
        <f t="shared" si="72"/>
        <v>0</v>
      </c>
      <c r="AT73" s="14">
        <f t="shared" si="74"/>
        <v>691588.125</v>
      </c>
      <c r="AU73" s="15">
        <v>235588</v>
      </c>
      <c r="AV73" s="15"/>
      <c r="AW73" s="15"/>
      <c r="AX73" s="15"/>
      <c r="AY73" s="15"/>
      <c r="AZ73" s="15"/>
      <c r="BA73" s="15"/>
      <c r="BB73" s="16">
        <f t="shared" si="73"/>
        <v>-456000.125</v>
      </c>
    </row>
    <row r="74" spans="1:54" ht="74.400000000000006" outlineLevel="2">
      <c r="A74" s="98"/>
      <c r="B74" s="102"/>
      <c r="C74" s="23"/>
      <c r="D74" s="251"/>
      <c r="E74" s="251"/>
      <c r="F74" s="251"/>
      <c r="G74" s="250"/>
      <c r="H74" s="302" t="s">
        <v>682</v>
      </c>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69"/>
        <v>0</v>
      </c>
      <c r="AG74" s="107"/>
      <c r="AH74" s="107"/>
      <c r="AI74" s="107"/>
      <c r="AJ74" s="111"/>
      <c r="AK74" s="111"/>
      <c r="AL74" s="111"/>
      <c r="AM74" s="108">
        <f>AG74*'1. Standard_Cost'!$B$27+'Incremental_Cost Year 3'!AH74*'1. Standard_Cost'!$C$27+'Incremental_Cost Year 3'!AI74*'1. Standard_Cost'!$D$27+'Incremental_Cost Year 3'!AJ74+'Incremental_Cost Year 3'!AL74+AK74</f>
        <v>0</v>
      </c>
      <c r="AN74" s="108">
        <f>AM74*'1. Standard_Cost'!$C$31</f>
        <v>0</v>
      </c>
      <c r="AO74" s="125" t="s">
        <v>319</v>
      </c>
      <c r="AQ74" s="14">
        <f t="shared" si="70"/>
        <v>0</v>
      </c>
      <c r="AR74" s="14">
        <f t="shared" si="71"/>
        <v>0</v>
      </c>
      <c r="AS74" s="14">
        <f t="shared" si="72"/>
        <v>0</v>
      </c>
      <c r="AT74" s="14">
        <f t="shared" si="74"/>
        <v>0</v>
      </c>
      <c r="AU74" s="15"/>
      <c r="AV74" s="15"/>
      <c r="AW74" s="15"/>
      <c r="AX74" s="15"/>
      <c r="AY74" s="15"/>
      <c r="AZ74" s="15"/>
      <c r="BA74" s="15"/>
      <c r="BB74" s="16">
        <f t="shared" si="73"/>
        <v>0</v>
      </c>
    </row>
    <row r="75" spans="1:54" ht="60.6" outlineLevel="2">
      <c r="A75" s="98"/>
      <c r="B75" s="102"/>
      <c r="C75" s="23"/>
      <c r="D75" s="251"/>
      <c r="E75" s="251"/>
      <c r="F75" s="251"/>
      <c r="G75" s="250"/>
      <c r="H75" s="302" t="s">
        <v>683</v>
      </c>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69"/>
        <v>0</v>
      </c>
      <c r="AG75" s="107"/>
      <c r="AH75" s="107"/>
      <c r="AI75" s="107"/>
      <c r="AJ75" s="111"/>
      <c r="AK75" s="111"/>
      <c r="AL75" s="111"/>
      <c r="AM75" s="108">
        <f>AG75*'1. Standard_Cost'!$B$27+'Incremental_Cost Year 3'!AH75*'1. Standard_Cost'!$C$27+'Incremental_Cost Year 3'!AI75*'1. Standard_Cost'!$D$27+'Incremental_Cost Year 3'!AJ75+'Incremental_Cost Year 3'!AL75+AK75</f>
        <v>0</v>
      </c>
      <c r="AN75" s="108">
        <f>AM75*'1. Standard_Cost'!$C$31</f>
        <v>0</v>
      </c>
      <c r="AO75" s="125" t="s">
        <v>320</v>
      </c>
      <c r="AQ75" s="14">
        <f t="shared" si="70"/>
        <v>0</v>
      </c>
      <c r="AR75" s="14">
        <f t="shared" si="71"/>
        <v>0</v>
      </c>
      <c r="AS75" s="14">
        <f t="shared" si="72"/>
        <v>0</v>
      </c>
      <c r="AT75" s="14">
        <f t="shared" si="74"/>
        <v>0</v>
      </c>
      <c r="AU75" s="15"/>
      <c r="AV75" s="15"/>
      <c r="AW75" s="15"/>
      <c r="AX75" s="15"/>
      <c r="AY75" s="15"/>
      <c r="AZ75" s="15"/>
      <c r="BA75" s="15"/>
      <c r="BB75" s="16">
        <f t="shared" si="73"/>
        <v>0</v>
      </c>
    </row>
    <row r="76" spans="1:54" ht="187.2" outlineLevel="2">
      <c r="A76" s="98"/>
      <c r="B76" s="102"/>
      <c r="C76" s="23"/>
      <c r="D76" s="251"/>
      <c r="E76" s="251"/>
      <c r="F76" s="251"/>
      <c r="G76" s="250"/>
      <c r="H76" s="302" t="s">
        <v>613</v>
      </c>
      <c r="I76" s="258"/>
      <c r="J76" s="259"/>
      <c r="K76" s="259"/>
      <c r="L76" s="106" t="str">
        <f>IF(I76&lt;&gt;0,((VLOOKUP(I76,'1. Standard_Cost'!$B$4:$D$11,2)+VLOOKUP(I76,'1. Standard_Cost'!$B$4:$D$11,3))*J76*K76),"0")</f>
        <v>0</v>
      </c>
      <c r="M76" s="106">
        <f>L76*'1. Standard_Cost'!$F$4</f>
        <v>0</v>
      </c>
      <c r="N76" s="260"/>
      <c r="O76" s="260"/>
      <c r="P76" s="260"/>
      <c r="Q76" s="260"/>
      <c r="R76" s="108">
        <f>'1. Standard_Cost'!$B$15*N76*P76</f>
        <v>0</v>
      </c>
      <c r="S76" s="108">
        <f>N76*O76*P76*'1. Standard_Cost'!$C$15</f>
        <v>0</v>
      </c>
      <c r="T76" s="108">
        <f>N76*P76*Q76*'1. Standard_Cost'!$D$15</f>
        <v>0</v>
      </c>
      <c r="U76" s="108">
        <f>N76*O76*'1. Standard_Cost'!$E$15</f>
        <v>0</v>
      </c>
      <c r="V76" s="107"/>
      <c r="W76" s="107"/>
      <c r="X76" s="107"/>
      <c r="Y76" s="108">
        <f>+V76*((X76*'1. Standard_Cost'!$B$19)+(W76*X76*'1. Standard_Cost'!$C$19))</f>
        <v>0</v>
      </c>
      <c r="Z76" s="260"/>
      <c r="AA76" s="260"/>
      <c r="AB76" s="108">
        <f>+Z76*'1. Standard_Cost'!$B$23+AA76*'1. Standard_Cost'!$C$23</f>
        <v>0</v>
      </c>
      <c r="AC76" s="261">
        <v>4000000</v>
      </c>
      <c r="AD76" s="262"/>
      <c r="AE76" s="108">
        <f>SUM(AD76,AC76,AB76,Y76,U76,T76,S76,R76)*'1. Standard_Cost'!$B$31</f>
        <v>800000</v>
      </c>
      <c r="AF76" s="108">
        <f t="shared" si="69"/>
        <v>4800000</v>
      </c>
      <c r="AG76" s="107"/>
      <c r="AH76" s="107"/>
      <c r="AI76" s="107"/>
      <c r="AJ76" s="111"/>
      <c r="AK76" s="111"/>
      <c r="AL76" s="111"/>
      <c r="AM76" s="108">
        <f>AG76*'1. Standard_Cost'!$B$27+'Incremental_Cost Year 3'!AH76*'1. Standard_Cost'!$C$27+'Incremental_Cost Year 3'!AI76*'1. Standard_Cost'!$D$27+'Incremental_Cost Year 3'!AJ76+'Incremental_Cost Year 3'!AL76+AK76</f>
        <v>0</v>
      </c>
      <c r="AN76" s="108">
        <f>AM76*'1. Standard_Cost'!$C$31</f>
        <v>0</v>
      </c>
      <c r="AO76" s="125" t="s">
        <v>321</v>
      </c>
      <c r="AQ76" s="14">
        <f t="shared" si="70"/>
        <v>0</v>
      </c>
      <c r="AR76" s="14">
        <f t="shared" si="71"/>
        <v>4800000</v>
      </c>
      <c r="AS76" s="14">
        <f t="shared" si="72"/>
        <v>0</v>
      </c>
      <c r="AT76" s="14">
        <f t="shared" si="74"/>
        <v>4800000</v>
      </c>
      <c r="AU76" s="15"/>
      <c r="AV76" s="15"/>
      <c r="AW76" s="15"/>
      <c r="AX76" s="15"/>
      <c r="AY76" s="15"/>
      <c r="AZ76" s="15"/>
      <c r="BA76" s="15"/>
      <c r="BB76" s="16">
        <f t="shared" si="73"/>
        <v>-4800000</v>
      </c>
    </row>
    <row r="77" spans="1:54" ht="202.8" outlineLevel="2">
      <c r="A77" s="98"/>
      <c r="B77" s="102"/>
      <c r="C77" s="23"/>
      <c r="D77" s="251"/>
      <c r="E77" s="251"/>
      <c r="F77" s="251"/>
      <c r="G77" s="250"/>
      <c r="H77" s="302" t="s">
        <v>614</v>
      </c>
      <c r="I77" s="258" t="s">
        <v>193</v>
      </c>
      <c r="J77" s="259">
        <v>1</v>
      </c>
      <c r="K77" s="259">
        <v>2</v>
      </c>
      <c r="L77" s="106">
        <f>IF(I77&lt;&gt;0,((VLOOKUP(I77,'1. Standard_Cost'!$B$4:$D$11,2)+VLOOKUP(I77,'1. Standard_Cost'!$B$4:$D$11,3))*J77*K77),"0")</f>
        <v>101000</v>
      </c>
      <c r="M77" s="106">
        <f>L77*'1. Standard_Cost'!$F$4</f>
        <v>16867</v>
      </c>
      <c r="N77" s="260">
        <v>1</v>
      </c>
      <c r="O77" s="260">
        <v>2</v>
      </c>
      <c r="P77" s="260">
        <v>15</v>
      </c>
      <c r="Q77" s="260"/>
      <c r="R77" s="108">
        <f>'1. Standard_Cost'!$B$15*N77*P77</f>
        <v>30000</v>
      </c>
      <c r="S77" s="108">
        <f>N77*O77*P77*'1. Standard_Cost'!$C$15</f>
        <v>45000</v>
      </c>
      <c r="T77" s="108">
        <f>N77*P77*Q77*'1. Standard_Cost'!$D$15</f>
        <v>0</v>
      </c>
      <c r="U77" s="108">
        <f>N77*O77*'1. Standard_Cost'!$E$15</f>
        <v>80000</v>
      </c>
      <c r="V77" s="107"/>
      <c r="W77" s="107"/>
      <c r="X77" s="107"/>
      <c r="Y77" s="108">
        <f>+V77*((X77*'1. Standard_Cost'!$B$19)+(W77*X77*'1. Standard_Cost'!$C$19))</f>
        <v>0</v>
      </c>
      <c r="Z77" s="260"/>
      <c r="AA77" s="260">
        <v>3</v>
      </c>
      <c r="AB77" s="108">
        <f>+Z77*'1. Standard_Cost'!$B$23+AA77*'1. Standard_Cost'!$C$23</f>
        <v>57000</v>
      </c>
      <c r="AC77" s="261"/>
      <c r="AD77" s="262"/>
      <c r="AE77" s="108">
        <f>SUM(AD77,AC77,AB77,Y77,U77,T77,S77,R77)*'1. Standard_Cost'!$B$31</f>
        <v>42400</v>
      </c>
      <c r="AF77" s="108">
        <f t="shared" si="69"/>
        <v>254400</v>
      </c>
      <c r="AG77" s="107"/>
      <c r="AH77" s="107"/>
      <c r="AI77" s="107"/>
      <c r="AJ77" s="111"/>
      <c r="AK77" s="111"/>
      <c r="AL77" s="111"/>
      <c r="AM77" s="108">
        <f>AG77*'1. Standard_Cost'!$B$27+'Incremental_Cost Year 3'!AH77*'1. Standard_Cost'!$C$27+'Incremental_Cost Year 3'!AI77*'1. Standard_Cost'!$D$27+'Incremental_Cost Year 3'!AJ77+'Incremental_Cost Year 3'!AL77+AK77</f>
        <v>0</v>
      </c>
      <c r="AN77" s="108">
        <f>AM77*'1. Standard_Cost'!$C$31</f>
        <v>0</v>
      </c>
      <c r="AO77" s="125" t="s">
        <v>322</v>
      </c>
      <c r="AQ77" s="14">
        <f t="shared" si="70"/>
        <v>117867</v>
      </c>
      <c r="AR77" s="14">
        <f t="shared" si="71"/>
        <v>254400</v>
      </c>
      <c r="AS77" s="14">
        <f t="shared" si="72"/>
        <v>0</v>
      </c>
      <c r="AT77" s="14">
        <f t="shared" si="74"/>
        <v>372267</v>
      </c>
      <c r="AU77" s="15">
        <v>124869</v>
      </c>
      <c r="AV77" s="15"/>
      <c r="AW77" s="15"/>
      <c r="AX77" s="15"/>
      <c r="AY77" s="15"/>
      <c r="AZ77" s="15">
        <v>218400</v>
      </c>
      <c r="BA77" s="15"/>
      <c r="BB77" s="16">
        <f t="shared" si="73"/>
        <v>-28998</v>
      </c>
    </row>
    <row r="78" spans="1:54" ht="93.6" outlineLevel="2">
      <c r="A78" s="98"/>
      <c r="B78" s="102"/>
      <c r="C78" s="23"/>
      <c r="D78" s="251"/>
      <c r="E78" s="251"/>
      <c r="F78" s="251"/>
      <c r="G78" s="250"/>
      <c r="H78" s="302" t="s">
        <v>615</v>
      </c>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60"/>
      <c r="AA78" s="260"/>
      <c r="AB78" s="108">
        <f>+Z78*'1. Standard_Cost'!$B$23+AA78*'1. Standard_Cost'!$C$23</f>
        <v>0</v>
      </c>
      <c r="AC78" s="261">
        <f>120*90000</f>
        <v>10800000</v>
      </c>
      <c r="AD78" s="262"/>
      <c r="AE78" s="108">
        <f>SUM(AD78,AC78,AB78,Y78,U78,T78,S78,R78)*'1. Standard_Cost'!$B$31</f>
        <v>2160000</v>
      </c>
      <c r="AF78" s="108">
        <f t="shared" si="69"/>
        <v>12960000</v>
      </c>
      <c r="AG78" s="107"/>
      <c r="AH78" s="107"/>
      <c r="AI78" s="107"/>
      <c r="AJ78" s="111"/>
      <c r="AK78" s="111"/>
      <c r="AL78" s="111"/>
      <c r="AM78" s="108">
        <f>AG78*'1. Standard_Cost'!$B$27+'Incremental_Cost Year 3'!AH78*'1. Standard_Cost'!$C$27+'Incremental_Cost Year 3'!AI78*'1. Standard_Cost'!$D$27+'Incremental_Cost Year 3'!AJ78+'Incremental_Cost Year 3'!AL78+AK78</f>
        <v>0</v>
      </c>
      <c r="AN78" s="108">
        <f>AM78*'1. Standard_Cost'!$C$31</f>
        <v>0</v>
      </c>
      <c r="AO78" s="125" t="s">
        <v>323</v>
      </c>
      <c r="AQ78" s="14">
        <f t="shared" si="70"/>
        <v>0</v>
      </c>
      <c r="AR78" s="14">
        <f t="shared" si="71"/>
        <v>12960000</v>
      </c>
      <c r="AS78" s="14">
        <f t="shared" si="72"/>
        <v>0</v>
      </c>
      <c r="AT78" s="14">
        <f t="shared" si="74"/>
        <v>12960000</v>
      </c>
      <c r="AU78" s="15">
        <v>1256000</v>
      </c>
      <c r="AV78" s="15"/>
      <c r="AW78" s="15"/>
      <c r="AX78" s="15"/>
      <c r="AY78" s="15"/>
      <c r="AZ78" s="15"/>
      <c r="BA78" s="15"/>
      <c r="BB78" s="16">
        <f t="shared" si="73"/>
        <v>-11704000</v>
      </c>
    </row>
    <row r="79" spans="1:54" ht="262.2" outlineLevel="1">
      <c r="A79" s="98"/>
      <c r="B79" s="102"/>
      <c r="C79" s="23"/>
      <c r="D79" s="31" t="s">
        <v>630</v>
      </c>
      <c r="E79" s="56" t="s">
        <v>215</v>
      </c>
      <c r="F79" s="253"/>
      <c r="G79" s="254"/>
      <c r="H79" s="277" t="s">
        <v>182</v>
      </c>
      <c r="I79" s="112"/>
      <c r="J79" s="112"/>
      <c r="K79" s="112"/>
      <c r="L79" s="113">
        <f>SUM(L60:L78)</f>
        <v>1050075</v>
      </c>
      <c r="M79" s="113">
        <f>SUM(M60:M78)</f>
        <v>175362.52499999999</v>
      </c>
      <c r="N79" s="112"/>
      <c r="O79" s="112"/>
      <c r="P79" s="112"/>
      <c r="Q79" s="112"/>
      <c r="R79" s="113">
        <f t="shared" ref="R79:U79" si="75">SUM(R60:R78)</f>
        <v>390000</v>
      </c>
      <c r="S79" s="113">
        <f t="shared" si="75"/>
        <v>315000</v>
      </c>
      <c r="T79" s="113">
        <f t="shared" si="75"/>
        <v>0</v>
      </c>
      <c r="U79" s="113">
        <f t="shared" si="75"/>
        <v>560000</v>
      </c>
      <c r="V79" s="112"/>
      <c r="W79" s="112"/>
      <c r="X79" s="112"/>
      <c r="Y79" s="113">
        <f>SUM(Y60:Y78)</f>
        <v>0</v>
      </c>
      <c r="Z79" s="112"/>
      <c r="AA79" s="112"/>
      <c r="AB79" s="113">
        <f t="shared" ref="AB79:AF79" si="76">SUM(AB60:AB78)</f>
        <v>1482000</v>
      </c>
      <c r="AC79" s="113">
        <f t="shared" si="76"/>
        <v>15300000</v>
      </c>
      <c r="AD79" s="113">
        <f t="shared" si="76"/>
        <v>0</v>
      </c>
      <c r="AE79" s="113">
        <f t="shared" si="76"/>
        <v>3609400</v>
      </c>
      <c r="AF79" s="113">
        <f t="shared" si="76"/>
        <v>21656400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1225437.5249999999</v>
      </c>
      <c r="AR79" s="113">
        <f t="shared" ref="AR79:BB79" si="78">SUM(AR60:AR78)</f>
        <v>21656400</v>
      </c>
      <c r="AS79" s="113">
        <f t="shared" si="78"/>
        <v>0</v>
      </c>
      <c r="AT79" s="113">
        <f t="shared" si="78"/>
        <v>22881837.524999999</v>
      </c>
      <c r="AU79" s="113">
        <f t="shared" si="78"/>
        <v>2405933</v>
      </c>
      <c r="AV79" s="113">
        <f t="shared" si="78"/>
        <v>0</v>
      </c>
      <c r="AW79" s="113">
        <f t="shared" si="78"/>
        <v>0</v>
      </c>
      <c r="AX79" s="113">
        <f t="shared" si="78"/>
        <v>0</v>
      </c>
      <c r="AY79" s="113">
        <f t="shared" si="78"/>
        <v>0</v>
      </c>
      <c r="AZ79" s="113">
        <f t="shared" si="78"/>
        <v>674400</v>
      </c>
      <c r="BA79" s="113">
        <f t="shared" si="78"/>
        <v>0</v>
      </c>
      <c r="BB79" s="113">
        <f t="shared" si="78"/>
        <v>-19801504.524999999</v>
      </c>
    </row>
    <row r="80" spans="1:54" s="24" customFormat="1" ht="13.8" customHeight="1">
      <c r="A80" s="114"/>
      <c r="B80" s="115"/>
      <c r="C80" s="314" t="s">
        <v>216</v>
      </c>
      <c r="D80" s="314"/>
      <c r="E80" s="315"/>
      <c r="F80" s="246"/>
      <c r="G80" s="246"/>
      <c r="H80" s="278" t="s">
        <v>219</v>
      </c>
      <c r="I80" s="116"/>
      <c r="J80" s="116"/>
      <c r="K80" s="116"/>
      <c r="L80" s="117">
        <f>L91</f>
        <v>680775</v>
      </c>
      <c r="M80" s="117">
        <f>M91</f>
        <v>113689.425</v>
      </c>
      <c r="N80" s="116"/>
      <c r="O80" s="116"/>
      <c r="P80" s="116"/>
      <c r="Q80" s="116"/>
      <c r="R80" s="117">
        <f t="shared" ref="R80:U80" si="79">R91</f>
        <v>350000</v>
      </c>
      <c r="S80" s="117">
        <f t="shared" si="79"/>
        <v>405000</v>
      </c>
      <c r="T80" s="117">
        <f t="shared" si="79"/>
        <v>0</v>
      </c>
      <c r="U80" s="117">
        <f t="shared" si="79"/>
        <v>480000</v>
      </c>
      <c r="V80" s="116"/>
      <c r="W80" s="116"/>
      <c r="X80" s="116"/>
      <c r="Y80" s="117">
        <f>Y91</f>
        <v>0</v>
      </c>
      <c r="Z80" s="116"/>
      <c r="AA80" s="116"/>
      <c r="AB80" s="117">
        <f t="shared" ref="AB80:AF80" si="80">AB91</f>
        <v>2896000</v>
      </c>
      <c r="AC80" s="117">
        <f t="shared" si="80"/>
        <v>4508000</v>
      </c>
      <c r="AD80" s="117">
        <f t="shared" si="80"/>
        <v>0</v>
      </c>
      <c r="AE80" s="117">
        <f t="shared" si="80"/>
        <v>1727800</v>
      </c>
      <c r="AF80" s="117">
        <f t="shared" si="80"/>
        <v>10366800</v>
      </c>
      <c r="AG80" s="116"/>
      <c r="AH80" s="116"/>
      <c r="AI80" s="116"/>
      <c r="AJ80" s="117">
        <f t="shared" ref="AJ80:AN80" si="81">AJ91</f>
        <v>0</v>
      </c>
      <c r="AK80" s="117">
        <f t="shared" si="81"/>
        <v>6000000</v>
      </c>
      <c r="AL80" s="117">
        <f t="shared" si="81"/>
        <v>1700000</v>
      </c>
      <c r="AM80" s="117">
        <f t="shared" si="81"/>
        <v>7700000</v>
      </c>
      <c r="AN80" s="117">
        <f t="shared" si="81"/>
        <v>1155000</v>
      </c>
      <c r="AO80" s="132"/>
      <c r="AP80" s="25"/>
      <c r="AQ80" s="117">
        <f t="shared" ref="AQ80:BB80" si="82">AQ91</f>
        <v>794464.42499999993</v>
      </c>
      <c r="AR80" s="117">
        <f t="shared" si="82"/>
        <v>10366800</v>
      </c>
      <c r="AS80" s="117">
        <f t="shared" si="82"/>
        <v>8855000</v>
      </c>
      <c r="AT80" s="117">
        <f t="shared" si="82"/>
        <v>20016264.424999997</v>
      </c>
      <c r="AU80" s="117">
        <f t="shared" si="82"/>
        <v>12290064</v>
      </c>
      <c r="AV80" s="117">
        <f t="shared" si="82"/>
        <v>0</v>
      </c>
      <c r="AW80" s="117">
        <f t="shared" si="82"/>
        <v>0</v>
      </c>
      <c r="AX80" s="117">
        <f t="shared" si="82"/>
        <v>3042000</v>
      </c>
      <c r="AY80" s="117">
        <f t="shared" si="82"/>
        <v>0</v>
      </c>
      <c r="AZ80" s="117">
        <f t="shared" si="82"/>
        <v>0</v>
      </c>
      <c r="BA80" s="117">
        <f t="shared" si="82"/>
        <v>0</v>
      </c>
      <c r="BB80" s="117">
        <f t="shared" si="82"/>
        <v>-4684200.4249999998</v>
      </c>
    </row>
    <row r="81" spans="1:57" ht="140.4" outlineLevel="2">
      <c r="A81" s="98"/>
      <c r="B81" s="102"/>
      <c r="C81" s="23"/>
      <c r="D81" s="257"/>
      <c r="E81" s="257"/>
      <c r="F81" s="252"/>
      <c r="G81" s="249"/>
      <c r="H81" s="302" t="s">
        <v>684</v>
      </c>
      <c r="I81" s="282" t="s">
        <v>4</v>
      </c>
      <c r="J81" s="259">
        <v>0.5</v>
      </c>
      <c r="K81" s="259">
        <v>2</v>
      </c>
      <c r="L81" s="106">
        <f>IF(I81&lt;&gt;0,((VLOOKUP(I81,'1. Standard_Cost'!$B$4:$D$11,2)+VLOOKUP(I81,'1. Standard_Cost'!$B$4:$D$11,3))*J81*K81),"0")</f>
        <v>80750</v>
      </c>
      <c r="M81" s="106">
        <f>L81*'1. Standard_Cost'!$F$4</f>
        <v>13485.25</v>
      </c>
      <c r="N81" s="260"/>
      <c r="O81" s="260"/>
      <c r="P81" s="260"/>
      <c r="Q81" s="260"/>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60">
        <v>15</v>
      </c>
      <c r="AA81" s="260">
        <v>15</v>
      </c>
      <c r="AB81" s="108">
        <f>+Z81*'1. Standard_Cost'!$B$23+AA81*'1. Standard_Cost'!$C$23</f>
        <v>1395000</v>
      </c>
      <c r="AC81" s="261"/>
      <c r="AD81" s="262"/>
      <c r="AE81" s="108">
        <f>SUM(AD81,AC81,AB81,Y81,U81,T81,S81,R81)*'1. Standard_Cost'!$B$31</f>
        <v>279000</v>
      </c>
      <c r="AF81" s="108">
        <f t="shared" ref="AF81:AF90" si="83">SUM(AE81,AD81,AC81,AB81,Y81,U81,T81,S81,R81)</f>
        <v>1674000</v>
      </c>
      <c r="AG81" s="260"/>
      <c r="AH81" s="260"/>
      <c r="AI81" s="260"/>
      <c r="AJ81" s="263"/>
      <c r="AK81" s="263"/>
      <c r="AL81" s="263"/>
      <c r="AM81" s="108">
        <f>AG81*'1. Standard_Cost'!$B$27+'Incremental_Cost Year 3'!AH81*'1. Standard_Cost'!$C$27+'Incremental_Cost Year 3'!AI81*'1. Standard_Cost'!$D$27+'Incremental_Cost Year 3'!AJ81+'Incremental_Cost Year 3'!AL81+AK81</f>
        <v>0</v>
      </c>
      <c r="AN81" s="108">
        <f>AM81*'1. Standard_Cost'!$C$31</f>
        <v>0</v>
      </c>
      <c r="AO81" s="125" t="s">
        <v>300</v>
      </c>
      <c r="AQ81" s="14">
        <f t="shared" ref="AQ81:AQ90" si="84">L81+M81</f>
        <v>94235.25</v>
      </c>
      <c r="AR81" s="14">
        <f t="shared" ref="AR81:AR90" si="85">AF81</f>
        <v>1674000</v>
      </c>
      <c r="AS81" s="14">
        <f t="shared" ref="AS81:AS90" si="86">AM81+AN81</f>
        <v>0</v>
      </c>
      <c r="AT81" s="14">
        <f>SUM(AQ81,AR81,AS81)</f>
        <v>1768235.25</v>
      </c>
      <c r="AU81" s="234">
        <v>94235</v>
      </c>
      <c r="AV81" s="234"/>
      <c r="AW81" s="234"/>
      <c r="AX81" s="234">
        <v>1674000</v>
      </c>
      <c r="AY81" s="234"/>
      <c r="AZ81" s="234"/>
      <c r="BA81" s="234"/>
      <c r="BB81" s="16">
        <f t="shared" ref="BB81:BB90" si="87">SUM(AU81:BA81)-AT81</f>
        <v>-0.25</v>
      </c>
    </row>
    <row r="82" spans="1:57" ht="93.6" outlineLevel="2">
      <c r="A82" s="98"/>
      <c r="B82" s="102"/>
      <c r="C82" s="23"/>
      <c r="D82" s="269"/>
      <c r="E82" s="269"/>
      <c r="F82" s="251"/>
      <c r="G82" s="250"/>
      <c r="H82" s="302" t="s">
        <v>616</v>
      </c>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60"/>
      <c r="AA82" s="260"/>
      <c r="AB82" s="108">
        <f>+Z82*'1. Standard_Cost'!$B$23+AA82*'1. Standard_Cost'!$C$23</f>
        <v>0</v>
      </c>
      <c r="AC82" s="261">
        <f>2*2200000</f>
        <v>4400000</v>
      </c>
      <c r="AD82" s="262"/>
      <c r="AE82" s="108">
        <f>SUM(AD82,AC82,AB82,Y82,U82,T82,S82,R82)*'1. Standard_Cost'!$B$31</f>
        <v>880000</v>
      </c>
      <c r="AF82" s="108">
        <f t="shared" si="83"/>
        <v>5280000</v>
      </c>
      <c r="AG82" s="260"/>
      <c r="AH82" s="260"/>
      <c r="AI82" s="260"/>
      <c r="AJ82" s="263"/>
      <c r="AK82" s="263"/>
      <c r="AL82" s="263"/>
      <c r="AM82" s="108">
        <f>AG82*'1. Standard_Cost'!$B$27+'Incremental_Cost Year 3'!AH82*'1. Standard_Cost'!$C$27+'Incremental_Cost Year 3'!AI82*'1. Standard_Cost'!$D$27+'Incremental_Cost Year 3'!AJ82+'Incremental_Cost Year 3'!AL82+AK82</f>
        <v>0</v>
      </c>
      <c r="AN82" s="108">
        <f>AM82*'1. Standard_Cost'!$C$31</f>
        <v>0</v>
      </c>
      <c r="AO82" s="125" t="s">
        <v>324</v>
      </c>
      <c r="AQ82" s="14">
        <f t="shared" si="84"/>
        <v>0</v>
      </c>
      <c r="AR82" s="14">
        <f t="shared" si="85"/>
        <v>5280000</v>
      </c>
      <c r="AS82" s="14">
        <f t="shared" si="86"/>
        <v>0</v>
      </c>
      <c r="AT82" s="14">
        <f t="shared" ref="AT82:AT90" si="88">SUM(AQ82,AR82,AS82)</f>
        <v>5280000</v>
      </c>
      <c r="AU82" s="234">
        <v>2640000</v>
      </c>
      <c r="AV82" s="234"/>
      <c r="AW82" s="234"/>
      <c r="AX82" s="234"/>
      <c r="AY82" s="234"/>
      <c r="AZ82" s="234"/>
      <c r="BA82" s="234"/>
      <c r="BB82" s="16">
        <f t="shared" si="87"/>
        <v>-2640000</v>
      </c>
    </row>
    <row r="83" spans="1:57" ht="124.8" outlineLevel="2">
      <c r="A83" s="98"/>
      <c r="B83" s="102"/>
      <c r="C83" s="23"/>
      <c r="D83" s="269"/>
      <c r="E83" s="269"/>
      <c r="F83" s="251"/>
      <c r="G83" s="250"/>
      <c r="H83" s="302" t="s">
        <v>617</v>
      </c>
      <c r="I83" s="282" t="s">
        <v>5</v>
      </c>
      <c r="J83" s="259">
        <v>0.5</v>
      </c>
      <c r="K83" s="259">
        <v>2</v>
      </c>
      <c r="L83" s="106">
        <f>IF(I83&lt;&gt;0,((VLOOKUP(I83,'1. Standard_Cost'!$B$4:$D$11,2)+VLOOKUP(I83,'1. Standard_Cost'!$B$4:$D$11,3))*J83*K83),"0")</f>
        <v>70700</v>
      </c>
      <c r="M83" s="106">
        <f>L83*'1. Standard_Cost'!$F$4</f>
        <v>11806.900000000001</v>
      </c>
      <c r="N83" s="260">
        <v>2</v>
      </c>
      <c r="O83" s="260">
        <v>1</v>
      </c>
      <c r="P83" s="260">
        <v>40</v>
      </c>
      <c r="Q83" s="260"/>
      <c r="R83" s="108">
        <f>'1. Standard_Cost'!$B$15*N83*P83</f>
        <v>160000</v>
      </c>
      <c r="S83" s="108">
        <f>N83*O83*P83*'1. Standard_Cost'!$C$15</f>
        <v>120000</v>
      </c>
      <c r="T83" s="108">
        <f>N83*P83*Q83*'1. Standard_Cost'!$D$15</f>
        <v>0</v>
      </c>
      <c r="U83" s="108">
        <f>N83*O83*'1. Standard_Cost'!$E$15</f>
        <v>80000</v>
      </c>
      <c r="V83" s="107"/>
      <c r="W83" s="107"/>
      <c r="X83" s="107"/>
      <c r="Y83" s="108">
        <f>+V83*((X83*'1. Standard_Cost'!$B$19)+(W83*X83*'1. Standard_Cost'!$C$19))</f>
        <v>0</v>
      </c>
      <c r="Z83" s="260"/>
      <c r="AA83" s="260">
        <v>13</v>
      </c>
      <c r="AB83" s="108">
        <f>+Z83*'1. Standard_Cost'!$B$23+AA83*'1. Standard_Cost'!$C$23</f>
        <v>247000</v>
      </c>
      <c r="AC83" s="261"/>
      <c r="AD83" s="262"/>
      <c r="AE83" s="108">
        <f>SUM(AD83,AC83,AB83,Y83,U83,T83,S83,R83)*'1. Standard_Cost'!$B$31</f>
        <v>121400</v>
      </c>
      <c r="AF83" s="108">
        <f t="shared" si="83"/>
        <v>728400</v>
      </c>
      <c r="AG83" s="260"/>
      <c r="AH83" s="260"/>
      <c r="AI83" s="260"/>
      <c r="AJ83" s="263"/>
      <c r="AK83" s="263"/>
      <c r="AL83" s="263"/>
      <c r="AM83" s="108">
        <f>AG83*'1. Standard_Cost'!$B$27+'Incremental_Cost Year 3'!AH83*'1. Standard_Cost'!$C$27+'Incremental_Cost Year 3'!AI83*'1. Standard_Cost'!$D$27+'Incremental_Cost Year 3'!AJ83+'Incremental_Cost Year 3'!AL83+AK83</f>
        <v>0</v>
      </c>
      <c r="AN83" s="108">
        <f>AM83*'1. Standard_Cost'!$C$31</f>
        <v>0</v>
      </c>
      <c r="AO83" s="125" t="s">
        <v>325</v>
      </c>
      <c r="AQ83" s="14">
        <f t="shared" si="84"/>
        <v>82506.899999999994</v>
      </c>
      <c r="AR83" s="14">
        <f t="shared" si="85"/>
        <v>728400</v>
      </c>
      <c r="AS83" s="14">
        <f t="shared" si="86"/>
        <v>0</v>
      </c>
      <c r="AT83" s="14">
        <f t="shared" si="88"/>
        <v>810906.9</v>
      </c>
      <c r="AU83" s="234">
        <v>82507</v>
      </c>
      <c r="AV83" s="234"/>
      <c r="AW83" s="234"/>
      <c r="AX83" s="234"/>
      <c r="AY83" s="234"/>
      <c r="AZ83" s="234"/>
      <c r="BA83" s="234"/>
      <c r="BB83" s="16">
        <f t="shared" si="87"/>
        <v>-728399.9</v>
      </c>
    </row>
    <row r="84" spans="1:57" ht="140.4" outlineLevel="2">
      <c r="A84" s="98"/>
      <c r="B84" s="102"/>
      <c r="C84" s="23"/>
      <c r="D84" s="269"/>
      <c r="E84" s="269"/>
      <c r="F84" s="251"/>
      <c r="G84" s="250"/>
      <c r="H84" s="302" t="s">
        <v>618</v>
      </c>
      <c r="I84" s="258" t="s">
        <v>5</v>
      </c>
      <c r="J84" s="259">
        <v>0.5</v>
      </c>
      <c r="K84" s="259">
        <v>1</v>
      </c>
      <c r="L84" s="106">
        <f>IF(I84&lt;&gt;0,((VLOOKUP(I84,'1. Standard_Cost'!$B$4:$D$11,2)+VLOOKUP(I84,'1. Standard_Cost'!$B$4:$D$11,3))*J84*K84),"0")</f>
        <v>35350</v>
      </c>
      <c r="M84" s="106">
        <f>L84*'1. Standard_Cost'!$F$4</f>
        <v>5903.4500000000007</v>
      </c>
      <c r="N84" s="260">
        <v>4</v>
      </c>
      <c r="O84" s="260">
        <v>2</v>
      </c>
      <c r="P84" s="260">
        <v>20</v>
      </c>
      <c r="Q84" s="260"/>
      <c r="R84" s="108">
        <f>'1. Standard_Cost'!$B$15*N84*P84</f>
        <v>160000</v>
      </c>
      <c r="S84" s="108">
        <f>N84*O84*P84*'1. Standard_Cost'!$C$15</f>
        <v>240000</v>
      </c>
      <c r="T84" s="108">
        <f>N84*P84*Q84*'1. Standard_Cost'!$D$15</f>
        <v>0</v>
      </c>
      <c r="U84" s="108">
        <f>N84*O84*'1. Standard_Cost'!$E$15</f>
        <v>320000</v>
      </c>
      <c r="V84" s="107"/>
      <c r="W84" s="107"/>
      <c r="X84" s="107"/>
      <c r="Y84" s="108">
        <f>+V84*((X84*'1. Standard_Cost'!$B$19)+(W84*X84*'1. Standard_Cost'!$C$19))</f>
        <v>0</v>
      </c>
      <c r="Z84" s="260"/>
      <c r="AA84" s="260">
        <v>20</v>
      </c>
      <c r="AB84" s="108">
        <f>+Z84*'1. Standard_Cost'!$B$23+AA84*'1. Standard_Cost'!$C$23</f>
        <v>380000</v>
      </c>
      <c r="AC84" s="261">
        <f>80*500</f>
        <v>40000</v>
      </c>
      <c r="AD84" s="262"/>
      <c r="AE84" s="108">
        <f>SUM(AD84,AC84,AB84,Y84,U84,T84,S84,R84)*'1. Standard_Cost'!$B$31</f>
        <v>228000</v>
      </c>
      <c r="AF84" s="108">
        <f t="shared" si="83"/>
        <v>1368000</v>
      </c>
      <c r="AG84" s="260"/>
      <c r="AH84" s="260"/>
      <c r="AI84" s="260"/>
      <c r="AJ84" s="263"/>
      <c r="AK84" s="263"/>
      <c r="AL84" s="263"/>
      <c r="AM84" s="108">
        <f>AG84*'1. Standard_Cost'!$B$27+'Incremental_Cost Year 3'!AH84*'1. Standard_Cost'!$C$27+'Incremental_Cost Year 3'!AI84*'1. Standard_Cost'!$D$27+'Incremental_Cost Year 3'!AJ84+'Incremental_Cost Year 3'!AL84+AK84</f>
        <v>0</v>
      </c>
      <c r="AN84" s="108">
        <f>AM84*'1. Standard_Cost'!$C$31</f>
        <v>0</v>
      </c>
      <c r="AO84" s="125" t="s">
        <v>326</v>
      </c>
      <c r="AQ84" s="14">
        <f t="shared" si="84"/>
        <v>41253.449999999997</v>
      </c>
      <c r="AR84" s="14">
        <f t="shared" si="85"/>
        <v>1368000</v>
      </c>
      <c r="AS84" s="14">
        <f t="shared" si="86"/>
        <v>0</v>
      </c>
      <c r="AT84" s="14">
        <f t="shared" si="88"/>
        <v>1409253.45</v>
      </c>
      <c r="AU84" s="234">
        <v>41253</v>
      </c>
      <c r="AV84" s="234"/>
      <c r="AW84" s="234"/>
      <c r="AX84" s="234">
        <v>1368000</v>
      </c>
      <c r="AY84" s="234"/>
      <c r="AZ84" s="234"/>
      <c r="BA84" s="234"/>
      <c r="BB84" s="16">
        <f t="shared" si="87"/>
        <v>-0.44999999995343387</v>
      </c>
    </row>
    <row r="85" spans="1:57" ht="109.2" outlineLevel="2">
      <c r="A85" s="98"/>
      <c r="B85" s="102"/>
      <c r="C85" s="23"/>
      <c r="D85" s="269"/>
      <c r="E85" s="269"/>
      <c r="F85" s="251"/>
      <c r="G85" s="250"/>
      <c r="H85" s="302" t="s">
        <v>619</v>
      </c>
      <c r="I85" s="282" t="s">
        <v>3</v>
      </c>
      <c r="J85" s="259">
        <v>0.5</v>
      </c>
      <c r="K85" s="259">
        <v>9</v>
      </c>
      <c r="L85" s="106">
        <f>IF(I85&lt;&gt;0,((VLOOKUP(I85,'1. Standard_Cost'!$B$4:$D$11,2)+VLOOKUP(I85,'1. Standard_Cost'!$B$4:$D$11,3))*J85*K85),"0")</f>
        <v>453600</v>
      </c>
      <c r="M85" s="106">
        <f>L85*'1. Standard_Cost'!$F$4</f>
        <v>75751.199999999997</v>
      </c>
      <c r="N85" s="260"/>
      <c r="O85" s="260"/>
      <c r="P85" s="260"/>
      <c r="Q85" s="260"/>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60"/>
      <c r="AA85" s="260">
        <v>10</v>
      </c>
      <c r="AB85" s="108">
        <f>+Z85*'1. Standard_Cost'!$B$23+AA85*'1. Standard_Cost'!$C$23</f>
        <v>190000</v>
      </c>
      <c r="AC85" s="261">
        <v>53000</v>
      </c>
      <c r="AD85" s="262"/>
      <c r="AE85" s="108">
        <f>SUM(AD85,AC85,AB85,Y85,U85,T85,S85,R85)*'1. Standard_Cost'!$B$31</f>
        <v>48600</v>
      </c>
      <c r="AF85" s="108">
        <f t="shared" si="83"/>
        <v>291600</v>
      </c>
      <c r="AG85" s="260"/>
      <c r="AH85" s="260"/>
      <c r="AI85" s="260"/>
      <c r="AJ85" s="263"/>
      <c r="AK85" s="263"/>
      <c r="AL85" s="263"/>
      <c r="AM85" s="108">
        <f>AG85*'1. Standard_Cost'!$B$27+'Incremental_Cost Year 3'!AH85*'1. Standard_Cost'!$C$27+'Incremental_Cost Year 3'!AI85*'1. Standard_Cost'!$D$27+'Incremental_Cost Year 3'!AJ85+'Incremental_Cost Year 3'!AL85+AK85</f>
        <v>0</v>
      </c>
      <c r="AN85" s="108">
        <f>AM85*'1. Standard_Cost'!$C$31</f>
        <v>0</v>
      </c>
      <c r="AO85" s="125" t="s">
        <v>327</v>
      </c>
      <c r="AQ85" s="14">
        <f t="shared" si="84"/>
        <v>529351.19999999995</v>
      </c>
      <c r="AR85" s="14">
        <f t="shared" si="85"/>
        <v>291600</v>
      </c>
      <c r="AS85" s="14">
        <f t="shared" si="86"/>
        <v>0</v>
      </c>
      <c r="AT85" s="14">
        <f t="shared" si="88"/>
        <v>820951.2</v>
      </c>
      <c r="AU85" s="234">
        <v>529951</v>
      </c>
      <c r="AV85" s="234"/>
      <c r="AW85" s="234"/>
      <c r="AX85" s="234"/>
      <c r="AY85" s="234"/>
      <c r="AZ85" s="234"/>
      <c r="BA85" s="234"/>
      <c r="BB85" s="16">
        <f t="shared" si="87"/>
        <v>-291000.19999999995</v>
      </c>
    </row>
    <row r="86" spans="1:57" ht="171.6" outlineLevel="2">
      <c r="A86" s="98"/>
      <c r="B86" s="102"/>
      <c r="C86" s="23"/>
      <c r="D86" s="269"/>
      <c r="E86" s="269"/>
      <c r="F86" s="251"/>
      <c r="G86" s="250"/>
      <c r="H86" s="302" t="s">
        <v>620</v>
      </c>
      <c r="I86" s="258" t="s">
        <v>4</v>
      </c>
      <c r="J86" s="259">
        <v>0.5</v>
      </c>
      <c r="K86" s="259">
        <v>1</v>
      </c>
      <c r="L86" s="106">
        <f>IF(I86&lt;&gt;0,((VLOOKUP(I86,'1. Standard_Cost'!$B$4:$D$11,2)+VLOOKUP(I86,'1. Standard_Cost'!$B$4:$D$11,3))*J86*K86),"0")</f>
        <v>40375</v>
      </c>
      <c r="M86" s="106">
        <f>L86*'1. Standard_Cost'!$F$4</f>
        <v>6742.625</v>
      </c>
      <c r="N86" s="260"/>
      <c r="O86" s="260"/>
      <c r="P86" s="260"/>
      <c r="Q86" s="260"/>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60"/>
      <c r="AA86" s="260">
        <v>30</v>
      </c>
      <c r="AB86" s="108">
        <f>+Z86*'1. Standard_Cost'!$B$23+AA86*'1. Standard_Cost'!$C$23</f>
        <v>570000</v>
      </c>
      <c r="AC86" s="261"/>
      <c r="AD86" s="262"/>
      <c r="AE86" s="108">
        <f>SUM(AD86,AC86,AB86,Y86,U86,T86,S86,R86)*'1. Standard_Cost'!$B$31</f>
        <v>114000</v>
      </c>
      <c r="AF86" s="108">
        <f t="shared" si="83"/>
        <v>684000</v>
      </c>
      <c r="AG86" s="260"/>
      <c r="AH86" s="260"/>
      <c r="AI86" s="260"/>
      <c r="AJ86" s="263"/>
      <c r="AK86" s="263"/>
      <c r="AL86" s="263"/>
      <c r="AM86" s="108">
        <f>AG86*'1. Standard_Cost'!$B$27+'Incremental_Cost Year 3'!AH86*'1. Standard_Cost'!$C$27+'Incremental_Cost Year 3'!AI86*'1. Standard_Cost'!$D$27+'Incremental_Cost Year 3'!AJ86+'Incremental_Cost Year 3'!AL86+AK86</f>
        <v>0</v>
      </c>
      <c r="AN86" s="108">
        <f>AM86*'1. Standard_Cost'!$C$31</f>
        <v>0</v>
      </c>
      <c r="AO86" s="125" t="s">
        <v>328</v>
      </c>
      <c r="AQ86" s="14">
        <f t="shared" si="84"/>
        <v>47117.625</v>
      </c>
      <c r="AR86" s="14">
        <f t="shared" si="85"/>
        <v>684000</v>
      </c>
      <c r="AS86" s="14">
        <f t="shared" si="86"/>
        <v>0</v>
      </c>
      <c r="AT86" s="14">
        <f t="shared" si="88"/>
        <v>731117.625</v>
      </c>
      <c r="AU86" s="234">
        <v>47118</v>
      </c>
      <c r="AV86" s="234"/>
      <c r="AW86" s="234"/>
      <c r="AX86" s="234"/>
      <c r="AY86" s="234"/>
      <c r="AZ86" s="234"/>
      <c r="BA86" s="234"/>
      <c r="BB86" s="16">
        <f t="shared" si="87"/>
        <v>-683999.625</v>
      </c>
    </row>
    <row r="87" spans="1:57" ht="140.4" outlineLevel="2">
      <c r="A87" s="98"/>
      <c r="B87" s="102"/>
      <c r="C87" s="23"/>
      <c r="D87" s="269"/>
      <c r="E87" s="269"/>
      <c r="F87" s="251"/>
      <c r="G87" s="250"/>
      <c r="H87" s="302" t="s">
        <v>621</v>
      </c>
      <c r="I87" s="258"/>
      <c r="J87" s="259"/>
      <c r="K87" s="259"/>
      <c r="L87" s="106" t="str">
        <f>IF(I87&lt;&gt;0,((VLOOKUP(I87,'1. Standard_Cost'!$B$4:$D$11,2)+VLOOKUP(I87,'1. Standard_Cost'!$B$4:$D$11,3))*J87*K87),"0")</f>
        <v>0</v>
      </c>
      <c r="M87" s="106">
        <f>L87*'1. Standard_Cost'!$F$4</f>
        <v>0</v>
      </c>
      <c r="N87" s="260">
        <v>1</v>
      </c>
      <c r="O87" s="260">
        <v>2</v>
      </c>
      <c r="P87" s="260">
        <v>15</v>
      </c>
      <c r="Q87" s="260"/>
      <c r="R87" s="108">
        <f>'1. Standard_Cost'!$B$15*N87*P87</f>
        <v>30000</v>
      </c>
      <c r="S87" s="108">
        <f>N87*O87*P87*'1. Standard_Cost'!$C$15</f>
        <v>45000</v>
      </c>
      <c r="T87" s="108">
        <f>N87*P87*Q87*'1. Standard_Cost'!$D$15</f>
        <v>0</v>
      </c>
      <c r="U87" s="108">
        <f>N87*O87*'1. Standard_Cost'!$E$15</f>
        <v>80000</v>
      </c>
      <c r="V87" s="107"/>
      <c r="W87" s="107"/>
      <c r="X87" s="107"/>
      <c r="Y87" s="108">
        <f>+V87*((X87*'1. Standard_Cost'!$B$19)+(W87*X87*'1. Standard_Cost'!$C$19))</f>
        <v>0</v>
      </c>
      <c r="Z87" s="260"/>
      <c r="AA87" s="260">
        <v>6</v>
      </c>
      <c r="AB87" s="108">
        <f>+Z87*'1. Standard_Cost'!$B$23+AA87*'1. Standard_Cost'!$C$23</f>
        <v>114000</v>
      </c>
      <c r="AC87" s="261">
        <f>30*500</f>
        <v>15000</v>
      </c>
      <c r="AD87" s="262"/>
      <c r="AE87" s="108">
        <f>SUM(AD87,AC87,AB87,Y87,U87,T87,S87,R87)*'1. Standard_Cost'!$B$31</f>
        <v>56800</v>
      </c>
      <c r="AF87" s="108">
        <f t="shared" si="83"/>
        <v>340800</v>
      </c>
      <c r="AG87" s="260"/>
      <c r="AH87" s="260"/>
      <c r="AI87" s="260"/>
      <c r="AJ87" s="263"/>
      <c r="AK87" s="263"/>
      <c r="AL87" s="263"/>
      <c r="AM87" s="108">
        <f>AG87*'1. Standard_Cost'!$B$27+'Incremental_Cost Year 3'!AH87*'1. Standard_Cost'!$C$27+'Incremental_Cost Year 3'!AI87*'1. Standard_Cost'!$D$27+'Incremental_Cost Year 3'!AJ87+'Incremental_Cost Year 3'!AL87+AK87</f>
        <v>0</v>
      </c>
      <c r="AN87" s="108">
        <f>AM87*'1. Standard_Cost'!$C$31</f>
        <v>0</v>
      </c>
      <c r="AO87" s="125" t="s">
        <v>329</v>
      </c>
      <c r="AQ87" s="14">
        <f t="shared" si="84"/>
        <v>0</v>
      </c>
      <c r="AR87" s="14">
        <f t="shared" si="85"/>
        <v>340800</v>
      </c>
      <c r="AS87" s="14">
        <f t="shared" si="86"/>
        <v>0</v>
      </c>
      <c r="AT87" s="14">
        <f t="shared" si="88"/>
        <v>340800</v>
      </c>
      <c r="AU87" s="234"/>
      <c r="AV87" s="234"/>
      <c r="AW87" s="234"/>
      <c r="AX87" s="234"/>
      <c r="AY87" s="234"/>
      <c r="AZ87" s="234"/>
      <c r="BA87" s="234"/>
      <c r="BB87" s="16">
        <f t="shared" si="87"/>
        <v>-340800</v>
      </c>
    </row>
    <row r="88" spans="1:57" ht="93.6" outlineLevel="2">
      <c r="A88" s="98"/>
      <c r="B88" s="102"/>
      <c r="C88" s="23"/>
      <c r="D88" s="269"/>
      <c r="E88" s="269"/>
      <c r="F88" s="251"/>
      <c r="G88" s="250"/>
      <c r="H88" s="302" t="s">
        <v>622</v>
      </c>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83"/>
        <v>0</v>
      </c>
      <c r="AG88" s="260"/>
      <c r="AH88" s="260"/>
      <c r="AI88" s="260"/>
      <c r="AJ88" s="263"/>
      <c r="AK88" s="263"/>
      <c r="AL88" s="263">
        <v>1700000</v>
      </c>
      <c r="AM88" s="108">
        <f>AG88*'1. Standard_Cost'!$B$27+'Incremental_Cost Year 3'!AH88*'1. Standard_Cost'!$C$27+'Incremental_Cost Year 3'!AI88*'1. Standard_Cost'!$D$27+'Incremental_Cost Year 3'!AJ88+'Incremental_Cost Year 3'!AL88+AK88</f>
        <v>1700000</v>
      </c>
      <c r="AN88" s="108">
        <f>AM88*'1. Standard_Cost'!$C$31</f>
        <v>255000</v>
      </c>
      <c r="AO88" s="125" t="s">
        <v>330</v>
      </c>
      <c r="AQ88" s="14">
        <f t="shared" si="84"/>
        <v>0</v>
      </c>
      <c r="AR88" s="14">
        <f t="shared" si="85"/>
        <v>0</v>
      </c>
      <c r="AS88" s="14">
        <f t="shared" si="86"/>
        <v>1955000</v>
      </c>
      <c r="AT88" s="14">
        <f t="shared" si="88"/>
        <v>1955000</v>
      </c>
      <c r="AU88" s="234">
        <v>1955000</v>
      </c>
      <c r="AV88" s="234"/>
      <c r="AW88" s="234"/>
      <c r="AX88" s="234"/>
      <c r="AY88" s="234"/>
      <c r="AZ88" s="234"/>
      <c r="BA88" s="234"/>
      <c r="BB88" s="16">
        <f t="shared" si="87"/>
        <v>0</v>
      </c>
    </row>
    <row r="89" spans="1:57" ht="124.8" outlineLevel="2">
      <c r="A89" s="98"/>
      <c r="B89" s="102"/>
      <c r="C89" s="23"/>
      <c r="D89" s="269"/>
      <c r="E89" s="269"/>
      <c r="F89" s="251"/>
      <c r="G89" s="250"/>
      <c r="H89" s="302" t="s">
        <v>623</v>
      </c>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83"/>
        <v>0</v>
      </c>
      <c r="AG89" s="260"/>
      <c r="AH89" s="260"/>
      <c r="AI89" s="260"/>
      <c r="AJ89" s="263"/>
      <c r="AK89" s="263">
        <v>6000000</v>
      </c>
      <c r="AL89" s="263"/>
      <c r="AM89" s="108">
        <f>AG89*'1. Standard_Cost'!$B$27+'Incremental_Cost Year 3'!AH89*'1. Standard_Cost'!$C$27+'Incremental_Cost Year 3'!AI89*'1. Standard_Cost'!$D$27+'Incremental_Cost Year 3'!AJ89+'Incremental_Cost Year 3'!AL89+AK89</f>
        <v>6000000</v>
      </c>
      <c r="AN89" s="108">
        <f>AM89*'1. Standard_Cost'!$C$31</f>
        <v>900000</v>
      </c>
      <c r="AO89" s="125" t="s">
        <v>331</v>
      </c>
      <c r="AQ89" s="14">
        <f t="shared" si="84"/>
        <v>0</v>
      </c>
      <c r="AR89" s="14">
        <f t="shared" si="85"/>
        <v>0</v>
      </c>
      <c r="AS89" s="14">
        <f t="shared" si="86"/>
        <v>6900000</v>
      </c>
      <c r="AT89" s="14">
        <f t="shared" si="88"/>
        <v>6900000</v>
      </c>
      <c r="AU89" s="234">
        <v>6900000</v>
      </c>
      <c r="AV89" s="234"/>
      <c r="AW89" s="234"/>
      <c r="AX89" s="234"/>
      <c r="AY89" s="234"/>
      <c r="AZ89" s="234"/>
      <c r="BA89" s="234"/>
      <c r="BB89" s="16">
        <f t="shared" si="87"/>
        <v>0</v>
      </c>
    </row>
    <row r="90" spans="1:57" ht="107.4" outlineLevel="2">
      <c r="A90" s="98"/>
      <c r="B90" s="102"/>
      <c r="C90" s="23"/>
      <c r="D90" s="251"/>
      <c r="E90" s="251"/>
      <c r="F90" s="251"/>
      <c r="G90" s="250"/>
      <c r="H90" s="302" t="s">
        <v>685</v>
      </c>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83"/>
        <v>0</v>
      </c>
      <c r="AG90" s="260"/>
      <c r="AH90" s="260"/>
      <c r="AI90" s="260"/>
      <c r="AJ90" s="263"/>
      <c r="AK90" s="263"/>
      <c r="AL90" s="263"/>
      <c r="AM90" s="108">
        <f>AG90*'1. Standard_Cost'!$B$27+'Incremental_Cost Year 3'!AH90*'1. Standard_Cost'!$C$27+'Incremental_Cost Year 3'!AI90*'1. Standard_Cost'!$D$27+'Incremental_Cost Year 3'!AJ90+'Incremental_Cost Year 3'!AL90+AK90</f>
        <v>0</v>
      </c>
      <c r="AN90" s="108">
        <f>AM90*'1. Standard_Cost'!$C$31</f>
        <v>0</v>
      </c>
      <c r="AO90" s="125" t="s">
        <v>332</v>
      </c>
      <c r="AQ90" s="14">
        <f t="shared" si="84"/>
        <v>0</v>
      </c>
      <c r="AR90" s="14">
        <f t="shared" si="85"/>
        <v>0</v>
      </c>
      <c r="AS90" s="14">
        <f t="shared" si="86"/>
        <v>0</v>
      </c>
      <c r="AT90" s="14">
        <f t="shared" si="88"/>
        <v>0</v>
      </c>
      <c r="AU90" s="234"/>
      <c r="AV90" s="234"/>
      <c r="AW90" s="234"/>
      <c r="AX90" s="234"/>
      <c r="AY90" s="234"/>
      <c r="AZ90" s="234"/>
      <c r="BA90" s="234"/>
      <c r="BB90" s="16">
        <f t="shared" si="87"/>
        <v>0</v>
      </c>
    </row>
    <row r="91" spans="1:57" ht="82.8" outlineLevel="1">
      <c r="A91" s="98"/>
      <c r="B91" s="102"/>
      <c r="C91" s="23"/>
      <c r="D91" s="345" t="s">
        <v>632</v>
      </c>
      <c r="E91" s="56" t="s">
        <v>217</v>
      </c>
      <c r="F91" s="253">
        <v>2021</v>
      </c>
      <c r="G91" s="254">
        <v>2026</v>
      </c>
      <c r="H91" s="277" t="s">
        <v>218</v>
      </c>
      <c r="I91" s="112"/>
      <c r="J91" s="112"/>
      <c r="K91" s="112"/>
      <c r="L91" s="113">
        <f>SUM(L81:L90)</f>
        <v>680775</v>
      </c>
      <c r="M91" s="113">
        <f>SUM(M81:M90)</f>
        <v>113689.425</v>
      </c>
      <c r="N91" s="113"/>
      <c r="O91" s="112"/>
      <c r="P91" s="112"/>
      <c r="Q91" s="112"/>
      <c r="R91" s="113">
        <f t="shared" ref="R91:U91" si="89">SUM(R81:R90)</f>
        <v>350000</v>
      </c>
      <c r="S91" s="113">
        <f t="shared" si="89"/>
        <v>405000</v>
      </c>
      <c r="T91" s="113">
        <f t="shared" si="89"/>
        <v>0</v>
      </c>
      <c r="U91" s="113">
        <f t="shared" si="89"/>
        <v>480000</v>
      </c>
      <c r="V91" s="112"/>
      <c r="W91" s="112"/>
      <c r="X91" s="112"/>
      <c r="Y91" s="113">
        <f>SUM(Y81:Y90)</f>
        <v>0</v>
      </c>
      <c r="Z91" s="112"/>
      <c r="AA91" s="112"/>
      <c r="AB91" s="113">
        <f t="shared" ref="AB91:AF91" si="90">SUM(AB81:AB90)</f>
        <v>2896000</v>
      </c>
      <c r="AC91" s="113">
        <f t="shared" si="90"/>
        <v>4508000</v>
      </c>
      <c r="AD91" s="113">
        <f t="shared" si="90"/>
        <v>0</v>
      </c>
      <c r="AE91" s="113">
        <f t="shared" si="90"/>
        <v>1727800</v>
      </c>
      <c r="AF91" s="113">
        <f t="shared" si="90"/>
        <v>10366800</v>
      </c>
      <c r="AG91" s="112"/>
      <c r="AH91" s="112"/>
      <c r="AI91" s="112"/>
      <c r="AJ91" s="113">
        <f t="shared" ref="AJ91:AN91" si="91">SUM(AJ81:AJ90)</f>
        <v>0</v>
      </c>
      <c r="AK91" s="113">
        <f t="shared" si="91"/>
        <v>6000000</v>
      </c>
      <c r="AL91" s="113">
        <f t="shared" si="91"/>
        <v>1700000</v>
      </c>
      <c r="AM91" s="113">
        <f t="shared" si="91"/>
        <v>7700000</v>
      </c>
      <c r="AN91" s="113">
        <f t="shared" si="91"/>
        <v>1155000</v>
      </c>
      <c r="AO91" s="131"/>
      <c r="AP91" s="17"/>
      <c r="AQ91" s="113">
        <f t="shared" ref="AQ91:BB91" si="92">SUM(AQ81:AQ90)</f>
        <v>794464.42499999993</v>
      </c>
      <c r="AR91" s="113">
        <f t="shared" si="92"/>
        <v>10366800</v>
      </c>
      <c r="AS91" s="113">
        <f t="shared" si="92"/>
        <v>8855000</v>
      </c>
      <c r="AT91" s="113">
        <f t="shared" si="92"/>
        <v>20016264.424999997</v>
      </c>
      <c r="AU91" s="113">
        <f t="shared" si="92"/>
        <v>12290064</v>
      </c>
      <c r="AV91" s="113">
        <f t="shared" si="92"/>
        <v>0</v>
      </c>
      <c r="AW91" s="113">
        <f t="shared" si="92"/>
        <v>0</v>
      </c>
      <c r="AX91" s="113">
        <f t="shared" si="92"/>
        <v>3042000</v>
      </c>
      <c r="AY91" s="113">
        <f t="shared" si="92"/>
        <v>0</v>
      </c>
      <c r="AZ91" s="113">
        <f t="shared" si="92"/>
        <v>0</v>
      </c>
      <c r="BA91" s="113">
        <f t="shared" si="92"/>
        <v>0</v>
      </c>
      <c r="BB91" s="113">
        <f t="shared" si="92"/>
        <v>-4684200.4249999998</v>
      </c>
    </row>
    <row r="92" spans="1:57" s="13" customFormat="1" ht="13.8" customHeight="1">
      <c r="A92" s="101"/>
      <c r="B92" s="316" t="s">
        <v>220</v>
      </c>
      <c r="C92" s="317"/>
      <c r="D92" s="317"/>
      <c r="E92" s="318"/>
      <c r="F92" s="241"/>
      <c r="G92" s="241"/>
      <c r="H92" s="241" t="s">
        <v>185</v>
      </c>
      <c r="I92" s="40"/>
      <c r="J92" s="40"/>
      <c r="K92" s="40"/>
      <c r="L92" s="41">
        <f>SUM(L93,L143,L179,L202)</f>
        <v>50176998.571428567</v>
      </c>
      <c r="M92" s="41">
        <f>SUM(M93,M143,M179,M202)</f>
        <v>8379558.7614285713</v>
      </c>
      <c r="N92" s="40"/>
      <c r="O92" s="40"/>
      <c r="P92" s="40"/>
      <c r="Q92" s="40"/>
      <c r="R92" s="41">
        <f t="shared" ref="R92:U92" si="93">SUM(R93,R143,R179,R202)</f>
        <v>880000</v>
      </c>
      <c r="S92" s="41">
        <f t="shared" si="93"/>
        <v>1852500</v>
      </c>
      <c r="T92" s="41">
        <f t="shared" si="93"/>
        <v>1475000</v>
      </c>
      <c r="U92" s="41">
        <f t="shared" si="93"/>
        <v>160000</v>
      </c>
      <c r="V92" s="40"/>
      <c r="W92" s="40"/>
      <c r="X92" s="40"/>
      <c r="Y92" s="41">
        <f>SUM(Y93,Y143,Y179,Y202)</f>
        <v>0</v>
      </c>
      <c r="Z92" s="41">
        <f>SUM(Z93,Z143,Z179,Z202)</f>
        <v>0</v>
      </c>
      <c r="AA92" s="40"/>
      <c r="AB92" s="41">
        <f>SUM(AB93,AB143,AB179,AB202)</f>
        <v>18731000</v>
      </c>
      <c r="AC92" s="41">
        <f>SUM(AC93,AC143,AC179,AC202)</f>
        <v>111446200</v>
      </c>
      <c r="AD92" s="41">
        <f>SUM(AD93,AD143)</f>
        <v>0</v>
      </c>
      <c r="AE92" s="41">
        <f>SUM(AE93,AE143)</f>
        <v>16630800</v>
      </c>
      <c r="AF92" s="41">
        <f>SUM(AF93,AF143)</f>
        <v>124502100</v>
      </c>
      <c r="AG92" s="40"/>
      <c r="AH92" s="40"/>
      <c r="AI92" s="40"/>
      <c r="AJ92" s="41">
        <f>SUM(AJ93,AJ143,AJ179,AJ202)</f>
        <v>1000000</v>
      </c>
      <c r="AK92" s="41">
        <f>SUM(AK93,AK143,AK179,AK202)</f>
        <v>0</v>
      </c>
      <c r="AL92" s="41">
        <f>SUM(AL93,AL143)</f>
        <v>0</v>
      </c>
      <c r="AM92" s="41">
        <f>SUM(AM93,AM143)</f>
        <v>1000000</v>
      </c>
      <c r="AN92" s="41">
        <f>SUM(AN93,AN143)</f>
        <v>150000</v>
      </c>
      <c r="AO92" s="129"/>
      <c r="AQ92" s="41">
        <f t="shared" ref="AQ92" si="94">SUM(AQ93,AQ143,AQ179,AQ202)</f>
        <v>58556557.332857147</v>
      </c>
      <c r="AR92" s="41">
        <f t="shared" ref="AR92:BB92" si="95">SUM(AR93,AR143,AR179,AR202)</f>
        <v>150136300</v>
      </c>
      <c r="AS92" s="41">
        <f t="shared" si="95"/>
        <v>1150000</v>
      </c>
      <c r="AT92" s="41">
        <f t="shared" si="95"/>
        <v>209842857.33285716</v>
      </c>
      <c r="AU92" s="41">
        <f t="shared" si="95"/>
        <v>143810234.83285713</v>
      </c>
      <c r="AV92" s="41">
        <f t="shared" si="95"/>
        <v>0</v>
      </c>
      <c r="AW92" s="41">
        <f t="shared" si="95"/>
        <v>0</v>
      </c>
      <c r="AX92" s="41">
        <f t="shared" si="95"/>
        <v>7546400</v>
      </c>
      <c r="AY92" s="41">
        <f t="shared" si="95"/>
        <v>0</v>
      </c>
      <c r="AZ92" s="41">
        <f t="shared" si="95"/>
        <v>33373676.25</v>
      </c>
      <c r="BA92" s="41">
        <f t="shared" si="95"/>
        <v>0</v>
      </c>
      <c r="BB92" s="41">
        <f t="shared" si="95"/>
        <v>-25112546.25</v>
      </c>
      <c r="BE92" s="295"/>
    </row>
    <row r="93" spans="1:57" s="24" customFormat="1" ht="13.8" customHeight="1">
      <c r="A93" s="114"/>
      <c r="B93" s="115"/>
      <c r="C93" s="314" t="s">
        <v>221</v>
      </c>
      <c r="D93" s="314"/>
      <c r="E93" s="315"/>
      <c r="F93" s="246"/>
      <c r="G93" s="246"/>
      <c r="H93" s="278" t="s">
        <v>186</v>
      </c>
      <c r="I93" s="116"/>
      <c r="J93" s="116"/>
      <c r="K93" s="116"/>
      <c r="L93" s="117">
        <f>SUM(L101,L113,L136,L139,L142)</f>
        <v>13943020</v>
      </c>
      <c r="M93" s="117">
        <f>SUM(M101,M113,M136,M139,M142)</f>
        <v>2328484.34</v>
      </c>
      <c r="N93" s="116"/>
      <c r="O93" s="116"/>
      <c r="P93" s="116"/>
      <c r="Q93" s="116"/>
      <c r="R93" s="117">
        <f t="shared" ref="R93:U93" si="96">SUM(R101,R113,R136,R139,R142)</f>
        <v>240000</v>
      </c>
      <c r="S93" s="117">
        <f t="shared" si="96"/>
        <v>742500</v>
      </c>
      <c r="T93" s="117">
        <f t="shared" si="96"/>
        <v>0</v>
      </c>
      <c r="U93" s="117">
        <f t="shared" si="96"/>
        <v>0</v>
      </c>
      <c r="V93" s="116"/>
      <c r="W93" s="116"/>
      <c r="X93" s="116"/>
      <c r="Y93" s="117">
        <f>SUM(Y101,Y113,Y136,Y139,Y142)</f>
        <v>0</v>
      </c>
      <c r="Z93" s="116"/>
      <c r="AA93" s="116"/>
      <c r="AB93" s="117">
        <f t="shared" ref="AB93:AF93" si="97">SUM(AB101,AB113,AB136,AB139,AB142)</f>
        <v>10428000</v>
      </c>
      <c r="AC93" s="117">
        <f t="shared" si="97"/>
        <v>23498800</v>
      </c>
      <c r="AD93" s="117">
        <f t="shared" si="97"/>
        <v>0</v>
      </c>
      <c r="AE93" s="117">
        <f t="shared" si="97"/>
        <v>3030400</v>
      </c>
      <c r="AF93" s="117">
        <f t="shared" si="97"/>
        <v>37939700</v>
      </c>
      <c r="AG93" s="116"/>
      <c r="AH93" s="116"/>
      <c r="AI93" s="116"/>
      <c r="AJ93" s="117">
        <f t="shared" ref="AJ93:AN93" si="98">SUM(AJ101,AJ113,AJ136,AJ139,AJ142)</f>
        <v>1000000</v>
      </c>
      <c r="AK93" s="117">
        <f t="shared" si="98"/>
        <v>0</v>
      </c>
      <c r="AL93" s="117">
        <f t="shared" si="98"/>
        <v>0</v>
      </c>
      <c r="AM93" s="117">
        <f t="shared" si="98"/>
        <v>1000000</v>
      </c>
      <c r="AN93" s="117">
        <f t="shared" si="98"/>
        <v>150000</v>
      </c>
      <c r="AO93" s="132"/>
      <c r="AP93" s="25"/>
      <c r="AQ93" s="117">
        <f t="shared" ref="AQ93" si="99">SUM(AQ101,AQ113,AQ136,AQ139,AQ142)</f>
        <v>16271504.34</v>
      </c>
      <c r="AR93" s="117">
        <f t="shared" ref="AR93:BB93" si="100">SUM(AR101,AR113,AR136,AR139,AR142)</f>
        <v>37939700</v>
      </c>
      <c r="AS93" s="117">
        <f t="shared" si="100"/>
        <v>1150000</v>
      </c>
      <c r="AT93" s="117">
        <f t="shared" si="100"/>
        <v>55361204.340000004</v>
      </c>
      <c r="AU93" s="117">
        <f t="shared" si="100"/>
        <v>25703181.84</v>
      </c>
      <c r="AV93" s="117">
        <f t="shared" si="100"/>
        <v>0</v>
      </c>
      <c r="AW93" s="117">
        <f t="shared" si="100"/>
        <v>0</v>
      </c>
      <c r="AX93" s="117">
        <f t="shared" si="100"/>
        <v>2892000</v>
      </c>
      <c r="AY93" s="117">
        <f t="shared" si="100"/>
        <v>0</v>
      </c>
      <c r="AZ93" s="117">
        <f t="shared" si="100"/>
        <v>18292900</v>
      </c>
      <c r="BA93" s="117">
        <f t="shared" si="100"/>
        <v>0</v>
      </c>
      <c r="BB93" s="117">
        <f t="shared" si="100"/>
        <v>-8473122.5</v>
      </c>
      <c r="BE93" s="295"/>
    </row>
    <row r="94" spans="1:57" ht="140.4" outlineLevel="2">
      <c r="A94" s="98"/>
      <c r="B94" s="102"/>
      <c r="C94" s="23"/>
      <c r="D94" s="257"/>
      <c r="E94" s="257"/>
      <c r="F94" s="257"/>
      <c r="G94" s="257"/>
      <c r="H94" s="302" t="s">
        <v>444</v>
      </c>
      <c r="I94" s="104" t="s">
        <v>4</v>
      </c>
      <c r="J94" s="105">
        <v>2</v>
      </c>
      <c r="K94" s="105">
        <v>5</v>
      </c>
      <c r="L94" s="106">
        <f>IF(I94&lt;&gt;0,((VLOOKUP(I94,'1. Standard_Cost'!$B$4:$D$11,2)+VLOOKUP(I94,'1. Standard_Cost'!$B$4:$D$11,3))*J94*K94),"0")</f>
        <v>807500</v>
      </c>
      <c r="M94" s="106">
        <f>L94*'1. Standard_Cost'!$F$4</f>
        <v>134852.5</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v>4</v>
      </c>
      <c r="AA94" s="107"/>
      <c r="AB94" s="108">
        <f>+Z94*'1. Standard_Cost'!$B$23+AA94*'1. Standard_Cost'!$C$23</f>
        <v>296000</v>
      </c>
      <c r="AC94" s="109">
        <f>100*1500</f>
        <v>150000</v>
      </c>
      <c r="AD94" s="110"/>
      <c r="AE94" s="108">
        <f>SUM(AD94,AC94,AB94,Y94,U94,T94,S94,R94)*'1. Standard_Cost'!$B$31</f>
        <v>89200</v>
      </c>
      <c r="AF94" s="108">
        <f t="shared" ref="AF94:AF100" si="101">SUM(AE94,AD94,AC94,AB94,Y94,U94,T94,S94,R94)</f>
        <v>535200</v>
      </c>
      <c r="AG94" s="107"/>
      <c r="AH94" s="107"/>
      <c r="AI94" s="107"/>
      <c r="AJ94" s="111"/>
      <c r="AK94" s="111"/>
      <c r="AL94" s="111"/>
      <c r="AM94" s="108">
        <f>AG94*'1. Standard_Cost'!$B$27+'Incremental_Cost Year 3'!AH94*'1. Standard_Cost'!$C$27+'Incremental_Cost Year 3'!AI94*'1. Standard_Cost'!$D$27+'Incremental_Cost Year 3'!AJ94+'Incremental_Cost Year 3'!AL94+AK94</f>
        <v>0</v>
      </c>
      <c r="AN94" s="108">
        <f>AM94*'1. Standard_Cost'!$C$31</f>
        <v>0</v>
      </c>
      <c r="AO94" s="125" t="s">
        <v>333</v>
      </c>
      <c r="AQ94" s="14">
        <f t="shared" ref="AQ94:AQ100" si="102">L94+M94</f>
        <v>942352.5</v>
      </c>
      <c r="AR94" s="14">
        <f t="shared" ref="AR94:AR100" si="103">AF94</f>
        <v>535200</v>
      </c>
      <c r="AS94" s="14">
        <f t="shared" ref="AS94:AS100" si="104">AM94+AN94</f>
        <v>0</v>
      </c>
      <c r="AT94" s="14">
        <f>SUM(AQ94,AR94,AS94)</f>
        <v>1477552.5</v>
      </c>
      <c r="AU94" s="15">
        <v>942352.5</v>
      </c>
      <c r="AV94" s="15"/>
      <c r="AW94" s="15"/>
      <c r="AX94" s="15"/>
      <c r="AY94" s="15"/>
      <c r="AZ94" s="15"/>
      <c r="BA94" s="15"/>
      <c r="BB94" s="16">
        <f t="shared" ref="BB94:BB100" si="105">SUM(AU94:BA94)-AT94</f>
        <v>-535200</v>
      </c>
      <c r="BE94" s="295"/>
    </row>
    <row r="95" spans="1:57" ht="109.2" customHeight="1" outlineLevel="2">
      <c r="A95" s="98"/>
      <c r="B95" s="102"/>
      <c r="C95" s="23"/>
      <c r="D95" s="269"/>
      <c r="E95" s="269"/>
      <c r="F95" s="269"/>
      <c r="G95" s="269"/>
      <c r="H95" s="302" t="s">
        <v>445</v>
      </c>
      <c r="I95" s="104" t="s">
        <v>4</v>
      </c>
      <c r="J95" s="105">
        <v>2</v>
      </c>
      <c r="K95" s="105">
        <v>2</v>
      </c>
      <c r="L95" s="106">
        <f>IF(I95&lt;&gt;0,((VLOOKUP(I95,'1. Standard_Cost'!$B$4:$D$11,2)+VLOOKUP(I95,'1. Standard_Cost'!$B$4:$D$11,3))*J95*K95),"0")</f>
        <v>323000</v>
      </c>
      <c r="M95" s="106">
        <f>L95*'1. Standard_Cost'!$F$4</f>
        <v>53941</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v>5</v>
      </c>
      <c r="AB95" s="108">
        <f>+Z95*'1. Standard_Cost'!$B$23+AA95*'1. Standard_Cost'!$C$23</f>
        <v>95000</v>
      </c>
      <c r="AC95" s="109">
        <f>20*300</f>
        <v>6000</v>
      </c>
      <c r="AD95" s="110"/>
      <c r="AE95" s="108">
        <f>SUM(AD95,AC95,AB95,Y95,U95,T95,S95,R95)*'1. Standard_Cost'!$B$31</f>
        <v>20200</v>
      </c>
      <c r="AF95" s="108">
        <f t="shared" si="101"/>
        <v>121200</v>
      </c>
      <c r="AG95" s="107"/>
      <c r="AH95" s="107"/>
      <c r="AI95" s="107"/>
      <c r="AJ95" s="111"/>
      <c r="AK95" s="111"/>
      <c r="AL95" s="111"/>
      <c r="AM95" s="108">
        <f>AG95*'1. Standard_Cost'!$B$27+'Incremental_Cost Year 3'!AH95*'1. Standard_Cost'!$C$27+'Incremental_Cost Year 3'!AI95*'1. Standard_Cost'!$D$27+'Incremental_Cost Year 3'!AJ95+'Incremental_Cost Year 3'!AL95+AK95</f>
        <v>0</v>
      </c>
      <c r="AN95" s="108">
        <f>AM95*'1. Standard_Cost'!$C$31</f>
        <v>0</v>
      </c>
      <c r="AO95" s="125" t="s">
        <v>334</v>
      </c>
      <c r="AQ95" s="14">
        <f t="shared" si="102"/>
        <v>376941</v>
      </c>
      <c r="AR95" s="14">
        <f t="shared" si="103"/>
        <v>121200</v>
      </c>
      <c r="AS95" s="14">
        <f t="shared" si="104"/>
        <v>0</v>
      </c>
      <c r="AT95" s="14">
        <f t="shared" ref="AT95:AT100" si="106">SUM(AQ95,AR95,AS95)</f>
        <v>498141</v>
      </c>
      <c r="AU95" s="15">
        <v>376941</v>
      </c>
      <c r="AV95" s="15"/>
      <c r="AW95" s="15"/>
      <c r="AX95" s="15"/>
      <c r="AY95" s="15"/>
      <c r="AZ95" s="15"/>
      <c r="BA95" s="15"/>
      <c r="BB95" s="16">
        <f t="shared" si="105"/>
        <v>-121200</v>
      </c>
      <c r="BE95" s="295"/>
    </row>
    <row r="96" spans="1:57" ht="78" outlineLevel="2">
      <c r="A96" s="98"/>
      <c r="B96" s="102"/>
      <c r="C96" s="23"/>
      <c r="D96" s="269"/>
      <c r="E96" s="269"/>
      <c r="F96" s="269"/>
      <c r="G96" s="174"/>
      <c r="H96" s="302" t="s">
        <v>446</v>
      </c>
      <c r="I96" s="104" t="s">
        <v>4</v>
      </c>
      <c r="J96" s="105">
        <v>0.4</v>
      </c>
      <c r="K96" s="105">
        <v>2</v>
      </c>
      <c r="L96" s="106">
        <f>IF(I96&lt;&gt;0,((VLOOKUP(I96,'1. Standard_Cost'!$B$4:$D$11,2)+VLOOKUP(I96,'1. Standard_Cost'!$B$4:$D$11,3))*J96*K96),"0")</f>
        <v>64600</v>
      </c>
      <c r="M96" s="106">
        <f>L96*'1. Standard_Cost'!$F$4</f>
        <v>10788.2</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f>100000*10+2*300000+2*50000</f>
        <v>1700000</v>
      </c>
      <c r="AD96" s="110"/>
      <c r="AE96" s="108">
        <f>SUM(AD96,AC96,AB96,Y96,U96,T96,S96,R96)*'1. Standard_Cost'!$B$31</f>
        <v>340000</v>
      </c>
      <c r="AF96" s="108">
        <f t="shared" si="101"/>
        <v>2040000</v>
      </c>
      <c r="AG96" s="107"/>
      <c r="AH96" s="107"/>
      <c r="AI96" s="107"/>
      <c r="AJ96" s="111"/>
      <c r="AK96" s="111"/>
      <c r="AL96" s="111"/>
      <c r="AM96" s="108">
        <f>AG96*'1. Standard_Cost'!$B$27+'Incremental_Cost Year 3'!AH96*'1. Standard_Cost'!$C$27+'Incremental_Cost Year 3'!AI96*'1. Standard_Cost'!$D$27+'Incremental_Cost Year 3'!AJ96+'Incremental_Cost Year 3'!AL96+AK96</f>
        <v>0</v>
      </c>
      <c r="AN96" s="108">
        <f>AM96*'1. Standard_Cost'!$C$31</f>
        <v>0</v>
      </c>
      <c r="AO96" s="125" t="s">
        <v>335</v>
      </c>
      <c r="AQ96" s="14">
        <f t="shared" si="102"/>
        <v>75388.2</v>
      </c>
      <c r="AR96" s="14">
        <f t="shared" si="103"/>
        <v>2040000</v>
      </c>
      <c r="AS96" s="14">
        <f t="shared" si="104"/>
        <v>0</v>
      </c>
      <c r="AT96" s="14">
        <f t="shared" si="106"/>
        <v>2115388.2000000002</v>
      </c>
      <c r="AU96" s="15">
        <v>75388.2</v>
      </c>
      <c r="AV96" s="15"/>
      <c r="AW96" s="15"/>
      <c r="AX96" s="15"/>
      <c r="AY96" s="15"/>
      <c r="AZ96" s="15"/>
      <c r="BA96" s="15"/>
      <c r="BB96" s="16">
        <f t="shared" si="105"/>
        <v>-2040000.0000000002</v>
      </c>
      <c r="BE96" s="295"/>
    </row>
    <row r="97" spans="1:57" ht="46.8" outlineLevel="2">
      <c r="A97" s="98"/>
      <c r="B97" s="102"/>
      <c r="C97" s="23"/>
      <c r="D97" s="269"/>
      <c r="E97" s="269"/>
      <c r="F97" s="269"/>
      <c r="G97" s="26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101"/>
        <v>0</v>
      </c>
      <c r="AG97" s="107"/>
      <c r="AH97" s="107"/>
      <c r="AI97" s="107"/>
      <c r="AJ97" s="111"/>
      <c r="AK97" s="111"/>
      <c r="AL97" s="111"/>
      <c r="AM97" s="108">
        <f>AG97*'1. Standard_Cost'!$B$27+'Incremental_Cost Year 3'!AH97*'1. Standard_Cost'!$C$27+'Incremental_Cost Year 3'!AI97*'1. Standard_Cost'!$D$27+'Incremental_Cost Year 3'!AJ97+'Incremental_Cost Year 3'!AL97+AK97</f>
        <v>0</v>
      </c>
      <c r="AN97" s="108">
        <f>AM97*'1. Standard_Cost'!$C$31</f>
        <v>0</v>
      </c>
      <c r="AO97" s="125" t="s">
        <v>336</v>
      </c>
      <c r="AQ97" s="14">
        <f t="shared" si="102"/>
        <v>0</v>
      </c>
      <c r="AR97" s="14">
        <f t="shared" si="103"/>
        <v>0</v>
      </c>
      <c r="AS97" s="14">
        <f t="shared" si="104"/>
        <v>0</v>
      </c>
      <c r="AT97" s="14">
        <f t="shared" si="106"/>
        <v>0</v>
      </c>
      <c r="AU97" s="15"/>
      <c r="AV97" s="15"/>
      <c r="AW97" s="15"/>
      <c r="AX97" s="15"/>
      <c r="AY97" s="15"/>
      <c r="AZ97" s="15"/>
      <c r="BA97" s="15"/>
      <c r="BB97" s="16">
        <f t="shared" si="105"/>
        <v>0</v>
      </c>
      <c r="BE97" s="295"/>
    </row>
    <row r="98" spans="1:57" ht="109.2" outlineLevel="2">
      <c r="A98" s="98"/>
      <c r="B98" s="102"/>
      <c r="C98" s="23"/>
      <c r="D98" s="269"/>
      <c r="E98" s="269"/>
      <c r="F98" s="269"/>
      <c r="G98" s="269"/>
      <c r="H98" s="302" t="s">
        <v>448</v>
      </c>
      <c r="I98" s="104" t="s">
        <v>4</v>
      </c>
      <c r="J98" s="105">
        <v>3</v>
      </c>
      <c r="K98" s="105">
        <v>6</v>
      </c>
      <c r="L98" s="106">
        <f>IF(I98&lt;&gt;0,((VLOOKUP(I98,'1. Standard_Cost'!$B$4:$D$11,2)+VLOOKUP(I98,'1. Standard_Cost'!$B$4:$D$11,3))*J98*K98),"0")</f>
        <v>1453500</v>
      </c>
      <c r="M98" s="106">
        <f>L98*'1. Standard_Cost'!$F$4</f>
        <v>242734.5</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v>10</v>
      </c>
      <c r="AB98" s="108">
        <f>+Z98*'1. Standard_Cost'!$B$23+AA98*'1. Standard_Cost'!$C$23</f>
        <v>190000</v>
      </c>
      <c r="AC98" s="109">
        <f>100*300</f>
        <v>30000</v>
      </c>
      <c r="AD98" s="110"/>
      <c r="AE98" s="108">
        <f>SUM(AD98,AC98,AB98,Y98,U98,T98,S98,R98)*'1. Standard_Cost'!$B$31</f>
        <v>44000</v>
      </c>
      <c r="AF98" s="108">
        <f t="shared" si="101"/>
        <v>264000</v>
      </c>
      <c r="AG98" s="107"/>
      <c r="AH98" s="107"/>
      <c r="AI98" s="107"/>
      <c r="AJ98" s="111"/>
      <c r="AK98" s="111"/>
      <c r="AL98" s="111"/>
      <c r="AM98" s="108">
        <f>AG98*'1. Standard_Cost'!$B$27+'Incremental_Cost Year 3'!AH98*'1. Standard_Cost'!$C$27+'Incremental_Cost Year 3'!AI98*'1. Standard_Cost'!$D$27+'Incremental_Cost Year 3'!AJ98+'Incremental_Cost Year 3'!AL98+AK98</f>
        <v>0</v>
      </c>
      <c r="AN98" s="108">
        <f>AM98*'1. Standard_Cost'!$C$31</f>
        <v>0</v>
      </c>
      <c r="AO98" s="125" t="s">
        <v>337</v>
      </c>
      <c r="AQ98" s="14">
        <f t="shared" si="102"/>
        <v>1696234.5</v>
      </c>
      <c r="AR98" s="14">
        <f t="shared" si="103"/>
        <v>264000</v>
      </c>
      <c r="AS98" s="14">
        <f t="shared" si="104"/>
        <v>0</v>
      </c>
      <c r="AT98" s="14">
        <f t="shared" si="106"/>
        <v>1960234.5</v>
      </c>
      <c r="AU98" s="15">
        <v>1696234.5</v>
      </c>
      <c r="AV98" s="15"/>
      <c r="AW98" s="15"/>
      <c r="AX98" s="15"/>
      <c r="AY98" s="15"/>
      <c r="AZ98" s="15"/>
      <c r="BA98" s="15"/>
      <c r="BB98" s="16">
        <f t="shared" si="105"/>
        <v>-264000</v>
      </c>
      <c r="BE98" s="295"/>
    </row>
    <row r="99" spans="1:57" ht="109.2" outlineLevel="2">
      <c r="A99" s="98"/>
      <c r="B99" s="102"/>
      <c r="C99" s="23"/>
      <c r="D99" s="269"/>
      <c r="E99" s="269"/>
      <c r="F99" s="269"/>
      <c r="G99" s="269"/>
      <c r="H99" s="302" t="s">
        <v>449</v>
      </c>
      <c r="I99" s="104" t="s">
        <v>4</v>
      </c>
      <c r="J99" s="105">
        <v>3</v>
      </c>
      <c r="K99" s="105">
        <v>6</v>
      </c>
      <c r="L99" s="106">
        <f>IF(I99&lt;&gt;0,((VLOOKUP(I99,'1. Standard_Cost'!$B$4:$D$11,2)+VLOOKUP(I99,'1. Standard_Cost'!$B$4:$D$11,3))*J99*K99),"0")</f>
        <v>1453500</v>
      </c>
      <c r="M99" s="106">
        <f>L99*'1. Standard_Cost'!$F$4</f>
        <v>242734.5</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v>10</v>
      </c>
      <c r="AB99" s="108">
        <f>+Z99*'1. Standard_Cost'!$B$23+AA99*'1. Standard_Cost'!$C$23</f>
        <v>190000</v>
      </c>
      <c r="AC99" s="109">
        <f>100*300</f>
        <v>30000</v>
      </c>
      <c r="AD99" s="110"/>
      <c r="AE99" s="108">
        <f>SUM(AD99,AC99,AB99,Y99,U99,T99,S99,R99)*'1. Standard_Cost'!$B$31</f>
        <v>44000</v>
      </c>
      <c r="AF99" s="108">
        <f t="shared" si="101"/>
        <v>264000</v>
      </c>
      <c r="AG99" s="107"/>
      <c r="AH99" s="107"/>
      <c r="AI99" s="107"/>
      <c r="AJ99" s="111"/>
      <c r="AK99" s="111"/>
      <c r="AL99" s="111"/>
      <c r="AM99" s="108">
        <f>AG99*'1. Standard_Cost'!$B$27+'Incremental_Cost Year 3'!AH99*'1. Standard_Cost'!$C$27+'Incremental_Cost Year 3'!AI99*'1. Standard_Cost'!$D$27+'Incremental_Cost Year 3'!AJ99+'Incremental_Cost Year 3'!AL99+AK99</f>
        <v>0</v>
      </c>
      <c r="AN99" s="108">
        <f>AM99*'1. Standard_Cost'!$C$31</f>
        <v>0</v>
      </c>
      <c r="AO99" s="125" t="s">
        <v>338</v>
      </c>
      <c r="AQ99" s="14">
        <f t="shared" si="102"/>
        <v>1696234.5</v>
      </c>
      <c r="AR99" s="14">
        <f t="shared" si="103"/>
        <v>264000</v>
      </c>
      <c r="AS99" s="14">
        <f t="shared" si="104"/>
        <v>0</v>
      </c>
      <c r="AT99" s="14">
        <f t="shared" si="106"/>
        <v>1960234.5</v>
      </c>
      <c r="AU99" s="15">
        <v>1696234.5</v>
      </c>
      <c r="AV99" s="15"/>
      <c r="AW99" s="15"/>
      <c r="AX99" s="15"/>
      <c r="AY99" s="15"/>
      <c r="AZ99" s="15"/>
      <c r="BA99" s="15"/>
      <c r="BB99" s="16">
        <f t="shared" si="105"/>
        <v>-264000</v>
      </c>
      <c r="BE99" s="295"/>
    </row>
    <row r="100" spans="1:57" ht="62.4" outlineLevel="2">
      <c r="A100" s="98"/>
      <c r="B100" s="102"/>
      <c r="C100" s="23"/>
      <c r="D100" s="269"/>
      <c r="E100" s="269"/>
      <c r="F100" s="251"/>
      <c r="G100" s="254"/>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f>500*10000</f>
        <v>5000000</v>
      </c>
      <c r="AD100" s="110"/>
      <c r="AE100" s="108">
        <f>SUM(AD100,AC100,AB100,Y100,U100,T100,S100,R100)*'1. Standard_Cost'!$B$31</f>
        <v>1000000</v>
      </c>
      <c r="AF100" s="108">
        <f t="shared" si="101"/>
        <v>6000000</v>
      </c>
      <c r="AG100" s="107"/>
      <c r="AH100" s="107"/>
      <c r="AI100" s="107"/>
      <c r="AJ100" s="111"/>
      <c r="AK100" s="111"/>
      <c r="AL100" s="111"/>
      <c r="AM100" s="108">
        <f>AG100*'1. Standard_Cost'!$B$27+'Incremental_Cost Year 3'!AH100*'1. Standard_Cost'!$C$27+'Incremental_Cost Year 3'!AI100*'1. Standard_Cost'!$D$27+'Incremental_Cost Year 3'!AJ100+'Incremental_Cost Year 3'!AL100+AK100</f>
        <v>0</v>
      </c>
      <c r="AN100" s="108">
        <f>AM100*'1. Standard_Cost'!$C$31</f>
        <v>0</v>
      </c>
      <c r="AO100" s="125" t="s">
        <v>339</v>
      </c>
      <c r="AQ100" s="14">
        <f t="shared" si="102"/>
        <v>0</v>
      </c>
      <c r="AR100" s="14">
        <f t="shared" si="103"/>
        <v>6000000</v>
      </c>
      <c r="AS100" s="14">
        <f t="shared" si="104"/>
        <v>0</v>
      </c>
      <c r="AT100" s="14">
        <f t="shared" si="106"/>
        <v>6000000</v>
      </c>
      <c r="AU100" s="15">
        <v>5000000</v>
      </c>
      <c r="AV100" s="15"/>
      <c r="AW100" s="15"/>
      <c r="AX100" s="15"/>
      <c r="AY100" s="15"/>
      <c r="AZ100" s="15"/>
      <c r="BA100" s="15"/>
      <c r="BB100" s="16">
        <f t="shared" si="105"/>
        <v>-1000000</v>
      </c>
      <c r="BE100" s="295"/>
    </row>
    <row r="101" spans="1:57" ht="82.8" outlineLevel="1">
      <c r="A101" s="98"/>
      <c r="B101" s="102"/>
      <c r="C101" s="23"/>
      <c r="D101" s="56" t="s">
        <v>632</v>
      </c>
      <c r="E101" s="56" t="s">
        <v>222</v>
      </c>
      <c r="F101" s="253">
        <v>2021</v>
      </c>
      <c r="G101" s="254">
        <v>2026</v>
      </c>
      <c r="H101" s="277" t="s">
        <v>187</v>
      </c>
      <c r="I101" s="112"/>
      <c r="J101" s="112"/>
      <c r="K101" s="112"/>
      <c r="L101" s="113">
        <f>SUM(L94:L100)</f>
        <v>4102100</v>
      </c>
      <c r="M101" s="113">
        <f>SUM(M94:M100)</f>
        <v>685050.7</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771000</v>
      </c>
      <c r="AC101" s="113">
        <f>SUM(AC94:AC100)</f>
        <v>6916000</v>
      </c>
      <c r="AD101" s="113">
        <f>SUM(AD94:AD100)</f>
        <v>0</v>
      </c>
      <c r="AE101" s="113">
        <f>SUM(AE94:AE100)</f>
        <v>1537400</v>
      </c>
      <c r="AF101" s="113">
        <f>SUM(AF94:AF100)</f>
        <v>9224400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7">SUM(AQ94:AQ100)</f>
        <v>4787150.7</v>
      </c>
      <c r="AR101" s="113">
        <f t="shared" si="107"/>
        <v>9224400</v>
      </c>
      <c r="AS101" s="113">
        <f t="shared" si="107"/>
        <v>0</v>
      </c>
      <c r="AT101" s="113">
        <f t="shared" si="107"/>
        <v>14011550.699999999</v>
      </c>
      <c r="AU101" s="113">
        <f t="shared" si="107"/>
        <v>9787150.6999999993</v>
      </c>
      <c r="AV101" s="113">
        <f t="shared" si="107"/>
        <v>0</v>
      </c>
      <c r="AW101" s="113">
        <f t="shared" si="107"/>
        <v>0</v>
      </c>
      <c r="AX101" s="113">
        <f t="shared" si="107"/>
        <v>0</v>
      </c>
      <c r="AY101" s="113">
        <f t="shared" si="107"/>
        <v>0</v>
      </c>
      <c r="AZ101" s="113">
        <f t="shared" si="107"/>
        <v>0</v>
      </c>
      <c r="BA101" s="113">
        <f t="shared" si="107"/>
        <v>0</v>
      </c>
      <c r="BB101" s="113">
        <f t="shared" si="107"/>
        <v>-4224400</v>
      </c>
      <c r="BE101" s="295"/>
    </row>
    <row r="102" spans="1:57" ht="93.6" outlineLevel="2">
      <c r="A102" s="98"/>
      <c r="B102" s="102"/>
      <c r="C102" s="23"/>
      <c r="D102" s="257"/>
      <c r="E102" s="257"/>
      <c r="F102" s="175"/>
      <c r="G102" s="175"/>
      <c r="H102" s="302" t="s">
        <v>451</v>
      </c>
      <c r="I102" s="104" t="s">
        <v>4</v>
      </c>
      <c r="J102" s="105">
        <v>2</v>
      </c>
      <c r="K102" s="105">
        <v>6</v>
      </c>
      <c r="L102" s="106">
        <f>IF(I102&lt;&gt;0,((VLOOKUP(I102,'1. Standard_Cost'!$B$4:$D$11,2)+VLOOKUP(I102,'1. Standard_Cost'!$B$4:$D$11,3))*J102*K102),"0")</f>
        <v>969000</v>
      </c>
      <c r="M102" s="106">
        <f>L102*'1. Standard_Cost'!$F$4</f>
        <v>161823</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f>1500000+300*700</f>
        <v>1710000</v>
      </c>
      <c r="AD102" s="110"/>
      <c r="AE102" s="108">
        <f>SUM(AD102,AC102,AB102,Y102,U102,T102,S102,R102)*'1. Standard_Cost'!$B$31</f>
        <v>342000</v>
      </c>
      <c r="AF102" s="108">
        <f t="shared" ref="AF102:AF112" si="108">SUM(AE102,AD102,AC102,AB102,Y102,U102,T102,S102,R102)</f>
        <v>2052000</v>
      </c>
      <c r="AG102" s="107"/>
      <c r="AH102" s="107"/>
      <c r="AI102" s="107"/>
      <c r="AJ102" s="111"/>
      <c r="AK102" s="111"/>
      <c r="AL102" s="111"/>
      <c r="AM102" s="108">
        <f>AG102*'1. Standard_Cost'!$B$27+'Incremental_Cost Year 3'!AH102*'1. Standard_Cost'!$C$27+'Incremental_Cost Year 3'!AI102*'1. Standard_Cost'!$D$27+'Incremental_Cost Year 3'!AJ102+'Incremental_Cost Year 3'!AL102+AK102</f>
        <v>0</v>
      </c>
      <c r="AN102" s="108">
        <f>AM102*'1. Standard_Cost'!$C$31</f>
        <v>0</v>
      </c>
      <c r="AO102" s="125" t="s">
        <v>340</v>
      </c>
      <c r="AQ102" s="14">
        <f t="shared" ref="AQ102:AQ112" si="109">L102+M102</f>
        <v>1130823</v>
      </c>
      <c r="AR102" s="14">
        <f t="shared" ref="AR102:AR112" si="110">AF102</f>
        <v>2052000</v>
      </c>
      <c r="AS102" s="14">
        <f t="shared" ref="AS102:AS112" si="111">AM102+AN102</f>
        <v>0</v>
      </c>
      <c r="AT102" s="14">
        <f>SUM(AQ102,AR102,AS102)</f>
        <v>3182823</v>
      </c>
      <c r="AU102" s="15">
        <v>1130823</v>
      </c>
      <c r="AV102" s="15"/>
      <c r="AW102" s="15"/>
      <c r="AX102" s="15">
        <v>2052000</v>
      </c>
      <c r="AY102" s="15">
        <v>0</v>
      </c>
      <c r="AZ102" s="15"/>
      <c r="BA102" s="15"/>
      <c r="BB102" s="16">
        <f t="shared" ref="BB102:BB112" si="112">SUM(AU102:BA102)-AT102</f>
        <v>0</v>
      </c>
      <c r="BE102" s="295"/>
    </row>
    <row r="103" spans="1:57" ht="93.6" outlineLevel="2">
      <c r="A103" s="98"/>
      <c r="B103" s="102"/>
      <c r="C103" s="23"/>
      <c r="D103" s="269"/>
      <c r="E103" s="269"/>
      <c r="F103" s="174"/>
      <c r="G103" s="269"/>
      <c r="H103" s="302" t="s">
        <v>452</v>
      </c>
      <c r="I103" s="104" t="s">
        <v>4</v>
      </c>
      <c r="J103" s="105">
        <v>2</v>
      </c>
      <c r="K103" s="105">
        <v>3</v>
      </c>
      <c r="L103" s="106">
        <f>IF(I103&lt;&gt;0,((VLOOKUP(I103,'1. Standard_Cost'!$B$4:$D$11,2)+VLOOKUP(I103,'1. Standard_Cost'!$B$4:$D$11,3))*J103*K103),"0")</f>
        <v>484500</v>
      </c>
      <c r="M103" s="106">
        <f>L103*'1. Standard_Cost'!$F$4</f>
        <v>80911.5</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v>5</v>
      </c>
      <c r="AB103" s="108">
        <f>+Z103*'1. Standard_Cost'!$B$23+AA103*'1. Standard_Cost'!$C$23</f>
        <v>95000</v>
      </c>
      <c r="AC103" s="109">
        <f>1000*300</f>
        <v>300000</v>
      </c>
      <c r="AD103" s="110"/>
      <c r="AE103" s="108">
        <f>SUM(AD103,AC103,AB103,Y103,U103,T103,S103,R103)*'1. Standard_Cost'!$B$31</f>
        <v>79000</v>
      </c>
      <c r="AF103" s="108">
        <f t="shared" si="108"/>
        <v>474000</v>
      </c>
      <c r="AG103" s="107"/>
      <c r="AH103" s="107"/>
      <c r="AI103" s="107"/>
      <c r="AJ103" s="111"/>
      <c r="AK103" s="111"/>
      <c r="AL103" s="111"/>
      <c r="AM103" s="108">
        <f>AG103*'1. Standard_Cost'!$B$27+'Incremental_Cost Year 3'!AH103*'1. Standard_Cost'!$C$27+'Incremental_Cost Year 3'!AI103*'1. Standard_Cost'!$D$27+'Incremental_Cost Year 3'!AJ103+'Incremental_Cost Year 3'!AL103+AK103</f>
        <v>0</v>
      </c>
      <c r="AN103" s="108">
        <f>AM103*'1. Standard_Cost'!$C$31</f>
        <v>0</v>
      </c>
      <c r="AO103" s="125" t="s">
        <v>341</v>
      </c>
      <c r="AQ103" s="14">
        <f t="shared" si="109"/>
        <v>565411.5</v>
      </c>
      <c r="AR103" s="14">
        <f t="shared" si="110"/>
        <v>474000</v>
      </c>
      <c r="AS103" s="14">
        <f t="shared" si="111"/>
        <v>0</v>
      </c>
      <c r="AT103" s="14">
        <f t="shared" ref="AT103:AT112" si="113">SUM(AQ103,AR103,AS103)</f>
        <v>1039411.5</v>
      </c>
      <c r="AU103" s="15">
        <v>565411.5</v>
      </c>
      <c r="AV103" s="15"/>
      <c r="AW103" s="15"/>
      <c r="AX103" s="15"/>
      <c r="AY103" s="15"/>
      <c r="AZ103" s="15">
        <f>474000</f>
        <v>474000</v>
      </c>
      <c r="BA103" s="15"/>
      <c r="BB103" s="16">
        <f t="shared" si="112"/>
        <v>0</v>
      </c>
      <c r="BE103" s="295"/>
    </row>
    <row r="104" spans="1:57" ht="62.4" outlineLevel="2">
      <c r="A104" s="98"/>
      <c r="B104" s="102"/>
      <c r="C104" s="23"/>
      <c r="D104" s="269"/>
      <c r="E104" s="26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f>500*10000</f>
        <v>5000000</v>
      </c>
      <c r="AD104" s="110"/>
      <c r="AE104" s="108">
        <v>0</v>
      </c>
      <c r="AF104" s="108">
        <f t="shared" si="108"/>
        <v>5000000</v>
      </c>
      <c r="AG104" s="107"/>
      <c r="AH104" s="107"/>
      <c r="AI104" s="107"/>
      <c r="AJ104" s="111"/>
      <c r="AK104" s="111"/>
      <c r="AL104" s="111"/>
      <c r="AM104" s="108">
        <f>AG104*'1. Standard_Cost'!$B$27+'Incremental_Cost Year 3'!AH104*'1. Standard_Cost'!$C$27+'Incremental_Cost Year 3'!AI104*'1. Standard_Cost'!$D$27+'Incremental_Cost Year 3'!AJ104+'Incremental_Cost Year 3'!AL104+AK104</f>
        <v>0</v>
      </c>
      <c r="AN104" s="108">
        <f>AM104*'1. Standard_Cost'!$C$31</f>
        <v>0</v>
      </c>
      <c r="AO104" s="125" t="s">
        <v>342</v>
      </c>
      <c r="AQ104" s="14">
        <f t="shared" si="109"/>
        <v>0</v>
      </c>
      <c r="AR104" s="14">
        <f t="shared" si="110"/>
        <v>5000000</v>
      </c>
      <c r="AS104" s="14">
        <f t="shared" si="111"/>
        <v>0</v>
      </c>
      <c r="AT104" s="14">
        <f t="shared" si="113"/>
        <v>5000000</v>
      </c>
      <c r="AU104" s="15">
        <v>5000000</v>
      </c>
      <c r="AV104" s="15"/>
      <c r="AW104" s="15"/>
      <c r="AX104" s="15"/>
      <c r="AY104" s="15"/>
      <c r="AZ104" s="15"/>
      <c r="BA104" s="15"/>
      <c r="BB104" s="16">
        <f t="shared" si="112"/>
        <v>0</v>
      </c>
      <c r="BE104" s="295"/>
    </row>
    <row r="105" spans="1:57" ht="46.8" outlineLevel="2">
      <c r="A105" s="98"/>
      <c r="B105" s="102"/>
      <c r="C105" s="23"/>
      <c r="D105" s="269"/>
      <c r="E105" s="26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8"/>
        <v>0</v>
      </c>
      <c r="AG105" s="107"/>
      <c r="AH105" s="107"/>
      <c r="AI105" s="107"/>
      <c r="AJ105" s="111"/>
      <c r="AK105" s="111"/>
      <c r="AL105" s="111"/>
      <c r="AM105" s="108">
        <f>AG105*'1. Standard_Cost'!$B$27+'Incremental_Cost Year 3'!AH105*'1. Standard_Cost'!$C$27+'Incremental_Cost Year 3'!AI105*'1. Standard_Cost'!$D$27+'Incremental_Cost Year 3'!AJ105+'Incremental_Cost Year 3'!AL105+AK105</f>
        <v>0</v>
      </c>
      <c r="AN105" s="108">
        <f>AM105*'1. Standard_Cost'!$C$31</f>
        <v>0</v>
      </c>
      <c r="AO105" s="125" t="s">
        <v>343</v>
      </c>
      <c r="AQ105" s="14">
        <f t="shared" si="109"/>
        <v>0</v>
      </c>
      <c r="AR105" s="14">
        <f t="shared" si="110"/>
        <v>0</v>
      </c>
      <c r="AS105" s="14">
        <f t="shared" si="111"/>
        <v>0</v>
      </c>
      <c r="AT105" s="14">
        <f t="shared" si="113"/>
        <v>0</v>
      </c>
      <c r="AU105" s="15"/>
      <c r="AV105" s="15"/>
      <c r="AW105" s="15"/>
      <c r="AX105" s="15"/>
      <c r="AY105" s="15"/>
      <c r="AZ105" s="15"/>
      <c r="BA105" s="15"/>
      <c r="BB105" s="16">
        <f t="shared" si="112"/>
        <v>0</v>
      </c>
      <c r="BE105" s="295"/>
    </row>
    <row r="106" spans="1:57" ht="62.4" outlineLevel="2">
      <c r="A106" s="98"/>
      <c r="B106" s="102"/>
      <c r="C106" s="23"/>
      <c r="D106" s="269"/>
      <c r="E106" s="269"/>
      <c r="F106" s="174"/>
      <c r="G106" s="26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8"/>
        <v>0</v>
      </c>
      <c r="AG106" s="107"/>
      <c r="AH106" s="107"/>
      <c r="AI106" s="107"/>
      <c r="AJ106" s="111"/>
      <c r="AK106" s="111"/>
      <c r="AL106" s="111"/>
      <c r="AM106" s="108">
        <f>AG106*'1. Standard_Cost'!$B$27+'Incremental_Cost Year 3'!AH106*'1. Standard_Cost'!$C$27+'Incremental_Cost Year 3'!AI106*'1. Standard_Cost'!$D$27+'Incremental_Cost Year 3'!AJ106+'Incremental_Cost Year 3'!AL106+AK106</f>
        <v>0</v>
      </c>
      <c r="AN106" s="108">
        <f>AM106*'1. Standard_Cost'!$C$31</f>
        <v>0</v>
      </c>
      <c r="AO106" s="125" t="s">
        <v>344</v>
      </c>
      <c r="AQ106" s="14">
        <f t="shared" si="109"/>
        <v>0</v>
      </c>
      <c r="AR106" s="14">
        <f t="shared" si="110"/>
        <v>0</v>
      </c>
      <c r="AS106" s="14">
        <f t="shared" si="111"/>
        <v>0</v>
      </c>
      <c r="AT106" s="14">
        <f t="shared" si="113"/>
        <v>0</v>
      </c>
      <c r="AU106" s="15"/>
      <c r="AV106" s="15"/>
      <c r="AW106" s="15"/>
      <c r="AX106" s="15"/>
      <c r="AY106" s="15"/>
      <c r="AZ106" s="15"/>
      <c r="BA106" s="15"/>
      <c r="BB106" s="16">
        <f t="shared" si="112"/>
        <v>0</v>
      </c>
      <c r="BE106" s="295"/>
    </row>
    <row r="107" spans="1:57" ht="187.2" outlineLevel="2">
      <c r="A107" s="98"/>
      <c r="B107" s="102"/>
      <c r="C107" s="23"/>
      <c r="D107" s="269"/>
      <c r="E107" s="269"/>
      <c r="F107" s="269"/>
      <c r="G107" s="269"/>
      <c r="H107" s="302" t="s">
        <v>455</v>
      </c>
      <c r="I107" s="104" t="s">
        <v>5</v>
      </c>
      <c r="J107" s="105">
        <v>2</v>
      </c>
      <c r="K107" s="105">
        <v>2</v>
      </c>
      <c r="L107" s="106">
        <f>IF(I107&lt;&gt;0,((VLOOKUP(I107,'1. Standard_Cost'!$B$4:$D$11,2)+VLOOKUP(I107,'1. Standard_Cost'!$B$4:$D$11,3))*J107*K107),"0")</f>
        <v>282800</v>
      </c>
      <c r="M107" s="106">
        <f>L107*'1. Standard_Cost'!$F$4</f>
        <v>47227.600000000006</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v>10</v>
      </c>
      <c r="AB107" s="108">
        <f>+Z107*'1. Standard_Cost'!$B$23+AA107*'1. Standard_Cost'!$C$23</f>
        <v>190000</v>
      </c>
      <c r="AC107" s="109">
        <f>20*300</f>
        <v>6000</v>
      </c>
      <c r="AD107" s="110"/>
      <c r="AE107" s="108">
        <f>SUM(AD107,AC107,AB107,Y107,U107,T107,S107,R107)*'1. Standard_Cost'!$B$31</f>
        <v>39200</v>
      </c>
      <c r="AF107" s="108">
        <f t="shared" si="108"/>
        <v>235200</v>
      </c>
      <c r="AG107" s="107"/>
      <c r="AH107" s="107"/>
      <c r="AI107" s="107"/>
      <c r="AJ107" s="111"/>
      <c r="AK107" s="111"/>
      <c r="AL107" s="111"/>
      <c r="AM107" s="108">
        <f>AG107*'1. Standard_Cost'!$B$27+'Incremental_Cost Year 3'!AH107*'1. Standard_Cost'!$C$27+'Incremental_Cost Year 3'!AI107*'1. Standard_Cost'!$D$27+'Incremental_Cost Year 3'!AJ107+'Incremental_Cost Year 3'!AL107+AK107</f>
        <v>0</v>
      </c>
      <c r="AN107" s="108">
        <f>AM107*'1. Standard_Cost'!$C$31</f>
        <v>0</v>
      </c>
      <c r="AO107" s="125" t="s">
        <v>345</v>
      </c>
      <c r="AQ107" s="14">
        <f t="shared" si="109"/>
        <v>330027.59999999998</v>
      </c>
      <c r="AR107" s="14">
        <f t="shared" si="110"/>
        <v>235200</v>
      </c>
      <c r="AS107" s="14">
        <f t="shared" si="111"/>
        <v>0</v>
      </c>
      <c r="AT107" s="14">
        <f t="shared" si="113"/>
        <v>565227.6</v>
      </c>
      <c r="AU107" s="15">
        <v>330027.59999999998</v>
      </c>
      <c r="AV107" s="15"/>
      <c r="AW107" s="15"/>
      <c r="AX107" s="15"/>
      <c r="AY107" s="15"/>
      <c r="AZ107" s="15"/>
      <c r="BA107" s="15"/>
      <c r="BB107" s="16">
        <f t="shared" si="112"/>
        <v>-235200</v>
      </c>
      <c r="BE107" s="295"/>
    </row>
    <row r="108" spans="1:57" ht="93.6" outlineLevel="2">
      <c r="A108" s="98"/>
      <c r="B108" s="102"/>
      <c r="C108" s="23"/>
      <c r="D108" s="269"/>
      <c r="E108" s="269"/>
      <c r="F108" s="269"/>
      <c r="G108" s="269"/>
      <c r="H108" s="302" t="s">
        <v>456</v>
      </c>
      <c r="I108" s="104" t="s">
        <v>5</v>
      </c>
      <c r="J108" s="105">
        <v>0.1</v>
      </c>
      <c r="K108" s="105">
        <v>1</v>
      </c>
      <c r="L108" s="106">
        <f>IF(I108&lt;&gt;0,((VLOOKUP(I108,'1. Standard_Cost'!$B$4:$D$11,2)+VLOOKUP(I108,'1. Standard_Cost'!$B$4:$D$11,3))*J108*K108),"0")</f>
        <v>7070</v>
      </c>
      <c r="M108" s="106">
        <f>L108*'1. Standard_Cost'!$F$4</f>
        <v>1180.69</v>
      </c>
      <c r="N108" s="107">
        <v>8</v>
      </c>
      <c r="O108" s="107">
        <v>1</v>
      </c>
      <c r="P108" s="107">
        <v>15</v>
      </c>
      <c r="Q108" s="107"/>
      <c r="R108" s="108">
        <f>'1. Standard_Cost'!$B$15*N108*P108</f>
        <v>240000</v>
      </c>
      <c r="S108" s="108">
        <f>N108*O108*P108*'1. Standard_Cost'!$C$15</f>
        <v>180000</v>
      </c>
      <c r="T108" s="108">
        <f>N108*P108*Q108*'1. Standard_Cost'!$D$15</f>
        <v>0</v>
      </c>
      <c r="U108" s="108">
        <v>0</v>
      </c>
      <c r="V108" s="107"/>
      <c r="W108" s="107"/>
      <c r="X108" s="107"/>
      <c r="Y108" s="108">
        <f>+V108*((X108*'1. Standard_Cost'!$B$19)+(W108*X108*'1. Standard_Cost'!$C$19))</f>
        <v>0</v>
      </c>
      <c r="Z108" s="107"/>
      <c r="AA108" s="107">
        <v>8</v>
      </c>
      <c r="AB108" s="108">
        <f>+Z108*'1. Standard_Cost'!$B$23+AA108*'1. Standard_Cost'!$C$23</f>
        <v>152000</v>
      </c>
      <c r="AC108" s="109">
        <f>120*200</f>
        <v>24000</v>
      </c>
      <c r="AD108" s="110"/>
      <c r="AE108" s="108">
        <v>0</v>
      </c>
      <c r="AF108" s="108">
        <f t="shared" si="108"/>
        <v>596000</v>
      </c>
      <c r="AG108" s="107"/>
      <c r="AH108" s="107"/>
      <c r="AI108" s="107"/>
      <c r="AJ108" s="111"/>
      <c r="AK108" s="111"/>
      <c r="AL108" s="111"/>
      <c r="AM108" s="108">
        <f>AG108*'1. Standard_Cost'!$B$27+'Incremental_Cost Year 3'!AH108*'1. Standard_Cost'!$C$27+'Incremental_Cost Year 3'!AI108*'1. Standard_Cost'!$D$27+'Incremental_Cost Year 3'!AJ108+'Incremental_Cost Year 3'!AL108+AK108</f>
        <v>0</v>
      </c>
      <c r="AN108" s="108">
        <f>AM108*'1. Standard_Cost'!$C$31</f>
        <v>0</v>
      </c>
      <c r="AO108" s="125" t="s">
        <v>346</v>
      </c>
      <c r="AQ108" s="14">
        <f t="shared" si="109"/>
        <v>8250.69</v>
      </c>
      <c r="AR108" s="14">
        <f t="shared" si="110"/>
        <v>596000</v>
      </c>
      <c r="AS108" s="14">
        <f t="shared" si="111"/>
        <v>0</v>
      </c>
      <c r="AT108" s="14">
        <f t="shared" si="113"/>
        <v>604250.68999999994</v>
      </c>
      <c r="AU108" s="15">
        <v>8250.69</v>
      </c>
      <c r="AV108" s="15"/>
      <c r="AW108" s="15"/>
      <c r="AX108" s="15"/>
      <c r="AY108" s="15"/>
      <c r="AZ108" s="15"/>
      <c r="BA108" s="15"/>
      <c r="BB108" s="16">
        <f t="shared" si="112"/>
        <v>-596000</v>
      </c>
      <c r="BE108" s="295"/>
    </row>
    <row r="109" spans="1:57" ht="31.2" outlineLevel="2">
      <c r="A109" s="98"/>
      <c r="B109" s="102"/>
      <c r="C109" s="23"/>
      <c r="D109" s="269"/>
      <c r="E109" s="269"/>
      <c r="F109" s="26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8"/>
        <v>0</v>
      </c>
      <c r="AG109" s="107"/>
      <c r="AH109" s="107"/>
      <c r="AI109" s="107"/>
      <c r="AJ109" s="111"/>
      <c r="AK109" s="111"/>
      <c r="AL109" s="111"/>
      <c r="AM109" s="108">
        <f>AG109*'1. Standard_Cost'!$B$27+'Incremental_Cost Year 3'!AH109*'1. Standard_Cost'!$C$27+'Incremental_Cost Year 3'!AI109*'1. Standard_Cost'!$D$27+'Incremental_Cost Year 3'!AJ109+'Incremental_Cost Year 3'!AL109+AK109</f>
        <v>0</v>
      </c>
      <c r="AN109" s="108">
        <f>AM109*'1. Standard_Cost'!$C$31</f>
        <v>0</v>
      </c>
      <c r="AO109" s="125" t="s">
        <v>347</v>
      </c>
      <c r="AQ109" s="14">
        <f t="shared" si="109"/>
        <v>0</v>
      </c>
      <c r="AR109" s="14">
        <f t="shared" si="110"/>
        <v>0</v>
      </c>
      <c r="AS109" s="14">
        <f t="shared" si="111"/>
        <v>0</v>
      </c>
      <c r="AT109" s="14">
        <f t="shared" si="113"/>
        <v>0</v>
      </c>
      <c r="AU109" s="15"/>
      <c r="AV109" s="15"/>
      <c r="AW109" s="15"/>
      <c r="AX109" s="15"/>
      <c r="AY109" s="15"/>
      <c r="AZ109" s="15"/>
      <c r="BA109" s="15"/>
      <c r="BB109" s="16">
        <f t="shared" si="112"/>
        <v>0</v>
      </c>
      <c r="BE109" s="295"/>
    </row>
    <row r="110" spans="1:57" ht="171.6" outlineLevel="2">
      <c r="A110" s="98"/>
      <c r="B110" s="102"/>
      <c r="C110" s="23"/>
      <c r="D110" s="269"/>
      <c r="E110" s="269"/>
      <c r="F110" s="269"/>
      <c r="G110" s="174"/>
      <c r="H110" s="302" t="s">
        <v>457</v>
      </c>
      <c r="I110" s="104" t="s">
        <v>4</v>
      </c>
      <c r="J110" s="105">
        <v>1</v>
      </c>
      <c r="K110" s="105">
        <v>2</v>
      </c>
      <c r="L110" s="106">
        <f>IF(I110&lt;&gt;0,((VLOOKUP(I110,'1. Standard_Cost'!$B$4:$D$11,2)+VLOOKUP(I110,'1. Standard_Cost'!$B$4:$D$11,3))*J110*K110),"0")</f>
        <v>161500</v>
      </c>
      <c r="M110" s="106">
        <f>L110*'1. Standard_Cost'!$F$4</f>
        <v>26970.5</v>
      </c>
      <c r="N110" s="107">
        <v>10</v>
      </c>
      <c r="O110" s="107">
        <v>1</v>
      </c>
      <c r="P110" s="107">
        <v>15</v>
      </c>
      <c r="Q110" s="107"/>
      <c r="R110" s="108">
        <v>0</v>
      </c>
      <c r="S110" s="108">
        <v>0</v>
      </c>
      <c r="T110" s="108">
        <f>N110*P110*Q110*'1. Standard_Cost'!$D$15</f>
        <v>0</v>
      </c>
      <c r="U110" s="108">
        <v>0</v>
      </c>
      <c r="V110" s="107"/>
      <c r="W110" s="107"/>
      <c r="X110" s="107"/>
      <c r="Y110" s="108">
        <f>+V110*((X110*'1. Standard_Cost'!$B$19)+(W110*X110*'1. Standard_Cost'!$C$19))</f>
        <v>0</v>
      </c>
      <c r="Z110" s="107"/>
      <c r="AA110" s="107">
        <v>11</v>
      </c>
      <c r="AB110" s="108">
        <f>+Z110*'1. Standard_Cost'!$B$23+AA110*'1. Standard_Cost'!$C$23</f>
        <v>209000</v>
      </c>
      <c r="AC110" s="109">
        <f>150*200+152*3500</f>
        <v>562000</v>
      </c>
      <c r="AD110" s="110"/>
      <c r="AE110" s="108">
        <f>SUM(AD110,AC110,AB110,Y110,U110,T110,S110,R110)*'1. Standard_Cost'!$B$31</f>
        <v>154200</v>
      </c>
      <c r="AF110" s="108">
        <f t="shared" si="108"/>
        <v>925200</v>
      </c>
      <c r="AG110" s="107"/>
      <c r="AH110" s="107"/>
      <c r="AI110" s="107"/>
      <c r="AJ110" s="111"/>
      <c r="AK110" s="111"/>
      <c r="AL110" s="111"/>
      <c r="AM110" s="108">
        <f>AG110*'1. Standard_Cost'!$B$27+'Incremental_Cost Year 3'!AH110*'1. Standard_Cost'!$C$27+'Incremental_Cost Year 3'!AI110*'1. Standard_Cost'!$D$27+'Incremental_Cost Year 3'!AJ110+'Incremental_Cost Year 3'!AL110+AK110</f>
        <v>0</v>
      </c>
      <c r="AN110" s="108">
        <f>AM110*'1. Standard_Cost'!$C$31</f>
        <v>0</v>
      </c>
      <c r="AO110" s="125" t="s">
        <v>348</v>
      </c>
      <c r="AQ110" s="14">
        <f t="shared" si="109"/>
        <v>188470.5</v>
      </c>
      <c r="AR110" s="14">
        <f t="shared" si="110"/>
        <v>925200</v>
      </c>
      <c r="AS110" s="14">
        <f t="shared" si="111"/>
        <v>0</v>
      </c>
      <c r="AT110" s="14">
        <f t="shared" si="113"/>
        <v>1113670.5</v>
      </c>
      <c r="AU110" s="15">
        <v>188470.5</v>
      </c>
      <c r="AV110" s="15"/>
      <c r="AW110" s="15"/>
      <c r="AX110" s="15"/>
      <c r="AY110" s="15"/>
      <c r="AZ110" s="15">
        <v>92500</v>
      </c>
      <c r="BA110" s="15"/>
      <c r="BB110" s="16">
        <f t="shared" si="112"/>
        <v>-832700</v>
      </c>
      <c r="BE110" s="295"/>
    </row>
    <row r="111" spans="1:57" ht="202.8" outlineLevel="2">
      <c r="A111" s="98"/>
      <c r="B111" s="102"/>
      <c r="C111" s="23"/>
      <c r="D111" s="269"/>
      <c r="E111" s="269"/>
      <c r="F111" s="269"/>
      <c r="G111" s="174"/>
      <c r="H111" s="302" t="s">
        <v>458</v>
      </c>
      <c r="I111" s="104" t="s">
        <v>5</v>
      </c>
      <c r="J111" s="105">
        <v>2</v>
      </c>
      <c r="K111" s="105">
        <v>3</v>
      </c>
      <c r="L111" s="106">
        <f>IF(I111&lt;&gt;0,((VLOOKUP(I111,'1. Standard_Cost'!$B$4:$D$11,2)+VLOOKUP(I111,'1. Standard_Cost'!$B$4:$D$11,3))*J111*K111),"0")</f>
        <v>424200</v>
      </c>
      <c r="M111" s="106">
        <f>L111*'1. Standard_Cost'!$F$4</f>
        <v>70841.400000000009</v>
      </c>
      <c r="N111" s="107">
        <v>18</v>
      </c>
      <c r="O111" s="107">
        <v>2</v>
      </c>
      <c r="P111" s="107">
        <v>15</v>
      </c>
      <c r="Q111" s="107"/>
      <c r="R111" s="108">
        <v>0</v>
      </c>
      <c r="S111" s="108">
        <v>0</v>
      </c>
      <c r="T111" s="108">
        <f>N111*P111*Q111*'1. Standard_Cost'!$D$15</f>
        <v>0</v>
      </c>
      <c r="U111" s="108">
        <v>0</v>
      </c>
      <c r="V111" s="107"/>
      <c r="W111" s="107"/>
      <c r="X111" s="107"/>
      <c r="Y111" s="108">
        <f>+V111*((X111*'1. Standard_Cost'!$B$19)+(W111*X111*'1. Standard_Cost'!$C$19))</f>
        <v>0</v>
      </c>
      <c r="Z111" s="107"/>
      <c r="AA111" s="107">
        <v>36</v>
      </c>
      <c r="AB111" s="108">
        <f>+Z111*'1. Standard_Cost'!$B$23+AA111*'1. Standard_Cost'!$C$23</f>
        <v>684000</v>
      </c>
      <c r="AC111" s="109">
        <f>545*3500+545*500</f>
        <v>2180000</v>
      </c>
      <c r="AD111" s="110"/>
      <c r="AE111" s="108">
        <f>SUM(AD111,AC111,AB111,Y111,U111,T111,S111,R111)*'1. Standard_Cost'!$B$31</f>
        <v>572800</v>
      </c>
      <c r="AF111" s="108">
        <f t="shared" si="108"/>
        <v>3436800</v>
      </c>
      <c r="AG111" s="107"/>
      <c r="AH111" s="107"/>
      <c r="AI111" s="107"/>
      <c r="AJ111" s="111"/>
      <c r="AK111" s="111"/>
      <c r="AL111" s="111"/>
      <c r="AM111" s="108">
        <f>AG111*'1. Standard_Cost'!$B$27+'Incremental_Cost Year 3'!AH111*'1. Standard_Cost'!$C$27+'Incremental_Cost Year 3'!AI111*'1. Standard_Cost'!$D$27+'Incremental_Cost Year 3'!AJ111+'Incremental_Cost Year 3'!AL111+AK111</f>
        <v>0</v>
      </c>
      <c r="AN111" s="108">
        <f>AM111*'1. Standard_Cost'!$C$31</f>
        <v>0</v>
      </c>
      <c r="AO111" s="125" t="s">
        <v>349</v>
      </c>
      <c r="AQ111" s="14">
        <f t="shared" si="109"/>
        <v>495041.4</v>
      </c>
      <c r="AR111" s="14">
        <f t="shared" si="110"/>
        <v>3436800</v>
      </c>
      <c r="AS111" s="14">
        <f t="shared" si="111"/>
        <v>0</v>
      </c>
      <c r="AT111" s="14">
        <f t="shared" si="113"/>
        <v>3931841.4</v>
      </c>
      <c r="AU111" s="15">
        <v>495041.4</v>
      </c>
      <c r="AV111" s="15"/>
      <c r="AW111" s="15"/>
      <c r="AX111" s="15"/>
      <c r="AY111" s="15"/>
      <c r="AZ111" s="15">
        <v>3436800</v>
      </c>
      <c r="BA111" s="15"/>
      <c r="BB111" s="16">
        <f t="shared" si="112"/>
        <v>0</v>
      </c>
      <c r="BE111" s="295"/>
    </row>
    <row r="112" spans="1:57" ht="124.8" outlineLevel="2">
      <c r="A112" s="98"/>
      <c r="B112" s="102"/>
      <c r="C112" s="23"/>
      <c r="D112" s="269"/>
      <c r="E112" s="269"/>
      <c r="F112" s="251"/>
      <c r="G112" s="250"/>
      <c r="H112" s="302" t="s">
        <v>459</v>
      </c>
      <c r="I112" s="104" t="s">
        <v>4</v>
      </c>
      <c r="J112" s="105">
        <v>3</v>
      </c>
      <c r="K112" s="105">
        <v>3</v>
      </c>
      <c r="L112" s="106">
        <f>IF(I112&lt;&gt;0,((VLOOKUP(I112,'1. Standard_Cost'!$B$4:$D$11,2)+VLOOKUP(I112,'1. Standard_Cost'!$B$4:$D$11,3))*J112*K112),"0")</f>
        <v>726750</v>
      </c>
      <c r="M112" s="106">
        <f>L112*'1. Standard_Cost'!$F$4</f>
        <v>121367.25</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v>10</v>
      </c>
      <c r="AB112" s="108">
        <f>+Z112*'1. Standard_Cost'!$B$23+AA112*'1. Standard_Cost'!$C$23</f>
        <v>190000</v>
      </c>
      <c r="AC112" s="109">
        <f>2*15*300</f>
        <v>9000</v>
      </c>
      <c r="AD112" s="110"/>
      <c r="AE112" s="108">
        <f>SUM(AD112,AC112,AB112,Y112,U112,T112,S112,R112)*'1. Standard_Cost'!$B$31</f>
        <v>39800</v>
      </c>
      <c r="AF112" s="108">
        <f t="shared" si="108"/>
        <v>238800</v>
      </c>
      <c r="AG112" s="107"/>
      <c r="AH112" s="107"/>
      <c r="AI112" s="107"/>
      <c r="AJ112" s="111"/>
      <c r="AK112" s="111"/>
      <c r="AL112" s="111"/>
      <c r="AM112" s="108">
        <f>AG112*'1. Standard_Cost'!$B$27+'Incremental_Cost Year 3'!AH112*'1. Standard_Cost'!$C$27+'Incremental_Cost Year 3'!AI112*'1. Standard_Cost'!$D$27+'Incremental_Cost Year 3'!AJ112+'Incremental_Cost Year 3'!AL112+AK112</f>
        <v>0</v>
      </c>
      <c r="AN112" s="108">
        <f>AM112*'1. Standard_Cost'!$C$31</f>
        <v>0</v>
      </c>
      <c r="AO112" s="125" t="s">
        <v>345</v>
      </c>
      <c r="AQ112" s="14">
        <f t="shared" si="109"/>
        <v>848117.25</v>
      </c>
      <c r="AR112" s="14">
        <f t="shared" si="110"/>
        <v>238800</v>
      </c>
      <c r="AS112" s="14">
        <f t="shared" si="111"/>
        <v>0</v>
      </c>
      <c r="AT112" s="14">
        <f t="shared" si="113"/>
        <v>1086917.25</v>
      </c>
      <c r="AU112" s="15">
        <v>848117.25</v>
      </c>
      <c r="AV112" s="15"/>
      <c r="AW112" s="15"/>
      <c r="AX112" s="15"/>
      <c r="AY112" s="15"/>
      <c r="AZ112" s="15">
        <v>238800</v>
      </c>
      <c r="BA112" s="15"/>
      <c r="BB112" s="16">
        <f t="shared" si="112"/>
        <v>0</v>
      </c>
      <c r="BE112" s="295"/>
    </row>
    <row r="113" spans="1:57" ht="55.2" outlineLevel="1">
      <c r="A113" s="98"/>
      <c r="B113" s="102"/>
      <c r="C113" s="23"/>
      <c r="D113" s="31" t="s">
        <v>633</v>
      </c>
      <c r="E113" s="56" t="s">
        <v>223</v>
      </c>
      <c r="F113" s="253">
        <v>2021</v>
      </c>
      <c r="G113" s="254">
        <v>2026</v>
      </c>
      <c r="H113" s="277" t="s">
        <v>226</v>
      </c>
      <c r="I113" s="112"/>
      <c r="J113" s="112"/>
      <c r="K113" s="112"/>
      <c r="L113" s="113">
        <f>SUM(L102:L112)</f>
        <v>3055820</v>
      </c>
      <c r="M113" s="113">
        <f>SUM(M102:M112)</f>
        <v>510321.94</v>
      </c>
      <c r="N113" s="112"/>
      <c r="O113" s="112"/>
      <c r="P113" s="112"/>
      <c r="Q113" s="112"/>
      <c r="R113" s="113">
        <f>SUM(R102:R112)</f>
        <v>240000</v>
      </c>
      <c r="S113" s="113">
        <f>SUM(S102:S112)</f>
        <v>180000</v>
      </c>
      <c r="T113" s="113">
        <f>SUM(T102:T112)</f>
        <v>0</v>
      </c>
      <c r="U113" s="113">
        <f>SUM(U102:U112)</f>
        <v>0</v>
      </c>
      <c r="V113" s="112"/>
      <c r="W113" s="112"/>
      <c r="X113" s="112"/>
      <c r="Y113" s="113">
        <f>SUM(Y102:Y112)</f>
        <v>0</v>
      </c>
      <c r="Z113" s="112"/>
      <c r="AA113" s="112"/>
      <c r="AB113" s="113">
        <f>SUM(AB102:AB112)</f>
        <v>1520000</v>
      </c>
      <c r="AC113" s="113">
        <f>SUM(AC102:AC112)</f>
        <v>9791000</v>
      </c>
      <c r="AD113" s="113">
        <f>SUM(AD102:AD112)</f>
        <v>0</v>
      </c>
      <c r="AE113" s="113">
        <f>SUM(AE102:AE112)</f>
        <v>1227000</v>
      </c>
      <c r="AF113" s="113">
        <f>SUM(AF102:AF112)</f>
        <v>12958000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4">SUM(AQ102:AQ112)</f>
        <v>3566141.94</v>
      </c>
      <c r="AR113" s="113">
        <f t="shared" si="114"/>
        <v>12958000</v>
      </c>
      <c r="AS113" s="113">
        <f t="shared" si="114"/>
        <v>0</v>
      </c>
      <c r="AT113" s="113">
        <f t="shared" si="114"/>
        <v>16524141.939999999</v>
      </c>
      <c r="AU113" s="113">
        <f t="shared" si="114"/>
        <v>8566141.9400000013</v>
      </c>
      <c r="AV113" s="113">
        <f t="shared" si="114"/>
        <v>0</v>
      </c>
      <c r="AW113" s="113">
        <f t="shared" si="114"/>
        <v>0</v>
      </c>
      <c r="AX113" s="113">
        <f t="shared" si="114"/>
        <v>2052000</v>
      </c>
      <c r="AY113" s="113">
        <f t="shared" si="114"/>
        <v>0</v>
      </c>
      <c r="AZ113" s="113">
        <f t="shared" si="114"/>
        <v>4242100</v>
      </c>
      <c r="BA113" s="113">
        <f t="shared" si="114"/>
        <v>0</v>
      </c>
      <c r="BB113" s="113">
        <f t="shared" si="114"/>
        <v>-1663900</v>
      </c>
      <c r="BE113" s="295"/>
    </row>
    <row r="114" spans="1:57" ht="62.4" outlineLevel="2">
      <c r="A114" s="98"/>
      <c r="B114" s="102"/>
      <c r="C114" s="23"/>
      <c r="D114" s="257"/>
      <c r="E114" s="257"/>
      <c r="F114" s="257"/>
      <c r="G114" s="257"/>
      <c r="H114" s="302" t="s">
        <v>460</v>
      </c>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5">SUM(AE114,AD114,AC114,AB114,Y114,U114,T114,S114,R114)</f>
        <v>0</v>
      </c>
      <c r="AG114" s="107"/>
      <c r="AH114" s="107"/>
      <c r="AI114" s="107"/>
      <c r="AJ114" s="111"/>
      <c r="AK114" s="111"/>
      <c r="AL114" s="111"/>
      <c r="AM114" s="108">
        <f>AG114*'1. Standard_Cost'!$B$27+'Incremental_Cost Year 3'!AH114*'1. Standard_Cost'!$C$27+'Incremental_Cost Year 3'!AI114*'1. Standard_Cost'!$D$27+'Incremental_Cost Year 3'!AJ114+'Incremental_Cost Year 3'!AL114+AK114</f>
        <v>0</v>
      </c>
      <c r="AN114" s="108">
        <f>AM114*'1. Standard_Cost'!$C$31</f>
        <v>0</v>
      </c>
      <c r="AO114" s="125" t="s">
        <v>350</v>
      </c>
      <c r="AQ114" s="14">
        <f t="shared" ref="AQ114:AQ135" si="116">L114+M114</f>
        <v>0</v>
      </c>
      <c r="AR114" s="14">
        <f t="shared" ref="AR114:AR135" si="117">AF114</f>
        <v>0</v>
      </c>
      <c r="AS114" s="14">
        <f t="shared" ref="AS114:AS135" si="118">AM114+AN114</f>
        <v>0</v>
      </c>
      <c r="AT114" s="14">
        <f>SUM(AQ114,AR114,AS114)</f>
        <v>0</v>
      </c>
      <c r="AU114" s="15"/>
      <c r="AV114" s="15"/>
      <c r="AW114" s="15"/>
      <c r="AX114" s="15"/>
      <c r="AY114" s="15"/>
      <c r="AZ114" s="15"/>
      <c r="BA114" s="15"/>
      <c r="BB114" s="16">
        <f t="shared" ref="BB114:BB135" si="119">SUM(AU114:BA114)-AT114</f>
        <v>0</v>
      </c>
      <c r="BE114" s="295"/>
    </row>
    <row r="115" spans="1:57" ht="234" outlineLevel="2">
      <c r="A115" s="98"/>
      <c r="B115" s="102"/>
      <c r="C115" s="23"/>
      <c r="D115" s="269"/>
      <c r="E115" s="269"/>
      <c r="F115" s="269"/>
      <c r="G115" s="174"/>
      <c r="H115" s="302" t="s">
        <v>461</v>
      </c>
      <c r="I115" s="104" t="s">
        <v>4</v>
      </c>
      <c r="J115" s="105">
        <v>2</v>
      </c>
      <c r="K115" s="105">
        <v>1</v>
      </c>
      <c r="L115" s="106">
        <f>IF(I115&lt;&gt;0,((VLOOKUP(I115,'1. Standard_Cost'!$B$4:$D$11,2)+VLOOKUP(I115,'1. Standard_Cost'!$B$4:$D$11,3))*J115*K115),"0")</f>
        <v>161500</v>
      </c>
      <c r="M115" s="106">
        <f>L115*'1. Standard_Cost'!$F$4</f>
        <v>26970.5</v>
      </c>
      <c r="N115" s="107">
        <v>30</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32</v>
      </c>
      <c r="AB115" s="108">
        <f>+Z115*'1. Standard_Cost'!$B$23+AA115*'1. Standard_Cost'!$C$23</f>
        <v>608000</v>
      </c>
      <c r="AC115" s="109">
        <f>450*3500+450*500</f>
        <v>1800000</v>
      </c>
      <c r="AD115" s="110"/>
      <c r="AE115" s="108">
        <v>0</v>
      </c>
      <c r="AF115" s="108">
        <f t="shared" si="115"/>
        <v>2408000</v>
      </c>
      <c r="AG115" s="107"/>
      <c r="AH115" s="107"/>
      <c r="AI115" s="107"/>
      <c r="AJ115" s="111"/>
      <c r="AK115" s="111"/>
      <c r="AL115" s="111"/>
      <c r="AM115" s="108">
        <f>AG115*'1. Standard_Cost'!$B$27+'Incremental_Cost Year 3'!AH115*'1. Standard_Cost'!$C$27+'Incremental_Cost Year 3'!AI115*'1. Standard_Cost'!$D$27+'Incremental_Cost Year 3'!AJ115+'Incremental_Cost Year 3'!AL115+AK115</f>
        <v>0</v>
      </c>
      <c r="AN115" s="108">
        <f>AM115*'1. Standard_Cost'!$C$31</f>
        <v>0</v>
      </c>
      <c r="AO115" s="125" t="s">
        <v>349</v>
      </c>
      <c r="AQ115" s="14">
        <f t="shared" si="116"/>
        <v>188470.5</v>
      </c>
      <c r="AR115" s="14">
        <f t="shared" si="117"/>
        <v>2408000</v>
      </c>
      <c r="AS115" s="14">
        <f t="shared" si="118"/>
        <v>0</v>
      </c>
      <c r="AT115" s="14">
        <f t="shared" ref="AT115:AT135" si="120">SUM(AQ115,AR115,AS115)</f>
        <v>2596470.5</v>
      </c>
      <c r="AU115" s="15">
        <v>188470.5</v>
      </c>
      <c r="AV115" s="15"/>
      <c r="AW115" s="15"/>
      <c r="AX115" s="15"/>
      <c r="AY115" s="15"/>
      <c r="AZ115" s="15">
        <v>2408000</v>
      </c>
      <c r="BA115" s="15"/>
      <c r="BB115" s="16">
        <f t="shared" si="119"/>
        <v>0</v>
      </c>
      <c r="BE115" s="295"/>
    </row>
    <row r="116" spans="1:57" ht="156" outlineLevel="2">
      <c r="A116" s="98"/>
      <c r="B116" s="102"/>
      <c r="C116" s="23"/>
      <c r="D116" s="269"/>
      <c r="E116" s="269"/>
      <c r="F116" s="269"/>
      <c r="G116" s="269"/>
      <c r="H116" s="302" t="s">
        <v>462</v>
      </c>
      <c r="I116" s="104" t="s">
        <v>4</v>
      </c>
      <c r="J116" s="105">
        <v>2</v>
      </c>
      <c r="K116" s="105">
        <v>3</v>
      </c>
      <c r="L116" s="106">
        <f>IF(I116&lt;&gt;0,((VLOOKUP(I116,'1. Standard_Cost'!$B$4:$D$11,2)+VLOOKUP(I116,'1. Standard_Cost'!$B$4:$D$11,3))*J116*K116),"0")</f>
        <v>484500</v>
      </c>
      <c r="M116" s="106">
        <f>L116*'1. Standard_Cost'!$F$4</f>
        <v>80911.5</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c r="AB116" s="108">
        <f>+Z116*'1. Standard_Cost'!$B$23+AA116*'1. Standard_Cost'!$C$23</f>
        <v>0</v>
      </c>
      <c r="AC116" s="109">
        <f>200*500+600000</f>
        <v>700000</v>
      </c>
      <c r="AD116" s="110"/>
      <c r="AE116" s="108">
        <f>SUM(AD116,AC116,AB116,Y116,U116,T116,S116,R116)*'1. Standard_Cost'!$B$31</f>
        <v>140000</v>
      </c>
      <c r="AF116" s="108">
        <f t="shared" si="115"/>
        <v>840000</v>
      </c>
      <c r="AG116" s="107"/>
      <c r="AH116" s="107"/>
      <c r="AI116" s="107"/>
      <c r="AJ116" s="111"/>
      <c r="AK116" s="111"/>
      <c r="AL116" s="111"/>
      <c r="AM116" s="108">
        <f>AG116*'1. Standard_Cost'!$B$27+'Incremental_Cost Year 3'!AH116*'1. Standard_Cost'!$C$27+'Incremental_Cost Year 3'!AI116*'1. Standard_Cost'!$D$27+'Incremental_Cost Year 3'!AJ116+'Incremental_Cost Year 3'!AL116+AK116</f>
        <v>0</v>
      </c>
      <c r="AN116" s="108">
        <f>AM116*'1. Standard_Cost'!$C$31</f>
        <v>0</v>
      </c>
      <c r="AO116" s="125" t="s">
        <v>351</v>
      </c>
      <c r="AQ116" s="14">
        <f t="shared" si="116"/>
        <v>565411.5</v>
      </c>
      <c r="AR116" s="14">
        <f t="shared" si="117"/>
        <v>840000</v>
      </c>
      <c r="AS116" s="14">
        <f t="shared" si="118"/>
        <v>0</v>
      </c>
      <c r="AT116" s="14">
        <f t="shared" si="120"/>
        <v>1405411.5</v>
      </c>
      <c r="AU116" s="15">
        <v>565411.5</v>
      </c>
      <c r="AV116" s="15"/>
      <c r="AW116" s="15"/>
      <c r="AX116" s="15">
        <v>840000</v>
      </c>
      <c r="AY116" s="15"/>
      <c r="AZ116" s="15"/>
      <c r="BA116" s="15"/>
      <c r="BB116" s="16">
        <f t="shared" si="119"/>
        <v>0</v>
      </c>
      <c r="BE116" s="295"/>
    </row>
    <row r="117" spans="1:57" ht="31.2" outlineLevel="2">
      <c r="A117" s="98"/>
      <c r="B117" s="102"/>
      <c r="C117" s="23"/>
      <c r="D117" s="269"/>
      <c r="E117" s="269"/>
      <c r="F117" s="269"/>
      <c r="G117" s="269"/>
      <c r="H117" s="302" t="s">
        <v>463</v>
      </c>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5"/>
        <v>0</v>
      </c>
      <c r="AG117" s="107"/>
      <c r="AH117" s="107"/>
      <c r="AI117" s="107"/>
      <c r="AJ117" s="111"/>
      <c r="AK117" s="111"/>
      <c r="AL117" s="111"/>
      <c r="AM117" s="108">
        <f>AG117*'1. Standard_Cost'!$B$27+'Incremental_Cost Year 3'!AH117*'1. Standard_Cost'!$C$27+'Incremental_Cost Year 3'!AI117*'1. Standard_Cost'!$D$27+'Incremental_Cost Year 3'!AJ117+'Incremental_Cost Year 3'!AL117+AK117</f>
        <v>0</v>
      </c>
      <c r="AN117" s="108">
        <f>AM117*'1. Standard_Cost'!$C$31</f>
        <v>0</v>
      </c>
      <c r="AO117" s="125" t="s">
        <v>349</v>
      </c>
      <c r="AQ117" s="14">
        <f t="shared" si="116"/>
        <v>0</v>
      </c>
      <c r="AR117" s="14">
        <f t="shared" si="117"/>
        <v>0</v>
      </c>
      <c r="AS117" s="14">
        <f t="shared" si="118"/>
        <v>0</v>
      </c>
      <c r="AT117" s="14">
        <f t="shared" si="120"/>
        <v>0</v>
      </c>
      <c r="AU117" s="15"/>
      <c r="AV117" s="15"/>
      <c r="AW117" s="15"/>
      <c r="AX117" s="15"/>
      <c r="AY117" s="15"/>
      <c r="AZ117" s="15"/>
      <c r="BA117" s="15"/>
      <c r="BB117" s="16">
        <f t="shared" si="119"/>
        <v>0</v>
      </c>
      <c r="BE117" s="295"/>
    </row>
    <row r="118" spans="1:57" ht="62.4" outlineLevel="2">
      <c r="A118" s="98"/>
      <c r="B118" s="102"/>
      <c r="C118" s="23"/>
      <c r="D118" s="269"/>
      <c r="E118" s="269"/>
      <c r="F118" s="269"/>
      <c r="G118" s="269"/>
      <c r="H118" s="302" t="s">
        <v>464</v>
      </c>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5"/>
        <v>0</v>
      </c>
      <c r="AG118" s="107"/>
      <c r="AH118" s="107"/>
      <c r="AI118" s="107"/>
      <c r="AJ118" s="111"/>
      <c r="AK118" s="111"/>
      <c r="AL118" s="111"/>
      <c r="AM118" s="108">
        <f>AG118*'1. Standard_Cost'!$B$27+'Incremental_Cost Year 3'!AH118*'1. Standard_Cost'!$C$27+'Incremental_Cost Year 3'!AI118*'1. Standard_Cost'!$D$27+'Incremental_Cost Year 3'!AJ118+'Incremental_Cost Year 3'!AL118+AK118</f>
        <v>0</v>
      </c>
      <c r="AN118" s="108">
        <f>AM118*'1. Standard_Cost'!$C$31</f>
        <v>0</v>
      </c>
      <c r="AO118" s="125" t="s">
        <v>352</v>
      </c>
      <c r="AQ118" s="14">
        <f t="shared" si="116"/>
        <v>0</v>
      </c>
      <c r="AR118" s="14">
        <f t="shared" si="117"/>
        <v>0</v>
      </c>
      <c r="AS118" s="14">
        <f t="shared" si="118"/>
        <v>0</v>
      </c>
      <c r="AT118" s="14">
        <f t="shared" si="120"/>
        <v>0</v>
      </c>
      <c r="AU118" s="15"/>
      <c r="AV118" s="15"/>
      <c r="AW118" s="15"/>
      <c r="AX118" s="15"/>
      <c r="AY118" s="15"/>
      <c r="AZ118" s="15"/>
      <c r="BA118" s="15"/>
      <c r="BB118" s="16">
        <f t="shared" si="119"/>
        <v>0</v>
      </c>
      <c r="BE118" s="295"/>
    </row>
    <row r="119" spans="1:57" ht="62.4" outlineLevel="2">
      <c r="A119" s="98"/>
      <c r="B119" s="102"/>
      <c r="C119" s="23"/>
      <c r="D119" s="269"/>
      <c r="E119" s="269"/>
      <c r="F119" s="269"/>
      <c r="G119" s="269"/>
      <c r="H119" s="302" t="s">
        <v>465</v>
      </c>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15"/>
        <v>0</v>
      </c>
      <c r="AG119" s="107"/>
      <c r="AH119" s="107"/>
      <c r="AI119" s="107"/>
      <c r="AJ119" s="111"/>
      <c r="AK119" s="111"/>
      <c r="AL119" s="111"/>
      <c r="AM119" s="108">
        <f>AG119*'1. Standard_Cost'!$B$27+'Incremental_Cost Year 3'!AH119*'1. Standard_Cost'!$C$27+'Incremental_Cost Year 3'!AI119*'1. Standard_Cost'!$D$27+'Incremental_Cost Year 3'!AJ119+'Incremental_Cost Year 3'!AL119+AK119</f>
        <v>0</v>
      </c>
      <c r="AN119" s="108">
        <f>AM119*'1. Standard_Cost'!$C$31</f>
        <v>0</v>
      </c>
      <c r="AO119" s="125" t="s">
        <v>353</v>
      </c>
      <c r="AQ119" s="14">
        <f t="shared" si="116"/>
        <v>0</v>
      </c>
      <c r="AR119" s="14">
        <f t="shared" si="117"/>
        <v>0</v>
      </c>
      <c r="AS119" s="14">
        <f t="shared" si="118"/>
        <v>0</v>
      </c>
      <c r="AT119" s="14">
        <f t="shared" si="120"/>
        <v>0</v>
      </c>
      <c r="AU119" s="15"/>
      <c r="AV119" s="15"/>
      <c r="AW119" s="15"/>
      <c r="AX119" s="15"/>
      <c r="AY119" s="15">
        <v>0</v>
      </c>
      <c r="AZ119" s="15">
        <v>0</v>
      </c>
      <c r="BA119" s="15"/>
      <c r="BB119" s="16">
        <f t="shared" si="119"/>
        <v>0</v>
      </c>
      <c r="BE119" s="295"/>
    </row>
    <row r="120" spans="1:57" ht="31.2" outlineLevel="2">
      <c r="A120" s="98"/>
      <c r="B120" s="102"/>
      <c r="C120" s="23"/>
      <c r="D120" s="269"/>
      <c r="E120" s="269"/>
      <c r="F120" s="269"/>
      <c r="G120" s="269"/>
      <c r="H120" s="302" t="s">
        <v>466</v>
      </c>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5"/>
        <v>0</v>
      </c>
      <c r="AG120" s="107"/>
      <c r="AH120" s="107"/>
      <c r="AI120" s="107"/>
      <c r="AJ120" s="111"/>
      <c r="AK120" s="111"/>
      <c r="AL120" s="111"/>
      <c r="AM120" s="108">
        <f>AG120*'1. Standard_Cost'!$B$27+'Incremental_Cost Year 3'!AH120*'1. Standard_Cost'!$C$27+'Incremental_Cost Year 3'!AI120*'1. Standard_Cost'!$D$27+'Incremental_Cost Year 3'!AJ120+'Incremental_Cost Year 3'!AL120+AK120</f>
        <v>0</v>
      </c>
      <c r="AN120" s="108">
        <f>AM120*'1. Standard_Cost'!$C$31</f>
        <v>0</v>
      </c>
      <c r="AO120" s="125" t="s">
        <v>354</v>
      </c>
      <c r="AQ120" s="14">
        <f t="shared" si="116"/>
        <v>0</v>
      </c>
      <c r="AR120" s="14">
        <f t="shared" si="117"/>
        <v>0</v>
      </c>
      <c r="AS120" s="14">
        <f t="shared" si="118"/>
        <v>0</v>
      </c>
      <c r="AT120" s="14">
        <f t="shared" si="120"/>
        <v>0</v>
      </c>
      <c r="AU120" s="15"/>
      <c r="AV120" s="15"/>
      <c r="AW120" s="15"/>
      <c r="AX120" s="15"/>
      <c r="AY120" s="15"/>
      <c r="AZ120" s="15"/>
      <c r="BA120" s="15"/>
      <c r="BB120" s="16">
        <f t="shared" si="119"/>
        <v>0</v>
      </c>
      <c r="BE120" s="295"/>
    </row>
    <row r="121" spans="1:57" ht="78" outlineLevel="2">
      <c r="A121" s="98"/>
      <c r="B121" s="102"/>
      <c r="C121" s="23"/>
      <c r="D121" s="269"/>
      <c r="E121" s="269"/>
      <c r="F121" s="174"/>
      <c r="G121" s="174"/>
      <c r="H121" s="302" t="s">
        <v>467</v>
      </c>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f>3*500000</f>
        <v>1500000</v>
      </c>
      <c r="AD121" s="110"/>
      <c r="AE121" s="108">
        <v>0</v>
      </c>
      <c r="AF121" s="108">
        <f t="shared" si="115"/>
        <v>1500000</v>
      </c>
      <c r="AG121" s="107"/>
      <c r="AH121" s="107"/>
      <c r="AI121" s="107"/>
      <c r="AJ121" s="111"/>
      <c r="AK121" s="111"/>
      <c r="AL121" s="111"/>
      <c r="AM121" s="108">
        <f>AG121*'1. Standard_Cost'!$B$27+'Incremental_Cost Year 3'!AH121*'1. Standard_Cost'!$C$27+'Incremental_Cost Year 3'!AI121*'1. Standard_Cost'!$D$27+'Incremental_Cost Year 3'!AJ121+'Incremental_Cost Year 3'!AL121+AK121</f>
        <v>0</v>
      </c>
      <c r="AN121" s="108">
        <f>AM121*'1. Standard_Cost'!$C$31</f>
        <v>0</v>
      </c>
      <c r="AO121" s="125" t="s">
        <v>335</v>
      </c>
      <c r="AQ121" s="14">
        <f t="shared" si="116"/>
        <v>0</v>
      </c>
      <c r="AR121" s="14">
        <f t="shared" si="117"/>
        <v>1500000</v>
      </c>
      <c r="AS121" s="14">
        <f t="shared" si="118"/>
        <v>0</v>
      </c>
      <c r="AT121" s="14">
        <f t="shared" si="120"/>
        <v>1500000</v>
      </c>
      <c r="AU121" s="15"/>
      <c r="AV121" s="15"/>
      <c r="AW121" s="15"/>
      <c r="AX121" s="15"/>
      <c r="AY121" s="15"/>
      <c r="AZ121" s="15">
        <v>1500000</v>
      </c>
      <c r="BA121" s="15"/>
      <c r="BB121" s="16">
        <f t="shared" si="119"/>
        <v>0</v>
      </c>
      <c r="BE121" s="295"/>
    </row>
    <row r="122" spans="1:57" ht="62.4" outlineLevel="2">
      <c r="A122" s="98"/>
      <c r="B122" s="102"/>
      <c r="C122" s="23"/>
      <c r="D122" s="269"/>
      <c r="E122" s="269"/>
      <c r="F122" s="269"/>
      <c r="G122" s="269"/>
      <c r="H122" s="302" t="s">
        <v>468</v>
      </c>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5"/>
        <v>0</v>
      </c>
      <c r="AG122" s="107"/>
      <c r="AH122" s="107"/>
      <c r="AI122" s="107"/>
      <c r="AJ122" s="111"/>
      <c r="AK122" s="111"/>
      <c r="AL122" s="111"/>
      <c r="AM122" s="108">
        <f>AG122*'1. Standard_Cost'!$B$27+'Incremental_Cost Year 3'!AH122*'1. Standard_Cost'!$C$27+'Incremental_Cost Year 3'!AI122*'1. Standard_Cost'!$D$27+'Incremental_Cost Year 3'!AJ122+'Incremental_Cost Year 3'!AL122+AK122</f>
        <v>0</v>
      </c>
      <c r="AN122" s="108">
        <f>AM122*'1. Standard_Cost'!$C$31</f>
        <v>0</v>
      </c>
      <c r="AO122" s="125" t="s">
        <v>355</v>
      </c>
      <c r="AQ122" s="14">
        <f t="shared" si="116"/>
        <v>0</v>
      </c>
      <c r="AR122" s="14">
        <f t="shared" si="117"/>
        <v>0</v>
      </c>
      <c r="AS122" s="14">
        <f t="shared" si="118"/>
        <v>0</v>
      </c>
      <c r="AT122" s="14">
        <f t="shared" si="120"/>
        <v>0</v>
      </c>
      <c r="AU122" s="15"/>
      <c r="AV122" s="15"/>
      <c r="AW122" s="15"/>
      <c r="AX122" s="15"/>
      <c r="AY122" s="15"/>
      <c r="AZ122" s="15"/>
      <c r="BA122" s="15"/>
      <c r="BB122" s="16">
        <f t="shared" si="119"/>
        <v>0</v>
      </c>
      <c r="BE122" s="295"/>
    </row>
    <row r="123" spans="1:57" ht="31.2" outlineLevel="2">
      <c r="A123" s="98"/>
      <c r="B123" s="102"/>
      <c r="C123" s="23"/>
      <c r="D123" s="269"/>
      <c r="E123" s="269"/>
      <c r="F123" s="269"/>
      <c r="G123" s="174"/>
      <c r="H123" s="302" t="s">
        <v>229</v>
      </c>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5"/>
        <v>0</v>
      </c>
      <c r="AG123" s="107"/>
      <c r="AH123" s="107"/>
      <c r="AI123" s="107"/>
      <c r="AJ123" s="111"/>
      <c r="AK123" s="111"/>
      <c r="AL123" s="111"/>
      <c r="AM123" s="108">
        <f>AG123*'1. Standard_Cost'!$B$27+'Incremental_Cost Year 3'!AH123*'1. Standard_Cost'!$C$27+'Incremental_Cost Year 3'!AI123*'1. Standard_Cost'!$D$27+'Incremental_Cost Year 3'!AJ123+'Incremental_Cost Year 3'!AL123+AK123</f>
        <v>0</v>
      </c>
      <c r="AN123" s="108">
        <f>AM123*'1. Standard_Cost'!$C$31</f>
        <v>0</v>
      </c>
      <c r="AO123" s="125" t="s">
        <v>356</v>
      </c>
      <c r="AQ123" s="14">
        <f t="shared" si="116"/>
        <v>0</v>
      </c>
      <c r="AR123" s="14">
        <f t="shared" si="117"/>
        <v>0</v>
      </c>
      <c r="AS123" s="14">
        <f t="shared" si="118"/>
        <v>0</v>
      </c>
      <c r="AT123" s="14">
        <f t="shared" si="120"/>
        <v>0</v>
      </c>
      <c r="AU123" s="15"/>
      <c r="AV123" s="15"/>
      <c r="AW123" s="15"/>
      <c r="AX123" s="15"/>
      <c r="AY123" s="15"/>
      <c r="AZ123" s="15"/>
      <c r="BA123" s="15"/>
      <c r="BB123" s="16">
        <f t="shared" si="119"/>
        <v>0</v>
      </c>
      <c r="BE123" s="295"/>
    </row>
    <row r="124" spans="1:57" ht="93.6" outlineLevel="2">
      <c r="A124" s="98"/>
      <c r="B124" s="102"/>
      <c r="C124" s="23"/>
      <c r="D124" s="269"/>
      <c r="E124" s="269"/>
      <c r="F124" s="251"/>
      <c r="G124" s="250"/>
      <c r="H124" s="302" t="s">
        <v>469</v>
      </c>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v>2287800</v>
      </c>
      <c r="AD124" s="110"/>
      <c r="AE124" s="108">
        <v>0</v>
      </c>
      <c r="AF124" s="108">
        <f t="shared" si="115"/>
        <v>2287800</v>
      </c>
      <c r="AG124" s="107"/>
      <c r="AH124" s="107"/>
      <c r="AI124" s="107"/>
      <c r="AJ124" s="111"/>
      <c r="AK124" s="111"/>
      <c r="AL124" s="111"/>
      <c r="AM124" s="108">
        <f>AG124*'1. Standard_Cost'!$B$27+'Incremental_Cost Year 3'!AH124*'1. Standard_Cost'!$C$27+'Incremental_Cost Year 3'!AI124*'1. Standard_Cost'!$D$27+'Incremental_Cost Year 3'!AJ124+'Incremental_Cost Year 3'!AL124+AK124</f>
        <v>0</v>
      </c>
      <c r="AN124" s="108">
        <f>AM124*'1. Standard_Cost'!$C$31</f>
        <v>0</v>
      </c>
      <c r="AO124" s="125" t="s">
        <v>357</v>
      </c>
      <c r="AQ124" s="14">
        <f t="shared" si="116"/>
        <v>0</v>
      </c>
      <c r="AR124" s="14">
        <f t="shared" si="117"/>
        <v>2287800</v>
      </c>
      <c r="AS124" s="14">
        <f t="shared" si="118"/>
        <v>0</v>
      </c>
      <c r="AT124" s="14">
        <f t="shared" si="120"/>
        <v>2287800</v>
      </c>
      <c r="AU124" s="15"/>
      <c r="AV124" s="15"/>
      <c r="AW124" s="15"/>
      <c r="AX124" s="15"/>
      <c r="AY124" s="15"/>
      <c r="AZ124" s="15">
        <v>2287800</v>
      </c>
      <c r="BA124" s="15"/>
      <c r="BB124" s="16">
        <f t="shared" si="119"/>
        <v>0</v>
      </c>
      <c r="BE124" s="295"/>
    </row>
    <row r="125" spans="1:57" ht="62.4" outlineLevel="2">
      <c r="A125" s="98"/>
      <c r="B125" s="102"/>
      <c r="C125" s="23"/>
      <c r="D125" s="269"/>
      <c r="E125" s="269"/>
      <c r="F125" s="269"/>
      <c r="G125" s="269"/>
      <c r="H125" s="302" t="s">
        <v>470</v>
      </c>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5"/>
        <v>0</v>
      </c>
      <c r="AG125" s="107"/>
      <c r="AH125" s="107"/>
      <c r="AI125" s="107"/>
      <c r="AJ125" s="111"/>
      <c r="AK125" s="111"/>
      <c r="AL125" s="111"/>
      <c r="AM125" s="108">
        <f>AG125*'1. Standard_Cost'!$B$27+'Incremental_Cost Year 3'!AH125*'1. Standard_Cost'!$C$27+'Incremental_Cost Year 3'!AI125*'1. Standard_Cost'!$D$27+'Incremental_Cost Year 3'!AJ125+'Incremental_Cost Year 3'!AL125+AK125</f>
        <v>0</v>
      </c>
      <c r="AN125" s="108">
        <f>AM125*'1. Standard_Cost'!$C$31</f>
        <v>0</v>
      </c>
      <c r="AO125" s="125" t="s">
        <v>358</v>
      </c>
      <c r="AQ125" s="14">
        <f t="shared" si="116"/>
        <v>0</v>
      </c>
      <c r="AR125" s="14">
        <f t="shared" si="117"/>
        <v>0</v>
      </c>
      <c r="AS125" s="14">
        <f t="shared" si="118"/>
        <v>0</v>
      </c>
      <c r="AT125" s="14">
        <f t="shared" si="120"/>
        <v>0</v>
      </c>
      <c r="AU125" s="15"/>
      <c r="AV125" s="15"/>
      <c r="AW125" s="15"/>
      <c r="AX125" s="15"/>
      <c r="AY125" s="15"/>
      <c r="AZ125" s="15"/>
      <c r="BA125" s="15"/>
      <c r="BB125" s="16">
        <f t="shared" si="119"/>
        <v>0</v>
      </c>
      <c r="BE125" s="295"/>
    </row>
    <row r="126" spans="1:57" ht="62.4" outlineLevel="2">
      <c r="A126" s="98"/>
      <c r="B126" s="102"/>
      <c r="C126" s="23"/>
      <c r="D126" s="269"/>
      <c r="E126" s="269"/>
      <c r="F126" s="269"/>
      <c r="G126" s="269"/>
      <c r="H126" s="302" t="s">
        <v>471</v>
      </c>
      <c r="I126" s="104" t="s">
        <v>4</v>
      </c>
      <c r="J126" s="105">
        <v>4</v>
      </c>
      <c r="K126" s="105">
        <v>4</v>
      </c>
      <c r="L126" s="106">
        <f>IF(I126&lt;&gt;0,((VLOOKUP(I126,'1. Standard_Cost'!$B$4:$D$11,2)+VLOOKUP(I126,'1. Standard_Cost'!$B$4:$D$11,3))*J126*K126),"0")</f>
        <v>1292000</v>
      </c>
      <c r="M126" s="106">
        <f>L126*'1. Standard_Cost'!$F$4</f>
        <v>215764</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5"/>
        <v>0</v>
      </c>
      <c r="AG126" s="107"/>
      <c r="AH126" s="107"/>
      <c r="AI126" s="107"/>
      <c r="AJ126" s="111"/>
      <c r="AK126" s="111"/>
      <c r="AL126" s="111"/>
      <c r="AM126" s="108">
        <f>AG126*'1. Standard_Cost'!$B$27+'Incremental_Cost Year 3'!AH126*'1. Standard_Cost'!$C$27+'Incremental_Cost Year 3'!AI126*'1. Standard_Cost'!$D$27+'Incremental_Cost Year 3'!AJ126+'Incremental_Cost Year 3'!AL126+AK126</f>
        <v>0</v>
      </c>
      <c r="AN126" s="108">
        <f>AM126*'1. Standard_Cost'!$C$31</f>
        <v>0</v>
      </c>
      <c r="AO126" s="125" t="s">
        <v>359</v>
      </c>
      <c r="AQ126" s="14">
        <f t="shared" si="116"/>
        <v>1507764</v>
      </c>
      <c r="AR126" s="14">
        <f t="shared" si="117"/>
        <v>0</v>
      </c>
      <c r="AS126" s="14">
        <f t="shared" si="118"/>
        <v>0</v>
      </c>
      <c r="AT126" s="14">
        <f t="shared" si="120"/>
        <v>1507764</v>
      </c>
      <c r="AU126" s="15">
        <v>1507764</v>
      </c>
      <c r="AV126" s="15"/>
      <c r="AW126" s="15"/>
      <c r="AX126" s="15"/>
      <c r="AY126" s="15"/>
      <c r="AZ126" s="15"/>
      <c r="BA126" s="15"/>
      <c r="BB126" s="16">
        <f t="shared" si="119"/>
        <v>0</v>
      </c>
      <c r="BE126" s="295"/>
    </row>
    <row r="127" spans="1:57" ht="46.8" outlineLevel="2">
      <c r="A127" s="98"/>
      <c r="B127" s="102"/>
      <c r="C127" s="23"/>
      <c r="D127" s="269"/>
      <c r="E127" s="269"/>
      <c r="F127" s="174"/>
      <c r="G127" s="269"/>
      <c r="H127" s="302" t="s">
        <v>472</v>
      </c>
      <c r="I127" s="104" t="s">
        <v>4</v>
      </c>
      <c r="J127" s="105">
        <v>3</v>
      </c>
      <c r="K127" s="105">
        <v>4</v>
      </c>
      <c r="L127" s="106">
        <f>IF(I127&lt;&gt;0,((VLOOKUP(I127,'1. Standard_Cost'!$B$4:$D$11,2)+VLOOKUP(I127,'1. Standard_Cost'!$B$4:$D$11,3))*J127*K127),"0")</f>
        <v>969000</v>
      </c>
      <c r="M127" s="106">
        <f>L127*'1. Standard_Cost'!$F$4</f>
        <v>161823</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5"/>
        <v>0</v>
      </c>
      <c r="AG127" s="107"/>
      <c r="AH127" s="107"/>
      <c r="AI127" s="107"/>
      <c r="AJ127" s="111"/>
      <c r="AK127" s="111"/>
      <c r="AL127" s="111"/>
      <c r="AM127" s="108">
        <f>AG127*'1. Standard_Cost'!$B$27+'Incremental_Cost Year 3'!AH127*'1. Standard_Cost'!$C$27+'Incremental_Cost Year 3'!AI127*'1. Standard_Cost'!$D$27+'Incremental_Cost Year 3'!AJ127+'Incremental_Cost Year 3'!AL127+AK127</f>
        <v>0</v>
      </c>
      <c r="AN127" s="108">
        <f>AM127*'1. Standard_Cost'!$C$31</f>
        <v>0</v>
      </c>
      <c r="AO127" s="125" t="s">
        <v>349</v>
      </c>
      <c r="AQ127" s="14">
        <f t="shared" si="116"/>
        <v>1130823</v>
      </c>
      <c r="AR127" s="14">
        <f t="shared" si="117"/>
        <v>0</v>
      </c>
      <c r="AS127" s="14">
        <f t="shared" si="118"/>
        <v>0</v>
      </c>
      <c r="AT127" s="14">
        <f t="shared" si="120"/>
        <v>1130823</v>
      </c>
      <c r="AU127" s="15"/>
      <c r="AV127" s="15"/>
      <c r="AW127" s="15"/>
      <c r="AX127" s="15"/>
      <c r="AY127" s="15"/>
      <c r="AZ127" s="15"/>
      <c r="BA127" s="15"/>
      <c r="BB127" s="16">
        <f t="shared" si="119"/>
        <v>-1130823</v>
      </c>
      <c r="BE127" s="295"/>
    </row>
    <row r="128" spans="1:57" ht="46.8" outlineLevel="2">
      <c r="A128" s="98"/>
      <c r="B128" s="102"/>
      <c r="C128" s="23"/>
      <c r="D128" s="269"/>
      <c r="E128" s="269"/>
      <c r="F128" s="174"/>
      <c r="G128" s="174"/>
      <c r="H128" s="302" t="s">
        <v>473</v>
      </c>
      <c r="I128" s="104"/>
      <c r="J128" s="105"/>
      <c r="K128" s="105"/>
      <c r="L128" s="106" t="str">
        <f>IF(I128&lt;&gt;0,((VLOOKUP(I128,'1. Standard_Cost'!$B$4:$D$11,2)+VLOOKUP(I128,'1. Standard_Cost'!$B$4:$D$11,3))*J128*K128),"0")</f>
        <v>0</v>
      </c>
      <c r="M128" s="106">
        <f>L128*'1. Standard_Cost'!$F$4</f>
        <v>0</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5"/>
        <v>0</v>
      </c>
      <c r="AG128" s="107"/>
      <c r="AH128" s="107"/>
      <c r="AI128" s="107"/>
      <c r="AJ128" s="111"/>
      <c r="AK128" s="111"/>
      <c r="AL128" s="111"/>
      <c r="AM128" s="108">
        <f>AG128*'1. Standard_Cost'!$B$27+'Incremental_Cost Year 3'!AH128*'1. Standard_Cost'!$C$27+'Incremental_Cost Year 3'!AI128*'1. Standard_Cost'!$D$27+'Incremental_Cost Year 3'!AJ128+'Incremental_Cost Year 3'!AL128+AK128</f>
        <v>0</v>
      </c>
      <c r="AN128" s="108">
        <f>AM128*'1. Standard_Cost'!$C$31</f>
        <v>0</v>
      </c>
      <c r="AO128" s="125" t="s">
        <v>360</v>
      </c>
      <c r="AQ128" s="14">
        <f t="shared" si="116"/>
        <v>0</v>
      </c>
      <c r="AR128" s="14">
        <f t="shared" si="117"/>
        <v>0</v>
      </c>
      <c r="AS128" s="14">
        <f t="shared" si="118"/>
        <v>0</v>
      </c>
      <c r="AT128" s="14">
        <f t="shared" si="120"/>
        <v>0</v>
      </c>
      <c r="AU128" s="15"/>
      <c r="AV128" s="15"/>
      <c r="AW128" s="15"/>
      <c r="AX128" s="15"/>
      <c r="AY128" s="15"/>
      <c r="AZ128" s="15"/>
      <c r="BA128" s="15"/>
      <c r="BB128" s="16">
        <f t="shared" si="119"/>
        <v>0</v>
      </c>
      <c r="BE128" s="295"/>
    </row>
    <row r="129" spans="1:57" ht="78" customHeight="1" outlineLevel="2">
      <c r="A129" s="98"/>
      <c r="B129" s="102"/>
      <c r="C129" s="23"/>
      <c r="D129" s="269"/>
      <c r="E129" s="269"/>
      <c r="F129" s="269"/>
      <c r="G129" s="269"/>
      <c r="H129" s="302" t="s">
        <v>474</v>
      </c>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5"/>
        <v>0</v>
      </c>
      <c r="AG129" s="107"/>
      <c r="AH129" s="107"/>
      <c r="AI129" s="107"/>
      <c r="AJ129" s="111"/>
      <c r="AK129" s="111"/>
      <c r="AL129" s="111"/>
      <c r="AM129" s="108">
        <f>AG129*'1. Standard_Cost'!$B$27+'Incremental_Cost Year 3'!AH129*'1. Standard_Cost'!$C$27+'Incremental_Cost Year 3'!AI129*'1. Standard_Cost'!$D$27+'Incremental_Cost Year 3'!AJ129+'Incremental_Cost Year 3'!AL129+AK129</f>
        <v>0</v>
      </c>
      <c r="AN129" s="108">
        <f>AM129*'1. Standard_Cost'!$C$31</f>
        <v>0</v>
      </c>
      <c r="AO129" s="125" t="s">
        <v>361</v>
      </c>
      <c r="AQ129" s="14">
        <f t="shared" si="116"/>
        <v>0</v>
      </c>
      <c r="AR129" s="14">
        <f t="shared" si="117"/>
        <v>0</v>
      </c>
      <c r="AS129" s="14">
        <f t="shared" si="118"/>
        <v>0</v>
      </c>
      <c r="AT129" s="14">
        <f t="shared" si="120"/>
        <v>0</v>
      </c>
      <c r="AU129" s="15"/>
      <c r="AV129" s="15"/>
      <c r="AW129" s="15"/>
      <c r="AX129" s="15"/>
      <c r="AY129" s="15"/>
      <c r="AZ129" s="15"/>
      <c r="BA129" s="15"/>
      <c r="BB129" s="16">
        <f t="shared" si="119"/>
        <v>0</v>
      </c>
      <c r="BE129" s="295"/>
    </row>
    <row r="130" spans="1:57" ht="202.8" outlineLevel="2">
      <c r="A130" s="98"/>
      <c r="B130" s="102"/>
      <c r="C130" s="23"/>
      <c r="D130" s="269"/>
      <c r="E130" s="269"/>
      <c r="F130" s="174"/>
      <c r="G130" s="174"/>
      <c r="H130" s="302" t="s">
        <v>475</v>
      </c>
      <c r="I130" s="104"/>
      <c r="J130" s="105"/>
      <c r="K130" s="105"/>
      <c r="L130" s="106" t="str">
        <f>IF(I130&lt;&gt;0,((VLOOKUP(I130,'1. Standard_Cost'!$B$4:$D$11,2)+VLOOKUP(I130,'1. Standard_Cost'!$B$4:$D$11,3))*J130*K130),"0")</f>
        <v>0</v>
      </c>
      <c r="M130" s="106">
        <f>L130*'1. Standard_Cost'!$F$4</f>
        <v>0</v>
      </c>
      <c r="N130" s="107"/>
      <c r="O130" s="107"/>
      <c r="P130" s="107"/>
      <c r="Q130" s="107"/>
      <c r="R130" s="108">
        <f>'1. Standard_Cost'!$B$15*N130*P130</f>
        <v>0</v>
      </c>
      <c r="S130" s="108">
        <f>N130*O130*P130*'1. Standard_Cost'!$C$15</f>
        <v>0</v>
      </c>
      <c r="T130" s="108">
        <f>N130*P130*Q130*'1. Standard_Cost'!$D$15</f>
        <v>0</v>
      </c>
      <c r="U130" s="108">
        <f>N130*O130*'1. Standard_Cost'!$E$15</f>
        <v>0</v>
      </c>
      <c r="V130" s="107"/>
      <c r="W130" s="107"/>
      <c r="X130" s="107"/>
      <c r="Y130" s="108">
        <f>+V130*((X130*'1. Standard_Cost'!$B$19)+(W130*X130*'1. Standard_Cost'!$C$19))</f>
        <v>0</v>
      </c>
      <c r="Z130" s="107"/>
      <c r="AA130" s="107"/>
      <c r="AB130" s="108">
        <f>+Z130*'1. Standard_Cost'!$B$23+AA130*'1. Standard_Cost'!$C$23</f>
        <v>0</v>
      </c>
      <c r="AC130" s="109"/>
      <c r="AD130" s="110"/>
      <c r="AE130" s="108">
        <f>SUM(AD130,AC130,AB130,Y130,U130,T130,S130,R130)*'1. Standard_Cost'!$B$31</f>
        <v>0</v>
      </c>
      <c r="AF130" s="108">
        <f t="shared" si="115"/>
        <v>0</v>
      </c>
      <c r="AG130" s="107"/>
      <c r="AH130" s="107"/>
      <c r="AI130" s="107"/>
      <c r="AJ130" s="111"/>
      <c r="AK130" s="111"/>
      <c r="AL130" s="111"/>
      <c r="AM130" s="108">
        <f>AG130*'1. Standard_Cost'!$B$27+'Incremental_Cost Year 3'!AH130*'1. Standard_Cost'!$C$27+'Incremental_Cost Year 3'!AI130*'1. Standard_Cost'!$D$27+'Incremental_Cost Year 3'!AJ130+'Incremental_Cost Year 3'!AL130+AK130</f>
        <v>0</v>
      </c>
      <c r="AN130" s="108">
        <f>AM130*'1. Standard_Cost'!$C$31</f>
        <v>0</v>
      </c>
      <c r="AO130" s="125" t="s">
        <v>362</v>
      </c>
      <c r="AQ130" s="14">
        <f t="shared" si="116"/>
        <v>0</v>
      </c>
      <c r="AR130" s="14">
        <f t="shared" si="117"/>
        <v>0</v>
      </c>
      <c r="AS130" s="14">
        <f t="shared" si="118"/>
        <v>0</v>
      </c>
      <c r="AT130" s="14">
        <f t="shared" si="120"/>
        <v>0</v>
      </c>
      <c r="AU130" s="15"/>
      <c r="AV130" s="15"/>
      <c r="AW130" s="15"/>
      <c r="AX130" s="15"/>
      <c r="AY130" s="15"/>
      <c r="AZ130" s="15"/>
      <c r="BA130" s="15"/>
      <c r="BB130" s="16">
        <f t="shared" si="119"/>
        <v>0</v>
      </c>
      <c r="BE130" s="295"/>
    </row>
    <row r="131" spans="1:57" ht="113.4" customHeight="1" outlineLevel="2">
      <c r="A131" s="98"/>
      <c r="B131" s="102"/>
      <c r="C131" s="23"/>
      <c r="D131" s="269"/>
      <c r="E131" s="269"/>
      <c r="F131" s="269"/>
      <c r="G131" s="269"/>
      <c r="H131" s="305" t="s">
        <v>442</v>
      </c>
      <c r="I131" s="104"/>
      <c r="J131" s="105"/>
      <c r="K131" s="105"/>
      <c r="L131" s="106" t="str">
        <f>IF(I131&lt;&gt;0,((VLOOKUP(I131,'[1]1. Standard_Cost'!$B$4:$D$11,2)+VLOOKUP(I131,'[1]1. Standard_Cost'!$B$4:$D$11,3))*J131*K131),"0")</f>
        <v>0</v>
      </c>
      <c r="M131" s="106">
        <f>L131*'[1]1. Standard_Cost'!$F$4</f>
        <v>0</v>
      </c>
      <c r="N131" s="107">
        <v>750</v>
      </c>
      <c r="O131" s="107">
        <v>1</v>
      </c>
      <c r="P131" s="107">
        <v>15</v>
      </c>
      <c r="Q131" s="107"/>
      <c r="R131" s="108">
        <v>0</v>
      </c>
      <c r="S131" s="108">
        <v>0</v>
      </c>
      <c r="T131" s="108">
        <f>N131*P131*Q131*'[1]1. Standard_Cost'!$D$15</f>
        <v>0</v>
      </c>
      <c r="U131" s="108">
        <v>0</v>
      </c>
      <c r="V131" s="107"/>
      <c r="W131" s="107"/>
      <c r="X131" s="107"/>
      <c r="Y131" s="108">
        <f>+V131*((X131*'[1]1. Standard_Cost'!$B$19)+(W131*X131*'[1]1. Standard_Cost'!$C$19))</f>
        <v>0</v>
      </c>
      <c r="Z131" s="107"/>
      <c r="AA131" s="107">
        <v>750</v>
      </c>
      <c r="AB131" s="108">
        <f>+Z131*'1. Standard_Cost'!$B$23+AA131*'1. Standard_Cost'!$F$23</f>
        <v>6750000</v>
      </c>
      <c r="AC131" s="109">
        <f>750*300</f>
        <v>225000</v>
      </c>
      <c r="AD131" s="110"/>
      <c r="AE131" s="108">
        <v>0</v>
      </c>
      <c r="AF131" s="108">
        <f t="shared" si="115"/>
        <v>6975000</v>
      </c>
      <c r="AG131" s="107"/>
      <c r="AH131" s="107"/>
      <c r="AI131" s="107"/>
      <c r="AJ131" s="111"/>
      <c r="AK131" s="111"/>
      <c r="AL131" s="111"/>
      <c r="AM131" s="108">
        <f>AG131*'1. Standard_Cost'!$B$27+'Incremental_Cost Year 3'!AH131*'1. Standard_Cost'!$C$27+'Incremental_Cost Year 3'!AI131*'1. Standard_Cost'!$D$27+'Incremental_Cost Year 3'!AJ131+'Incremental_Cost Year 3'!AL131+AK131</f>
        <v>0</v>
      </c>
      <c r="AN131" s="108">
        <f>AM131*'1. Standard_Cost'!$C$31</f>
        <v>0</v>
      </c>
      <c r="AO131" s="125" t="s">
        <v>656</v>
      </c>
      <c r="AQ131" s="14">
        <f t="shared" si="116"/>
        <v>0</v>
      </c>
      <c r="AR131" s="14">
        <f t="shared" si="117"/>
        <v>6975000</v>
      </c>
      <c r="AS131" s="14">
        <f t="shared" si="118"/>
        <v>0</v>
      </c>
      <c r="AT131" s="14">
        <f t="shared" si="120"/>
        <v>6975000</v>
      </c>
      <c r="AU131" s="15"/>
      <c r="AV131" s="15"/>
      <c r="AW131" s="15"/>
      <c r="AX131" s="15"/>
      <c r="AY131" s="15"/>
      <c r="AZ131" s="15">
        <v>6975000</v>
      </c>
      <c r="BA131" s="15"/>
      <c r="BB131" s="16">
        <f t="shared" si="119"/>
        <v>0</v>
      </c>
      <c r="BE131" s="295"/>
    </row>
    <row r="132" spans="1:57" ht="156" outlineLevel="2">
      <c r="A132" s="98"/>
      <c r="B132" s="102"/>
      <c r="C132" s="23"/>
      <c r="D132" s="269"/>
      <c r="E132" s="269"/>
      <c r="F132" s="174"/>
      <c r="G132" s="174"/>
      <c r="H132" s="302" t="s">
        <v>476</v>
      </c>
      <c r="I132" s="104" t="s">
        <v>4</v>
      </c>
      <c r="J132" s="105">
        <v>1</v>
      </c>
      <c r="K132" s="105">
        <v>2</v>
      </c>
      <c r="L132" s="106">
        <f>IF(I132&lt;&gt;0,((VLOOKUP(I132,'1. Standard_Cost'!$B$4:$D$11,2)+VLOOKUP(I132,'1. Standard_Cost'!$B$4:$D$11,3))*J132*K132),"0")</f>
        <v>161500</v>
      </c>
      <c r="M132" s="106">
        <f>L132*'1. Standard_Cost'!$F$4</f>
        <v>26970.5</v>
      </c>
      <c r="N132" s="107">
        <v>2</v>
      </c>
      <c r="O132" s="107">
        <v>2</v>
      </c>
      <c r="P132" s="107">
        <v>70</v>
      </c>
      <c r="Q132" s="107"/>
      <c r="R132" s="108">
        <v>0</v>
      </c>
      <c r="S132" s="108">
        <v>0</v>
      </c>
      <c r="T132" s="108">
        <f>N132*P132*Q132*'1. Standard_Cost'!$D$15</f>
        <v>0</v>
      </c>
      <c r="U132" s="108">
        <v>0</v>
      </c>
      <c r="V132" s="107"/>
      <c r="W132" s="107"/>
      <c r="X132" s="107"/>
      <c r="Y132" s="108">
        <f>+V132*((X132*'1. Standard_Cost'!$B$19)+(W132*X132*'1. Standard_Cost'!$C$19))</f>
        <v>0</v>
      </c>
      <c r="Z132" s="107"/>
      <c r="AA132" s="107">
        <v>5</v>
      </c>
      <c r="AB132" s="108">
        <f>+Z132*'1. Standard_Cost'!$B$23+AA132*'1. Standard_Cost'!$C$23</f>
        <v>95000</v>
      </c>
      <c r="AC132" s="109">
        <f>145*200</f>
        <v>29000</v>
      </c>
      <c r="AD132" s="110"/>
      <c r="AE132" s="108">
        <v>0</v>
      </c>
      <c r="AF132" s="108">
        <f t="shared" si="115"/>
        <v>124000</v>
      </c>
      <c r="AG132" s="107"/>
      <c r="AH132" s="107"/>
      <c r="AI132" s="107"/>
      <c r="AJ132" s="111"/>
      <c r="AK132" s="111"/>
      <c r="AL132" s="111"/>
      <c r="AM132" s="108">
        <f>AG132*'1. Standard_Cost'!$B$27+'Incremental_Cost Year 3'!AH132*'1. Standard_Cost'!$C$27+'Incremental_Cost Year 3'!AI132*'1. Standard_Cost'!$D$27+'Incremental_Cost Year 3'!AJ132+'Incremental_Cost Year 3'!AL132+AK132</f>
        <v>0</v>
      </c>
      <c r="AN132" s="108">
        <f>AM132*'1. Standard_Cost'!$C$31</f>
        <v>0</v>
      </c>
      <c r="AO132" s="125" t="s">
        <v>363</v>
      </c>
      <c r="AQ132" s="14">
        <f t="shared" si="116"/>
        <v>188470.5</v>
      </c>
      <c r="AR132" s="14">
        <f t="shared" si="117"/>
        <v>124000</v>
      </c>
      <c r="AS132" s="14">
        <f t="shared" si="118"/>
        <v>0</v>
      </c>
      <c r="AT132" s="14">
        <f t="shared" si="120"/>
        <v>312470.5</v>
      </c>
      <c r="AU132" s="15">
        <v>188470.5</v>
      </c>
      <c r="AV132" s="15"/>
      <c r="AW132" s="15"/>
      <c r="AX132" s="15"/>
      <c r="AY132" s="15"/>
      <c r="AZ132" s="15">
        <v>124000</v>
      </c>
      <c r="BA132" s="15"/>
      <c r="BB132" s="16">
        <f t="shared" si="119"/>
        <v>0</v>
      </c>
      <c r="BE132" s="295"/>
    </row>
    <row r="133" spans="1:57" ht="46.8" outlineLevel="2">
      <c r="A133" s="98"/>
      <c r="B133" s="102"/>
      <c r="C133" s="23"/>
      <c r="D133" s="269"/>
      <c r="E133" s="269"/>
      <c r="F133" s="174"/>
      <c r="G133" s="174"/>
      <c r="H133" s="302" t="s">
        <v>477</v>
      </c>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5"/>
        <v>0</v>
      </c>
      <c r="AG133" s="107"/>
      <c r="AH133" s="107"/>
      <c r="AI133" s="107"/>
      <c r="AJ133" s="111"/>
      <c r="AK133" s="111"/>
      <c r="AL133" s="111"/>
      <c r="AM133" s="108">
        <f>AG133*'1. Standard_Cost'!$B$27+'Incremental_Cost Year 3'!AH133*'1. Standard_Cost'!$C$27+'Incremental_Cost Year 3'!AI133*'1. Standard_Cost'!$D$27+'Incremental_Cost Year 3'!AJ133+'Incremental_Cost Year 3'!AL133+AK133</f>
        <v>0</v>
      </c>
      <c r="AN133" s="108">
        <f>AM133*'1. Standard_Cost'!$C$31</f>
        <v>0</v>
      </c>
      <c r="AO133" s="125" t="s">
        <v>364</v>
      </c>
      <c r="AQ133" s="14">
        <f t="shared" si="116"/>
        <v>0</v>
      </c>
      <c r="AR133" s="14">
        <f t="shared" si="117"/>
        <v>0</v>
      </c>
      <c r="AS133" s="14">
        <f t="shared" si="118"/>
        <v>0</v>
      </c>
      <c r="AT133" s="14">
        <f t="shared" si="120"/>
        <v>0</v>
      </c>
      <c r="AU133" s="15"/>
      <c r="AV133" s="15"/>
      <c r="AW133" s="15"/>
      <c r="AX133" s="15"/>
      <c r="AY133" s="15"/>
      <c r="AZ133" s="15"/>
      <c r="BA133" s="15"/>
      <c r="BB133" s="16">
        <f t="shared" si="119"/>
        <v>0</v>
      </c>
      <c r="BE133" s="295"/>
    </row>
    <row r="134" spans="1:57" ht="62.4" outlineLevel="2">
      <c r="A134" s="98"/>
      <c r="B134" s="102"/>
      <c r="C134" s="23"/>
      <c r="D134" s="269"/>
      <c r="E134" s="269"/>
      <c r="F134" s="174"/>
      <c r="G134" s="174"/>
      <c r="H134" s="302" t="s">
        <v>478</v>
      </c>
      <c r="I134" s="104" t="s">
        <v>5</v>
      </c>
      <c r="J134" s="105">
        <v>12</v>
      </c>
      <c r="K134" s="105">
        <v>4</v>
      </c>
      <c r="L134" s="106">
        <f>IF(I134&lt;&gt;0,((VLOOKUP(I134,'1. Standard_Cost'!$B$4:$D$11,2)+VLOOKUP(I134,'1. Standard_Cost'!$B$4:$D$11,3))*J134*K134),"0")</f>
        <v>3393600</v>
      </c>
      <c r="M134" s="106">
        <f>L134*'1. Standard_Cost'!$F$4</f>
        <v>566731.20000000007</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5"/>
        <v>0</v>
      </c>
      <c r="AG134" s="107"/>
      <c r="AH134" s="107"/>
      <c r="AI134" s="107"/>
      <c r="AJ134" s="111">
        <v>1000000</v>
      </c>
      <c r="AK134" s="111"/>
      <c r="AL134" s="111"/>
      <c r="AM134" s="108">
        <f>AG134*'1. Standard_Cost'!$B$27+'Incremental_Cost Year 3'!AH134*'1. Standard_Cost'!$C$27+'Incremental_Cost Year 3'!AI134*'1. Standard_Cost'!$D$27+'Incremental_Cost Year 3'!AJ134+'Incremental_Cost Year 3'!AL134+AK134</f>
        <v>1000000</v>
      </c>
      <c r="AN134" s="108">
        <f>AM134*'1. Standard_Cost'!$C$31</f>
        <v>150000</v>
      </c>
      <c r="AO134" s="125" t="s">
        <v>365</v>
      </c>
      <c r="AQ134" s="14">
        <f t="shared" si="116"/>
        <v>3960331.2</v>
      </c>
      <c r="AR134" s="14">
        <f t="shared" si="117"/>
        <v>0</v>
      </c>
      <c r="AS134" s="14">
        <f t="shared" si="118"/>
        <v>1150000</v>
      </c>
      <c r="AT134" s="14">
        <f t="shared" si="120"/>
        <v>5110331.2</v>
      </c>
      <c r="AU134" s="15">
        <v>3960331.2</v>
      </c>
      <c r="AV134" s="15"/>
      <c r="AW134" s="15"/>
      <c r="AX134" s="15"/>
      <c r="AY134" s="15"/>
      <c r="AZ134" s="15"/>
      <c r="BA134" s="15"/>
      <c r="BB134" s="16">
        <f t="shared" si="119"/>
        <v>-1150000</v>
      </c>
      <c r="BE134" s="295"/>
    </row>
    <row r="135" spans="1:57" ht="15.6" outlineLevel="2">
      <c r="A135" s="98"/>
      <c r="B135" s="102"/>
      <c r="C135" s="23"/>
      <c r="D135" s="269"/>
      <c r="E135" s="269"/>
      <c r="F135" s="251"/>
      <c r="G135" s="250"/>
      <c r="H135" s="302"/>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260">
        <v>0</v>
      </c>
      <c r="AB135" s="108">
        <f>+Z135*'1. Standard_Cost'!$B$23+AA135*'1. Standard_Cost'!$C$23</f>
        <v>0</v>
      </c>
      <c r="AC135" s="261">
        <v>0</v>
      </c>
      <c r="AD135" s="110"/>
      <c r="AE135" s="108">
        <f>SUM(AD135,AC135,AB135,Y135,U135,T135,S135,R135)*'1. Standard_Cost'!$B$31</f>
        <v>0</v>
      </c>
      <c r="AF135" s="108">
        <f t="shared" si="115"/>
        <v>0</v>
      </c>
      <c r="AG135" s="107"/>
      <c r="AH135" s="107"/>
      <c r="AI135" s="107"/>
      <c r="AJ135" s="111"/>
      <c r="AK135" s="111"/>
      <c r="AL135" s="111"/>
      <c r="AM135" s="108">
        <f>AG135*'1. Standard_Cost'!$B$27+'Incremental_Cost Year 2'!AH178*'1. Standard_Cost'!$C$27+'Incremental_Cost Year 2'!AI178*'1. Standard_Cost'!$D$27+'Incremental_Cost Year 2'!AJ178+'Incremental_Cost Year 2'!AL178+AK135</f>
        <v>0</v>
      </c>
      <c r="AN135" s="108">
        <f>AM135*'1. Standard_Cost'!$C$31</f>
        <v>0</v>
      </c>
      <c r="AO135" s="125">
        <v>0</v>
      </c>
      <c r="AQ135" s="14">
        <f t="shared" si="116"/>
        <v>0</v>
      </c>
      <c r="AR135" s="14">
        <f t="shared" si="117"/>
        <v>0</v>
      </c>
      <c r="AS135" s="14">
        <f t="shared" si="118"/>
        <v>0</v>
      </c>
      <c r="AT135" s="14">
        <f t="shared" si="120"/>
        <v>0</v>
      </c>
      <c r="AU135" s="15">
        <v>0</v>
      </c>
      <c r="AV135" s="15"/>
      <c r="AW135" s="15"/>
      <c r="AX135" s="15"/>
      <c r="AY135" s="15"/>
      <c r="AZ135" s="15">
        <v>0</v>
      </c>
      <c r="BA135" s="15"/>
      <c r="BB135" s="16">
        <f t="shared" si="119"/>
        <v>0</v>
      </c>
      <c r="BE135" s="295"/>
    </row>
    <row r="136" spans="1:57" ht="138" outlineLevel="1">
      <c r="A136" s="98"/>
      <c r="B136" s="102"/>
      <c r="C136" s="23"/>
      <c r="D136" s="346" t="s">
        <v>634</v>
      </c>
      <c r="E136" s="56" t="s">
        <v>228</v>
      </c>
      <c r="F136" s="253">
        <v>2021</v>
      </c>
      <c r="G136" s="254">
        <v>2026</v>
      </c>
      <c r="H136" s="277" t="s">
        <v>227</v>
      </c>
      <c r="I136" s="112"/>
      <c r="J136" s="112"/>
      <c r="K136" s="112"/>
      <c r="L136" s="113">
        <f>SUM(L114:L135)</f>
        <v>6462100</v>
      </c>
      <c r="M136" s="113">
        <f>SUM(M114:M135)</f>
        <v>1079170.7000000002</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7453000</v>
      </c>
      <c r="AC136" s="113">
        <f>SUM(AC114:AC135)</f>
        <v>6541800</v>
      </c>
      <c r="AD136" s="113">
        <f>SUM(AD114:AD135)</f>
        <v>0</v>
      </c>
      <c r="AE136" s="113">
        <f>SUM(AE114:AE135)</f>
        <v>140000</v>
      </c>
      <c r="AF136" s="113">
        <f>SUM(AF114:AF135)</f>
        <v>14134800</v>
      </c>
      <c r="AG136" s="112"/>
      <c r="AH136" s="112"/>
      <c r="AI136" s="112"/>
      <c r="AJ136" s="113">
        <f>SUM(AJ114:AJ135)</f>
        <v>1000000</v>
      </c>
      <c r="AK136" s="113">
        <f>SUM(AK114:AK135)</f>
        <v>0</v>
      </c>
      <c r="AL136" s="113">
        <f>SUM(AL114:AL135)</f>
        <v>0</v>
      </c>
      <c r="AM136" s="113">
        <f>SUM(AM114:AM135)</f>
        <v>1000000</v>
      </c>
      <c r="AN136" s="113">
        <f>SUM(AN114:AN135)</f>
        <v>150000</v>
      </c>
      <c r="AO136" s="131"/>
      <c r="AP136" s="17"/>
      <c r="AQ136" s="113">
        <f t="shared" ref="AQ136:BB136" si="121">SUM(AQ114:AQ135)</f>
        <v>7541270.7000000002</v>
      </c>
      <c r="AR136" s="113">
        <f t="shared" si="121"/>
        <v>14134800</v>
      </c>
      <c r="AS136" s="113">
        <f t="shared" si="121"/>
        <v>1150000</v>
      </c>
      <c r="AT136" s="113">
        <f t="shared" si="121"/>
        <v>22826070.699999999</v>
      </c>
      <c r="AU136" s="113">
        <f t="shared" si="121"/>
        <v>6410447.7000000002</v>
      </c>
      <c r="AV136" s="113">
        <f t="shared" si="121"/>
        <v>0</v>
      </c>
      <c r="AW136" s="113">
        <f t="shared" si="121"/>
        <v>0</v>
      </c>
      <c r="AX136" s="113">
        <f t="shared" si="121"/>
        <v>840000</v>
      </c>
      <c r="AY136" s="113">
        <f t="shared" si="121"/>
        <v>0</v>
      </c>
      <c r="AZ136" s="113">
        <f t="shared" si="121"/>
        <v>13294800</v>
      </c>
      <c r="BA136" s="113">
        <f t="shared" si="121"/>
        <v>0</v>
      </c>
      <c r="BB136" s="113">
        <f t="shared" si="121"/>
        <v>-2280823</v>
      </c>
      <c r="BE136" s="295"/>
    </row>
    <row r="137" spans="1:57" ht="78" outlineLevel="2">
      <c r="A137" s="98"/>
      <c r="B137" s="102"/>
      <c r="C137" s="23"/>
      <c r="D137" s="269"/>
      <c r="E137" s="269"/>
      <c r="F137" s="174"/>
      <c r="G137" s="26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2">SUM(AE137,AD137,AC137,AB137,Y137,U137,T137,S137,R137)</f>
        <v>0</v>
      </c>
      <c r="AG137" s="107"/>
      <c r="AH137" s="107"/>
      <c r="AI137" s="107"/>
      <c r="AJ137" s="111"/>
      <c r="AK137" s="111"/>
      <c r="AL137" s="111"/>
      <c r="AM137" s="108">
        <f>AG137*'1. Standard_Cost'!$B$27+'Incremental_Cost Year 3'!AH137*'1. Standard_Cost'!$C$27+'Incremental_Cost Year 3'!AI137*'1. Standard_Cost'!$D$27+'Incremental_Cost Year 3'!AJ137+'Incremental_Cost Year 3'!AL137+AK137</f>
        <v>0</v>
      </c>
      <c r="AN137" s="108">
        <f>AM137*'1. Standard_Cost'!$C$31</f>
        <v>0</v>
      </c>
      <c r="AO137" s="125" t="s">
        <v>367</v>
      </c>
      <c r="AQ137" s="14">
        <f t="shared" ref="AQ137:AQ138" si="123">L137+M137</f>
        <v>0</v>
      </c>
      <c r="AR137" s="14">
        <f t="shared" ref="AR137:AR138" si="124">AF137</f>
        <v>0</v>
      </c>
      <c r="AS137" s="14">
        <f t="shared" ref="AS137:AS138" si="125">AM137+AN137</f>
        <v>0</v>
      </c>
      <c r="AT137" s="14">
        <f t="shared" ref="AT137:AT138" si="126">SUM(AQ137,AR137,AS137)</f>
        <v>0</v>
      </c>
      <c r="AU137" s="15"/>
      <c r="AV137" s="15"/>
      <c r="AW137" s="15"/>
      <c r="AX137" s="15"/>
      <c r="AY137" s="15"/>
      <c r="AZ137" s="15"/>
      <c r="BA137" s="15"/>
      <c r="BB137" s="16">
        <f t="shared" ref="BB137:BB138" si="127">SUM(AU137:BA137)-AT137</f>
        <v>0</v>
      </c>
      <c r="BE137" s="295"/>
    </row>
    <row r="138" spans="1:57" ht="62.4" outlineLevel="2">
      <c r="A138" s="98"/>
      <c r="B138" s="102"/>
      <c r="C138" s="23"/>
      <c r="D138" s="269"/>
      <c r="E138" s="26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2"/>
        <v>0</v>
      </c>
      <c r="AG138" s="107"/>
      <c r="AH138" s="107"/>
      <c r="AI138" s="107"/>
      <c r="AJ138" s="111"/>
      <c r="AK138" s="111"/>
      <c r="AL138" s="111"/>
      <c r="AM138" s="108">
        <f>AG138*'1. Standard_Cost'!$B$27+'Incremental_Cost Year 3'!AH138*'1. Standard_Cost'!$C$27+'Incremental_Cost Year 3'!AI138*'1. Standard_Cost'!$D$27+'Incremental_Cost Year 3'!AJ138+'Incremental_Cost Year 3'!AL138+AK138</f>
        <v>0</v>
      </c>
      <c r="AN138" s="108">
        <f>AM138*'1. Standard_Cost'!$C$31</f>
        <v>0</v>
      </c>
      <c r="AO138" s="125" t="s">
        <v>349</v>
      </c>
      <c r="AQ138" s="14">
        <f t="shared" si="123"/>
        <v>0</v>
      </c>
      <c r="AR138" s="14">
        <f t="shared" si="124"/>
        <v>0</v>
      </c>
      <c r="AS138" s="14">
        <f t="shared" si="125"/>
        <v>0</v>
      </c>
      <c r="AT138" s="14">
        <f t="shared" si="126"/>
        <v>0</v>
      </c>
      <c r="AU138" s="15"/>
      <c r="AV138" s="15"/>
      <c r="AW138" s="15"/>
      <c r="AX138" s="15"/>
      <c r="AY138" s="15"/>
      <c r="AZ138" s="15"/>
      <c r="BA138" s="15"/>
      <c r="BB138" s="16">
        <f t="shared" si="127"/>
        <v>0</v>
      </c>
      <c r="BE138" s="295"/>
    </row>
    <row r="139" spans="1:57" ht="110.4" outlineLevel="1">
      <c r="A139" s="98"/>
      <c r="B139" s="102"/>
      <c r="C139" s="23"/>
      <c r="D139" s="56" t="s">
        <v>635</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8">SUM(R137:R138)</f>
        <v>0</v>
      </c>
      <c r="S139" s="113">
        <f t="shared" si="128"/>
        <v>0</v>
      </c>
      <c r="T139" s="113">
        <f t="shared" si="128"/>
        <v>0</v>
      </c>
      <c r="U139" s="113">
        <f t="shared" si="128"/>
        <v>0</v>
      </c>
      <c r="V139" s="112"/>
      <c r="W139" s="112"/>
      <c r="X139" s="112"/>
      <c r="Y139" s="113">
        <f>SUM(Y137:Y138)</f>
        <v>0</v>
      </c>
      <c r="Z139" s="112"/>
      <c r="AA139" s="112"/>
      <c r="AB139" s="113">
        <f t="shared" ref="AB139:AF139" si="129">SUM(AB137:AB138)</f>
        <v>0</v>
      </c>
      <c r="AC139" s="113">
        <f t="shared" ref="AC139:AD139" si="130">SUM(AC137:AC138)</f>
        <v>0</v>
      </c>
      <c r="AD139" s="113">
        <f t="shared" si="130"/>
        <v>0</v>
      </c>
      <c r="AE139" s="113">
        <f t="shared" si="129"/>
        <v>0</v>
      </c>
      <c r="AF139" s="113">
        <f t="shared" si="129"/>
        <v>0</v>
      </c>
      <c r="AG139" s="112"/>
      <c r="AH139" s="112"/>
      <c r="AI139" s="112"/>
      <c r="AJ139" s="113">
        <f t="shared" ref="AJ139:AL139" si="131">SUM(AJ137:AJ138)</f>
        <v>0</v>
      </c>
      <c r="AK139" s="113">
        <f t="shared" si="131"/>
        <v>0</v>
      </c>
      <c r="AL139" s="113">
        <f t="shared" si="131"/>
        <v>0</v>
      </c>
      <c r="AM139" s="113">
        <f t="shared" ref="AM139:AN139" si="132">SUM(AM137:AM138)</f>
        <v>0</v>
      </c>
      <c r="AN139" s="113">
        <f t="shared" si="132"/>
        <v>0</v>
      </c>
      <c r="AO139" s="131"/>
      <c r="AP139" s="17"/>
      <c r="AQ139" s="113">
        <f t="shared" ref="AQ139:BB139" si="133">SUM(AQ137:AQ138)</f>
        <v>0</v>
      </c>
      <c r="AR139" s="113">
        <f t="shared" si="133"/>
        <v>0</v>
      </c>
      <c r="AS139" s="113">
        <f t="shared" si="133"/>
        <v>0</v>
      </c>
      <c r="AT139" s="113">
        <f t="shared" si="133"/>
        <v>0</v>
      </c>
      <c r="AU139" s="113">
        <v>0</v>
      </c>
      <c r="AV139" s="113">
        <v>0</v>
      </c>
      <c r="AW139" s="113">
        <v>0</v>
      </c>
      <c r="AX139" s="113">
        <v>0</v>
      </c>
      <c r="AY139" s="113">
        <v>0</v>
      </c>
      <c r="AZ139" s="113">
        <f t="shared" si="133"/>
        <v>0</v>
      </c>
      <c r="BA139" s="113">
        <f t="shared" si="133"/>
        <v>0</v>
      </c>
      <c r="BB139" s="113">
        <f t="shared" si="133"/>
        <v>0</v>
      </c>
      <c r="BE139" s="295"/>
    </row>
    <row r="140" spans="1:57" ht="93.6" outlineLevel="2">
      <c r="A140" s="98"/>
      <c r="B140" s="102"/>
      <c r="C140" s="23"/>
      <c r="D140" s="269"/>
      <c r="E140" s="269"/>
      <c r="F140" s="269"/>
      <c r="G140" s="269"/>
      <c r="H140" s="302" t="s">
        <v>481</v>
      </c>
      <c r="I140" s="104" t="s">
        <v>4</v>
      </c>
      <c r="J140" s="105">
        <v>1</v>
      </c>
      <c r="K140" s="105">
        <v>2</v>
      </c>
      <c r="L140" s="106">
        <f>IF(I140&lt;&gt;0,((VLOOKUP(I140,'1. Standard_Cost'!$B$4:$D$11,2)+VLOOKUP(I140,'1. Standard_Cost'!$B$4:$D$11,3))*J140*K140),"0")</f>
        <v>161500</v>
      </c>
      <c r="M140" s="106">
        <f>L140*'1. Standard_Cost'!$F$4</f>
        <v>26970.5</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v>20</v>
      </c>
      <c r="AB140" s="108">
        <f>+Z140*'1. Standard_Cost'!$B$23+AA140*'1. Standard_Cost'!$C$23</f>
        <v>380000</v>
      </c>
      <c r="AC140" s="109">
        <f>500*500</f>
        <v>250000</v>
      </c>
      <c r="AD140" s="110"/>
      <c r="AE140" s="108">
        <f>SUM(AD140,AC140,AB140,Y140,U140,T140,S140,R140)*'1. Standard_Cost'!$B$31</f>
        <v>126000</v>
      </c>
      <c r="AF140" s="108">
        <f t="shared" ref="AF140:AF141" si="134">SUM(AE140,AD140,AC140,AB140,Y140,U140,T140,S140,R140)</f>
        <v>756000</v>
      </c>
      <c r="AG140" s="107"/>
      <c r="AH140" s="107"/>
      <c r="AI140" s="107"/>
      <c r="AJ140" s="111"/>
      <c r="AK140" s="111"/>
      <c r="AL140" s="111"/>
      <c r="AM140" s="108">
        <f>AG140*'1. Standard_Cost'!$B$27+'Incremental_Cost Year 3'!AH140*'1. Standard_Cost'!$C$27+'Incremental_Cost Year 3'!AI140*'1. Standard_Cost'!$D$27+'Incremental_Cost Year 3'!AJ140+'Incremental_Cost Year 3'!AL140+AK140</f>
        <v>0</v>
      </c>
      <c r="AN140" s="108">
        <f>AM140*'1. Standard_Cost'!$C$31</f>
        <v>0</v>
      </c>
      <c r="AO140" s="125" t="s">
        <v>368</v>
      </c>
      <c r="AQ140" s="14">
        <f t="shared" ref="AQ140:AQ141" si="135">L140+M140</f>
        <v>188470.5</v>
      </c>
      <c r="AR140" s="14">
        <f t="shared" ref="AR140:AR141" si="136">AF140</f>
        <v>756000</v>
      </c>
      <c r="AS140" s="14">
        <f t="shared" ref="AS140:AS141" si="137">AM140+AN140</f>
        <v>0</v>
      </c>
      <c r="AT140" s="14">
        <f t="shared" ref="AT140:AT141" si="138">SUM(AQ140,AR140,AS140)</f>
        <v>944470.5</v>
      </c>
      <c r="AU140" s="15">
        <v>188470.5</v>
      </c>
      <c r="AV140" s="15"/>
      <c r="AW140" s="15"/>
      <c r="AX140" s="15"/>
      <c r="AY140" s="15"/>
      <c r="AZ140" s="15">
        <v>756000</v>
      </c>
      <c r="BA140" s="15"/>
      <c r="BB140" s="16">
        <f t="shared" ref="BB140:BB141" si="139">SUM(AU140:BA140)-AT140</f>
        <v>0</v>
      </c>
      <c r="BE140" s="295"/>
    </row>
    <row r="141" spans="1:57" ht="109.2" outlineLevel="2">
      <c r="A141" s="98"/>
      <c r="B141" s="102"/>
      <c r="C141" s="23"/>
      <c r="D141" s="269"/>
      <c r="E141" s="269"/>
      <c r="F141" s="172"/>
      <c r="G141" s="173"/>
      <c r="H141" s="302" t="s">
        <v>482</v>
      </c>
      <c r="I141" s="104" t="s">
        <v>4</v>
      </c>
      <c r="J141" s="105">
        <v>1</v>
      </c>
      <c r="K141" s="105">
        <v>2</v>
      </c>
      <c r="L141" s="106">
        <f>IF(I141&lt;&gt;0,((VLOOKUP(I141,'1. Standard_Cost'!$B$4:$D$11,2)+VLOOKUP(I141,'1. Standard_Cost'!$B$4:$D$11,3))*J141*K141),"0")</f>
        <v>161500</v>
      </c>
      <c r="M141" s="106">
        <f>L141*'1. Standard_Cost'!$F$4</f>
        <v>26970.5</v>
      </c>
      <c r="N141" s="107">
        <v>5</v>
      </c>
      <c r="O141" s="107">
        <v>3</v>
      </c>
      <c r="P141" s="107">
        <v>25</v>
      </c>
      <c r="Q141" s="107"/>
      <c r="R141" s="108">
        <v>0</v>
      </c>
      <c r="S141" s="108">
        <f>N141*O141*P141*'1. Standard_Cost'!$C$15</f>
        <v>562500</v>
      </c>
      <c r="T141" s="108">
        <f>N141*P141*Q141*'1. Standard_Cost'!$D$15</f>
        <v>0</v>
      </c>
      <c r="U141" s="108">
        <v>0</v>
      </c>
      <c r="V141" s="107"/>
      <c r="W141" s="107"/>
      <c r="X141" s="107"/>
      <c r="Y141" s="108">
        <f>+V141*((X141*'1. Standard_Cost'!$B$19)+(W141*X141*'1. Standard_Cost'!$C$19))</f>
        <v>0</v>
      </c>
      <c r="Z141" s="107"/>
      <c r="AA141" s="107">
        <v>16</v>
      </c>
      <c r="AB141" s="108">
        <f>+Z141*'1. Standard_Cost'!$B$23+AA141*'1. Standard_Cost'!$C$23</f>
        <v>304000</v>
      </c>
      <c r="AC141" s="109"/>
      <c r="AD141" s="110"/>
      <c r="AE141" s="108">
        <v>0</v>
      </c>
      <c r="AF141" s="108">
        <f t="shared" si="134"/>
        <v>866500</v>
      </c>
      <c r="AG141" s="107"/>
      <c r="AH141" s="107"/>
      <c r="AI141" s="107"/>
      <c r="AJ141" s="111"/>
      <c r="AK141" s="111"/>
      <c r="AL141" s="111"/>
      <c r="AM141" s="108">
        <f>AG141*'1. Standard_Cost'!$B$27+'Incremental_Cost Year 3'!AH141*'1. Standard_Cost'!$C$27+'Incremental_Cost Year 3'!AI141*'1. Standard_Cost'!$D$27+'Incremental_Cost Year 3'!AJ141+'Incremental_Cost Year 3'!AL141+AK141</f>
        <v>0</v>
      </c>
      <c r="AN141" s="108">
        <f>AM141*'1. Standard_Cost'!$C$31</f>
        <v>0</v>
      </c>
      <c r="AO141" s="125" t="s">
        <v>369</v>
      </c>
      <c r="AQ141" s="14">
        <f t="shared" si="135"/>
        <v>188470.5</v>
      </c>
      <c r="AR141" s="14">
        <f t="shared" si="136"/>
        <v>866500</v>
      </c>
      <c r="AS141" s="14">
        <f t="shared" si="137"/>
        <v>0</v>
      </c>
      <c r="AT141" s="14">
        <f t="shared" si="138"/>
        <v>1054970.5</v>
      </c>
      <c r="AU141" s="15">
        <v>750971</v>
      </c>
      <c r="AV141" s="15"/>
      <c r="AW141" s="15"/>
      <c r="AX141" s="15"/>
      <c r="AY141" s="15"/>
      <c r="AZ141" s="15"/>
      <c r="BA141" s="15"/>
      <c r="BB141" s="16">
        <f t="shared" si="139"/>
        <v>-303999.5</v>
      </c>
      <c r="BE141" s="295"/>
    </row>
    <row r="142" spans="1:57" ht="28.5" customHeight="1" outlineLevel="1">
      <c r="A142" s="98"/>
      <c r="B142" s="102"/>
      <c r="C142" s="23"/>
      <c r="D142" s="56" t="s">
        <v>636</v>
      </c>
      <c r="E142" s="56" t="s">
        <v>232</v>
      </c>
      <c r="F142" s="253">
        <v>2022</v>
      </c>
      <c r="G142" s="254">
        <v>2023</v>
      </c>
      <c r="H142" s="277" t="s">
        <v>230</v>
      </c>
      <c r="I142" s="112"/>
      <c r="J142" s="112"/>
      <c r="K142" s="112"/>
      <c r="L142" s="113">
        <f>SUM(L140:L141)</f>
        <v>323000</v>
      </c>
      <c r="M142" s="113">
        <f>SUM(M140:M141)</f>
        <v>53941</v>
      </c>
      <c r="N142" s="112"/>
      <c r="O142" s="112"/>
      <c r="P142" s="112"/>
      <c r="Q142" s="112"/>
      <c r="R142" s="113">
        <f t="shared" ref="R142:U142" si="140">SUM(R140:R141)</f>
        <v>0</v>
      </c>
      <c r="S142" s="113">
        <f t="shared" si="140"/>
        <v>562500</v>
      </c>
      <c r="T142" s="113">
        <f t="shared" si="140"/>
        <v>0</v>
      </c>
      <c r="U142" s="113">
        <f t="shared" si="140"/>
        <v>0</v>
      </c>
      <c r="V142" s="112"/>
      <c r="W142" s="112"/>
      <c r="X142" s="112"/>
      <c r="Y142" s="113">
        <f>SUM(Y140:Y141)</f>
        <v>0</v>
      </c>
      <c r="Z142" s="112"/>
      <c r="AA142" s="112"/>
      <c r="AB142" s="113">
        <f t="shared" ref="AB142:AF142" si="141">SUM(AB140:AB141)</f>
        <v>684000</v>
      </c>
      <c r="AC142" s="113">
        <f t="shared" ref="AC142:AD142" si="142">SUM(AC140:AC141)</f>
        <v>250000</v>
      </c>
      <c r="AD142" s="113">
        <f t="shared" si="142"/>
        <v>0</v>
      </c>
      <c r="AE142" s="113">
        <f t="shared" si="141"/>
        <v>126000</v>
      </c>
      <c r="AF142" s="113">
        <f t="shared" si="141"/>
        <v>1622500</v>
      </c>
      <c r="AG142" s="112"/>
      <c r="AH142" s="112"/>
      <c r="AI142" s="112"/>
      <c r="AJ142" s="113">
        <f t="shared" ref="AJ142:AL142" si="143">SUM(AJ140:AJ141)</f>
        <v>0</v>
      </c>
      <c r="AK142" s="113">
        <f t="shared" si="143"/>
        <v>0</v>
      </c>
      <c r="AL142" s="113">
        <f t="shared" si="143"/>
        <v>0</v>
      </c>
      <c r="AM142" s="113">
        <f t="shared" ref="AM142:AN142" si="144">SUM(AM140:AM141)</f>
        <v>0</v>
      </c>
      <c r="AN142" s="113">
        <f t="shared" si="144"/>
        <v>0</v>
      </c>
      <c r="AO142" s="131"/>
      <c r="AP142" s="17"/>
      <c r="AQ142" s="113">
        <f t="shared" ref="AQ142" si="145">SUM(AQ140:AQ141)</f>
        <v>376941</v>
      </c>
      <c r="AR142" s="113">
        <f t="shared" ref="AR142:BB142" si="146">SUM(AR140:AR141)</f>
        <v>1622500</v>
      </c>
      <c r="AS142" s="113">
        <f t="shared" si="146"/>
        <v>0</v>
      </c>
      <c r="AT142" s="113">
        <f t="shared" si="146"/>
        <v>1999441</v>
      </c>
      <c r="AU142" s="113">
        <f t="shared" si="146"/>
        <v>939441.5</v>
      </c>
      <c r="AV142" s="113">
        <f t="shared" si="146"/>
        <v>0</v>
      </c>
      <c r="AW142" s="113">
        <f t="shared" si="146"/>
        <v>0</v>
      </c>
      <c r="AX142" s="113">
        <f t="shared" si="146"/>
        <v>0</v>
      </c>
      <c r="AY142" s="113">
        <f t="shared" si="146"/>
        <v>0</v>
      </c>
      <c r="AZ142" s="113">
        <f t="shared" si="146"/>
        <v>756000</v>
      </c>
      <c r="BA142" s="113">
        <f t="shared" si="146"/>
        <v>0</v>
      </c>
      <c r="BB142" s="113">
        <f t="shared" si="146"/>
        <v>-303999.5</v>
      </c>
      <c r="BE142" s="295"/>
    </row>
    <row r="143" spans="1:57" s="24" customFormat="1" ht="13.8" customHeight="1">
      <c r="A143" s="114"/>
      <c r="B143" s="115"/>
      <c r="C143" s="314" t="s">
        <v>233</v>
      </c>
      <c r="D143" s="314"/>
      <c r="E143" s="315"/>
      <c r="F143" s="246"/>
      <c r="G143" s="246"/>
      <c r="H143" s="278" t="s">
        <v>188</v>
      </c>
      <c r="I143" s="116"/>
      <c r="J143" s="116"/>
      <c r="K143" s="116"/>
      <c r="L143" s="117">
        <f>SUM(L168,L178)</f>
        <v>11794878.571428571</v>
      </c>
      <c r="M143" s="117">
        <f>SUM(M168,M178)</f>
        <v>1969744.7214285717</v>
      </c>
      <c r="N143" s="116"/>
      <c r="O143" s="116"/>
      <c r="P143" s="116"/>
      <c r="Q143" s="116"/>
      <c r="R143" s="117">
        <f t="shared" ref="R143:U143" si="147">SUM(R168,R178)</f>
        <v>400000</v>
      </c>
      <c r="S143" s="117">
        <f t="shared" si="147"/>
        <v>750000</v>
      </c>
      <c r="T143" s="117">
        <f t="shared" si="147"/>
        <v>875000</v>
      </c>
      <c r="U143" s="117">
        <f t="shared" si="147"/>
        <v>160000</v>
      </c>
      <c r="V143" s="116"/>
      <c r="W143" s="116"/>
      <c r="X143" s="116"/>
      <c r="Y143" s="117">
        <f>SUM(Y168,Y178)</f>
        <v>0</v>
      </c>
      <c r="Z143" s="117"/>
      <c r="AA143" s="117"/>
      <c r="AB143" s="117">
        <f t="shared" ref="AB143:AF143" si="148">SUM(AB168,AB178)</f>
        <v>2774000</v>
      </c>
      <c r="AC143" s="117">
        <f>SUM(AC168,AC178)</f>
        <v>69503000</v>
      </c>
      <c r="AD143" s="117">
        <f>SUM(AD168,AD178)</f>
        <v>0</v>
      </c>
      <c r="AE143" s="117">
        <f t="shared" si="148"/>
        <v>13600400</v>
      </c>
      <c r="AF143" s="117">
        <f t="shared" si="148"/>
        <v>86562400</v>
      </c>
      <c r="AG143" s="116"/>
      <c r="AH143" s="116"/>
      <c r="AI143" s="116"/>
      <c r="AJ143" s="117">
        <f>SUM(AJ168,AJ178)</f>
        <v>0</v>
      </c>
      <c r="AK143" s="117">
        <f>SUM(AK168,AK178)</f>
        <v>0</v>
      </c>
      <c r="AL143" s="117">
        <f>SUM(AL168,AL178)</f>
        <v>0</v>
      </c>
      <c r="AM143" s="117">
        <f t="shared" ref="AM143:AN143" si="149">SUM(AM168,AM178)</f>
        <v>0</v>
      </c>
      <c r="AN143" s="117">
        <f t="shared" si="149"/>
        <v>0</v>
      </c>
      <c r="AO143" s="132"/>
      <c r="AP143" s="25"/>
      <c r="AQ143" s="117">
        <f t="shared" ref="AQ143" si="150">SUM(AQ168,AQ178)</f>
        <v>13764623.292857142</v>
      </c>
      <c r="AR143" s="117">
        <f t="shared" ref="AR143:BB143" si="151">SUM(AR168,AR178)</f>
        <v>86562400</v>
      </c>
      <c r="AS143" s="117">
        <f t="shared" si="151"/>
        <v>0</v>
      </c>
      <c r="AT143" s="117">
        <f t="shared" si="151"/>
        <v>100327023.29285716</v>
      </c>
      <c r="AU143" s="117">
        <f t="shared" si="151"/>
        <v>89586623.29285714</v>
      </c>
      <c r="AV143" s="117">
        <f t="shared" si="151"/>
        <v>0</v>
      </c>
      <c r="AW143" s="117">
        <f t="shared" si="151"/>
        <v>0</v>
      </c>
      <c r="AX143" s="117">
        <f t="shared" si="151"/>
        <v>2995000</v>
      </c>
      <c r="AY143" s="117">
        <f t="shared" si="151"/>
        <v>0</v>
      </c>
      <c r="AZ143" s="117">
        <f t="shared" si="151"/>
        <v>2968000</v>
      </c>
      <c r="BA143" s="117">
        <f t="shared" si="151"/>
        <v>0</v>
      </c>
      <c r="BB143" s="117">
        <f t="shared" si="151"/>
        <v>-4777400</v>
      </c>
      <c r="BE143" s="295"/>
    </row>
    <row r="144" spans="1:57" ht="93.6" outlineLevel="2">
      <c r="A144" s="98"/>
      <c r="B144" s="102"/>
      <c r="C144" s="23"/>
      <c r="D144" s="257"/>
      <c r="E144" s="123"/>
      <c r="F144" s="249"/>
      <c r="G144" s="283"/>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152">SUM(AE144,AD144,AC144,AB144,Y144,U144,T144,S144,R144)</f>
        <v>1734000</v>
      </c>
      <c r="AG144" s="107"/>
      <c r="AH144" s="107"/>
      <c r="AI144" s="107"/>
      <c r="AJ144" s="111"/>
      <c r="AK144" s="111"/>
      <c r="AL144" s="111"/>
      <c r="AM144" s="108">
        <f>AG144*'1. Standard_Cost'!$B$27+'Incremental_Cost Year 3'!AH144*'1. Standard_Cost'!$C$27+'Incremental_Cost Year 3'!AI144*'1. Standard_Cost'!$D$27+'Incremental_Cost Year 3'!AJ144+'Incremental_Cost Year 3'!AL144+AK144</f>
        <v>0</v>
      </c>
      <c r="AN144" s="108">
        <f>AM144*'1. Standard_Cost'!$C$31</f>
        <v>0</v>
      </c>
      <c r="AO144" s="125" t="s">
        <v>370</v>
      </c>
      <c r="AQ144" s="14">
        <f t="shared" ref="AQ144:AQ167" si="153">L144+M144</f>
        <v>8028960</v>
      </c>
      <c r="AR144" s="14">
        <f t="shared" ref="AR144:AR167" si="154">AF144</f>
        <v>1734000</v>
      </c>
      <c r="AS144" s="14">
        <f t="shared" ref="AS144:AS167" si="155">AM144+AN144</f>
        <v>0</v>
      </c>
      <c r="AT144" s="14">
        <f>SUM(AQ144,AR144,AS144)</f>
        <v>9762960</v>
      </c>
      <c r="AU144" s="15">
        <v>9762960</v>
      </c>
      <c r="AV144" s="15"/>
      <c r="AW144" s="15"/>
      <c r="AX144" s="15"/>
      <c r="AY144" s="15"/>
      <c r="AZ144" s="15"/>
      <c r="BA144" s="15"/>
      <c r="BB144" s="16">
        <f t="shared" ref="BB144:BB167" si="156">SUM(AU144:BA144)-AT144</f>
        <v>0</v>
      </c>
      <c r="BE144" s="295"/>
    </row>
    <row r="145" spans="1:57" ht="21.6" customHeight="1" outlineLevel="2">
      <c r="A145" s="98"/>
      <c r="B145" s="102"/>
      <c r="C145" s="23"/>
      <c r="D145" s="269"/>
      <c r="E145" s="27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52"/>
        <v>0</v>
      </c>
      <c r="AG145" s="107"/>
      <c r="AH145" s="107"/>
      <c r="AI145" s="107"/>
      <c r="AJ145" s="111"/>
      <c r="AK145" s="111"/>
      <c r="AL145" s="111"/>
      <c r="AM145" s="108">
        <f>AG145*'1. Standard_Cost'!$B$27+'Incremental_Cost Year 3'!AH145*'1. Standard_Cost'!$C$27+'Incremental_Cost Year 3'!AI145*'1. Standard_Cost'!$D$27+'Incremental_Cost Year 3'!AJ145+'Incremental_Cost Year 3'!AL145+AK145</f>
        <v>0</v>
      </c>
      <c r="AN145" s="108">
        <f>AM145*'1. Standard_Cost'!$C$31</f>
        <v>0</v>
      </c>
      <c r="AO145" s="125"/>
      <c r="AQ145" s="14">
        <f t="shared" si="153"/>
        <v>621777.6</v>
      </c>
      <c r="AR145" s="14">
        <f t="shared" si="154"/>
        <v>0</v>
      </c>
      <c r="AS145" s="14">
        <f t="shared" si="155"/>
        <v>0</v>
      </c>
      <c r="AT145" s="14">
        <f>SUM(AQ145,AR145,AS145)</f>
        <v>621777.6</v>
      </c>
      <c r="AU145" s="15">
        <v>621777.6</v>
      </c>
      <c r="AV145" s="15"/>
      <c r="AW145" s="15"/>
      <c r="AX145" s="15"/>
      <c r="AY145" s="15"/>
      <c r="AZ145" s="15"/>
      <c r="BA145" s="15"/>
      <c r="BB145" s="16">
        <f t="shared" si="156"/>
        <v>0</v>
      </c>
      <c r="BE145" s="295"/>
    </row>
    <row r="146" spans="1:57" ht="19.95" customHeight="1" outlineLevel="2">
      <c r="A146" s="98"/>
      <c r="B146" s="102"/>
      <c r="C146" s="23"/>
      <c r="D146" s="269"/>
      <c r="E146" s="27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52"/>
        <v>0</v>
      </c>
      <c r="AG146" s="107"/>
      <c r="AH146" s="107"/>
      <c r="AI146" s="107"/>
      <c r="AJ146" s="111"/>
      <c r="AK146" s="111"/>
      <c r="AL146" s="111"/>
      <c r="AM146" s="108">
        <f>AG146*'1. Standard_Cost'!$B$27+'Incremental_Cost Year 3'!AH146*'1. Standard_Cost'!$C$27+'Incremental_Cost Year 3'!AI146*'1. Standard_Cost'!$D$27+'Incremental_Cost Year 3'!AJ146+'Incremental_Cost Year 3'!AL146+AK146</f>
        <v>0</v>
      </c>
      <c r="AN146" s="108">
        <f>AM146*'1. Standard_Cost'!$C$31</f>
        <v>0</v>
      </c>
      <c r="AO146" s="125"/>
      <c r="AQ146" s="14">
        <f t="shared" si="153"/>
        <v>1507764</v>
      </c>
      <c r="AR146" s="14">
        <f t="shared" si="154"/>
        <v>0</v>
      </c>
      <c r="AS146" s="14">
        <f t="shared" si="155"/>
        <v>0</v>
      </c>
      <c r="AT146" s="14">
        <f>SUM(AQ146,AR146,AS146)</f>
        <v>1507764</v>
      </c>
      <c r="AU146" s="15">
        <v>1507764</v>
      </c>
      <c r="AV146" s="15"/>
      <c r="AW146" s="15"/>
      <c r="AX146" s="15"/>
      <c r="AY146" s="15"/>
      <c r="AZ146" s="15"/>
      <c r="BA146" s="15"/>
      <c r="BB146" s="16">
        <f t="shared" si="156"/>
        <v>0</v>
      </c>
      <c r="BE146" s="295"/>
    </row>
    <row r="147" spans="1:57" ht="46.8" outlineLevel="2">
      <c r="A147" s="98"/>
      <c r="B147" s="102"/>
      <c r="C147" s="23"/>
      <c r="D147" s="269"/>
      <c r="E147" s="271"/>
      <c r="F147" s="250"/>
      <c r="G147" s="255"/>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52"/>
        <v>0</v>
      </c>
      <c r="AG147" s="107"/>
      <c r="AH147" s="107"/>
      <c r="AI147" s="107"/>
      <c r="AJ147" s="111"/>
      <c r="AK147" s="111"/>
      <c r="AL147" s="111"/>
      <c r="AM147" s="108">
        <f>AG147*'1. Standard_Cost'!$B$27+'Incremental_Cost Year 3'!AH147*'1. Standard_Cost'!$C$27+'Incremental_Cost Year 3'!AI147*'1. Standard_Cost'!$D$27+'Incremental_Cost Year 3'!AJ147+'Incremental_Cost Year 3'!AL147+AK147</f>
        <v>0</v>
      </c>
      <c r="AN147" s="108">
        <f>AM147*'1. Standard_Cost'!$C$31</f>
        <v>0</v>
      </c>
      <c r="AO147" s="125" t="s">
        <v>371</v>
      </c>
      <c r="AQ147" s="14">
        <f t="shared" si="153"/>
        <v>0</v>
      </c>
      <c r="AR147" s="14">
        <f t="shared" si="154"/>
        <v>0</v>
      </c>
      <c r="AS147" s="14">
        <f t="shared" si="155"/>
        <v>0</v>
      </c>
      <c r="AT147" s="14">
        <f t="shared" ref="AT147:AT167" si="157">SUM(AQ147,AR147,AS147)</f>
        <v>0</v>
      </c>
      <c r="AU147" s="15">
        <v>0</v>
      </c>
      <c r="AV147" s="15"/>
      <c r="AW147" s="15"/>
      <c r="AX147" s="15"/>
      <c r="AY147" s="15"/>
      <c r="AZ147" s="15"/>
      <c r="BA147" s="15"/>
      <c r="BB147" s="16">
        <f t="shared" si="156"/>
        <v>0</v>
      </c>
      <c r="BE147" s="295"/>
    </row>
    <row r="148" spans="1:57" ht="124.2" customHeight="1" outlineLevel="2">
      <c r="A148" s="98"/>
      <c r="B148" s="102"/>
      <c r="C148" s="23"/>
      <c r="D148" s="269"/>
      <c r="E148" s="27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f>1107000</f>
        <v>1107000</v>
      </c>
      <c r="AD148" s="110"/>
      <c r="AE148" s="108">
        <v>0</v>
      </c>
      <c r="AF148" s="108">
        <f t="shared" si="152"/>
        <v>1107000</v>
      </c>
      <c r="AG148" s="107"/>
      <c r="AH148" s="107"/>
      <c r="AI148" s="107"/>
      <c r="AJ148" s="111"/>
      <c r="AK148" s="111"/>
      <c r="AL148" s="111"/>
      <c r="AM148" s="108">
        <f>AG148*'1. Standard_Cost'!$B$27+'Incremental_Cost Year 3'!AH148*'1. Standard_Cost'!$C$27+'Incremental_Cost Year 3'!AI148*'1. Standard_Cost'!$D$27+'Incremental_Cost Year 3'!AJ148+'Incremental_Cost Year 3'!AL148+AK148</f>
        <v>0</v>
      </c>
      <c r="AN148" s="108">
        <f>AM148*'1. Standard_Cost'!$C$31</f>
        <v>0</v>
      </c>
      <c r="AO148" s="125" t="s">
        <v>487</v>
      </c>
      <c r="AQ148" s="14">
        <f t="shared" si="153"/>
        <v>0</v>
      </c>
      <c r="AR148" s="14">
        <f t="shared" si="154"/>
        <v>1107000</v>
      </c>
      <c r="AS148" s="14">
        <f t="shared" si="155"/>
        <v>0</v>
      </c>
      <c r="AT148" s="14">
        <f t="shared" si="157"/>
        <v>1107000</v>
      </c>
      <c r="AU148" s="15"/>
      <c r="AV148" s="15"/>
      <c r="AW148" s="15"/>
      <c r="AX148" s="15"/>
      <c r="AY148" s="15"/>
      <c r="AZ148" s="15">
        <v>1107000</v>
      </c>
      <c r="BA148" s="15"/>
      <c r="BB148" s="16">
        <f t="shared" si="156"/>
        <v>0</v>
      </c>
      <c r="BE148" s="295"/>
    </row>
    <row r="149" spans="1:57" ht="93.6" outlineLevel="2">
      <c r="A149" s="98"/>
      <c r="B149" s="102"/>
      <c r="C149" s="23"/>
      <c r="D149" s="269"/>
      <c r="E149" s="271"/>
      <c r="F149" s="250"/>
      <c r="G149" s="255"/>
      <c r="H149" s="302" t="s">
        <v>492</v>
      </c>
      <c r="I149" s="104"/>
      <c r="J149" s="105"/>
      <c r="K149" s="105"/>
      <c r="L149" s="106" t="str">
        <f>IF(I149&lt;&gt;0,((VLOOKUP(I149,'1. Standard_Cost'!$B$4:$D$11,2)+VLOOKUP(I149,'1. Standard_Cost'!$B$4:$D$11,3))*J149*K149),"0")</f>
        <v>0</v>
      </c>
      <c r="M149" s="106">
        <f>L149*'1. Standard_Cost'!$F$4</f>
        <v>0</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c r="AB149" s="108">
        <f>+Z149*'1. Standard_Cost'!$B$23+AA149*'1. Standard_Cost'!$C$23</f>
        <v>0</v>
      </c>
      <c r="AC149" s="109"/>
      <c r="AD149" s="110"/>
      <c r="AE149" s="108">
        <f>SUM(AD149,AC149,AB149,Y149,U149,T149,S149,R149)*'1. Standard_Cost'!$B$31</f>
        <v>0</v>
      </c>
      <c r="AF149" s="108">
        <f t="shared" si="152"/>
        <v>0</v>
      </c>
      <c r="AG149" s="107"/>
      <c r="AH149" s="107"/>
      <c r="AI149" s="107"/>
      <c r="AJ149" s="111"/>
      <c r="AK149" s="111"/>
      <c r="AL149" s="111"/>
      <c r="AM149" s="108">
        <f>AG149*'1. Standard_Cost'!$B$27+'Incremental_Cost Year 3'!AH149*'1. Standard_Cost'!$C$27+'Incremental_Cost Year 3'!AI149*'1. Standard_Cost'!$D$27+'Incremental_Cost Year 3'!AJ149+'Incremental_Cost Year 3'!AL149+AK149</f>
        <v>0</v>
      </c>
      <c r="AN149" s="108">
        <f>AM149*'1. Standard_Cost'!$C$31</f>
        <v>0</v>
      </c>
      <c r="AO149" s="125" t="s">
        <v>372</v>
      </c>
      <c r="AQ149" s="14">
        <f t="shared" si="153"/>
        <v>0</v>
      </c>
      <c r="AR149" s="14">
        <f t="shared" si="154"/>
        <v>0</v>
      </c>
      <c r="AS149" s="14">
        <f t="shared" si="155"/>
        <v>0</v>
      </c>
      <c r="AT149" s="14">
        <f t="shared" si="157"/>
        <v>0</v>
      </c>
      <c r="AU149" s="15">
        <v>0</v>
      </c>
      <c r="AV149" s="15"/>
      <c r="AW149" s="15"/>
      <c r="AX149" s="15"/>
      <c r="AY149" s="15"/>
      <c r="AZ149" s="15"/>
      <c r="BA149" s="15"/>
      <c r="BB149" s="16">
        <f t="shared" si="156"/>
        <v>0</v>
      </c>
      <c r="BE149" s="295"/>
    </row>
    <row r="150" spans="1:57" ht="124.8" outlineLevel="2">
      <c r="A150" s="98"/>
      <c r="B150" s="102"/>
      <c r="C150" s="23"/>
      <c r="D150" s="269"/>
      <c r="E150" s="271"/>
      <c r="F150" s="250"/>
      <c r="G150" s="255"/>
      <c r="H150" s="302" t="s">
        <v>493</v>
      </c>
      <c r="I150" s="104" t="s">
        <v>4</v>
      </c>
      <c r="J150" s="105">
        <v>2</v>
      </c>
      <c r="K150" s="105">
        <v>2</v>
      </c>
      <c r="L150" s="106">
        <f>IF(I150&lt;&gt;0,((VLOOKUP(I150,'1. Standard_Cost'!$B$4:$D$11,2)+VLOOKUP(I150,'1. Standard_Cost'!$B$4:$D$11,3))*J150*K150),"0")</f>
        <v>323000</v>
      </c>
      <c r="M150" s="106">
        <f>L150*'1. Standard_Cost'!$F$4</f>
        <v>53941</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v>15</v>
      </c>
      <c r="AB150" s="108">
        <f>+Z150*'1. Standard_Cost'!$B$23+AA150*'1. Standard_Cost'!$C$23</f>
        <v>285000</v>
      </c>
      <c r="AC150" s="109">
        <f>3*10*300</f>
        <v>9000</v>
      </c>
      <c r="AD150" s="110"/>
      <c r="AE150" s="108"/>
      <c r="AF150" s="108">
        <f t="shared" si="152"/>
        <v>294000</v>
      </c>
      <c r="AG150" s="107"/>
      <c r="AH150" s="107"/>
      <c r="AI150" s="107"/>
      <c r="AJ150" s="111"/>
      <c r="AK150" s="111"/>
      <c r="AL150" s="111"/>
      <c r="AM150" s="108">
        <f>AG150*'1. Standard_Cost'!$B$27+'Incremental_Cost Year 3'!AH150*'1. Standard_Cost'!$C$27+'Incremental_Cost Year 3'!AI150*'1. Standard_Cost'!$D$27+'Incremental_Cost Year 3'!AJ150+'Incremental_Cost Year 3'!AL150+AK150</f>
        <v>0</v>
      </c>
      <c r="AN150" s="108">
        <f>AM150*'1. Standard_Cost'!$C$31</f>
        <v>0</v>
      </c>
      <c r="AO150" s="125" t="s">
        <v>373</v>
      </c>
      <c r="AQ150" s="14">
        <f t="shared" si="153"/>
        <v>376941</v>
      </c>
      <c r="AR150" s="14">
        <f t="shared" si="154"/>
        <v>294000</v>
      </c>
      <c r="AS150" s="14">
        <f t="shared" si="155"/>
        <v>0</v>
      </c>
      <c r="AT150" s="14">
        <f t="shared" si="157"/>
        <v>670941</v>
      </c>
      <c r="AU150" s="15">
        <v>376941</v>
      </c>
      <c r="AV150" s="15"/>
      <c r="AW150" s="15"/>
      <c r="AX150" s="15">
        <v>294000</v>
      </c>
      <c r="AY150" s="15"/>
      <c r="AZ150" s="15"/>
      <c r="BA150" s="15"/>
      <c r="BB150" s="16">
        <f t="shared" si="156"/>
        <v>0</v>
      </c>
      <c r="BE150" s="295"/>
    </row>
    <row r="151" spans="1:57" ht="78" outlineLevel="2">
      <c r="A151" s="98"/>
      <c r="B151" s="102"/>
      <c r="C151" s="23"/>
      <c r="D151" s="269"/>
      <c r="E151" s="271"/>
      <c r="F151" s="250"/>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c r="AA151" s="107">
        <v>15</v>
      </c>
      <c r="AB151" s="108">
        <f>+Z151*'1. Standard_Cost'!$B$23+AA151*'1. Standard_Cost'!$C$23</f>
        <v>285000</v>
      </c>
      <c r="AC151" s="109"/>
      <c r="AD151" s="110"/>
      <c r="AE151" s="108">
        <v>0</v>
      </c>
      <c r="AF151" s="108">
        <f t="shared" si="152"/>
        <v>285000</v>
      </c>
      <c r="AG151" s="107"/>
      <c r="AH151" s="107"/>
      <c r="AI151" s="107"/>
      <c r="AJ151" s="111"/>
      <c r="AK151" s="111"/>
      <c r="AL151" s="111"/>
      <c r="AM151" s="108">
        <f>AG151*'1. Standard_Cost'!$B$27+'Incremental_Cost Year 3'!AH151*'1. Standard_Cost'!$C$27+'Incremental_Cost Year 3'!AI151*'1. Standard_Cost'!$D$27+'Incremental_Cost Year 3'!AJ151+'Incremental_Cost Year 3'!AL151+AK151</f>
        <v>0</v>
      </c>
      <c r="AN151" s="108">
        <f>AM151*'1. Standard_Cost'!$C$31</f>
        <v>0</v>
      </c>
      <c r="AO151" s="125" t="s">
        <v>374</v>
      </c>
      <c r="AQ151" s="14">
        <f t="shared" si="153"/>
        <v>0</v>
      </c>
      <c r="AR151" s="14">
        <f t="shared" si="154"/>
        <v>285000</v>
      </c>
      <c r="AS151" s="14">
        <f t="shared" si="155"/>
        <v>0</v>
      </c>
      <c r="AT151" s="14">
        <f t="shared" si="157"/>
        <v>285000</v>
      </c>
      <c r="AU151" s="15"/>
      <c r="AV151" s="15"/>
      <c r="AW151" s="15"/>
      <c r="AX151" s="15">
        <v>285000</v>
      </c>
      <c r="AY151" s="15"/>
      <c r="AZ151" s="15"/>
      <c r="BA151" s="15"/>
      <c r="BB151" s="16">
        <f t="shared" si="156"/>
        <v>0</v>
      </c>
      <c r="BE151" s="295"/>
    </row>
    <row r="152" spans="1:57" ht="41.4" customHeight="1" outlineLevel="2">
      <c r="A152" s="98"/>
      <c r="B152" s="102"/>
      <c r="C152" s="23"/>
      <c r="D152" s="269"/>
      <c r="E152" s="271"/>
      <c r="F152" s="161"/>
      <c r="G152" s="161"/>
      <c r="H152" s="303" t="s">
        <v>488</v>
      </c>
      <c r="I152" s="104" t="s">
        <v>1</v>
      </c>
      <c r="J152" s="105">
        <v>1</v>
      </c>
      <c r="K152" s="105">
        <v>3</v>
      </c>
      <c r="L152" s="106">
        <f>IF(I152&lt;&gt;0,((VLOOKUP(I152,'1. Standard_Cost'!$B$4:$D$11,2)+VLOOKUP(I152,'1. Standard_Cost'!$B$4:$D$11,3))*J152*K152),"0")</f>
        <v>215378.57142857142</v>
      </c>
      <c r="M152" s="106">
        <f>L152*'1. Standard_Cost'!$F$4</f>
        <v>35968.221428571429</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52"/>
        <v>0</v>
      </c>
      <c r="AG152" s="107"/>
      <c r="AH152" s="107"/>
      <c r="AI152" s="107"/>
      <c r="AJ152" s="111"/>
      <c r="AK152" s="111"/>
      <c r="AL152" s="111"/>
      <c r="AM152" s="108">
        <f>AG152*'1. Standard_Cost'!$B$27+'Incremental_Cost Year 3'!AH152*'1. Standard_Cost'!$C$27+'Incremental_Cost Year 3'!AI152*'1. Standard_Cost'!$D$27+'Incremental_Cost Year 3'!AJ152+'Incremental_Cost Year 3'!AL152+AK152</f>
        <v>0</v>
      </c>
      <c r="AN152" s="108">
        <f>AM152*'1. Standard_Cost'!$C$31</f>
        <v>0</v>
      </c>
      <c r="AO152" s="125" t="s">
        <v>374</v>
      </c>
      <c r="AQ152" s="14">
        <f t="shared" si="153"/>
        <v>251346.79285714286</v>
      </c>
      <c r="AR152" s="14">
        <f t="shared" si="154"/>
        <v>0</v>
      </c>
      <c r="AS152" s="14">
        <f t="shared" si="155"/>
        <v>0</v>
      </c>
      <c r="AT152" s="14">
        <f t="shared" si="157"/>
        <v>251346.79285714286</v>
      </c>
      <c r="AU152" s="15">
        <v>251346.79285714286</v>
      </c>
      <c r="AV152" s="15"/>
      <c r="AW152" s="15"/>
      <c r="AX152" s="15"/>
      <c r="AY152" s="15"/>
      <c r="AZ152" s="15"/>
      <c r="BA152" s="15"/>
      <c r="BB152" s="16">
        <f t="shared" si="156"/>
        <v>0</v>
      </c>
      <c r="BE152" s="295"/>
    </row>
    <row r="153" spans="1:57" ht="234" outlineLevel="2">
      <c r="A153" s="98"/>
      <c r="B153" s="102"/>
      <c r="C153" s="23"/>
      <c r="D153" s="269"/>
      <c r="E153" s="271"/>
      <c r="F153" s="250"/>
      <c r="G153" s="255"/>
      <c r="H153" s="302" t="s">
        <v>495</v>
      </c>
      <c r="I153" s="104" t="s">
        <v>4</v>
      </c>
      <c r="J153" s="105">
        <v>0.4</v>
      </c>
      <c r="K153" s="105">
        <v>3</v>
      </c>
      <c r="L153" s="106">
        <f>IF(I153&lt;&gt;0,((VLOOKUP(I153,'1. Standard_Cost'!$B$4:$D$11,2)+VLOOKUP(I153,'1. Standard_Cost'!$B$4:$D$11,3))*J153*K153),"0")</f>
        <v>96900</v>
      </c>
      <c r="M153" s="106">
        <f>L153*'1. Standard_Cost'!$F$4</f>
        <v>16182.300000000001</v>
      </c>
      <c r="N153" s="107">
        <v>10</v>
      </c>
      <c r="O153" s="107">
        <v>2</v>
      </c>
      <c r="P153" s="107">
        <v>10</v>
      </c>
      <c r="Q153" s="107"/>
      <c r="R153" s="108">
        <v>0</v>
      </c>
      <c r="S153" s="108">
        <v>0</v>
      </c>
      <c r="T153" s="108">
        <f>N153*P153*Q153*'1. Standard_Cost'!$D$15</f>
        <v>0</v>
      </c>
      <c r="U153" s="108">
        <v>0</v>
      </c>
      <c r="V153" s="107"/>
      <c r="W153" s="107"/>
      <c r="X153" s="107"/>
      <c r="Y153" s="108">
        <f>+V153*((X153*'1. Standard_Cost'!$B$19)+(W153*X153*'1. Standard_Cost'!$C$19))</f>
        <v>0</v>
      </c>
      <c r="Z153" s="107"/>
      <c r="AA153" s="107">
        <f>2*10+2</f>
        <v>22</v>
      </c>
      <c r="AB153" s="108">
        <f>+Z153*'1. Standard_Cost'!$B$23+AA153*'1. Standard_Cost'!$C$23</f>
        <v>418000</v>
      </c>
      <c r="AC153" s="109">
        <f>105*2*3500+105*2*300+700000+500000</f>
        <v>1998000</v>
      </c>
      <c r="AD153" s="110"/>
      <c r="AE153" s="108">
        <v>0</v>
      </c>
      <c r="AF153" s="108">
        <f t="shared" si="152"/>
        <v>2416000</v>
      </c>
      <c r="AG153" s="107"/>
      <c r="AH153" s="107"/>
      <c r="AI153" s="107"/>
      <c r="AJ153" s="111"/>
      <c r="AK153" s="111"/>
      <c r="AL153" s="111"/>
      <c r="AM153" s="108">
        <f>AG153*'1. Standard_Cost'!$B$27+'Incremental_Cost Year 3'!AH153*'1. Standard_Cost'!$C$27+'Incremental_Cost Year 3'!AI153*'1. Standard_Cost'!$D$27+'Incremental_Cost Year 3'!AJ153+'Incremental_Cost Year 3'!AL153+AK153</f>
        <v>0</v>
      </c>
      <c r="AN153" s="108">
        <f>AM153*'1. Standard_Cost'!$C$31</f>
        <v>0</v>
      </c>
      <c r="AO153" s="125" t="s">
        <v>313</v>
      </c>
      <c r="AQ153" s="14">
        <f t="shared" si="153"/>
        <v>113082.3</v>
      </c>
      <c r="AR153" s="14">
        <f t="shared" si="154"/>
        <v>2416000</v>
      </c>
      <c r="AS153" s="14">
        <f t="shared" si="155"/>
        <v>0</v>
      </c>
      <c r="AT153" s="14">
        <f t="shared" si="157"/>
        <v>2529082.2999999998</v>
      </c>
      <c r="AU153" s="15">
        <v>113082.3</v>
      </c>
      <c r="AV153" s="15"/>
      <c r="AW153" s="15"/>
      <c r="AX153" s="15">
        <v>2416000</v>
      </c>
      <c r="AY153" s="15">
        <v>0</v>
      </c>
      <c r="AZ153" s="15">
        <v>0</v>
      </c>
      <c r="BA153" s="15"/>
      <c r="BB153" s="16">
        <f t="shared" si="156"/>
        <v>0</v>
      </c>
      <c r="BE153" s="295"/>
    </row>
    <row r="154" spans="1:57" ht="140.4" outlineLevel="2">
      <c r="A154" s="98"/>
      <c r="B154" s="102"/>
      <c r="C154" s="23"/>
      <c r="D154" s="269"/>
      <c r="E154" s="271"/>
      <c r="F154" s="250"/>
      <c r="G154" s="255"/>
      <c r="H154" s="302" t="s">
        <v>496</v>
      </c>
      <c r="I154" s="104" t="s">
        <v>4</v>
      </c>
      <c r="J154" s="105">
        <v>2</v>
      </c>
      <c r="K154" s="105">
        <v>2</v>
      </c>
      <c r="L154" s="106">
        <f>IF(I154&lt;&gt;0,((VLOOKUP(I154,'1. Standard_Cost'!$B$4:$D$11,2)+VLOOKUP(I154,'1. Standard_Cost'!$B$4:$D$11,3))*J154*K154),"0")</f>
        <v>323000</v>
      </c>
      <c r="M154" s="106">
        <f>L154*'1. Standard_Cost'!$F$4</f>
        <v>53941</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c r="AB154" s="108">
        <f>+Z154*'1. Standard_Cost'!$B$23+AA154*'1. Standard_Cost'!$C$23</f>
        <v>0</v>
      </c>
      <c r="AC154" s="109"/>
      <c r="AD154" s="110"/>
      <c r="AE154" s="108">
        <f>SUM(AD154,AC154,AB154,Y154,U154,T154,S154,R154)*'1. Standard_Cost'!$B$31</f>
        <v>0</v>
      </c>
      <c r="AF154" s="108">
        <f t="shared" si="152"/>
        <v>0</v>
      </c>
      <c r="AG154" s="107"/>
      <c r="AH154" s="107"/>
      <c r="AI154" s="107"/>
      <c r="AJ154" s="111"/>
      <c r="AK154" s="111"/>
      <c r="AL154" s="111"/>
      <c r="AM154" s="108">
        <f>AG154*'1. Standard_Cost'!$B$27+'Incremental_Cost Year 3'!AH154*'1. Standard_Cost'!$C$27+'Incremental_Cost Year 3'!AI154*'1. Standard_Cost'!$D$27+'Incremental_Cost Year 3'!AJ154+'Incremental_Cost Year 3'!AL154+AK154</f>
        <v>0</v>
      </c>
      <c r="AN154" s="108">
        <f>AM154*'1. Standard_Cost'!$C$31</f>
        <v>0</v>
      </c>
      <c r="AO154" s="125" t="s">
        <v>375</v>
      </c>
      <c r="AQ154" s="14">
        <f t="shared" si="153"/>
        <v>376941</v>
      </c>
      <c r="AR154" s="14">
        <f t="shared" si="154"/>
        <v>0</v>
      </c>
      <c r="AS154" s="14">
        <f t="shared" si="155"/>
        <v>0</v>
      </c>
      <c r="AT154" s="14">
        <f t="shared" si="157"/>
        <v>376941</v>
      </c>
      <c r="AU154" s="15">
        <v>376941</v>
      </c>
      <c r="AV154" s="15"/>
      <c r="AW154" s="15"/>
      <c r="AX154" s="15"/>
      <c r="AY154" s="15"/>
      <c r="AZ154" s="15"/>
      <c r="BA154" s="15"/>
      <c r="BB154" s="16">
        <f t="shared" si="156"/>
        <v>0</v>
      </c>
      <c r="BE154" s="295"/>
    </row>
    <row r="155" spans="1:57" ht="31.2" outlineLevel="2">
      <c r="A155" s="98"/>
      <c r="B155" s="102"/>
      <c r="C155" s="23"/>
      <c r="D155" s="269"/>
      <c r="E155" s="271"/>
      <c r="F155" s="250"/>
      <c r="G155" s="255"/>
      <c r="H155" s="304" t="s">
        <v>489</v>
      </c>
      <c r="I155" s="104" t="s">
        <v>4</v>
      </c>
      <c r="J155" s="105">
        <v>2</v>
      </c>
      <c r="K155" s="105">
        <v>2</v>
      </c>
      <c r="L155" s="106">
        <f>IF(I155&lt;&gt;0,((VLOOKUP(I155,'1. Standard_Cost'!$B$4:$D$11,2)+VLOOKUP(I155,'1. Standard_Cost'!$B$4:$D$11,3))*J155*K155),"0")</f>
        <v>323000</v>
      </c>
      <c r="M155" s="106">
        <f>L155*'1. Standard_Cost'!$F$4</f>
        <v>53941</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v>5</v>
      </c>
      <c r="AB155" s="108">
        <f>+Z155*'[1]1. Standard_Cost'!$B$23+AA155*'[1]1. Standard_Cost'!$C$23</f>
        <v>95000</v>
      </c>
      <c r="AC155" s="109"/>
      <c r="AD155" s="110"/>
      <c r="AE155" s="108">
        <v>0</v>
      </c>
      <c r="AF155" s="108">
        <f t="shared" si="152"/>
        <v>95000</v>
      </c>
      <c r="AG155" s="107"/>
      <c r="AH155" s="107"/>
      <c r="AI155" s="107"/>
      <c r="AJ155" s="111"/>
      <c r="AK155" s="111"/>
      <c r="AL155" s="111"/>
      <c r="AM155" s="108">
        <f>AG155*'1. Standard_Cost'!$B$27+'Incremental_Cost Year 3'!AH155*'1. Standard_Cost'!$C$27+'Incremental_Cost Year 3'!AI155*'1. Standard_Cost'!$D$27+'Incremental_Cost Year 3'!AJ155+'Incremental_Cost Year 3'!AL155+AK155</f>
        <v>0</v>
      </c>
      <c r="AN155" s="108">
        <f>AM155*'1. Standard_Cost'!$C$31</f>
        <v>0</v>
      </c>
      <c r="AO155" s="125" t="s">
        <v>376</v>
      </c>
      <c r="AQ155" s="14">
        <f t="shared" si="153"/>
        <v>376941</v>
      </c>
      <c r="AR155" s="14">
        <f t="shared" si="154"/>
        <v>95000</v>
      </c>
      <c r="AS155" s="14">
        <f t="shared" si="155"/>
        <v>0</v>
      </c>
      <c r="AT155" s="14">
        <f t="shared" si="157"/>
        <v>471941</v>
      </c>
      <c r="AU155" s="15">
        <v>376941</v>
      </c>
      <c r="AV155" s="15"/>
      <c r="AW155" s="15"/>
      <c r="AX155" s="15"/>
      <c r="AY155" s="15"/>
      <c r="AZ155" s="15"/>
      <c r="BA155" s="15"/>
      <c r="BB155" s="16">
        <f t="shared" si="156"/>
        <v>-95000</v>
      </c>
      <c r="BE155" s="295"/>
    </row>
    <row r="156" spans="1:57" ht="78" outlineLevel="2">
      <c r="A156" s="98"/>
      <c r="B156" s="102"/>
      <c r="C156" s="23"/>
      <c r="D156" s="269"/>
      <c r="E156" s="271"/>
      <c r="F156" s="250"/>
      <c r="G156" s="255"/>
      <c r="H156" s="302" t="s">
        <v>497</v>
      </c>
      <c r="I156" s="104" t="s">
        <v>4</v>
      </c>
      <c r="J156" s="105">
        <v>2</v>
      </c>
      <c r="K156" s="105">
        <v>2</v>
      </c>
      <c r="L156" s="106">
        <f>IF(I156&lt;&gt;0,((VLOOKUP(I156,'1. Standard_Cost'!$B$4:$D$11,2)+VLOOKUP(I156,'1. Standard_Cost'!$B$4:$D$11,3))*J156*K156),"0")</f>
        <v>323000</v>
      </c>
      <c r="M156" s="106">
        <f>L156*'1. Standard_Cost'!$F$4</f>
        <v>53941</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v>10</v>
      </c>
      <c r="AB156" s="108">
        <f>+Z156*'1. Standard_Cost'!$B$23+AA156*'1. Standard_Cost'!$C$23</f>
        <v>190000</v>
      </c>
      <c r="AC156" s="109">
        <f>10*300</f>
        <v>3000</v>
      </c>
      <c r="AD156" s="110"/>
      <c r="AE156" s="108">
        <v>0</v>
      </c>
      <c r="AF156" s="108">
        <f t="shared" si="152"/>
        <v>193000</v>
      </c>
      <c r="AG156" s="107"/>
      <c r="AH156" s="107"/>
      <c r="AI156" s="107"/>
      <c r="AJ156" s="111"/>
      <c r="AK156" s="111"/>
      <c r="AL156" s="111"/>
      <c r="AM156" s="108">
        <f>AG156*'1. Standard_Cost'!$B$27+'Incremental_Cost Year 3'!AH156*'1. Standard_Cost'!$C$27+'Incremental_Cost Year 3'!AI156*'1. Standard_Cost'!$D$27+'Incremental_Cost Year 3'!AJ156+'Incremental_Cost Year 3'!AL156+AK156</f>
        <v>0</v>
      </c>
      <c r="AN156" s="108">
        <f>AM156*'1. Standard_Cost'!$C$31</f>
        <v>0</v>
      </c>
      <c r="AO156" s="125" t="s">
        <v>377</v>
      </c>
      <c r="AQ156" s="14">
        <f t="shared" si="153"/>
        <v>376941</v>
      </c>
      <c r="AR156" s="14">
        <f t="shared" si="154"/>
        <v>193000</v>
      </c>
      <c r="AS156" s="14">
        <f t="shared" si="155"/>
        <v>0</v>
      </c>
      <c r="AT156" s="14">
        <f t="shared" si="157"/>
        <v>569941</v>
      </c>
      <c r="AU156" s="15">
        <v>376941</v>
      </c>
      <c r="AV156" s="15"/>
      <c r="AW156" s="15"/>
      <c r="AX156" s="15"/>
      <c r="AY156" s="15"/>
      <c r="AZ156" s="15">
        <v>193000</v>
      </c>
      <c r="BA156" s="15"/>
      <c r="BB156" s="16">
        <f t="shared" si="156"/>
        <v>0</v>
      </c>
      <c r="BE156" s="295"/>
    </row>
    <row r="157" spans="1:57" ht="93.6" outlineLevel="2">
      <c r="A157" s="98"/>
      <c r="B157" s="102"/>
      <c r="C157" s="23"/>
      <c r="D157" s="269"/>
      <c r="E157" s="271"/>
      <c r="F157" s="250"/>
      <c r="G157" s="255"/>
      <c r="H157" s="302" t="s">
        <v>498</v>
      </c>
      <c r="I157" s="104"/>
      <c r="J157" s="105"/>
      <c r="K157" s="105"/>
      <c r="L157" s="106" t="str">
        <f>IF(I157&lt;&gt;0,((VLOOKUP(I157,'1. Standard_Cost'!$B$4:$D$11,2)+VLOOKUP(I157,'1. Standard_Cost'!$B$4:$D$11,3))*J157*K157),"0")</f>
        <v>0</v>
      </c>
      <c r="M157" s="106">
        <f>L157*'1. Standard_Cost'!$F$4</f>
        <v>0</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152"/>
        <v>0</v>
      </c>
      <c r="AG157" s="107"/>
      <c r="AH157" s="107"/>
      <c r="AI157" s="107"/>
      <c r="AJ157" s="111"/>
      <c r="AK157" s="111"/>
      <c r="AL157" s="111"/>
      <c r="AM157" s="108">
        <f>AG157*'1. Standard_Cost'!$B$27+'Incremental_Cost Year 3'!AH157*'1. Standard_Cost'!$C$27+'Incremental_Cost Year 3'!AI157*'1. Standard_Cost'!$D$27+'Incremental_Cost Year 3'!AJ157+'Incremental_Cost Year 3'!AL157+AK157</f>
        <v>0</v>
      </c>
      <c r="AN157" s="108">
        <f>AM157*'1. Standard_Cost'!$C$31</f>
        <v>0</v>
      </c>
      <c r="AO157" s="125" t="s">
        <v>378</v>
      </c>
      <c r="AQ157" s="14">
        <f t="shared" si="153"/>
        <v>0</v>
      </c>
      <c r="AR157" s="14">
        <f t="shared" si="154"/>
        <v>0</v>
      </c>
      <c r="AS157" s="14">
        <f t="shared" si="155"/>
        <v>0</v>
      </c>
      <c r="AT157" s="14">
        <f t="shared" si="157"/>
        <v>0</v>
      </c>
      <c r="AU157" s="15">
        <v>0</v>
      </c>
      <c r="AV157" s="15"/>
      <c r="AW157" s="15"/>
      <c r="AX157" s="15"/>
      <c r="AY157" s="15"/>
      <c r="AZ157" s="15"/>
      <c r="BA157" s="15"/>
      <c r="BB157" s="16">
        <f t="shared" si="156"/>
        <v>0</v>
      </c>
      <c r="BE157" s="295"/>
    </row>
    <row r="158" spans="1:57" ht="109.2" outlineLevel="2">
      <c r="A158" s="98"/>
      <c r="B158" s="102"/>
      <c r="C158" s="23"/>
      <c r="D158" s="269"/>
      <c r="E158" s="271"/>
      <c r="F158" s="250"/>
      <c r="G158" s="255"/>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12</v>
      </c>
      <c r="AB158" s="108">
        <f>+Z158*'1. Standard_Cost'!$B$23+AA158*'1. Standard_Cost'!$C$23</f>
        <v>228000</v>
      </c>
      <c r="AC158" s="109">
        <f>10*15*3500+10*15*300</f>
        <v>570000</v>
      </c>
      <c r="AD158" s="110"/>
      <c r="AE158" s="108">
        <f>SUM(AD158,AC158,AB158,Y158,U158,T158,S158,R158)*'1. Standard_Cost'!$B$31</f>
        <v>159600</v>
      </c>
      <c r="AF158" s="108">
        <f t="shared" si="152"/>
        <v>957600</v>
      </c>
      <c r="AG158" s="107"/>
      <c r="AH158" s="107"/>
      <c r="AI158" s="107"/>
      <c r="AJ158" s="111"/>
      <c r="AK158" s="111"/>
      <c r="AL158" s="111"/>
      <c r="AM158" s="108">
        <f>AG158*'1. Standard_Cost'!$B$27+'Incremental_Cost Year 3'!AH158*'1. Standard_Cost'!$C$27+'Incremental_Cost Year 3'!AI158*'1. Standard_Cost'!$D$27+'Incremental_Cost Year 3'!AJ158+'Incremental_Cost Year 3'!AL158+AK158</f>
        <v>0</v>
      </c>
      <c r="AN158" s="108">
        <f>AM158*'1. Standard_Cost'!$C$31</f>
        <v>0</v>
      </c>
      <c r="AO158" s="125" t="s">
        <v>379</v>
      </c>
      <c r="AQ158" s="14">
        <f t="shared" si="153"/>
        <v>37694.1</v>
      </c>
      <c r="AR158" s="14">
        <f t="shared" si="154"/>
        <v>957600</v>
      </c>
      <c r="AS158" s="14">
        <f t="shared" si="155"/>
        <v>0</v>
      </c>
      <c r="AT158" s="14">
        <f t="shared" si="157"/>
        <v>995294.1</v>
      </c>
      <c r="AU158" s="15">
        <v>37694.1</v>
      </c>
      <c r="AV158" s="15"/>
      <c r="AW158" s="15"/>
      <c r="AX158" s="15"/>
      <c r="AY158" s="15"/>
      <c r="AZ158" s="15"/>
      <c r="BA158" s="15"/>
      <c r="BB158" s="16">
        <f t="shared" si="156"/>
        <v>-957600</v>
      </c>
      <c r="BE158" s="295"/>
    </row>
    <row r="159" spans="1:57" ht="124.8" outlineLevel="2">
      <c r="A159" s="98"/>
      <c r="B159" s="102"/>
      <c r="C159" s="23"/>
      <c r="D159" s="269"/>
      <c r="E159" s="271"/>
      <c r="F159" s="250"/>
      <c r="G159" s="255"/>
      <c r="H159" s="302" t="s">
        <v>500</v>
      </c>
      <c r="I159" s="104" t="s">
        <v>559</v>
      </c>
      <c r="J159" s="105">
        <v>2</v>
      </c>
      <c r="K159" s="105">
        <v>2</v>
      </c>
      <c r="L159" s="106">
        <f>IF(I159&lt;&gt;0,((VLOOKUP(I159,'1. Standard_Cost'!$B$4:$D$11,2)+VLOOKUP(I159,'1. Standard_Cost'!$B$4:$D$11,3))*J159*K159),"0")</f>
        <v>323000</v>
      </c>
      <c r="M159" s="106">
        <f>L159*'1. Standard_Cost'!$F$4</f>
        <v>53941</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v>5</v>
      </c>
      <c r="AB159" s="108">
        <f>+Z159*'1. Standard_Cost'!$B$23+AA159*'1. Standard_Cost'!$C$23</f>
        <v>95000</v>
      </c>
      <c r="AC159" s="109">
        <f>10*300*2+200*300</f>
        <v>66000</v>
      </c>
      <c r="AD159" s="110"/>
      <c r="AE159" s="108">
        <f>SUM(AD159,AC159,AB159,Y159,U159,T159,S159,R159)*'1. Standard_Cost'!$B$31</f>
        <v>32200</v>
      </c>
      <c r="AF159" s="108">
        <f t="shared" si="152"/>
        <v>193200</v>
      </c>
      <c r="AG159" s="107"/>
      <c r="AH159" s="107"/>
      <c r="AI159" s="107"/>
      <c r="AJ159" s="111"/>
      <c r="AK159" s="111"/>
      <c r="AL159" s="111"/>
      <c r="AM159" s="108">
        <f>AG159*'1. Standard_Cost'!$B$27+'Incremental_Cost Year 3'!AH159*'1. Standard_Cost'!$C$27+'Incremental_Cost Year 3'!AI159*'1. Standard_Cost'!$D$27+'Incremental_Cost Year 3'!AJ159+'Incremental_Cost Year 3'!AL159+AK159</f>
        <v>0</v>
      </c>
      <c r="AN159" s="108">
        <f>AM159*'1. Standard_Cost'!$C$31</f>
        <v>0</v>
      </c>
      <c r="AO159" s="125" t="s">
        <v>380</v>
      </c>
      <c r="AQ159" s="14">
        <f t="shared" si="153"/>
        <v>376941</v>
      </c>
      <c r="AR159" s="14">
        <f t="shared" si="154"/>
        <v>193200</v>
      </c>
      <c r="AS159" s="14">
        <f t="shared" si="155"/>
        <v>0</v>
      </c>
      <c r="AT159" s="14">
        <f t="shared" si="157"/>
        <v>570141</v>
      </c>
      <c r="AU159" s="15">
        <v>376941</v>
      </c>
      <c r="AV159" s="15"/>
      <c r="AW159" s="15"/>
      <c r="AX159" s="15"/>
      <c r="AY159" s="15"/>
      <c r="AZ159" s="15"/>
      <c r="BA159" s="15"/>
      <c r="BB159" s="16">
        <f t="shared" si="156"/>
        <v>-193200</v>
      </c>
      <c r="BE159" s="295"/>
    </row>
    <row r="160" spans="1:57" ht="62.4" outlineLevel="2">
      <c r="A160" s="98"/>
      <c r="B160" s="102"/>
      <c r="C160" s="23"/>
      <c r="D160" s="269"/>
      <c r="E160" s="271"/>
      <c r="F160" s="250"/>
      <c r="G160" s="177"/>
      <c r="H160" s="302" t="s">
        <v>501</v>
      </c>
      <c r="I160" s="104" t="s">
        <v>4</v>
      </c>
      <c r="J160" s="105">
        <v>0.5</v>
      </c>
      <c r="K160" s="105">
        <v>2</v>
      </c>
      <c r="L160" s="106">
        <f>IF(I160&lt;&gt;0,((VLOOKUP(I160,'1. Standard_Cost'!$B$4:$D$11,2)+VLOOKUP(I160,'1. Standard_Cost'!$B$4:$D$11,3))*J160*K160),"0")</f>
        <v>80750</v>
      </c>
      <c r="M160" s="106">
        <f>L160*'1. Standard_Cost'!$F$4</f>
        <v>13485.25</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v>15</v>
      </c>
      <c r="AB160" s="108">
        <f>+Z160*'1. Standard_Cost'!$B$23+AA160*'1. Standard_Cost'!$C$23</f>
        <v>285000</v>
      </c>
      <c r="AC160" s="109"/>
      <c r="AD160" s="110"/>
      <c r="AE160" s="108">
        <v>0</v>
      </c>
      <c r="AF160" s="108">
        <f t="shared" si="152"/>
        <v>285000</v>
      </c>
      <c r="AG160" s="107"/>
      <c r="AH160" s="107"/>
      <c r="AI160" s="107"/>
      <c r="AJ160" s="111"/>
      <c r="AK160" s="111"/>
      <c r="AL160" s="111"/>
      <c r="AM160" s="108">
        <f>AG160*'1. Standard_Cost'!$B$27+'Incremental_Cost Year 3'!AH160*'1. Standard_Cost'!$C$27+'Incremental_Cost Year 3'!AI160*'1. Standard_Cost'!$D$27+'Incremental_Cost Year 3'!AJ160+'Incremental_Cost Year 3'!AL160+AK160</f>
        <v>0</v>
      </c>
      <c r="AN160" s="108">
        <f>AM160*'1. Standard_Cost'!$C$31</f>
        <v>0</v>
      </c>
      <c r="AO160" s="125" t="s">
        <v>381</v>
      </c>
      <c r="AQ160" s="14">
        <f t="shared" si="153"/>
        <v>94235.25</v>
      </c>
      <c r="AR160" s="14">
        <f t="shared" si="154"/>
        <v>285000</v>
      </c>
      <c r="AS160" s="14">
        <f t="shared" si="155"/>
        <v>0</v>
      </c>
      <c r="AT160" s="14">
        <f t="shared" si="157"/>
        <v>379235.25</v>
      </c>
      <c r="AU160" s="15">
        <v>94235.25</v>
      </c>
      <c r="AV160" s="15"/>
      <c r="AW160" s="15"/>
      <c r="AX160" s="15"/>
      <c r="AY160" s="15"/>
      <c r="AZ160" s="15"/>
      <c r="BA160" s="15"/>
      <c r="BB160" s="16">
        <f t="shared" si="156"/>
        <v>-285000</v>
      </c>
      <c r="BE160" s="295"/>
    </row>
    <row r="161" spans="1:57" ht="78" outlineLevel="2">
      <c r="A161" s="98"/>
      <c r="B161" s="102"/>
      <c r="C161" s="23"/>
      <c r="D161" s="269"/>
      <c r="E161" s="271"/>
      <c r="F161" s="250"/>
      <c r="G161" s="255"/>
      <c r="H161" s="302" t="s">
        <v>502</v>
      </c>
      <c r="I161" s="104" t="s">
        <v>4</v>
      </c>
      <c r="J161" s="105">
        <v>0.2</v>
      </c>
      <c r="K161" s="105">
        <v>1</v>
      </c>
      <c r="L161" s="106">
        <f>IF(I161&lt;&gt;0,((VLOOKUP(I161,'1. Standard_Cost'!$B$4:$D$11,2)+VLOOKUP(I161,'1. Standard_Cost'!$B$4:$D$11,3))*J161*K161),"0")</f>
        <v>16150</v>
      </c>
      <c r="M161" s="106">
        <f>L161*'1. Standard_Cost'!$F$4</f>
        <v>2697.05</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f>2000000+100*500</f>
        <v>2050000</v>
      </c>
      <c r="AD161" s="110"/>
      <c r="AE161" s="108">
        <f>SUM(AD161,AC161,AB161,Y161,U161,T161,S161,R161)*'1. Standard_Cost'!$B$31</f>
        <v>410000</v>
      </c>
      <c r="AF161" s="108">
        <f t="shared" si="152"/>
        <v>2460000</v>
      </c>
      <c r="AG161" s="107"/>
      <c r="AH161" s="107"/>
      <c r="AI161" s="107"/>
      <c r="AJ161" s="111"/>
      <c r="AK161" s="111"/>
      <c r="AL161" s="111"/>
      <c r="AM161" s="108">
        <f>AG161*'1. Standard_Cost'!$B$27+'Incremental_Cost Year 3'!AH161*'1. Standard_Cost'!$C$27+'Incremental_Cost Year 3'!AI161*'1. Standard_Cost'!$D$27+'Incremental_Cost Year 3'!AJ161+'Incremental_Cost Year 3'!AL161+AK161</f>
        <v>0</v>
      </c>
      <c r="AN161" s="108">
        <f>AM161*'1. Standard_Cost'!$C$31</f>
        <v>0</v>
      </c>
      <c r="AO161" s="125" t="s">
        <v>277</v>
      </c>
      <c r="AQ161" s="14">
        <f t="shared" si="153"/>
        <v>18847.05</v>
      </c>
      <c r="AR161" s="14">
        <f t="shared" si="154"/>
        <v>2460000</v>
      </c>
      <c r="AS161" s="14">
        <f t="shared" si="155"/>
        <v>0</v>
      </c>
      <c r="AT161" s="14">
        <f t="shared" si="157"/>
        <v>2478847.0499999998</v>
      </c>
      <c r="AU161" s="15">
        <v>18847.05</v>
      </c>
      <c r="AV161" s="15"/>
      <c r="AW161" s="15"/>
      <c r="AX161" s="15"/>
      <c r="AY161" s="15"/>
      <c r="AZ161" s="15"/>
      <c r="BA161" s="15"/>
      <c r="BB161" s="16">
        <f t="shared" si="156"/>
        <v>-2460000</v>
      </c>
      <c r="BE161" s="295"/>
    </row>
    <row r="162" spans="1:57" ht="93.6" outlineLevel="2">
      <c r="A162" s="98"/>
      <c r="B162" s="102"/>
      <c r="C162" s="23"/>
      <c r="D162" s="251"/>
      <c r="E162" s="251"/>
      <c r="F162" s="251"/>
      <c r="G162" s="250"/>
      <c r="H162" s="302" t="s">
        <v>503</v>
      </c>
      <c r="I162" s="104"/>
      <c r="J162" s="105"/>
      <c r="K162" s="105"/>
      <c r="L162" s="106" t="str">
        <f>IF(I162&lt;&gt;0,((VLOOKUP(I162,'1. Standard_Cost'!$B$4:$D$11,2)+VLOOKUP(I162,'1. Standard_Cost'!$B$4:$D$11,3))*J162*K162),"0")</f>
        <v>0</v>
      </c>
      <c r="M162" s="106">
        <f>L162*'1. Standard_Cost'!$F$4</f>
        <v>0</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c r="AB162" s="108">
        <f>+Z162*'1. Standard_Cost'!$B$23+AA162*'1. Standard_Cost'!$C$23</f>
        <v>0</v>
      </c>
      <c r="AC162" s="109"/>
      <c r="AD162" s="110"/>
      <c r="AE162" s="108">
        <f>SUM(AD162,AC162,AB162,Y162,U162,T162,S162,R162)*'1. Standard_Cost'!$B$31</f>
        <v>0</v>
      </c>
      <c r="AF162" s="108">
        <f t="shared" si="152"/>
        <v>0</v>
      </c>
      <c r="AG162" s="107"/>
      <c r="AH162" s="107"/>
      <c r="AI162" s="107"/>
      <c r="AJ162" s="111"/>
      <c r="AK162" s="111"/>
      <c r="AL162" s="111"/>
      <c r="AM162" s="108">
        <f>AG162*'1. Standard_Cost'!$B$27+'Incremental_Cost Year 3'!AH162*'1. Standard_Cost'!$C$27+'Incremental_Cost Year 3'!AI162*'1. Standard_Cost'!$D$27+'Incremental_Cost Year 3'!AJ162+'Incremental_Cost Year 3'!AL162+AK162</f>
        <v>0</v>
      </c>
      <c r="AN162" s="108">
        <f>AM162*'1. Standard_Cost'!$C$31</f>
        <v>0</v>
      </c>
      <c r="AO162" s="125" t="s">
        <v>382</v>
      </c>
      <c r="AQ162" s="14">
        <f t="shared" si="153"/>
        <v>0</v>
      </c>
      <c r="AR162" s="14">
        <f t="shared" si="154"/>
        <v>0</v>
      </c>
      <c r="AS162" s="14">
        <f t="shared" si="155"/>
        <v>0</v>
      </c>
      <c r="AT162" s="14">
        <f t="shared" si="157"/>
        <v>0</v>
      </c>
      <c r="AU162" s="15">
        <v>0</v>
      </c>
      <c r="AV162" s="15"/>
      <c r="AW162" s="15"/>
      <c r="AX162" s="15"/>
      <c r="AY162" s="15"/>
      <c r="AZ162" s="15"/>
      <c r="BA162" s="15"/>
      <c r="BB162" s="16">
        <f t="shared" si="156"/>
        <v>0</v>
      </c>
      <c r="BE162" s="295"/>
    </row>
    <row r="163" spans="1:57" ht="32.25" customHeight="1" outlineLevel="2">
      <c r="A163" s="98"/>
      <c r="B163" s="102"/>
      <c r="C163" s="23"/>
      <c r="D163" s="251"/>
      <c r="E163" s="251"/>
      <c r="F163" s="251"/>
      <c r="G163" s="250"/>
      <c r="H163" s="302" t="s">
        <v>504</v>
      </c>
      <c r="I163" s="104" t="s">
        <v>4</v>
      </c>
      <c r="J163" s="105">
        <v>1</v>
      </c>
      <c r="K163" s="105">
        <v>3</v>
      </c>
      <c r="L163" s="106">
        <f>IF(I163&lt;&gt;0,((VLOOKUP(I163,'1. Standard_Cost'!$B$4:$D$11,2)+VLOOKUP(I163,'1. Standard_Cost'!$B$4:$D$11,3))*J163*K163),"0")</f>
        <v>242250</v>
      </c>
      <c r="M163" s="106">
        <f>L163*'1. Standard_Cost'!$F$4</f>
        <v>40455.75</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152"/>
        <v>0</v>
      </c>
      <c r="AG163" s="107"/>
      <c r="AH163" s="107"/>
      <c r="AI163" s="107"/>
      <c r="AJ163" s="111"/>
      <c r="AK163" s="111"/>
      <c r="AL163" s="111"/>
      <c r="AM163" s="108">
        <f>AG163*'1. Standard_Cost'!$B$27+'Incremental_Cost Year 3'!AH163*'1. Standard_Cost'!$C$27+'Incremental_Cost Year 3'!AI163*'1. Standard_Cost'!$D$27+'Incremental_Cost Year 3'!AJ163+'Incremental_Cost Year 3'!AL163+AK163</f>
        <v>0</v>
      </c>
      <c r="AN163" s="108">
        <f>AM163*'1. Standard_Cost'!$C$31</f>
        <v>0</v>
      </c>
      <c r="AO163" s="125" t="s">
        <v>383</v>
      </c>
      <c r="AQ163" s="14">
        <f t="shared" si="153"/>
        <v>282705.75</v>
      </c>
      <c r="AR163" s="14">
        <f t="shared" si="154"/>
        <v>0</v>
      </c>
      <c r="AS163" s="14">
        <f t="shared" si="155"/>
        <v>0</v>
      </c>
      <c r="AT163" s="14">
        <f t="shared" si="157"/>
        <v>282705.75</v>
      </c>
      <c r="AU163" s="15">
        <v>282705.75</v>
      </c>
      <c r="AV163" s="15"/>
      <c r="AW163" s="15"/>
      <c r="AX163" s="15"/>
      <c r="AY163" s="15"/>
      <c r="AZ163" s="15"/>
      <c r="BA163" s="15"/>
      <c r="BB163" s="16">
        <f t="shared" si="156"/>
        <v>0</v>
      </c>
      <c r="BE163" s="295"/>
    </row>
    <row r="164" spans="1:57" ht="45" customHeight="1" outlineLevel="2">
      <c r="A164" s="98"/>
      <c r="B164" s="102"/>
      <c r="C164" s="23"/>
      <c r="D164" s="251"/>
      <c r="E164" s="251"/>
      <c r="F164" s="251"/>
      <c r="G164" s="250"/>
      <c r="H164" s="302" t="s">
        <v>505</v>
      </c>
      <c r="I164" s="104" t="s">
        <v>4</v>
      </c>
      <c r="J164" s="105">
        <v>2</v>
      </c>
      <c r="K164" s="105">
        <v>1</v>
      </c>
      <c r="L164" s="106">
        <f>IF(I164&lt;&gt;0,((VLOOKUP(I164,'1. Standard_Cost'!$B$4:$D$11,2)+VLOOKUP(I164,'1. Standard_Cost'!$B$4:$D$11,3))*J164*K164),"0")</f>
        <v>161500</v>
      </c>
      <c r="M164" s="106">
        <f>L164*'1. Standard_Cost'!$F$4</f>
        <v>26970.5</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v>5</v>
      </c>
      <c r="AB164" s="108">
        <f>+Z164*'1. Standard_Cost'!$B$23+AA164*'1. Standard_Cost'!$C$23</f>
        <v>95000</v>
      </c>
      <c r="AC164" s="109"/>
      <c r="AD164" s="110"/>
      <c r="AE164" s="108">
        <v>0</v>
      </c>
      <c r="AF164" s="108">
        <f t="shared" si="152"/>
        <v>95000</v>
      </c>
      <c r="AG164" s="107"/>
      <c r="AH164" s="107"/>
      <c r="AI164" s="107"/>
      <c r="AJ164" s="111"/>
      <c r="AK164" s="111"/>
      <c r="AL164" s="111"/>
      <c r="AM164" s="108">
        <f>AG164*'1. Standard_Cost'!$B$27+'Incremental_Cost Year 3'!AH164*'1. Standard_Cost'!$C$27+'Incremental_Cost Year 3'!AI164*'1. Standard_Cost'!$D$27+'Incremental_Cost Year 3'!AJ164+'Incremental_Cost Year 3'!AL164+AK164</f>
        <v>0</v>
      </c>
      <c r="AN164" s="108">
        <f>AM164*'1. Standard_Cost'!$C$31</f>
        <v>0</v>
      </c>
      <c r="AO164" s="125" t="s">
        <v>384</v>
      </c>
      <c r="AQ164" s="14">
        <f t="shared" si="153"/>
        <v>188470.5</v>
      </c>
      <c r="AR164" s="14">
        <f t="shared" si="154"/>
        <v>95000</v>
      </c>
      <c r="AS164" s="14">
        <f t="shared" si="155"/>
        <v>0</v>
      </c>
      <c r="AT164" s="14">
        <f t="shared" si="157"/>
        <v>283470.5</v>
      </c>
      <c r="AU164" s="15">
        <v>188470.5</v>
      </c>
      <c r="AV164" s="15"/>
      <c r="AW164" s="15"/>
      <c r="AX164" s="15"/>
      <c r="AY164" s="15"/>
      <c r="AZ164" s="15"/>
      <c r="BA164" s="15"/>
      <c r="BB164" s="16">
        <f t="shared" si="156"/>
        <v>-95000</v>
      </c>
      <c r="BE164" s="295"/>
    </row>
    <row r="165" spans="1:57" ht="124.8" outlineLevel="2">
      <c r="A165" s="98"/>
      <c r="B165" s="102"/>
      <c r="C165" s="23"/>
      <c r="D165" s="251"/>
      <c r="E165" s="251"/>
      <c r="F165" s="251"/>
      <c r="G165" s="250"/>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f>56000000*1.05*1.05</f>
        <v>61740000</v>
      </c>
      <c r="AD165" s="110"/>
      <c r="AE165" s="108">
        <f>SUM(AD165,AC165,AB165,Y165,U165,T165,S165,R165)*'1. Standard_Cost'!$B$31</f>
        <v>12348000</v>
      </c>
      <c r="AF165" s="108">
        <f t="shared" si="152"/>
        <v>74088000</v>
      </c>
      <c r="AG165" s="107">
        <v>0</v>
      </c>
      <c r="AH165" s="107"/>
      <c r="AI165" s="107"/>
      <c r="AJ165" s="111"/>
      <c r="AK165" s="111"/>
      <c r="AL165" s="111"/>
      <c r="AM165" s="108">
        <f>AG165*'1. Standard_Cost'!$B$27+'Incremental_Cost Year 3'!AH165*'1. Standard_Cost'!$C$27+'Incremental_Cost Year 3'!AI165*'1. Standard_Cost'!$D$27+'Incremental_Cost Year 3'!AJ165+'Incremental_Cost Year 3'!AL165+AK165</f>
        <v>0</v>
      </c>
      <c r="AN165" s="108">
        <f>AM165*'1. Standard_Cost'!$C$31</f>
        <v>0</v>
      </c>
      <c r="AO165" s="125" t="s">
        <v>385</v>
      </c>
      <c r="AQ165" s="14">
        <f t="shared" si="153"/>
        <v>282705.75</v>
      </c>
      <c r="AR165" s="14">
        <f t="shared" si="154"/>
        <v>74088000</v>
      </c>
      <c r="AS165" s="14">
        <f t="shared" si="155"/>
        <v>0</v>
      </c>
      <c r="AT165" s="14">
        <f t="shared" si="157"/>
        <v>74370705.75</v>
      </c>
      <c r="AU165" s="15">
        <v>74370705.75</v>
      </c>
      <c r="AV165" s="15"/>
      <c r="AW165" s="15"/>
      <c r="AX165" s="15"/>
      <c r="AY165" s="15"/>
      <c r="AZ165" s="15"/>
      <c r="BA165" s="15"/>
      <c r="BB165" s="16">
        <f t="shared" si="156"/>
        <v>0</v>
      </c>
      <c r="BE165" s="295"/>
    </row>
    <row r="166" spans="1:57" ht="161.4" customHeight="1" outlineLevel="2">
      <c r="A166" s="98"/>
      <c r="B166" s="102"/>
      <c r="C166" s="23"/>
      <c r="D166" s="251"/>
      <c r="E166" s="251"/>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0</v>
      </c>
      <c r="AD166" s="110"/>
      <c r="AE166" s="108">
        <f>SUM(AD166,AC166,AB166,Y166,U166,T166,S166,R166)*'[1]1. Standard_Cost'!$B$31</f>
        <v>0</v>
      </c>
      <c r="AF166" s="108">
        <f t="shared" si="152"/>
        <v>0</v>
      </c>
      <c r="AG166" s="107"/>
      <c r="AH166" s="107"/>
      <c r="AI166" s="107"/>
      <c r="AJ166" s="111"/>
      <c r="AK166" s="111"/>
      <c r="AL166" s="111"/>
      <c r="AM166" s="108">
        <f>AG166*'1. Standard_Cost'!$B$27+'Incremental_Cost Year 3'!AH166*'1. Standard_Cost'!$C$27+'Incremental_Cost Year 3'!AI166*'1. Standard_Cost'!$D$27+'Incremental_Cost Year 3'!AJ166+'Incremental_Cost Year 3'!AL166+AK166</f>
        <v>0</v>
      </c>
      <c r="AN166" s="108">
        <f>AM166*'1. Standard_Cost'!$C$31</f>
        <v>0</v>
      </c>
      <c r="AO166" s="125" t="s">
        <v>509</v>
      </c>
      <c r="AQ166" s="14">
        <f t="shared" si="153"/>
        <v>0</v>
      </c>
      <c r="AR166" s="14">
        <f t="shared" si="154"/>
        <v>0</v>
      </c>
      <c r="AS166" s="14">
        <f t="shared" si="155"/>
        <v>0</v>
      </c>
      <c r="AT166" s="14">
        <f t="shared" si="157"/>
        <v>0</v>
      </c>
      <c r="AU166" s="15"/>
      <c r="AV166" s="15"/>
      <c r="AW166" s="15"/>
      <c r="AX166" s="15"/>
      <c r="AY166" s="15">
        <v>0</v>
      </c>
      <c r="AZ166" s="15">
        <v>0</v>
      </c>
      <c r="BA166" s="15"/>
      <c r="BB166" s="16">
        <f t="shared" si="156"/>
        <v>0</v>
      </c>
      <c r="BE166" s="295"/>
    </row>
    <row r="167" spans="1:57" ht="32.25" customHeight="1" outlineLevel="2">
      <c r="A167" s="98"/>
      <c r="B167" s="102"/>
      <c r="C167" s="23"/>
      <c r="D167" s="251"/>
      <c r="E167" s="251"/>
      <c r="F167" s="251"/>
      <c r="G167" s="250"/>
      <c r="H167" s="302" t="s">
        <v>508</v>
      </c>
      <c r="I167" s="104" t="s">
        <v>4</v>
      </c>
      <c r="J167" s="105">
        <v>1</v>
      </c>
      <c r="K167" s="105">
        <v>2</v>
      </c>
      <c r="L167" s="106">
        <f>IF(I167&lt;&gt;0,((VLOOKUP(I167,'1. Standard_Cost'!$B$4:$D$11,2)+VLOOKUP(I167,'1. Standard_Cost'!$B$4:$D$11,3))*J167*K167),"0")</f>
        <v>161500</v>
      </c>
      <c r="M167" s="106">
        <f>L167*'1. Standard_Cost'!$F$4</f>
        <v>26970.5</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c r="AB167" s="108">
        <f>+Z167*'1. Standard_Cost'!$B$23+AA167*'1. Standard_Cost'!$C$23</f>
        <v>0</v>
      </c>
      <c r="AC167" s="109">
        <v>0</v>
      </c>
      <c r="AD167" s="110"/>
      <c r="AE167" s="108">
        <f>SUM(AD167,AC167,AB167,Y167,U167,T167,S167,R167)*'1. Standard_Cost'!$B$31</f>
        <v>0</v>
      </c>
      <c r="AF167" s="108">
        <f t="shared" si="152"/>
        <v>0</v>
      </c>
      <c r="AG167" s="107"/>
      <c r="AH167" s="107"/>
      <c r="AI167" s="107"/>
      <c r="AJ167" s="111"/>
      <c r="AK167" s="111"/>
      <c r="AL167" s="111"/>
      <c r="AM167" s="108">
        <f>AG167*'1. Standard_Cost'!$B$27+'Incremental_Cost Year 3'!AH167*'1. Standard_Cost'!$C$27+'Incremental_Cost Year 3'!AI167*'1. Standard_Cost'!$D$27+'Incremental_Cost Year 3'!AJ167+'Incremental_Cost Year 3'!AL167+AK167</f>
        <v>0</v>
      </c>
      <c r="AN167" s="108">
        <f>AM167*'1. Standard_Cost'!$C$31</f>
        <v>0</v>
      </c>
      <c r="AO167" s="137" t="s">
        <v>386</v>
      </c>
      <c r="AQ167" s="14">
        <f t="shared" si="153"/>
        <v>188470.5</v>
      </c>
      <c r="AR167" s="14">
        <f t="shared" si="154"/>
        <v>0</v>
      </c>
      <c r="AS167" s="14">
        <f t="shared" si="155"/>
        <v>0</v>
      </c>
      <c r="AT167" s="14">
        <f t="shared" si="157"/>
        <v>188470.5</v>
      </c>
      <c r="AU167" s="15">
        <v>188470.5</v>
      </c>
      <c r="AV167" s="15"/>
      <c r="AW167" s="15"/>
      <c r="AX167" s="15"/>
      <c r="AY167" s="15"/>
      <c r="AZ167" s="15"/>
      <c r="BA167" s="15"/>
      <c r="BB167" s="16">
        <f t="shared" si="156"/>
        <v>0</v>
      </c>
      <c r="BE167" s="295"/>
    </row>
    <row r="168" spans="1:57" ht="110.4" outlineLevel="1">
      <c r="A168" s="98"/>
      <c r="B168" s="102"/>
      <c r="C168" s="23"/>
      <c r="D168" s="56" t="s">
        <v>637</v>
      </c>
      <c r="E168" s="56" t="s">
        <v>234</v>
      </c>
      <c r="F168" s="253">
        <v>2021</v>
      </c>
      <c r="G168" s="254">
        <v>2026</v>
      </c>
      <c r="H168" s="279" t="s">
        <v>189</v>
      </c>
      <c r="I168" s="112"/>
      <c r="J168" s="112"/>
      <c r="K168" s="112"/>
      <c r="L168" s="113">
        <f>SUM(L144:L167)</f>
        <v>11568778.571428571</v>
      </c>
      <c r="M168" s="113">
        <f>SUM(M144:M167)</f>
        <v>1931986.0214285718</v>
      </c>
      <c r="N168" s="112"/>
      <c r="O168" s="112"/>
      <c r="P168" s="112"/>
      <c r="Q168" s="112"/>
      <c r="R168" s="113">
        <f t="shared" ref="R168:U168" si="158">SUM(R144:R167)</f>
        <v>100000</v>
      </c>
      <c r="S168" s="113">
        <f t="shared" si="158"/>
        <v>300000</v>
      </c>
      <c r="T168" s="113">
        <f t="shared" si="158"/>
        <v>125000</v>
      </c>
      <c r="U168" s="113">
        <f t="shared" si="158"/>
        <v>160000</v>
      </c>
      <c r="V168" s="112"/>
      <c r="W168" s="112"/>
      <c r="X168" s="112"/>
      <c r="Y168" s="113">
        <f>SUM(Y144:Y167)</f>
        <v>0</v>
      </c>
      <c r="Z168" s="113"/>
      <c r="AA168" s="112"/>
      <c r="AB168" s="113">
        <f t="shared" ref="AB168:AF168" si="159">SUM(AB144:AB167)</f>
        <v>1976000</v>
      </c>
      <c r="AC168" s="113">
        <f t="shared" si="159"/>
        <v>68303000</v>
      </c>
      <c r="AD168" s="113">
        <f t="shared" si="159"/>
        <v>0</v>
      </c>
      <c r="AE168" s="113">
        <f t="shared" si="159"/>
        <v>13238800</v>
      </c>
      <c r="AF168" s="113">
        <f t="shared" si="159"/>
        <v>84202800</v>
      </c>
      <c r="AG168" s="112"/>
      <c r="AH168" s="112"/>
      <c r="AI168" s="112"/>
      <c r="AJ168" s="113">
        <f t="shared" ref="AJ168:AL168" si="160">SUM(AJ144:AJ167)</f>
        <v>0</v>
      </c>
      <c r="AK168" s="113">
        <f t="shared" si="160"/>
        <v>0</v>
      </c>
      <c r="AL168" s="113">
        <f t="shared" si="160"/>
        <v>0</v>
      </c>
      <c r="AM168" s="113">
        <f t="shared" ref="AM168:AN168" si="161">SUM(AM144:AM167)</f>
        <v>0</v>
      </c>
      <c r="AN168" s="113">
        <f t="shared" si="161"/>
        <v>0</v>
      </c>
      <c r="AO168" s="131"/>
      <c r="AP168" s="17"/>
      <c r="AQ168" s="113">
        <f t="shared" ref="AQ168:BB168" si="162">SUM(AQ144:AQ167)</f>
        <v>13500764.592857143</v>
      </c>
      <c r="AR168" s="113">
        <f t="shared" si="162"/>
        <v>84202800</v>
      </c>
      <c r="AS168" s="113">
        <f t="shared" si="162"/>
        <v>0</v>
      </c>
      <c r="AT168" s="113">
        <f t="shared" si="162"/>
        <v>97703564.592857152</v>
      </c>
      <c r="AU168" s="113">
        <f t="shared" si="162"/>
        <v>89322764.592857137</v>
      </c>
      <c r="AV168" s="113">
        <f t="shared" si="162"/>
        <v>0</v>
      </c>
      <c r="AW168" s="113">
        <f t="shared" si="162"/>
        <v>0</v>
      </c>
      <c r="AX168" s="113">
        <f t="shared" si="162"/>
        <v>2995000</v>
      </c>
      <c r="AY168" s="113">
        <f t="shared" si="162"/>
        <v>0</v>
      </c>
      <c r="AZ168" s="113">
        <f t="shared" si="162"/>
        <v>1300000</v>
      </c>
      <c r="BA168" s="113">
        <f t="shared" si="162"/>
        <v>0</v>
      </c>
      <c r="BB168" s="113">
        <f t="shared" si="162"/>
        <v>-4085800</v>
      </c>
      <c r="BE168" s="295"/>
    </row>
    <row r="169" spans="1:57" ht="93.6" outlineLevel="2">
      <c r="A169" s="98"/>
      <c r="B169" s="102"/>
      <c r="C169" s="23"/>
      <c r="D169" s="257"/>
      <c r="E169" s="123"/>
      <c r="F169" s="249"/>
      <c r="G169" s="283"/>
      <c r="H169" s="302" t="s">
        <v>511</v>
      </c>
      <c r="I169" s="104" t="s">
        <v>4</v>
      </c>
      <c r="J169" s="105">
        <v>2</v>
      </c>
      <c r="K169" s="105">
        <v>1</v>
      </c>
      <c r="L169" s="106">
        <f>IF(I169&lt;&gt;0,((VLOOKUP(I169,'1. Standard_Cost'!$B$4:$D$11,2)+VLOOKUP(I169,'1. Standard_Cost'!$B$4:$D$11,3))*J169*K169),"0")</f>
        <v>161500</v>
      </c>
      <c r="M169" s="106">
        <f>L169*'1. Standard_Cost'!$F$4</f>
        <v>26970.5</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v>10</v>
      </c>
      <c r="AB169" s="108">
        <f>+Z169*'1. Standard_Cost'!$B$23+AA169*'1. Standard_Cost'!$C$23</f>
        <v>190000</v>
      </c>
      <c r="AC169" s="109"/>
      <c r="AD169" s="110"/>
      <c r="AE169" s="108">
        <v>0</v>
      </c>
      <c r="AF169" s="108">
        <f t="shared" ref="AF169:AF177" si="163">SUM(AE169,AD169,AC169,AB169,Y169,U169,T169,S169,R169)</f>
        <v>190000</v>
      </c>
      <c r="AG169" s="107"/>
      <c r="AH169" s="107"/>
      <c r="AI169" s="107"/>
      <c r="AJ169" s="111"/>
      <c r="AK169" s="111"/>
      <c r="AL169" s="111"/>
      <c r="AM169" s="108">
        <f>AG169*'1. Standard_Cost'!$B$27+'Incremental_Cost Year 3'!AH169*'1. Standard_Cost'!$C$27+'Incremental_Cost Year 3'!AI169*'1. Standard_Cost'!$D$27+'Incremental_Cost Year 3'!AJ169+'Incremental_Cost Year 3'!AL169+AK169</f>
        <v>0</v>
      </c>
      <c r="AN169" s="108">
        <f>AM169*'1. Standard_Cost'!$C$31</f>
        <v>0</v>
      </c>
      <c r="AO169" s="125" t="s">
        <v>387</v>
      </c>
      <c r="AQ169" s="14">
        <f t="shared" ref="AQ169:AQ177" si="164">L169+M169</f>
        <v>188470.5</v>
      </c>
      <c r="AR169" s="14">
        <f t="shared" ref="AR169:AR177" si="165">AF169</f>
        <v>190000</v>
      </c>
      <c r="AS169" s="14">
        <f t="shared" ref="AS169:AS177" si="166">AM169+AN169</f>
        <v>0</v>
      </c>
      <c r="AT169" s="14">
        <f>SUM(AQ169,AR169,AS169)</f>
        <v>378470.5</v>
      </c>
      <c r="AU169" s="15">
        <v>188470.5</v>
      </c>
      <c r="AV169" s="15"/>
      <c r="AW169" s="15"/>
      <c r="AX169" s="15"/>
      <c r="AY169" s="15"/>
      <c r="AZ169" s="15"/>
      <c r="BA169" s="15"/>
      <c r="BB169" s="16">
        <f t="shared" ref="BB169:BB177" si="167">SUM(AU169:BA169)-AT169</f>
        <v>-190000</v>
      </c>
      <c r="BE169" s="295"/>
    </row>
    <row r="170" spans="1:57" ht="46.8" outlineLevel="2">
      <c r="A170" s="98"/>
      <c r="B170" s="102"/>
      <c r="C170" s="23"/>
      <c r="D170" s="269"/>
      <c r="E170" s="271"/>
      <c r="F170" s="250"/>
      <c r="G170" s="255"/>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63"/>
        <v>0</v>
      </c>
      <c r="AG170" s="107"/>
      <c r="AH170" s="107"/>
      <c r="AI170" s="107"/>
      <c r="AJ170" s="111"/>
      <c r="AK170" s="111"/>
      <c r="AL170" s="111"/>
      <c r="AM170" s="108">
        <f>AG170*'1. Standard_Cost'!$B$27+'Incremental_Cost Year 3'!AH170*'1. Standard_Cost'!$C$27+'Incremental_Cost Year 3'!AI170*'1. Standard_Cost'!$D$27+'Incremental_Cost Year 3'!AJ170+'Incremental_Cost Year 3'!AL170+AK170</f>
        <v>0</v>
      </c>
      <c r="AN170" s="108">
        <f>AM170*'1. Standard_Cost'!$C$31</f>
        <v>0</v>
      </c>
      <c r="AO170" s="125" t="s">
        <v>388</v>
      </c>
      <c r="AQ170" s="14">
        <f t="shared" si="164"/>
        <v>0</v>
      </c>
      <c r="AR170" s="14">
        <f t="shared" si="165"/>
        <v>0</v>
      </c>
      <c r="AS170" s="14">
        <f t="shared" si="166"/>
        <v>0</v>
      </c>
      <c r="AT170" s="14">
        <f t="shared" ref="AT170:AT177" si="168">SUM(AQ170,AR170,AS170)</f>
        <v>0</v>
      </c>
      <c r="AU170" s="15"/>
      <c r="AV170" s="15"/>
      <c r="AW170" s="15"/>
      <c r="AX170" s="15"/>
      <c r="AY170" s="15"/>
      <c r="AZ170" s="15"/>
      <c r="BA170" s="15"/>
      <c r="BB170" s="16">
        <f t="shared" si="167"/>
        <v>0</v>
      </c>
      <c r="BE170" s="295"/>
    </row>
    <row r="171" spans="1:57" ht="78" outlineLevel="2">
      <c r="A171" s="98"/>
      <c r="B171" s="102"/>
      <c r="C171" s="23"/>
      <c r="D171" s="269"/>
      <c r="E171" s="271"/>
      <c r="F171" s="250"/>
      <c r="G171" s="255"/>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63"/>
        <v>0</v>
      </c>
      <c r="AG171" s="107"/>
      <c r="AH171" s="107"/>
      <c r="AI171" s="107"/>
      <c r="AJ171" s="111"/>
      <c r="AK171" s="111"/>
      <c r="AL171" s="111"/>
      <c r="AM171" s="108">
        <f>AG171*'1. Standard_Cost'!$B$27+'Incremental_Cost Year 3'!AH171*'1. Standard_Cost'!$C$27+'Incremental_Cost Year 3'!AI171*'1. Standard_Cost'!$D$27+'Incremental_Cost Year 3'!AJ171+'Incremental_Cost Year 3'!AL171+AK171</f>
        <v>0</v>
      </c>
      <c r="AN171" s="108">
        <f>AM171*'1. Standard_Cost'!$C$31</f>
        <v>0</v>
      </c>
      <c r="AO171" s="125" t="s">
        <v>389</v>
      </c>
      <c r="AQ171" s="14">
        <f t="shared" si="164"/>
        <v>0</v>
      </c>
      <c r="AR171" s="14">
        <f t="shared" si="165"/>
        <v>0</v>
      </c>
      <c r="AS171" s="14">
        <f t="shared" si="166"/>
        <v>0</v>
      </c>
      <c r="AT171" s="14">
        <f t="shared" si="168"/>
        <v>0</v>
      </c>
      <c r="AU171" s="15"/>
      <c r="AV171" s="15"/>
      <c r="AW171" s="15"/>
      <c r="AX171" s="15"/>
      <c r="AY171" s="15"/>
      <c r="AZ171" s="15"/>
      <c r="BA171" s="15"/>
      <c r="BB171" s="16">
        <f t="shared" si="167"/>
        <v>0</v>
      </c>
      <c r="BE171" s="295"/>
    </row>
    <row r="172" spans="1:57" ht="46.8" outlineLevel="2">
      <c r="A172" s="98"/>
      <c r="B172" s="102"/>
      <c r="C172" s="23"/>
      <c r="D172" s="269"/>
      <c r="E172" s="271"/>
      <c r="F172" s="250"/>
      <c r="G172" s="255"/>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63"/>
        <v>0</v>
      </c>
      <c r="AG172" s="107"/>
      <c r="AH172" s="107"/>
      <c r="AI172" s="107"/>
      <c r="AJ172" s="111"/>
      <c r="AK172" s="111"/>
      <c r="AL172" s="111"/>
      <c r="AM172" s="108">
        <f>AG172*'1. Standard_Cost'!$B$27+'Incremental_Cost Year 3'!AH172*'1. Standard_Cost'!$C$27+'Incremental_Cost Year 3'!AI172*'1. Standard_Cost'!$D$27+'Incremental_Cost Year 3'!AJ172+'Incremental_Cost Year 3'!AL172+AK172</f>
        <v>0</v>
      </c>
      <c r="AN172" s="108">
        <f>AM172*'1. Standard_Cost'!$C$31</f>
        <v>0</v>
      </c>
      <c r="AO172" s="125" t="s">
        <v>390</v>
      </c>
      <c r="AQ172" s="14">
        <f t="shared" si="164"/>
        <v>0</v>
      </c>
      <c r="AR172" s="14">
        <f t="shared" si="165"/>
        <v>0</v>
      </c>
      <c r="AS172" s="14">
        <f t="shared" si="166"/>
        <v>0</v>
      </c>
      <c r="AT172" s="14">
        <f t="shared" si="168"/>
        <v>0</v>
      </c>
      <c r="AU172" s="15"/>
      <c r="AV172" s="15"/>
      <c r="AW172" s="15"/>
      <c r="AX172" s="15"/>
      <c r="AY172" s="15"/>
      <c r="AZ172" s="15"/>
      <c r="BA172" s="15"/>
      <c r="BB172" s="16">
        <f t="shared" si="167"/>
        <v>0</v>
      </c>
      <c r="BE172" s="295"/>
    </row>
    <row r="173" spans="1:57" ht="46.8" outlineLevel="2">
      <c r="A173" s="98"/>
      <c r="B173" s="102"/>
      <c r="C173" s="23"/>
      <c r="D173" s="269"/>
      <c r="E173" s="271"/>
      <c r="F173" s="250"/>
      <c r="G173" s="255"/>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63"/>
        <v>0</v>
      </c>
      <c r="AG173" s="107"/>
      <c r="AH173" s="107"/>
      <c r="AI173" s="107"/>
      <c r="AJ173" s="111"/>
      <c r="AK173" s="111"/>
      <c r="AL173" s="111"/>
      <c r="AM173" s="108">
        <f>AG173*'1. Standard_Cost'!$B$27+'Incremental_Cost Year 3'!AH173*'1. Standard_Cost'!$C$27+'Incremental_Cost Year 3'!AI173*'1. Standard_Cost'!$D$27+'Incremental_Cost Year 3'!AJ173+'Incremental_Cost Year 3'!AL173+AK173</f>
        <v>0</v>
      </c>
      <c r="AN173" s="108">
        <f>AM173*'1. Standard_Cost'!$C$31</f>
        <v>0</v>
      </c>
      <c r="AO173" s="125" t="s">
        <v>391</v>
      </c>
      <c r="AQ173" s="14">
        <f t="shared" si="164"/>
        <v>0</v>
      </c>
      <c r="AR173" s="14">
        <f t="shared" si="165"/>
        <v>0</v>
      </c>
      <c r="AS173" s="14">
        <f t="shared" si="166"/>
        <v>0</v>
      </c>
      <c r="AT173" s="14">
        <f t="shared" si="168"/>
        <v>0</v>
      </c>
      <c r="AU173" s="15"/>
      <c r="AV173" s="15"/>
      <c r="AW173" s="15"/>
      <c r="AX173" s="15"/>
      <c r="AY173" s="15"/>
      <c r="AZ173" s="15"/>
      <c r="BA173" s="15"/>
      <c r="BB173" s="16">
        <f t="shared" si="167"/>
        <v>0</v>
      </c>
      <c r="BE173" s="295"/>
    </row>
    <row r="174" spans="1:57" ht="78" outlineLevel="2">
      <c r="A174" s="98"/>
      <c r="B174" s="102"/>
      <c r="C174" s="23"/>
      <c r="D174" s="269"/>
      <c r="E174" s="271"/>
      <c r="F174" s="250"/>
      <c r="G174" s="255"/>
      <c r="H174" s="302" t="s">
        <v>512</v>
      </c>
      <c r="I174" s="104"/>
      <c r="J174" s="105"/>
      <c r="K174" s="105"/>
      <c r="L174" s="106" t="str">
        <f>IF(I174&lt;&gt;0,((VLOOKUP(I174,'1. Standard_Cost'!$B$4:$D$11,2)+VLOOKUP(I174,'1. Standard_Cost'!$B$4:$D$11,3))*J174*K174),"0")</f>
        <v>0</v>
      </c>
      <c r="M174" s="106">
        <f>L174*'1. Standard_Cost'!$F$4</f>
        <v>0</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c r="AB174" s="108">
        <f>+Z174*'1. Standard_Cost'!$B$23+AA174*'1. Standard_Cost'!$C$23</f>
        <v>0</v>
      </c>
      <c r="AC174" s="109"/>
      <c r="AD174" s="110"/>
      <c r="AE174" s="108">
        <f>SUM(AD174,AC174,AB174,Y174,U174,T174,S174,R174)*'1. Standard_Cost'!$B$31</f>
        <v>0</v>
      </c>
      <c r="AF174" s="108">
        <f t="shared" si="163"/>
        <v>0</v>
      </c>
      <c r="AG174" s="107"/>
      <c r="AH174" s="107"/>
      <c r="AI174" s="107"/>
      <c r="AJ174" s="111"/>
      <c r="AK174" s="111"/>
      <c r="AL174" s="111"/>
      <c r="AM174" s="108">
        <f>AG174*'1. Standard_Cost'!$B$27+'Incremental_Cost Year 3'!AH174*'1. Standard_Cost'!$C$27+'Incremental_Cost Year 3'!AI174*'1. Standard_Cost'!$D$27+'Incremental_Cost Year 3'!AJ174+'Incremental_Cost Year 3'!AL174+AK174</f>
        <v>0</v>
      </c>
      <c r="AN174" s="108">
        <f>AM174*'1. Standard_Cost'!$C$31</f>
        <v>0</v>
      </c>
      <c r="AO174" s="125" t="s">
        <v>392</v>
      </c>
      <c r="AQ174" s="14">
        <f t="shared" si="164"/>
        <v>0</v>
      </c>
      <c r="AR174" s="14">
        <f t="shared" si="165"/>
        <v>0</v>
      </c>
      <c r="AS174" s="14">
        <f t="shared" si="166"/>
        <v>0</v>
      </c>
      <c r="AT174" s="14">
        <f t="shared" si="168"/>
        <v>0</v>
      </c>
      <c r="AU174" s="15">
        <v>0</v>
      </c>
      <c r="AV174" s="15"/>
      <c r="AW174" s="15"/>
      <c r="AX174" s="15"/>
      <c r="AY174" s="15"/>
      <c r="AZ174" s="15"/>
      <c r="BA174" s="15"/>
      <c r="BB174" s="16">
        <f t="shared" si="167"/>
        <v>0</v>
      </c>
      <c r="BE174" s="295"/>
    </row>
    <row r="175" spans="1:57" ht="140.4" outlineLevel="2">
      <c r="A175" s="98"/>
      <c r="B175" s="102"/>
      <c r="C175" s="23"/>
      <c r="D175" s="269"/>
      <c r="E175" s="271"/>
      <c r="F175" s="250"/>
      <c r="G175" s="255"/>
      <c r="H175" s="302" t="s">
        <v>513</v>
      </c>
      <c r="I175" s="104" t="s">
        <v>4</v>
      </c>
      <c r="J175" s="105">
        <v>0.4</v>
      </c>
      <c r="K175" s="105">
        <v>1</v>
      </c>
      <c r="L175" s="106">
        <f>IF(I175&lt;&gt;0,((VLOOKUP(I175,'1. Standard_Cost'!$B$4:$D$11,2)+VLOOKUP(I175,'1. Standard_Cost'!$B$4:$D$11,3))*J175*K175),"0")</f>
        <v>32300</v>
      </c>
      <c r="M175" s="106">
        <f>L175*'1. Standard_Cost'!$F$4</f>
        <v>5394.1</v>
      </c>
      <c r="N175" s="107">
        <v>10</v>
      </c>
      <c r="O175" s="107">
        <v>2</v>
      </c>
      <c r="P175" s="107">
        <v>15</v>
      </c>
      <c r="Q175" s="107">
        <v>1</v>
      </c>
      <c r="R175" s="108">
        <f>'1. Standard_Cost'!$B$15*N175*P175</f>
        <v>300000</v>
      </c>
      <c r="S175" s="108">
        <f>N175*O175*P175*'1. Standard_Cost'!$C$15</f>
        <v>450000</v>
      </c>
      <c r="T175" s="108">
        <f>N175*P175*Q175*'1. Standard_Cost'!$D$15</f>
        <v>750000</v>
      </c>
      <c r="U175" s="108">
        <v>0</v>
      </c>
      <c r="V175" s="107"/>
      <c r="W175" s="107"/>
      <c r="X175" s="107"/>
      <c r="Y175" s="108">
        <f>+V175*((X175*'1. Standard_Cost'!$B$19)+(W175*X175*'1. Standard_Cost'!$C$19))</f>
        <v>0</v>
      </c>
      <c r="Z175" s="107"/>
      <c r="AA175" s="107"/>
      <c r="AB175" s="108">
        <f>+Z175*'1. Standard_Cost'!$B$23+AA175*'1. Standard_Cost'!$C$23</f>
        <v>0</v>
      </c>
      <c r="AC175" s="109"/>
      <c r="AD175" s="110"/>
      <c r="AE175" s="108">
        <v>0</v>
      </c>
      <c r="AF175" s="108">
        <v>0</v>
      </c>
      <c r="AG175" s="107"/>
      <c r="AH175" s="107"/>
      <c r="AI175" s="107"/>
      <c r="AJ175" s="111"/>
      <c r="AK175" s="111"/>
      <c r="AL175" s="111"/>
      <c r="AM175" s="108">
        <f>AG175*'1. Standard_Cost'!$B$27+'Incremental_Cost Year 3'!AH175*'1. Standard_Cost'!$C$27+'Incremental_Cost Year 3'!AI175*'1. Standard_Cost'!$D$27+'Incremental_Cost Year 3'!AJ175+'Incremental_Cost Year 3'!AL175+AK175</f>
        <v>0</v>
      </c>
      <c r="AN175" s="108">
        <f>AM175*'1. Standard_Cost'!$C$31</f>
        <v>0</v>
      </c>
      <c r="AO175" s="125" t="s">
        <v>393</v>
      </c>
      <c r="AQ175" s="14">
        <f t="shared" si="164"/>
        <v>37694.1</v>
      </c>
      <c r="AR175" s="14">
        <f t="shared" si="165"/>
        <v>0</v>
      </c>
      <c r="AS175" s="14">
        <f t="shared" si="166"/>
        <v>0</v>
      </c>
      <c r="AT175" s="14">
        <f t="shared" si="168"/>
        <v>37694.1</v>
      </c>
      <c r="AU175" s="15">
        <v>37694.1</v>
      </c>
      <c r="AV175" s="15"/>
      <c r="AW175" s="15"/>
      <c r="AX175" s="15"/>
      <c r="AY175" s="15"/>
      <c r="AZ175" s="15"/>
      <c r="BA175" s="15"/>
      <c r="BB175" s="16">
        <f t="shared" si="167"/>
        <v>0</v>
      </c>
      <c r="BE175" s="295"/>
    </row>
    <row r="176" spans="1:57" ht="25.2" customHeight="1" outlineLevel="2">
      <c r="A176" s="98"/>
      <c r="B176" s="102"/>
      <c r="C176" s="23"/>
      <c r="D176" s="269"/>
      <c r="E176" s="271"/>
      <c r="F176" s="27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v>22</v>
      </c>
      <c r="AB176" s="108">
        <f>+Z176*'[1]1. Standard_Cost'!$B$23+AA176*'[1]1. Standard_Cost'!$C$23</f>
        <v>418000</v>
      </c>
      <c r="AC176" s="109"/>
      <c r="AD176" s="110"/>
      <c r="AE176" s="108">
        <f>SUM(AD176,AC176,AB176,Y176,U176,T176,S176,R176)*'[1]1. Standard_Cost'!$B$31</f>
        <v>83600</v>
      </c>
      <c r="AF176" s="108">
        <f t="shared" si="163"/>
        <v>501600</v>
      </c>
      <c r="AG176" s="107"/>
      <c r="AH176" s="107"/>
      <c r="AI176" s="107"/>
      <c r="AJ176" s="111"/>
      <c r="AK176" s="111"/>
      <c r="AL176" s="111"/>
      <c r="AM176" s="108">
        <f>AG176*'1. Standard_Cost'!$B$27+'Incremental_Cost Year 3'!AH176*'1. Standard_Cost'!$C$27+'Incremental_Cost Year 3'!AI176*'1. Standard_Cost'!$D$27+'Incremental_Cost Year 3'!AJ176+'Incremental_Cost Year 3'!AL176+AK176</f>
        <v>0</v>
      </c>
      <c r="AN176" s="108">
        <f>AM176*'1. Standard_Cost'!$C$31</f>
        <v>0</v>
      </c>
      <c r="AO176" s="125" t="s">
        <v>393</v>
      </c>
      <c r="AQ176" s="14">
        <f t="shared" si="164"/>
        <v>0</v>
      </c>
      <c r="AR176" s="14">
        <f t="shared" si="165"/>
        <v>501600</v>
      </c>
      <c r="AS176" s="14">
        <f t="shared" si="166"/>
        <v>0</v>
      </c>
      <c r="AT176" s="14">
        <f t="shared" si="168"/>
        <v>501600</v>
      </c>
      <c r="AU176" s="15"/>
      <c r="AV176" s="15"/>
      <c r="AW176" s="15"/>
      <c r="AX176" s="15"/>
      <c r="AY176" s="15"/>
      <c r="AZ176" s="15"/>
      <c r="BA176" s="15"/>
      <c r="BB176" s="16">
        <f t="shared" si="167"/>
        <v>-501600</v>
      </c>
      <c r="BE176" s="295"/>
    </row>
    <row r="177" spans="1:57" ht="156" outlineLevel="2">
      <c r="A177" s="98"/>
      <c r="B177" s="102"/>
      <c r="C177" s="23"/>
      <c r="D177" s="269"/>
      <c r="E177" s="271"/>
      <c r="F177" s="250"/>
      <c r="G177" s="255"/>
      <c r="H177" s="302" t="s">
        <v>514</v>
      </c>
      <c r="I177" s="104" t="s">
        <v>4</v>
      </c>
      <c r="J177" s="105">
        <v>0.4</v>
      </c>
      <c r="K177" s="105">
        <v>1</v>
      </c>
      <c r="L177" s="106">
        <f>IF(I177&lt;&gt;0,((VLOOKUP(I177,'1. Standard_Cost'!$B$4:$D$11,2)+VLOOKUP(I177,'1. Standard_Cost'!$B$4:$D$11,3))*J177*K177),"0")</f>
        <v>32300</v>
      </c>
      <c r="M177" s="106">
        <f>L177*'1. Standard_Cost'!$F$4</f>
        <v>5394.1</v>
      </c>
      <c r="N177" s="107">
        <v>10</v>
      </c>
      <c r="O177" s="107">
        <v>2</v>
      </c>
      <c r="P177" s="107">
        <v>15</v>
      </c>
      <c r="Q177" s="107"/>
      <c r="R177" s="108">
        <v>0</v>
      </c>
      <c r="S177" s="108">
        <v>0</v>
      </c>
      <c r="T177" s="108">
        <f>N177*P177*Q177*'1. Standard_Cost'!$D$15</f>
        <v>0</v>
      </c>
      <c r="U177" s="108">
        <v>0</v>
      </c>
      <c r="V177" s="107"/>
      <c r="W177" s="107"/>
      <c r="X177" s="107"/>
      <c r="Y177" s="108">
        <f>+V177*((X177*'1. Standard_Cost'!$B$19)+(W177*X177*'1. Standard_Cost'!$C$19))</f>
        <v>0</v>
      </c>
      <c r="Z177" s="107"/>
      <c r="AA177" s="107">
        <v>10</v>
      </c>
      <c r="AB177" s="108">
        <f>+Z177*'1. Standard_Cost'!$B$23+AA177*'1. Standard_Cost'!$C$23</f>
        <v>190000</v>
      </c>
      <c r="AC177" s="109">
        <f>150*3500*2+150*500*2</f>
        <v>1200000</v>
      </c>
      <c r="AD177" s="110"/>
      <c r="AE177" s="108">
        <f>SUM(AD177,AC177,AB177,Y177,U177,T177,S177,R177)*'1. Standard_Cost'!$B$31</f>
        <v>278000</v>
      </c>
      <c r="AF177" s="108">
        <f t="shared" si="163"/>
        <v>1668000</v>
      </c>
      <c r="AG177" s="107"/>
      <c r="AH177" s="107"/>
      <c r="AI177" s="107"/>
      <c r="AJ177" s="111"/>
      <c r="AK177" s="111"/>
      <c r="AL177" s="111"/>
      <c r="AM177" s="108">
        <f>AG177*'1. Standard_Cost'!$B$27+'Incremental_Cost Year 3'!AH177*'1. Standard_Cost'!$C$27+'Incremental_Cost Year 3'!AI177*'1. Standard_Cost'!$D$27+'Incremental_Cost Year 3'!AJ177+'Incremental_Cost Year 3'!AL177+AK177</f>
        <v>0</v>
      </c>
      <c r="AN177" s="108">
        <f>AM177*'1. Standard_Cost'!$C$31</f>
        <v>0</v>
      </c>
      <c r="AO177" s="125" t="s">
        <v>394</v>
      </c>
      <c r="AQ177" s="14">
        <f t="shared" si="164"/>
        <v>37694.1</v>
      </c>
      <c r="AR177" s="14">
        <f t="shared" si="165"/>
        <v>1668000</v>
      </c>
      <c r="AS177" s="14">
        <f t="shared" si="166"/>
        <v>0</v>
      </c>
      <c r="AT177" s="14">
        <f t="shared" si="168"/>
        <v>1705694.1</v>
      </c>
      <c r="AU177" s="15">
        <v>37694.1</v>
      </c>
      <c r="AV177" s="15"/>
      <c r="AW177" s="15"/>
      <c r="AX177" s="15"/>
      <c r="AY177" s="15"/>
      <c r="AZ177" s="15">
        <v>1668000</v>
      </c>
      <c r="BA177" s="15"/>
      <c r="BB177" s="16">
        <f t="shared" si="167"/>
        <v>0</v>
      </c>
      <c r="BE177" s="295"/>
    </row>
    <row r="178" spans="1:57" ht="27.6" outlineLevel="1">
      <c r="A178" s="98"/>
      <c r="B178" s="102"/>
      <c r="C178" s="23"/>
      <c r="D178" s="31" t="s">
        <v>638</v>
      </c>
      <c r="E178" s="56" t="s">
        <v>239</v>
      </c>
      <c r="F178" s="253">
        <v>2021</v>
      </c>
      <c r="G178" s="254">
        <v>2026</v>
      </c>
      <c r="H178" s="279" t="s">
        <v>240</v>
      </c>
      <c r="I178" s="112"/>
      <c r="J178" s="112"/>
      <c r="K178" s="112"/>
      <c r="L178" s="113">
        <f>SUM(L169:L177)</f>
        <v>226100</v>
      </c>
      <c r="M178" s="113">
        <f>SUM(M169:M177)</f>
        <v>37758.699999999997</v>
      </c>
      <c r="N178" s="112"/>
      <c r="O178" s="112"/>
      <c r="P178" s="112"/>
      <c r="Q178" s="112"/>
      <c r="R178" s="113">
        <f>SUM(R169:R177)</f>
        <v>300000</v>
      </c>
      <c r="S178" s="113">
        <f>SUM(S169:S177)</f>
        <v>450000</v>
      </c>
      <c r="T178" s="113">
        <f>SUM(T169:T177)</f>
        <v>750000</v>
      </c>
      <c r="U178" s="113">
        <f>SUM(U169:U177)</f>
        <v>0</v>
      </c>
      <c r="V178" s="112"/>
      <c r="W178" s="112"/>
      <c r="X178" s="112"/>
      <c r="Y178" s="113">
        <f>SUM(Y169:Y177)</f>
        <v>0</v>
      </c>
      <c r="Z178" s="113"/>
      <c r="AA178" s="112"/>
      <c r="AB178" s="113">
        <f>SUM(AB169:AB177)</f>
        <v>798000</v>
      </c>
      <c r="AC178" s="113">
        <f>SUM(AC169:AC177)</f>
        <v>1200000</v>
      </c>
      <c r="AD178" s="113">
        <f>SUM(AD169:AD177)</f>
        <v>0</v>
      </c>
      <c r="AE178" s="113">
        <f>SUM(AE169:AE177)</f>
        <v>361600</v>
      </c>
      <c r="AF178" s="113">
        <f>SUM(AF169:AF177)</f>
        <v>2359600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 si="169">SUM(AQ169:AQ177)</f>
        <v>263858.7</v>
      </c>
      <c r="AR178" s="113">
        <f t="shared" ref="AR178:BB178" si="170">SUM(AR169:AR177)</f>
        <v>2359600</v>
      </c>
      <c r="AS178" s="113">
        <f t="shared" si="170"/>
        <v>0</v>
      </c>
      <c r="AT178" s="113">
        <f t="shared" si="170"/>
        <v>2623458.7000000002</v>
      </c>
      <c r="AU178" s="113">
        <f t="shared" si="170"/>
        <v>263858.7</v>
      </c>
      <c r="AV178" s="113">
        <f t="shared" si="170"/>
        <v>0</v>
      </c>
      <c r="AW178" s="113">
        <f t="shared" si="170"/>
        <v>0</v>
      </c>
      <c r="AX178" s="113">
        <f t="shared" si="170"/>
        <v>0</v>
      </c>
      <c r="AY178" s="113">
        <f t="shared" si="170"/>
        <v>0</v>
      </c>
      <c r="AZ178" s="113">
        <f t="shared" si="170"/>
        <v>1668000</v>
      </c>
      <c r="BA178" s="113">
        <f t="shared" si="170"/>
        <v>0</v>
      </c>
      <c r="BB178" s="113">
        <f t="shared" si="170"/>
        <v>-691600</v>
      </c>
      <c r="BE178" s="295"/>
    </row>
    <row r="179" spans="1:57" s="24" customFormat="1" ht="13.8" customHeight="1">
      <c r="A179" s="114"/>
      <c r="B179" s="115"/>
      <c r="C179" s="314" t="s">
        <v>241</v>
      </c>
      <c r="D179" s="314"/>
      <c r="E179" s="315"/>
      <c r="F179" s="246"/>
      <c r="G179" s="246"/>
      <c r="H179" s="278" t="s">
        <v>242</v>
      </c>
      <c r="I179" s="116"/>
      <c r="J179" s="116"/>
      <c r="K179" s="116"/>
      <c r="L179" s="117">
        <f>SUM(L201)</f>
        <v>20028050</v>
      </c>
      <c r="M179" s="117">
        <f>SUM(M201)</f>
        <v>3344684.35</v>
      </c>
      <c r="N179" s="116"/>
      <c r="O179" s="116"/>
      <c r="P179" s="116"/>
      <c r="Q179" s="116"/>
      <c r="R179" s="117">
        <f t="shared" ref="R179:U179" si="171">SUM(R201)</f>
        <v>240000</v>
      </c>
      <c r="S179" s="117">
        <f t="shared" si="171"/>
        <v>360000</v>
      </c>
      <c r="T179" s="117">
        <f t="shared" si="171"/>
        <v>600000</v>
      </c>
      <c r="U179" s="117">
        <f t="shared" si="171"/>
        <v>0</v>
      </c>
      <c r="V179" s="116"/>
      <c r="W179" s="116"/>
      <c r="X179" s="116"/>
      <c r="Y179" s="117">
        <f>SUM(Y201)</f>
        <v>0</v>
      </c>
      <c r="Z179" s="117"/>
      <c r="AA179" s="117"/>
      <c r="AB179" s="117">
        <f t="shared" ref="AB179:AF179" si="172">SUM(AB201)</f>
        <v>4218000</v>
      </c>
      <c r="AC179" s="117">
        <f t="shared" ref="AC179:AD179" si="173">SUM(AC201)</f>
        <v>17150600</v>
      </c>
      <c r="AD179" s="117">
        <f t="shared" si="173"/>
        <v>0</v>
      </c>
      <c r="AE179" s="117">
        <f t="shared" si="172"/>
        <v>417800</v>
      </c>
      <c r="AF179" s="117">
        <f t="shared" si="172"/>
        <v>22986400</v>
      </c>
      <c r="AG179" s="116"/>
      <c r="AH179" s="116"/>
      <c r="AI179" s="116"/>
      <c r="AJ179" s="117">
        <f t="shared" ref="AJ179:AL179" si="174">SUM(AJ201)</f>
        <v>0</v>
      </c>
      <c r="AK179" s="117">
        <f t="shared" si="174"/>
        <v>0</v>
      </c>
      <c r="AL179" s="117">
        <f t="shared" si="174"/>
        <v>0</v>
      </c>
      <c r="AM179" s="117">
        <f t="shared" ref="AM179:AN179" si="175">SUM(AM201)</f>
        <v>0</v>
      </c>
      <c r="AN179" s="117">
        <f t="shared" si="175"/>
        <v>0</v>
      </c>
      <c r="AO179" s="132"/>
      <c r="AP179" s="25"/>
      <c r="AQ179" s="117">
        <f t="shared" ref="AQ179" si="176">SUM(AQ201)</f>
        <v>23372734.350000001</v>
      </c>
      <c r="AR179" s="117">
        <f t="shared" ref="AR179:BB179" si="177">SUM(AR201)</f>
        <v>22986400</v>
      </c>
      <c r="AS179" s="117">
        <f t="shared" si="177"/>
        <v>0</v>
      </c>
      <c r="AT179" s="117">
        <f t="shared" si="177"/>
        <v>46359134.350000009</v>
      </c>
      <c r="AU179" s="117">
        <f t="shared" si="177"/>
        <v>23372734.350000001</v>
      </c>
      <c r="AV179" s="117">
        <f t="shared" si="177"/>
        <v>0</v>
      </c>
      <c r="AW179" s="117">
        <f t="shared" si="177"/>
        <v>0</v>
      </c>
      <c r="AX179" s="117">
        <f t="shared" si="177"/>
        <v>0</v>
      </c>
      <c r="AY179" s="117">
        <f t="shared" si="177"/>
        <v>0</v>
      </c>
      <c r="AZ179" s="117">
        <f t="shared" si="177"/>
        <v>12112776.25</v>
      </c>
      <c r="BA179" s="117">
        <f t="shared" si="177"/>
        <v>0</v>
      </c>
      <c r="BB179" s="117">
        <f t="shared" si="177"/>
        <v>-10873623.75</v>
      </c>
      <c r="BE179" s="295"/>
    </row>
    <row r="180" spans="1:57" ht="124.8" outlineLevel="2">
      <c r="A180" s="98"/>
      <c r="B180" s="102"/>
      <c r="C180" s="23"/>
      <c r="D180" s="257"/>
      <c r="E180" s="123"/>
      <c r="F180" s="249"/>
      <c r="G180" s="283"/>
      <c r="H180" s="302" t="s">
        <v>516</v>
      </c>
      <c r="I180" s="104" t="s">
        <v>4</v>
      </c>
      <c r="J180" s="105">
        <v>15</v>
      </c>
      <c r="K180" s="105">
        <v>0.4</v>
      </c>
      <c r="L180" s="106">
        <f>IF(I180&lt;&gt;0,((VLOOKUP(I180,'1. Standard_Cost'!$B$4:$D$11,2)+VLOOKUP(I180,'1. Standard_Cost'!$B$4:$D$11,3))*J180*K180),"0")</f>
        <v>484500</v>
      </c>
      <c r="M180" s="106">
        <f>L180*'1. Standard_Cost'!$F$4</f>
        <v>80911.5</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v>15</v>
      </c>
      <c r="AB180" s="108">
        <f>+Z180*'1. Standard_Cost'!$B$23+AA180*'1. Standard_Cost'!$C$23</f>
        <v>285000</v>
      </c>
      <c r="AC180" s="109">
        <f>20*300</f>
        <v>6000</v>
      </c>
      <c r="AD180" s="110"/>
      <c r="AE180" s="108">
        <f>SUM(AD180,AC180,AB180,Y180,U180,T180,S180,R180)*'1. Standard_Cost'!$B$31</f>
        <v>58200</v>
      </c>
      <c r="AF180" s="108">
        <f t="shared" ref="AF180:AF200" si="178">SUM(AE180,AD180,AC180,AB180,Y180,U180,T180,S180,R180)</f>
        <v>349200</v>
      </c>
      <c r="AG180" s="107"/>
      <c r="AH180" s="107"/>
      <c r="AI180" s="107"/>
      <c r="AJ180" s="111"/>
      <c r="AK180" s="111"/>
      <c r="AL180" s="111"/>
      <c r="AM180" s="108">
        <f>AG180*'1. Standard_Cost'!$B$27+'Incremental_Cost Year 3'!AH180*'1. Standard_Cost'!$C$27+'Incremental_Cost Year 3'!AI180*'1. Standard_Cost'!$D$27+'Incremental_Cost Year 3'!AJ180+'Incremental_Cost Year 3'!AL180+AK180</f>
        <v>0</v>
      </c>
      <c r="AN180" s="108">
        <f>AM180*'1. Standard_Cost'!$C$31</f>
        <v>0</v>
      </c>
      <c r="AO180" s="125" t="s">
        <v>395</v>
      </c>
      <c r="AQ180" s="14">
        <f t="shared" ref="AQ180:AQ200" si="179">L180+M180</f>
        <v>565411.5</v>
      </c>
      <c r="AR180" s="14">
        <f t="shared" ref="AR180:AR200" si="180">AF180</f>
        <v>349200</v>
      </c>
      <c r="AS180" s="14">
        <f t="shared" ref="AS180:AS200" si="181">AM180+AN180</f>
        <v>0</v>
      </c>
      <c r="AT180" s="14">
        <f>SUM(AQ180,AR180,AS180)</f>
        <v>914611.5</v>
      </c>
      <c r="AU180" s="15">
        <v>565411.5</v>
      </c>
      <c r="AV180" s="15"/>
      <c r="AW180" s="15"/>
      <c r="AX180" s="15"/>
      <c r="AY180" s="15"/>
      <c r="AZ180" s="15"/>
      <c r="BA180" s="15"/>
      <c r="BB180" s="16">
        <f t="shared" ref="BB180:BB200" si="182">SUM(AU180:BA180)-AT180</f>
        <v>-349200</v>
      </c>
      <c r="BE180" s="295"/>
    </row>
    <row r="181" spans="1:57" ht="187.2" customHeight="1" outlineLevel="2">
      <c r="A181" s="98"/>
      <c r="B181" s="102"/>
      <c r="C181" s="23"/>
      <c r="D181" s="269"/>
      <c r="E181" s="271"/>
      <c r="F181" s="250"/>
      <c r="G181" s="255"/>
      <c r="H181" s="302" t="s">
        <v>517</v>
      </c>
      <c r="I181" s="104" t="s">
        <v>4</v>
      </c>
      <c r="J181" s="105">
        <v>0.4</v>
      </c>
      <c r="K181" s="105">
        <v>10</v>
      </c>
      <c r="L181" s="106">
        <f>IF(I181&lt;&gt;0,((VLOOKUP(I181,'1. Standard_Cost'!$B$4:$D$11,2)+VLOOKUP(I181,'1. Standard_Cost'!$B$4:$D$11,3))*J181*K181),"0")</f>
        <v>323000</v>
      </c>
      <c r="M181" s="106">
        <f>L181*'1. Standard_Cost'!$F$4</f>
        <v>53941</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v>20</v>
      </c>
      <c r="AB181" s="108">
        <f>+Z181*'1. Standard_Cost'!$B$23+AA181*'1. Standard_Cost'!$C$23</f>
        <v>380000</v>
      </c>
      <c r="AC181" s="109">
        <f>2*20*300</f>
        <v>12000</v>
      </c>
      <c r="AD181" s="110"/>
      <c r="AE181" s="108">
        <f>SUM(AD181,AC181,AB181,Y181,U181,T181,S181,R181)*'1. Standard_Cost'!$B$31</f>
        <v>78400</v>
      </c>
      <c r="AF181" s="108">
        <f t="shared" si="178"/>
        <v>470400</v>
      </c>
      <c r="AG181" s="107"/>
      <c r="AH181" s="107"/>
      <c r="AI181" s="107"/>
      <c r="AJ181" s="111"/>
      <c r="AK181" s="111"/>
      <c r="AL181" s="111"/>
      <c r="AM181" s="108">
        <f>AG181*'1. Standard_Cost'!$B$27+'Incremental_Cost Year 3'!AH181*'1. Standard_Cost'!$C$27+'Incremental_Cost Year 3'!AI181*'1. Standard_Cost'!$D$27+'Incremental_Cost Year 3'!AJ181+'Incremental_Cost Year 3'!AL181+AK181</f>
        <v>0</v>
      </c>
      <c r="AN181" s="108">
        <f>AM181*'1. Standard_Cost'!$C$31</f>
        <v>0</v>
      </c>
      <c r="AO181" s="125" t="s">
        <v>396</v>
      </c>
      <c r="AQ181" s="14">
        <f t="shared" si="179"/>
        <v>376941</v>
      </c>
      <c r="AR181" s="14">
        <f t="shared" si="180"/>
        <v>470400</v>
      </c>
      <c r="AS181" s="14">
        <f t="shared" si="181"/>
        <v>0</v>
      </c>
      <c r="AT181" s="14">
        <f t="shared" ref="AT181:AT200" si="183">SUM(AQ181,AR181,AS181)</f>
        <v>847341</v>
      </c>
      <c r="AU181" s="15">
        <v>376941</v>
      </c>
      <c r="AV181" s="15"/>
      <c r="AW181" s="15"/>
      <c r="AX181" s="15"/>
      <c r="AY181" s="15"/>
      <c r="AZ181" s="15"/>
      <c r="BA181" s="15"/>
      <c r="BB181" s="16">
        <f t="shared" si="182"/>
        <v>-470400</v>
      </c>
      <c r="BE181" s="295"/>
    </row>
    <row r="182" spans="1:57" ht="124.8" outlineLevel="2">
      <c r="A182" s="98"/>
      <c r="B182" s="102"/>
      <c r="C182" s="23"/>
      <c r="D182" s="269"/>
      <c r="E182" s="271"/>
      <c r="F182" s="250"/>
      <c r="G182" s="255"/>
      <c r="H182" s="302" t="s">
        <v>518</v>
      </c>
      <c r="I182" s="104" t="s">
        <v>4</v>
      </c>
      <c r="J182" s="105">
        <v>0.4</v>
      </c>
      <c r="K182" s="105">
        <v>1</v>
      </c>
      <c r="L182" s="106">
        <f>IF(I182&lt;&gt;0,((VLOOKUP(I182,'1. Standard_Cost'!$B$4:$D$11,2)+VLOOKUP(I182,'1. Standard_Cost'!$B$4:$D$11,3))*J182*K182),"0")</f>
        <v>32300</v>
      </c>
      <c r="M182" s="106">
        <f>L182*'1. Standard_Cost'!$F$4</f>
        <v>5394.1</v>
      </c>
      <c r="N182" s="107">
        <v>10</v>
      </c>
      <c r="O182" s="107">
        <v>2</v>
      </c>
      <c r="P182" s="107">
        <v>15</v>
      </c>
      <c r="Q182" s="107"/>
      <c r="R182" s="108">
        <v>0</v>
      </c>
      <c r="S182" s="108">
        <v>0</v>
      </c>
      <c r="T182" s="108">
        <f>N182*P182*Q182*'1. Standard_Cost'!$D$15</f>
        <v>0</v>
      </c>
      <c r="U182" s="108">
        <v>0</v>
      </c>
      <c r="V182" s="107"/>
      <c r="W182" s="107"/>
      <c r="X182" s="107"/>
      <c r="Y182" s="108">
        <f>+V182*((X182*'1. Standard_Cost'!$B$19)+(W182*X182*'1. Standard_Cost'!$C$19))</f>
        <v>0</v>
      </c>
      <c r="Z182" s="107"/>
      <c r="AA182" s="107">
        <v>22</v>
      </c>
      <c r="AB182" s="108">
        <f>+Z182*'1. Standard_Cost'!$B$23+AA182*'1. Standard_Cost'!$C$23</f>
        <v>418000</v>
      </c>
      <c r="AC182" s="109">
        <f>150*3500*2+150*2*500</f>
        <v>1200000</v>
      </c>
      <c r="AD182" s="110"/>
      <c r="AE182" s="108">
        <v>0</v>
      </c>
      <c r="AF182" s="108">
        <f t="shared" si="178"/>
        <v>1618000</v>
      </c>
      <c r="AG182" s="107"/>
      <c r="AH182" s="107"/>
      <c r="AI182" s="107"/>
      <c r="AJ182" s="111"/>
      <c r="AK182" s="111"/>
      <c r="AL182" s="111"/>
      <c r="AM182" s="108">
        <f>AG182*'1. Standard_Cost'!$B$27+'Incremental_Cost Year 3'!AH182*'1. Standard_Cost'!$C$27+'Incremental_Cost Year 3'!AI182*'1. Standard_Cost'!$D$27+'Incremental_Cost Year 3'!AJ182+'Incremental_Cost Year 3'!AL182+AK182</f>
        <v>0</v>
      </c>
      <c r="AN182" s="108">
        <f>AM182*'1. Standard_Cost'!$C$31</f>
        <v>0</v>
      </c>
      <c r="AO182" s="125" t="s">
        <v>397</v>
      </c>
      <c r="AQ182" s="14">
        <f t="shared" si="179"/>
        <v>37694.1</v>
      </c>
      <c r="AR182" s="14">
        <f t="shared" si="180"/>
        <v>1618000</v>
      </c>
      <c r="AS182" s="14">
        <f t="shared" si="181"/>
        <v>0</v>
      </c>
      <c r="AT182" s="14">
        <f t="shared" si="183"/>
        <v>1655694.1</v>
      </c>
      <c r="AU182" s="15">
        <v>37694.1</v>
      </c>
      <c r="AV182" s="15"/>
      <c r="AW182" s="15"/>
      <c r="AX182" s="15"/>
      <c r="AY182" s="15"/>
      <c r="AZ182" s="15"/>
      <c r="BA182" s="15"/>
      <c r="BB182" s="16">
        <f t="shared" si="182"/>
        <v>-1618000</v>
      </c>
      <c r="BE182" s="295"/>
    </row>
    <row r="183" spans="1:57" ht="93.6" outlineLevel="2">
      <c r="A183" s="98"/>
      <c r="B183" s="102"/>
      <c r="C183" s="23"/>
      <c r="D183" s="269"/>
      <c r="E183" s="271"/>
      <c r="F183" s="250"/>
      <c r="G183" s="255"/>
      <c r="H183" s="302" t="s">
        <v>519</v>
      </c>
      <c r="I183" s="104" t="s">
        <v>4</v>
      </c>
      <c r="J183" s="105">
        <v>1</v>
      </c>
      <c r="K183" s="105">
        <v>3</v>
      </c>
      <c r="L183" s="106">
        <f>IF(I183&lt;&gt;0,((VLOOKUP(I183,'1. Standard_Cost'!$B$4:$D$11,2)+VLOOKUP(I183,'1. Standard_Cost'!$B$4:$D$11,3))*J183*K183),"0")</f>
        <v>242250</v>
      </c>
      <c r="M183" s="106">
        <f>L183*'1. Standard_Cost'!$F$4</f>
        <v>40455.75</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f>50000+2*200000+4000*30</f>
        <v>570000</v>
      </c>
      <c r="AD183" s="110"/>
      <c r="AE183" s="108">
        <f>SUM(AD183,AC183,AB183,Y183,U183,T183,S183,R183)*'1. Standard_Cost'!$B$31</f>
        <v>114000</v>
      </c>
      <c r="AF183" s="108">
        <f t="shared" si="178"/>
        <v>684000</v>
      </c>
      <c r="AG183" s="107"/>
      <c r="AH183" s="107"/>
      <c r="AI183" s="107"/>
      <c r="AJ183" s="111"/>
      <c r="AK183" s="111"/>
      <c r="AL183" s="111"/>
      <c r="AM183" s="108">
        <f>AG183*'1. Standard_Cost'!$B$27+'Incremental_Cost Year 3'!AH183*'1. Standard_Cost'!$C$27+'Incremental_Cost Year 3'!AI183*'1. Standard_Cost'!$D$27+'Incremental_Cost Year 3'!AJ183+'Incremental_Cost Year 3'!AL183+AK183</f>
        <v>0</v>
      </c>
      <c r="AN183" s="108">
        <f>AM183*'1. Standard_Cost'!$C$31</f>
        <v>0</v>
      </c>
      <c r="AO183" s="125" t="s">
        <v>398</v>
      </c>
      <c r="AQ183" s="14">
        <f t="shared" si="179"/>
        <v>282705.75</v>
      </c>
      <c r="AR183" s="14">
        <f t="shared" si="180"/>
        <v>684000</v>
      </c>
      <c r="AS183" s="14">
        <f t="shared" si="181"/>
        <v>0</v>
      </c>
      <c r="AT183" s="14">
        <f t="shared" si="183"/>
        <v>966705.75</v>
      </c>
      <c r="AU183" s="15">
        <v>282705.75</v>
      </c>
      <c r="AV183" s="15"/>
      <c r="AW183" s="15"/>
      <c r="AX183" s="15"/>
      <c r="AY183" s="15"/>
      <c r="AZ183" s="15"/>
      <c r="BA183" s="15"/>
      <c r="BB183" s="16">
        <f t="shared" si="182"/>
        <v>-684000</v>
      </c>
      <c r="BE183" s="295"/>
    </row>
    <row r="184" spans="1:57" ht="171.6" outlineLevel="2">
      <c r="A184" s="98"/>
      <c r="B184" s="102"/>
      <c r="C184" s="23"/>
      <c r="D184" s="269"/>
      <c r="E184" s="271"/>
      <c r="F184" s="250"/>
      <c r="G184" s="255"/>
      <c r="H184" s="302" t="s">
        <v>520</v>
      </c>
      <c r="I184" s="104" t="s">
        <v>4</v>
      </c>
      <c r="J184" s="105">
        <v>1</v>
      </c>
      <c r="K184" s="105">
        <v>2</v>
      </c>
      <c r="L184" s="106">
        <f>IF(I184&lt;&gt;0,((VLOOKUP(I184,'1. Standard_Cost'!$B$4:$D$11,2)+VLOOKUP(I184,'1. Standard_Cost'!$B$4:$D$11,3))*J184*K184),"0")</f>
        <v>161500</v>
      </c>
      <c r="M184" s="106">
        <f>L184*'1. Standard_Cost'!$F$4</f>
        <v>26970.5</v>
      </c>
      <c r="N184" s="107"/>
      <c r="O184" s="107"/>
      <c r="P184" s="107"/>
      <c r="Q184" s="107"/>
      <c r="R184" s="108">
        <f>'1. Standard_Cost'!$B$15*N184*P184</f>
        <v>0</v>
      </c>
      <c r="S184" s="108">
        <f>N184*O184*P184*'1. Standard_Cost'!$C$15</f>
        <v>0</v>
      </c>
      <c r="T184" s="108">
        <f>N184*P184*Q184*'1. Standard_Cost'!$D$15</f>
        <v>0</v>
      </c>
      <c r="U184" s="108">
        <f>N184*O184*'1. Standard_Cost'!$E$15</f>
        <v>0</v>
      </c>
      <c r="V184" s="107"/>
      <c r="W184" s="107"/>
      <c r="X184" s="107"/>
      <c r="Y184" s="108">
        <f>+V184*((X184*'1. Standard_Cost'!$B$19)+(W184*X184*'1. Standard_Cost'!$C$19))</f>
        <v>0</v>
      </c>
      <c r="Z184" s="107"/>
      <c r="AA184" s="107"/>
      <c r="AB184" s="108">
        <f>+Z184*'1. Standard_Cost'!$B$23+AA184*'1. Standard_Cost'!$C$23</f>
        <v>0</v>
      </c>
      <c r="AC184" s="109">
        <f>1377600+9000000</f>
        <v>10377600</v>
      </c>
      <c r="AD184" s="110"/>
      <c r="AE184" s="108">
        <v>0</v>
      </c>
      <c r="AF184" s="108">
        <f t="shared" si="178"/>
        <v>10377600</v>
      </c>
      <c r="AG184" s="107"/>
      <c r="AH184" s="107"/>
      <c r="AI184" s="107"/>
      <c r="AJ184" s="111"/>
      <c r="AK184" s="111"/>
      <c r="AL184" s="111"/>
      <c r="AM184" s="108">
        <f>AG184*'1. Standard_Cost'!$B$27+'Incremental_Cost Year 3'!AH184*'1. Standard_Cost'!$C$27+'Incremental_Cost Year 3'!AI184*'1. Standard_Cost'!$D$27+'Incremental_Cost Year 3'!AJ184+'Incremental_Cost Year 3'!AL184+AK184</f>
        <v>0</v>
      </c>
      <c r="AN184" s="108">
        <f>AM184*'1. Standard_Cost'!$C$31</f>
        <v>0</v>
      </c>
      <c r="AO184" s="125" t="s">
        <v>399</v>
      </c>
      <c r="AQ184" s="14">
        <f t="shared" si="179"/>
        <v>188470.5</v>
      </c>
      <c r="AR184" s="14">
        <f t="shared" si="180"/>
        <v>10377600</v>
      </c>
      <c r="AS184" s="14">
        <f t="shared" si="181"/>
        <v>0</v>
      </c>
      <c r="AT184" s="14">
        <f t="shared" si="183"/>
        <v>10566070.5</v>
      </c>
      <c r="AU184" s="15">
        <v>188470.5</v>
      </c>
      <c r="AV184" s="15"/>
      <c r="AW184" s="15"/>
      <c r="AX184" s="15"/>
      <c r="AY184" s="15"/>
      <c r="AZ184" s="15">
        <v>10377600</v>
      </c>
      <c r="BA184" s="15"/>
      <c r="BB184" s="16">
        <f t="shared" si="182"/>
        <v>0</v>
      </c>
      <c r="BE184" s="295"/>
    </row>
    <row r="185" spans="1:57" ht="124.8" outlineLevel="2">
      <c r="A185" s="98"/>
      <c r="B185" s="102"/>
      <c r="C185" s="23"/>
      <c r="D185" s="269"/>
      <c r="E185" s="271"/>
      <c r="F185" s="250"/>
      <c r="G185" s="255"/>
      <c r="H185" s="302" t="s">
        <v>521</v>
      </c>
      <c r="I185" s="104" t="s">
        <v>4</v>
      </c>
      <c r="J185" s="105">
        <v>1</v>
      </c>
      <c r="K185" s="105">
        <v>3</v>
      </c>
      <c r="L185" s="106">
        <f>IF(I185&lt;&gt;0,((VLOOKUP(I185,'1. Standard_Cost'!$B$4:$D$11,2)+VLOOKUP(I185,'1. Standard_Cost'!$B$4:$D$11,3))*J185*K185),"0")</f>
        <v>242250</v>
      </c>
      <c r="M185" s="106">
        <f>L185*'1. Standard_Cost'!$F$4</f>
        <v>40455.75</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f>50000+2*200000+4000*30</f>
        <v>570000</v>
      </c>
      <c r="AD185" s="110"/>
      <c r="AE185" s="108">
        <v>0</v>
      </c>
      <c r="AF185" s="108">
        <f t="shared" si="178"/>
        <v>570000</v>
      </c>
      <c r="AG185" s="107"/>
      <c r="AH185" s="107"/>
      <c r="AI185" s="107"/>
      <c r="AJ185" s="111"/>
      <c r="AK185" s="111"/>
      <c r="AL185" s="111"/>
      <c r="AM185" s="108">
        <f>AG185*'1. Standard_Cost'!$B$27+'Incremental_Cost Year 3'!AH185*'1. Standard_Cost'!$C$27+'Incremental_Cost Year 3'!AI185*'1. Standard_Cost'!$D$27+'Incremental_Cost Year 3'!AJ185+'Incremental_Cost Year 3'!AL185+AK185</f>
        <v>0</v>
      </c>
      <c r="AN185" s="108">
        <f>AM185*'1. Standard_Cost'!$C$31</f>
        <v>0</v>
      </c>
      <c r="AO185" s="125" t="s">
        <v>400</v>
      </c>
      <c r="AQ185" s="14">
        <f t="shared" si="179"/>
        <v>282705.75</v>
      </c>
      <c r="AR185" s="14">
        <f t="shared" si="180"/>
        <v>570000</v>
      </c>
      <c r="AS185" s="14">
        <f t="shared" si="181"/>
        <v>0</v>
      </c>
      <c r="AT185" s="14">
        <f t="shared" si="183"/>
        <v>852705.75</v>
      </c>
      <c r="AU185" s="15">
        <v>282705.75</v>
      </c>
      <c r="AV185" s="15"/>
      <c r="AW185" s="15"/>
      <c r="AX185" s="15"/>
      <c r="AY185" s="15"/>
      <c r="AZ185" s="15">
        <v>570000</v>
      </c>
      <c r="BA185" s="15"/>
      <c r="BB185" s="16">
        <f t="shared" si="182"/>
        <v>0</v>
      </c>
      <c r="BE185" s="295"/>
    </row>
    <row r="186" spans="1:57" ht="62.4" outlineLevel="2">
      <c r="A186" s="98"/>
      <c r="B186" s="102"/>
      <c r="C186" s="23"/>
      <c r="D186" s="269"/>
      <c r="E186" s="271"/>
      <c r="F186" s="250"/>
      <c r="G186" s="255"/>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78"/>
        <v>0</v>
      </c>
      <c r="AG186" s="107"/>
      <c r="AH186" s="107"/>
      <c r="AI186" s="107"/>
      <c r="AJ186" s="111"/>
      <c r="AK186" s="111"/>
      <c r="AL186" s="111"/>
      <c r="AM186" s="108">
        <f>AG186*'1. Standard_Cost'!$B$27+'Incremental_Cost Year 3'!AH186*'1. Standard_Cost'!$C$27+'Incremental_Cost Year 3'!AI186*'1. Standard_Cost'!$D$27+'Incremental_Cost Year 3'!AJ186+'Incremental_Cost Year 3'!AL186+AK186</f>
        <v>0</v>
      </c>
      <c r="AN186" s="108">
        <f>AM186*'1. Standard_Cost'!$C$31</f>
        <v>0</v>
      </c>
      <c r="AO186" s="125" t="s">
        <v>401</v>
      </c>
      <c r="AQ186" s="14">
        <f t="shared" si="179"/>
        <v>0</v>
      </c>
      <c r="AR186" s="14">
        <f t="shared" si="180"/>
        <v>0</v>
      </c>
      <c r="AS186" s="14">
        <f t="shared" si="181"/>
        <v>0</v>
      </c>
      <c r="AT186" s="14">
        <f t="shared" si="183"/>
        <v>0</v>
      </c>
      <c r="AU186" s="15">
        <v>0</v>
      </c>
      <c r="AV186" s="15"/>
      <c r="AW186" s="15"/>
      <c r="AX186" s="15"/>
      <c r="AY186" s="15"/>
      <c r="AZ186" s="15"/>
      <c r="BA186" s="15"/>
      <c r="BB186" s="16">
        <f t="shared" si="182"/>
        <v>0</v>
      </c>
      <c r="BE186" s="295"/>
    </row>
    <row r="187" spans="1:57" ht="109.2" outlineLevel="2">
      <c r="A187" s="98"/>
      <c r="B187" s="102"/>
      <c r="C187" s="23"/>
      <c r="D187" s="269"/>
      <c r="E187" s="271"/>
      <c r="F187" s="250"/>
      <c r="G187" s="255"/>
      <c r="H187" s="302" t="s">
        <v>523</v>
      </c>
      <c r="I187" s="104" t="s">
        <v>4</v>
      </c>
      <c r="J187" s="105">
        <v>0.4</v>
      </c>
      <c r="K187" s="105">
        <v>2</v>
      </c>
      <c r="L187" s="106">
        <f>IF(I187&lt;&gt;0,((VLOOKUP(I187,'1. Standard_Cost'!$B$4:$D$11,2)+VLOOKUP(I187,'1. Standard_Cost'!$B$4:$D$11,3))*J187*K187),"0")</f>
        <v>64600</v>
      </c>
      <c r="M187" s="106">
        <f>L187*'1. Standard_Cost'!$F$4</f>
        <v>10788.2</v>
      </c>
      <c r="N187" s="107">
        <v>4</v>
      </c>
      <c r="O187" s="107">
        <v>2</v>
      </c>
      <c r="P187" s="107">
        <v>30</v>
      </c>
      <c r="Q187" s="107">
        <v>1</v>
      </c>
      <c r="R187" s="108">
        <f>'1. Standard_Cost'!$B$15*N187*P187</f>
        <v>240000</v>
      </c>
      <c r="S187" s="108">
        <f>N187*O187*P187*'1. Standard_Cost'!$C$15</f>
        <v>360000</v>
      </c>
      <c r="T187" s="108">
        <f>N187*P187*Q187*'1. Standard_Cost'!$D$15</f>
        <v>600000</v>
      </c>
      <c r="U187" s="108">
        <v>0</v>
      </c>
      <c r="V187" s="107"/>
      <c r="W187" s="107"/>
      <c r="X187" s="107"/>
      <c r="Y187" s="108">
        <f>+V187*((X187*'1. Standard_Cost'!$B$19)+(W187*X187*'1. Standard_Cost'!$C$19))</f>
        <v>0</v>
      </c>
      <c r="Z187" s="107"/>
      <c r="AA187" s="107">
        <v>29</v>
      </c>
      <c r="AB187" s="108">
        <f>+Z187*'1. Standard_Cost'!$B$23+AA187*'1. Standard_Cost'!$C$23</f>
        <v>551000</v>
      </c>
      <c r="AC187" s="109">
        <f>120*300</f>
        <v>36000</v>
      </c>
      <c r="AD187" s="110"/>
      <c r="AE187" s="108">
        <v>0</v>
      </c>
      <c r="AF187" s="108">
        <f t="shared" si="178"/>
        <v>1787000</v>
      </c>
      <c r="AG187" s="107"/>
      <c r="AH187" s="107"/>
      <c r="AI187" s="107"/>
      <c r="AJ187" s="111"/>
      <c r="AK187" s="111"/>
      <c r="AL187" s="111"/>
      <c r="AM187" s="108">
        <f>AG187*'1. Standard_Cost'!$B$27+'Incremental_Cost Year 3'!AH187*'1. Standard_Cost'!$C$27+'Incremental_Cost Year 3'!AI187*'1. Standard_Cost'!$D$27+'Incremental_Cost Year 3'!AJ187+'Incremental_Cost Year 3'!AL187+AK187</f>
        <v>0</v>
      </c>
      <c r="AN187" s="108">
        <f>AM187*'1. Standard_Cost'!$C$31</f>
        <v>0</v>
      </c>
      <c r="AO187" s="125" t="s">
        <v>402</v>
      </c>
      <c r="AQ187" s="14">
        <f t="shared" si="179"/>
        <v>75388.2</v>
      </c>
      <c r="AR187" s="14">
        <f t="shared" si="180"/>
        <v>1787000</v>
      </c>
      <c r="AS187" s="14">
        <f t="shared" si="181"/>
        <v>0</v>
      </c>
      <c r="AT187" s="14">
        <f t="shared" si="183"/>
        <v>1862388.2</v>
      </c>
      <c r="AU187" s="15">
        <v>75388.2</v>
      </c>
      <c r="AV187" s="15"/>
      <c r="AW187" s="15"/>
      <c r="AX187" s="15"/>
      <c r="AY187" s="15"/>
      <c r="AZ187" s="15"/>
      <c r="BA187" s="15"/>
      <c r="BB187" s="16">
        <f t="shared" si="182"/>
        <v>-1787000</v>
      </c>
      <c r="BE187" s="295"/>
    </row>
    <row r="188" spans="1:57" ht="124.8" outlineLevel="2">
      <c r="A188" s="98"/>
      <c r="B188" s="102"/>
      <c r="C188" s="23"/>
      <c r="D188" s="269"/>
      <c r="E188" s="271"/>
      <c r="F188" s="250"/>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v>0</v>
      </c>
      <c r="AF188" s="108">
        <f t="shared" si="178"/>
        <v>570000</v>
      </c>
      <c r="AG188" s="107"/>
      <c r="AH188" s="107"/>
      <c r="AI188" s="107"/>
      <c r="AJ188" s="111"/>
      <c r="AK188" s="111"/>
      <c r="AL188" s="111"/>
      <c r="AM188" s="108">
        <f>AG188*'1. Standard_Cost'!$B$27+'Incremental_Cost Year 3'!AH188*'1. Standard_Cost'!$C$27+'Incremental_Cost Year 3'!AI188*'1. Standard_Cost'!$D$27+'Incremental_Cost Year 3'!AJ188+'Incremental_Cost Year 3'!AL188+AK188</f>
        <v>0</v>
      </c>
      <c r="AN188" s="108">
        <f>AM188*'1. Standard_Cost'!$C$31</f>
        <v>0</v>
      </c>
      <c r="AO188" s="125" t="s">
        <v>335</v>
      </c>
      <c r="AQ188" s="14">
        <f t="shared" si="179"/>
        <v>282705.75</v>
      </c>
      <c r="AR188" s="14">
        <f t="shared" si="180"/>
        <v>570000</v>
      </c>
      <c r="AS188" s="14">
        <f t="shared" si="181"/>
        <v>0</v>
      </c>
      <c r="AT188" s="14">
        <f t="shared" si="183"/>
        <v>852705.75</v>
      </c>
      <c r="AU188" s="15">
        <v>282705.75</v>
      </c>
      <c r="AV188" s="15"/>
      <c r="AW188" s="15"/>
      <c r="AX188" s="15"/>
      <c r="AY188" s="15"/>
      <c r="AZ188" s="15"/>
      <c r="BA188" s="15"/>
      <c r="BB188" s="16">
        <f t="shared" si="182"/>
        <v>-570000</v>
      </c>
      <c r="BE188" s="295"/>
    </row>
    <row r="189" spans="1:57" ht="46.8" outlineLevel="2">
      <c r="A189" s="98"/>
      <c r="B189" s="102"/>
      <c r="C189" s="23"/>
      <c r="D189" s="269"/>
      <c r="E189" s="271"/>
      <c r="F189" s="250"/>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78"/>
        <v>0</v>
      </c>
      <c r="AG189" s="107"/>
      <c r="AH189" s="107"/>
      <c r="AI189" s="107"/>
      <c r="AJ189" s="111"/>
      <c r="AK189" s="111"/>
      <c r="AL189" s="111"/>
      <c r="AM189" s="108">
        <f>AG189*'1. Standard_Cost'!$B$27+'Incremental_Cost Year 3'!AH189*'1. Standard_Cost'!$C$27+'Incremental_Cost Year 3'!AI189*'1. Standard_Cost'!$D$27+'Incremental_Cost Year 3'!AJ189+'Incremental_Cost Year 3'!AL189+AK189</f>
        <v>0</v>
      </c>
      <c r="AN189" s="108">
        <f>AM189*'1. Standard_Cost'!$C$31</f>
        <v>0</v>
      </c>
      <c r="AO189" s="125" t="s">
        <v>403</v>
      </c>
      <c r="AQ189" s="14">
        <f t="shared" si="179"/>
        <v>423621</v>
      </c>
      <c r="AR189" s="14">
        <f t="shared" si="180"/>
        <v>0</v>
      </c>
      <c r="AS189" s="14">
        <f t="shared" si="181"/>
        <v>0</v>
      </c>
      <c r="AT189" s="14">
        <f t="shared" si="183"/>
        <v>423621</v>
      </c>
      <c r="AU189" s="15">
        <v>423621</v>
      </c>
      <c r="AV189" s="15"/>
      <c r="AW189" s="15"/>
      <c r="AX189" s="15"/>
      <c r="AY189" s="15"/>
      <c r="AZ189" s="15"/>
      <c r="BA189" s="15"/>
      <c r="BB189" s="16">
        <f t="shared" si="182"/>
        <v>0</v>
      </c>
      <c r="BE189" s="295"/>
    </row>
    <row r="190" spans="1:57" ht="124.8" outlineLevel="2">
      <c r="A190" s="98"/>
      <c r="B190" s="102"/>
      <c r="C190" s="23"/>
      <c r="D190" s="269"/>
      <c r="E190" s="271"/>
      <c r="F190" s="250"/>
      <c r="G190" s="255"/>
      <c r="H190" s="302" t="s">
        <v>526</v>
      </c>
      <c r="I190" s="104" t="s">
        <v>4</v>
      </c>
      <c r="J190" s="105">
        <v>0.4</v>
      </c>
      <c r="K190" s="105">
        <v>1</v>
      </c>
      <c r="L190" s="106">
        <f>IF(I190&lt;&gt;0,((VLOOKUP(I190,'1. Standard_Cost'!$B$4:$D$11,2)+VLOOKUP(I190,'1. Standard_Cost'!$B$4:$D$11,3))*J190*K190),"0")</f>
        <v>32300</v>
      </c>
      <c r="M190" s="106">
        <f>L190*'1. Standard_Cost'!$F$4</f>
        <v>5394.1</v>
      </c>
      <c r="N190" s="107">
        <v>10</v>
      </c>
      <c r="O190" s="107">
        <v>2</v>
      </c>
      <c r="P190" s="107">
        <v>15</v>
      </c>
      <c r="Q190" s="107">
        <v>0</v>
      </c>
      <c r="R190" s="108">
        <v>0</v>
      </c>
      <c r="S190" s="108">
        <v>0</v>
      </c>
      <c r="T190" s="108">
        <f>N190*P190*Q190*'1. Standard_Cost'!$D$15</f>
        <v>0</v>
      </c>
      <c r="U190" s="108">
        <v>0</v>
      </c>
      <c r="V190" s="107"/>
      <c r="W190" s="107"/>
      <c r="X190" s="107"/>
      <c r="Y190" s="108">
        <f>+V190*((X190*'1. Standard_Cost'!$B$19)+(W190*X190*'1. Standard_Cost'!$C$19))</f>
        <v>0</v>
      </c>
      <c r="Z190" s="107"/>
      <c r="AA190" s="107">
        <f>20+22</f>
        <v>42</v>
      </c>
      <c r="AB190" s="108">
        <f>+Z190*'1. Standard_Cost'!$B$23+AA190*'1. Standard_Cost'!$C$23</f>
        <v>798000</v>
      </c>
      <c r="AC190" s="109">
        <f>150*3500*2+150*500*2</f>
        <v>1200000</v>
      </c>
      <c r="AD190" s="110"/>
      <c r="AE190" s="108">
        <v>0</v>
      </c>
      <c r="AF190" s="108">
        <f t="shared" si="178"/>
        <v>1998000</v>
      </c>
      <c r="AG190" s="107"/>
      <c r="AH190" s="107"/>
      <c r="AI190" s="107"/>
      <c r="AJ190" s="111"/>
      <c r="AK190" s="111"/>
      <c r="AL190" s="111"/>
      <c r="AM190" s="108">
        <f>AG190*'1. Standard_Cost'!$B$27+'Incremental_Cost Year 3'!AH190*'1. Standard_Cost'!$C$27+'Incremental_Cost Year 3'!AI190*'1. Standard_Cost'!$D$27+'Incremental_Cost Year 3'!AJ190+'Incremental_Cost Year 3'!AL190+AK190</f>
        <v>0</v>
      </c>
      <c r="AN190" s="108">
        <f>AM190*'1. Standard_Cost'!$C$31</f>
        <v>0</v>
      </c>
      <c r="AO190" s="125" t="s">
        <v>404</v>
      </c>
      <c r="AQ190" s="14">
        <f t="shared" si="179"/>
        <v>37694.1</v>
      </c>
      <c r="AR190" s="14">
        <f t="shared" si="180"/>
        <v>1998000</v>
      </c>
      <c r="AS190" s="14">
        <f t="shared" si="181"/>
        <v>0</v>
      </c>
      <c r="AT190" s="14">
        <f t="shared" si="183"/>
        <v>2035694.1</v>
      </c>
      <c r="AU190" s="15">
        <v>37694.1</v>
      </c>
      <c r="AV190" s="15"/>
      <c r="AW190" s="15"/>
      <c r="AX190" s="15"/>
      <c r="AY190" s="15"/>
      <c r="AZ190" s="15"/>
      <c r="BA190" s="15"/>
      <c r="BB190" s="16">
        <f t="shared" si="182"/>
        <v>-1998000</v>
      </c>
      <c r="BE190" s="295"/>
    </row>
    <row r="191" spans="1:57" ht="109.2" outlineLevel="2">
      <c r="A191" s="98"/>
      <c r="B191" s="102"/>
      <c r="C191" s="23"/>
      <c r="D191" s="269"/>
      <c r="E191" s="271"/>
      <c r="F191" s="250"/>
      <c r="G191" s="255"/>
      <c r="H191" s="302" t="s">
        <v>527</v>
      </c>
      <c r="I191" s="104"/>
      <c r="J191" s="105"/>
      <c r="K191" s="105"/>
      <c r="L191" s="106" t="str">
        <f>IF(I191&lt;&gt;0,((VLOOKUP(I191,'1. Standard_Cost'!$B$4:$D$11,2)+VLOOKUP(I191,'1. Standard_Cost'!$B$4:$D$11,3))*J191*K191),"0")</f>
        <v>0</v>
      </c>
      <c r="M191" s="106">
        <f>L191*'1. Standard_Cost'!$F$4</f>
        <v>0</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c r="AB191" s="108">
        <f>+Z191*'1. Standard_Cost'!$B$23+AA191*'1. Standard_Cost'!$C$23</f>
        <v>0</v>
      </c>
      <c r="AC191" s="109"/>
      <c r="AD191" s="110"/>
      <c r="AE191" s="108">
        <f>SUM(AD191,AC191,AB191,Y191,U191,T191,S191,R191)*'1. Standard_Cost'!$B$31</f>
        <v>0</v>
      </c>
      <c r="AF191" s="108">
        <f t="shared" si="178"/>
        <v>0</v>
      </c>
      <c r="AG191" s="107"/>
      <c r="AH191" s="107"/>
      <c r="AI191" s="107"/>
      <c r="AJ191" s="111"/>
      <c r="AK191" s="111"/>
      <c r="AL191" s="111"/>
      <c r="AM191" s="108">
        <f>AG191*'1. Standard_Cost'!$B$27+'Incremental_Cost Year 3'!AH191*'1. Standard_Cost'!$C$27+'Incremental_Cost Year 3'!AI191*'1. Standard_Cost'!$D$27+'Incremental_Cost Year 3'!AJ191+'Incremental_Cost Year 3'!AL191+AK191</f>
        <v>0</v>
      </c>
      <c r="AN191" s="108">
        <f>AM191*'1. Standard_Cost'!$C$31</f>
        <v>0</v>
      </c>
      <c r="AO191" s="125" t="s">
        <v>405</v>
      </c>
      <c r="AQ191" s="14">
        <f t="shared" si="179"/>
        <v>0</v>
      </c>
      <c r="AR191" s="14">
        <f t="shared" si="180"/>
        <v>0</v>
      </c>
      <c r="AS191" s="14">
        <f t="shared" si="181"/>
        <v>0</v>
      </c>
      <c r="AT191" s="14">
        <f t="shared" si="183"/>
        <v>0</v>
      </c>
      <c r="AU191" s="15">
        <v>0</v>
      </c>
      <c r="AV191" s="15"/>
      <c r="AW191" s="15"/>
      <c r="AX191" s="15"/>
      <c r="AY191" s="15"/>
      <c r="AZ191" s="15"/>
      <c r="BA191" s="15"/>
      <c r="BB191" s="16">
        <f t="shared" si="182"/>
        <v>0</v>
      </c>
      <c r="BE191" s="295"/>
    </row>
    <row r="192" spans="1:57" ht="62.4" outlineLevel="2">
      <c r="A192" s="98"/>
      <c r="B192" s="102"/>
      <c r="C192" s="23"/>
      <c r="D192" s="269"/>
      <c r="E192" s="271"/>
      <c r="F192" s="250"/>
      <c r="G192" s="255"/>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78"/>
        <v>0</v>
      </c>
      <c r="AG192" s="107"/>
      <c r="AH192" s="107"/>
      <c r="AI192" s="107"/>
      <c r="AJ192" s="111"/>
      <c r="AK192" s="111"/>
      <c r="AL192" s="111"/>
      <c r="AM192" s="108">
        <f>AG192*'1. Standard_Cost'!$B$27+'Incremental_Cost Year 3'!AH192*'1. Standard_Cost'!$C$27+'Incremental_Cost Year 3'!AI192*'1. Standard_Cost'!$D$27+'Incremental_Cost Year 3'!AJ192+'Incremental_Cost Year 3'!AL192+AK192</f>
        <v>0</v>
      </c>
      <c r="AN192" s="108">
        <f>AM192*'1. Standard_Cost'!$C$31</f>
        <v>0</v>
      </c>
      <c r="AO192" s="125" t="s">
        <v>406</v>
      </c>
      <c r="AQ192" s="14">
        <f t="shared" si="179"/>
        <v>19801656</v>
      </c>
      <c r="AR192" s="14">
        <f t="shared" si="180"/>
        <v>0</v>
      </c>
      <c r="AS192" s="14">
        <f t="shared" si="181"/>
        <v>0</v>
      </c>
      <c r="AT192" s="14">
        <f t="shared" si="183"/>
        <v>19801656</v>
      </c>
      <c r="AU192" s="15">
        <v>19801656</v>
      </c>
      <c r="AV192" s="15"/>
      <c r="AW192" s="15"/>
      <c r="AX192" s="15"/>
      <c r="AY192" s="15"/>
      <c r="AZ192" s="15"/>
      <c r="BA192" s="15"/>
      <c r="BB192" s="16">
        <f t="shared" si="182"/>
        <v>0</v>
      </c>
      <c r="BE192" s="295"/>
    </row>
    <row r="193" spans="1:57" ht="78" outlineLevel="2">
      <c r="A193" s="98"/>
      <c r="B193" s="102"/>
      <c r="C193" s="23"/>
      <c r="D193" s="269"/>
      <c r="E193" s="271"/>
      <c r="F193" s="250"/>
      <c r="G193" s="255"/>
      <c r="H193" s="302" t="s">
        <v>529</v>
      </c>
      <c r="I193" s="104"/>
      <c r="J193" s="105"/>
      <c r="K193" s="105"/>
      <c r="L193" s="106" t="str">
        <f>IF(I193&lt;&gt;0,((VLOOKUP(I193,'1. Standard_Cost'!$B$4:$D$11,2)+VLOOKUP(I193,'1. Standard_Cost'!$B$4:$D$11,3))*J193*K193),"0")</f>
        <v>0</v>
      </c>
      <c r="M193" s="106">
        <f>L193*'1. Standard_Cost'!$F$4</f>
        <v>0</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c r="AB193" s="108">
        <f>+Z193*'1. Standard_Cost'!$B$23+AA193*'1. Standard_Cost'!$C$23</f>
        <v>0</v>
      </c>
      <c r="AC193" s="109"/>
      <c r="AD193" s="110"/>
      <c r="AE193" s="108">
        <f>SUM(AD193,AC193,AB193,Y193,U193,T193,S193,R193)*'1. Standard_Cost'!$B$31</f>
        <v>0</v>
      </c>
      <c r="AF193" s="108">
        <f t="shared" si="178"/>
        <v>0</v>
      </c>
      <c r="AG193" s="107"/>
      <c r="AH193" s="107"/>
      <c r="AI193" s="107"/>
      <c r="AJ193" s="111"/>
      <c r="AK193" s="111"/>
      <c r="AL193" s="111"/>
      <c r="AM193" s="108">
        <f>AG193*'1. Standard_Cost'!$B$27+'Incremental_Cost Year 3'!AH193*'1. Standard_Cost'!$C$27+'Incremental_Cost Year 3'!AI193*'1. Standard_Cost'!$D$27+'Incremental_Cost Year 3'!AJ193+'Incremental_Cost Year 3'!AL193+AK193</f>
        <v>0</v>
      </c>
      <c r="AN193" s="108">
        <f>AM193*'1. Standard_Cost'!$C$31</f>
        <v>0</v>
      </c>
      <c r="AO193" s="125" t="s">
        <v>407</v>
      </c>
      <c r="AQ193" s="14">
        <f t="shared" si="179"/>
        <v>0</v>
      </c>
      <c r="AR193" s="14">
        <f t="shared" si="180"/>
        <v>0</v>
      </c>
      <c r="AS193" s="14">
        <f t="shared" si="181"/>
        <v>0</v>
      </c>
      <c r="AT193" s="14">
        <f t="shared" si="183"/>
        <v>0</v>
      </c>
      <c r="AU193" s="15">
        <v>0</v>
      </c>
      <c r="AV193" s="15"/>
      <c r="AW193" s="15"/>
      <c r="AX193" s="15"/>
      <c r="AY193" s="15"/>
      <c r="AZ193" s="15"/>
      <c r="BA193" s="15"/>
      <c r="BB193" s="16">
        <f t="shared" si="182"/>
        <v>0</v>
      </c>
      <c r="BE193" s="295"/>
    </row>
    <row r="194" spans="1:57" ht="36" customHeight="1" outlineLevel="2">
      <c r="A194" s="98"/>
      <c r="B194" s="102"/>
      <c r="C194" s="23"/>
      <c r="D194" s="251"/>
      <c r="E194" s="251"/>
      <c r="F194" s="251"/>
      <c r="G194" s="250"/>
      <c r="H194" s="302" t="s">
        <v>530</v>
      </c>
      <c r="I194" s="104" t="s">
        <v>4</v>
      </c>
      <c r="J194" s="105">
        <v>0.4</v>
      </c>
      <c r="K194" s="105">
        <v>1</v>
      </c>
      <c r="L194" s="106">
        <f>IF(I194&lt;&gt;0,((VLOOKUP(I194,'1. Standard_Cost'!$B$4:$D$11,2)+VLOOKUP(I194,'1. Standard_Cost'!$B$4:$D$11,3))*J194*K194),"0")</f>
        <v>32300</v>
      </c>
      <c r="M194" s="106">
        <f>L194*'1. Standard_Cost'!$F$4</f>
        <v>5394.1</v>
      </c>
      <c r="N194" s="107">
        <v>10</v>
      </c>
      <c r="O194" s="107">
        <v>2</v>
      </c>
      <c r="P194" s="107">
        <v>15</v>
      </c>
      <c r="Q194" s="107"/>
      <c r="R194" s="108">
        <v>0</v>
      </c>
      <c r="S194" s="108">
        <v>0</v>
      </c>
      <c r="T194" s="108">
        <f>N194*P194*Q194*'1. Standard_Cost'!$D$15</f>
        <v>0</v>
      </c>
      <c r="U194" s="108">
        <v>0</v>
      </c>
      <c r="V194" s="107"/>
      <c r="W194" s="107"/>
      <c r="X194" s="107"/>
      <c r="Y194" s="108">
        <f>+V194*((X194*'1. Standard_Cost'!$B$19)+(W194*X194*'1. Standard_Cost'!$C$19))</f>
        <v>0</v>
      </c>
      <c r="Z194" s="107"/>
      <c r="AA194" s="107">
        <v>15</v>
      </c>
      <c r="AB194" s="108">
        <f>+Z194*'1. Standard_Cost'!$B$23+AA194*'1. Standard_Cost'!$C$23</f>
        <v>285000</v>
      </c>
      <c r="AC194" s="109">
        <f>150*2*3500+150*2*500</f>
        <v>1200000</v>
      </c>
      <c r="AD194" s="110"/>
      <c r="AE194" s="108">
        <v>0</v>
      </c>
      <c r="AF194" s="108">
        <f t="shared" si="178"/>
        <v>1485000</v>
      </c>
      <c r="AG194" s="107"/>
      <c r="AH194" s="107"/>
      <c r="AI194" s="107"/>
      <c r="AJ194" s="111"/>
      <c r="AK194" s="111"/>
      <c r="AL194" s="111"/>
      <c r="AM194" s="108">
        <f>AG194*'1. Standard_Cost'!$B$27+'Incremental_Cost Year 3'!AH194*'1. Standard_Cost'!$C$27+'Incremental_Cost Year 3'!AI194*'1. Standard_Cost'!$D$27+'Incremental_Cost Year 3'!AJ194+'Incremental_Cost Year 3'!AL194+AK194</f>
        <v>0</v>
      </c>
      <c r="AN194" s="108">
        <f>AM194*'1. Standard_Cost'!$C$31</f>
        <v>0</v>
      </c>
      <c r="AO194" s="125" t="s">
        <v>408</v>
      </c>
      <c r="AQ194" s="14">
        <f t="shared" si="179"/>
        <v>37694.1</v>
      </c>
      <c r="AR194" s="14">
        <f t="shared" si="180"/>
        <v>1485000</v>
      </c>
      <c r="AS194" s="14">
        <f t="shared" si="181"/>
        <v>0</v>
      </c>
      <c r="AT194" s="14">
        <f t="shared" si="183"/>
        <v>1522694.1</v>
      </c>
      <c r="AU194" s="15">
        <v>37694.1</v>
      </c>
      <c r="AV194" s="15"/>
      <c r="AW194" s="15"/>
      <c r="AX194" s="15"/>
      <c r="AY194" s="15"/>
      <c r="AZ194" s="15"/>
      <c r="BA194" s="15"/>
      <c r="BB194" s="16">
        <f t="shared" si="182"/>
        <v>-1485000</v>
      </c>
      <c r="BE194" s="295"/>
    </row>
    <row r="195" spans="1:57" ht="28.95" customHeight="1" outlineLevel="2">
      <c r="A195" s="98"/>
      <c r="B195" s="102"/>
      <c r="C195" s="23"/>
      <c r="D195" s="251"/>
      <c r="E195" s="251"/>
      <c r="F195" s="269"/>
      <c r="G195" s="27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v>22</v>
      </c>
      <c r="AB195" s="108">
        <f>+Z195*'[1]1. Standard_Cost'!$B$23+AA195*'[1]1. Standard_Cost'!$C$23</f>
        <v>418000</v>
      </c>
      <c r="AC195" s="109"/>
      <c r="AD195" s="110"/>
      <c r="AE195" s="108">
        <f>SUM(AD195,AC195,AB195,Y195,U195,T195,S195,R195)*'[1]1. Standard_Cost'!$B$31</f>
        <v>83600</v>
      </c>
      <c r="AF195" s="108">
        <f t="shared" si="178"/>
        <v>501600</v>
      </c>
      <c r="AG195" s="107"/>
      <c r="AH195" s="107"/>
      <c r="AI195" s="107"/>
      <c r="AJ195" s="111"/>
      <c r="AK195" s="111"/>
      <c r="AL195" s="111"/>
      <c r="AM195" s="108">
        <f>AG195*'1. Standard_Cost'!$B$27+'Incremental_Cost Year 3'!AH195*'1. Standard_Cost'!$C$27+'Incremental_Cost Year 3'!AI195*'1. Standard_Cost'!$D$27+'Incremental_Cost Year 3'!AJ195+'Incremental_Cost Year 3'!AL195+AK195</f>
        <v>0</v>
      </c>
      <c r="AN195" s="108">
        <f>AM195*'1. Standard_Cost'!$C$31</f>
        <v>0</v>
      </c>
      <c r="AO195" s="125" t="s">
        <v>408</v>
      </c>
      <c r="AQ195" s="14">
        <f t="shared" si="179"/>
        <v>0</v>
      </c>
      <c r="AR195" s="14">
        <f t="shared" si="180"/>
        <v>501600</v>
      </c>
      <c r="AS195" s="14">
        <f t="shared" si="181"/>
        <v>0</v>
      </c>
      <c r="AT195" s="14">
        <f t="shared" si="183"/>
        <v>501600</v>
      </c>
      <c r="AU195" s="15"/>
      <c r="AV195" s="15"/>
      <c r="AW195" s="15"/>
      <c r="AX195" s="15"/>
      <c r="AY195" s="15"/>
      <c r="AZ195" s="15"/>
      <c r="BA195" s="15"/>
      <c r="BB195" s="16">
        <f t="shared" si="182"/>
        <v>-501600</v>
      </c>
      <c r="BE195" s="295"/>
    </row>
    <row r="196" spans="1:57" ht="32.25" customHeight="1" outlineLevel="2">
      <c r="A196" s="98"/>
      <c r="B196" s="102"/>
      <c r="C196" s="23"/>
      <c r="D196" s="251"/>
      <c r="E196" s="251"/>
      <c r="F196" s="251"/>
      <c r="G196" s="250"/>
      <c r="H196" s="302" t="s">
        <v>531</v>
      </c>
      <c r="I196" s="104"/>
      <c r="J196" s="105"/>
      <c r="K196" s="105"/>
      <c r="L196" s="106" t="str">
        <f>IF(I196&lt;&gt;0,((VLOOKUP(I196,'1. Standard_Cost'!$B$4:$D$11,2)+VLOOKUP(I196,'1. Standard_Cost'!$B$4:$D$11,3))*J196*K196),"0")</f>
        <v>0</v>
      </c>
      <c r="M196" s="106">
        <f>L196*'1. Standard_Cost'!$F$4</f>
        <v>0</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c r="AB196" s="108">
        <f>+Z196*'1. Standard_Cost'!$B$23+AA196*'1. Standard_Cost'!$C$23</f>
        <v>0</v>
      </c>
      <c r="AC196" s="109"/>
      <c r="AD196" s="110"/>
      <c r="AE196" s="108">
        <f>SUM(AD196,AC196,AB196,Y196,U196,T196,S196,R196)*'1. Standard_Cost'!$B$31</f>
        <v>0</v>
      </c>
      <c r="AF196" s="108">
        <f t="shared" si="178"/>
        <v>0</v>
      </c>
      <c r="AG196" s="107"/>
      <c r="AH196" s="107"/>
      <c r="AI196" s="107"/>
      <c r="AJ196" s="111"/>
      <c r="AK196" s="111"/>
      <c r="AL196" s="111"/>
      <c r="AM196" s="108">
        <f>AG196*'1. Standard_Cost'!$B$27+'Incremental_Cost Year 3'!AH196*'1. Standard_Cost'!$C$27+'Incremental_Cost Year 3'!AI196*'1. Standard_Cost'!$D$27+'Incremental_Cost Year 3'!AJ196+'Incremental_Cost Year 3'!AL196+AK196</f>
        <v>0</v>
      </c>
      <c r="AN196" s="108">
        <f>AM196*'1. Standard_Cost'!$C$31</f>
        <v>0</v>
      </c>
      <c r="AO196" s="125" t="s">
        <v>409</v>
      </c>
      <c r="AQ196" s="14">
        <f t="shared" si="179"/>
        <v>0</v>
      </c>
      <c r="AR196" s="14">
        <f t="shared" si="180"/>
        <v>0</v>
      </c>
      <c r="AS196" s="14">
        <f t="shared" si="181"/>
        <v>0</v>
      </c>
      <c r="AT196" s="14">
        <f t="shared" si="183"/>
        <v>0</v>
      </c>
      <c r="AU196" s="15">
        <v>0</v>
      </c>
      <c r="AV196" s="15"/>
      <c r="AW196" s="15"/>
      <c r="AX196" s="15"/>
      <c r="AY196" s="15"/>
      <c r="AZ196" s="15"/>
      <c r="BA196" s="15"/>
      <c r="BB196" s="16">
        <f t="shared" si="182"/>
        <v>0</v>
      </c>
      <c r="BE196" s="295"/>
    </row>
    <row r="197" spans="1:57" ht="45" customHeight="1" outlineLevel="2">
      <c r="A197" s="98"/>
      <c r="B197" s="102"/>
      <c r="C197" s="23"/>
      <c r="D197" s="251"/>
      <c r="E197" s="251"/>
      <c r="F197" s="251"/>
      <c r="G197" s="250"/>
      <c r="H197" s="302" t="s">
        <v>532</v>
      </c>
      <c r="I197" s="104" t="s">
        <v>4</v>
      </c>
      <c r="J197" s="105">
        <v>0.4</v>
      </c>
      <c r="K197" s="105">
        <v>1</v>
      </c>
      <c r="L197" s="106">
        <f>IF(I197&lt;&gt;0,((VLOOKUP(I197,'1. Standard_Cost'!$B$4:$D$11,2)+VLOOKUP(I197,'1. Standard_Cost'!$B$4:$D$11,3))*J197*K197),"0")</f>
        <v>32300</v>
      </c>
      <c r="M197" s="106">
        <f>L197*'1. Standard_Cost'!$F$4</f>
        <v>5394.1</v>
      </c>
      <c r="N197" s="107">
        <v>10</v>
      </c>
      <c r="O197" s="107">
        <v>2</v>
      </c>
      <c r="P197" s="107">
        <v>15</v>
      </c>
      <c r="Q197" s="107"/>
      <c r="R197" s="108">
        <v>0</v>
      </c>
      <c r="S197" s="108">
        <v>0</v>
      </c>
      <c r="T197" s="108">
        <f>N197*P197*Q197*'1. Standard_Cost'!$D$15</f>
        <v>0</v>
      </c>
      <c r="U197" s="108">
        <v>0</v>
      </c>
      <c r="V197" s="107"/>
      <c r="W197" s="107"/>
      <c r="X197" s="107"/>
      <c r="Y197" s="108">
        <f>+V197*((X197*'1. Standard_Cost'!$B$19)+(W197*X197*'1. Standard_Cost'!$C$19))</f>
        <v>0</v>
      </c>
      <c r="Z197" s="107"/>
      <c r="AA197" s="107"/>
      <c r="AB197" s="108">
        <f>+Z197*'1. Standard_Cost'!$B$23+AA197*'1. Standard_Cost'!$C$23</f>
        <v>0</v>
      </c>
      <c r="AC197" s="109">
        <f>150*3500*2+150*500*2</f>
        <v>1200000</v>
      </c>
      <c r="AD197" s="110"/>
      <c r="AE197" s="108">
        <v>0</v>
      </c>
      <c r="AF197" s="108">
        <f t="shared" si="178"/>
        <v>1200000</v>
      </c>
      <c r="AG197" s="107"/>
      <c r="AH197" s="107"/>
      <c r="AI197" s="107"/>
      <c r="AJ197" s="111"/>
      <c r="AK197" s="111"/>
      <c r="AL197" s="111"/>
      <c r="AM197" s="108">
        <f>AG197*'1. Standard_Cost'!$B$27+'Incremental_Cost Year 3'!AH197*'1. Standard_Cost'!$C$27+'Incremental_Cost Year 3'!AI197*'1. Standard_Cost'!$D$27+'Incremental_Cost Year 3'!AJ197+'Incremental_Cost Year 3'!AL197+AK197</f>
        <v>0</v>
      </c>
      <c r="AN197" s="108">
        <f>AM197*'1. Standard_Cost'!$C$31</f>
        <v>0</v>
      </c>
      <c r="AO197" s="125" t="s">
        <v>410</v>
      </c>
      <c r="AQ197" s="14">
        <f t="shared" si="179"/>
        <v>37694.1</v>
      </c>
      <c r="AR197" s="14">
        <f t="shared" si="180"/>
        <v>1200000</v>
      </c>
      <c r="AS197" s="14">
        <f t="shared" si="181"/>
        <v>0</v>
      </c>
      <c r="AT197" s="14">
        <f t="shared" si="183"/>
        <v>1237694.1000000001</v>
      </c>
      <c r="AU197" s="15">
        <v>37694.1</v>
      </c>
      <c r="AV197" s="15"/>
      <c r="AW197" s="15"/>
      <c r="AX197" s="15"/>
      <c r="AY197" s="15"/>
      <c r="AZ197" s="15">
        <v>200000</v>
      </c>
      <c r="BA197" s="15"/>
      <c r="BB197" s="16">
        <f t="shared" si="182"/>
        <v>-1000000.0000000001</v>
      </c>
      <c r="BE197" s="295"/>
    </row>
    <row r="198" spans="1:57" ht="34.950000000000003" customHeight="1" outlineLevel="2">
      <c r="A198" s="98"/>
      <c r="B198" s="102"/>
      <c r="C198" s="23"/>
      <c r="D198" s="251"/>
      <c r="E198" s="251"/>
      <c r="F198" s="269"/>
      <c r="G198" s="27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v>22</v>
      </c>
      <c r="AB198" s="108">
        <f>+Z198*'[1]1. Standard_Cost'!$B$23+AA198*'[1]1. Standard_Cost'!$C$23</f>
        <v>418000</v>
      </c>
      <c r="AC198" s="109"/>
      <c r="AD198" s="110"/>
      <c r="AE198" s="108">
        <f>SUM(AD198,AC198,AB198,Y198,U198,T198,S198,R198)*'1. Standard_Cost'!$B$31</f>
        <v>83600</v>
      </c>
      <c r="AF198" s="108">
        <f t="shared" si="178"/>
        <v>501600</v>
      </c>
      <c r="AG198" s="107"/>
      <c r="AH198" s="107"/>
      <c r="AI198" s="107"/>
      <c r="AJ198" s="111"/>
      <c r="AK198" s="111"/>
      <c r="AL198" s="111"/>
      <c r="AM198" s="108">
        <f>AG198*'1. Standard_Cost'!$B$27+'Incremental_Cost Year 3'!AH198*'1. Standard_Cost'!$C$27+'Incremental_Cost Year 3'!AI198*'1. Standard_Cost'!$D$27+'Incremental_Cost Year 3'!AJ198+'Incremental_Cost Year 3'!AL198+AK198</f>
        <v>0</v>
      </c>
      <c r="AN198" s="108">
        <f>AM198*'1. Standard_Cost'!$C$31</f>
        <v>0</v>
      </c>
      <c r="AO198" s="125" t="s">
        <v>410</v>
      </c>
      <c r="AQ198" s="14">
        <f t="shared" si="179"/>
        <v>0</v>
      </c>
      <c r="AR198" s="14">
        <f t="shared" si="180"/>
        <v>501600</v>
      </c>
      <c r="AS198" s="14">
        <f t="shared" si="181"/>
        <v>0</v>
      </c>
      <c r="AT198" s="14">
        <f t="shared" si="183"/>
        <v>501600</v>
      </c>
      <c r="AU198" s="15"/>
      <c r="AV198" s="15"/>
      <c r="AW198" s="15"/>
      <c r="AX198" s="15"/>
      <c r="AY198" s="15"/>
      <c r="AZ198" s="15"/>
      <c r="BA198" s="15"/>
      <c r="BB198" s="16">
        <f t="shared" si="182"/>
        <v>-501600</v>
      </c>
      <c r="BE198" s="295"/>
    </row>
    <row r="199" spans="1:57" ht="140.4" outlineLevel="2">
      <c r="A199" s="98"/>
      <c r="B199" s="102"/>
      <c r="C199" s="23"/>
      <c r="D199" s="251"/>
      <c r="E199" s="251"/>
      <c r="F199" s="251"/>
      <c r="G199" s="250"/>
      <c r="H199" s="302" t="s">
        <v>533</v>
      </c>
      <c r="I199" s="104" t="s">
        <v>4</v>
      </c>
      <c r="J199" s="105">
        <v>1</v>
      </c>
      <c r="K199" s="105">
        <v>5</v>
      </c>
      <c r="L199" s="106">
        <f>IF(I199&lt;&gt;0,((VLOOKUP(I199,'1. Standard_Cost'!$B$4:$D$11,2)+VLOOKUP(I199,'1. Standard_Cost'!$B$4:$D$11,3))*J199*K199),"0")</f>
        <v>403750</v>
      </c>
      <c r="M199" s="106">
        <f>L199*'1. Standard_Cost'!$F$4</f>
        <v>67426.25</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v>15</v>
      </c>
      <c r="AB199" s="108">
        <f>+Z199*'1. Standard_Cost'!$B$23+AA199*'1. Standard_Cost'!$C$23</f>
        <v>285000</v>
      </c>
      <c r="AC199" s="109">
        <f>2*15*300+400*500</f>
        <v>209000</v>
      </c>
      <c r="AD199" s="110"/>
      <c r="AE199" s="108">
        <v>0</v>
      </c>
      <c r="AF199" s="108">
        <f t="shared" si="178"/>
        <v>494000</v>
      </c>
      <c r="AG199" s="107"/>
      <c r="AH199" s="107"/>
      <c r="AI199" s="107"/>
      <c r="AJ199" s="111"/>
      <c r="AK199" s="111"/>
      <c r="AL199" s="111"/>
      <c r="AM199" s="108">
        <f>AG199*'1. Standard_Cost'!$B$27+'Incremental_Cost Year 3'!AH199*'1. Standard_Cost'!$C$27+'Incremental_Cost Year 3'!AI199*'1. Standard_Cost'!$D$27+'Incremental_Cost Year 3'!AJ199+'Incremental_Cost Year 3'!AL199+AK199</f>
        <v>0</v>
      </c>
      <c r="AN199" s="108">
        <f>AM199*'1. Standard_Cost'!$C$31</f>
        <v>0</v>
      </c>
      <c r="AO199" s="125" t="s">
        <v>411</v>
      </c>
      <c r="AQ199" s="14">
        <f t="shared" si="179"/>
        <v>471176.25</v>
      </c>
      <c r="AR199" s="14">
        <f t="shared" si="180"/>
        <v>494000</v>
      </c>
      <c r="AS199" s="14">
        <f t="shared" si="181"/>
        <v>0</v>
      </c>
      <c r="AT199" s="14">
        <f t="shared" si="183"/>
        <v>965176.25</v>
      </c>
      <c r="AU199" s="15">
        <v>471176.25</v>
      </c>
      <c r="AV199" s="15"/>
      <c r="AW199" s="15"/>
      <c r="AX199" s="15"/>
      <c r="AY199" s="15"/>
      <c r="AZ199" s="15">
        <v>494000</v>
      </c>
      <c r="BA199" s="15"/>
      <c r="BB199" s="16">
        <f t="shared" si="182"/>
        <v>0</v>
      </c>
      <c r="BE199" s="295"/>
    </row>
    <row r="200" spans="1:57" ht="32.25" customHeight="1" outlineLevel="2">
      <c r="A200" s="98"/>
      <c r="B200" s="102"/>
      <c r="C200" s="23"/>
      <c r="D200" s="251"/>
      <c r="E200" s="251"/>
      <c r="F200" s="172"/>
      <c r="G200" s="250"/>
      <c r="H200" s="302" t="s">
        <v>534</v>
      </c>
      <c r="I200" s="104" t="s">
        <v>4</v>
      </c>
      <c r="J200" s="105">
        <v>1</v>
      </c>
      <c r="K200" s="105">
        <v>5</v>
      </c>
      <c r="L200" s="106">
        <f>IF(I200&lt;&gt;0,((VLOOKUP(I200,'1. Standard_Cost'!$B$4:$D$11,2)+VLOOKUP(I200,'1. Standard_Cost'!$B$4:$D$11,3))*J200*K200),"0")</f>
        <v>403750</v>
      </c>
      <c r="M200" s="106">
        <f>L200*'1. Standard_Cost'!$F$4</f>
        <v>67426.25</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v>20</v>
      </c>
      <c r="AB200" s="108">
        <f>+Z200*'1. Standard_Cost'!$B$23+AA200*'1. Standard_Cost'!$C$23</f>
        <v>380000</v>
      </c>
      <c r="AC200" s="109"/>
      <c r="AD200" s="110"/>
      <c r="AE200" s="108">
        <v>0</v>
      </c>
      <c r="AF200" s="108">
        <f t="shared" si="178"/>
        <v>380000</v>
      </c>
      <c r="AG200" s="107"/>
      <c r="AH200" s="107"/>
      <c r="AI200" s="107"/>
      <c r="AJ200" s="111"/>
      <c r="AK200" s="111"/>
      <c r="AL200" s="111"/>
      <c r="AM200" s="108">
        <f>AG200*'1. Standard_Cost'!$B$27+'Incremental_Cost Year 3'!AH200*'1. Standard_Cost'!$C$27+'Incremental_Cost Year 3'!AI200*'1. Standard_Cost'!$D$27+'Incremental_Cost Year 3'!AJ200+'Incremental_Cost Year 3'!AL200+AK200</f>
        <v>0</v>
      </c>
      <c r="AN200" s="108">
        <f>AM200*'1. Standard_Cost'!$C$31</f>
        <v>0</v>
      </c>
      <c r="AO200" s="137" t="s">
        <v>412</v>
      </c>
      <c r="AQ200" s="14">
        <f t="shared" si="179"/>
        <v>471176.25</v>
      </c>
      <c r="AR200" s="14">
        <f t="shared" si="180"/>
        <v>380000</v>
      </c>
      <c r="AS200" s="14">
        <f t="shared" si="181"/>
        <v>0</v>
      </c>
      <c r="AT200" s="14">
        <f t="shared" si="183"/>
        <v>851176.25</v>
      </c>
      <c r="AU200" s="15">
        <v>471176.25</v>
      </c>
      <c r="AV200" s="15"/>
      <c r="AW200" s="15"/>
      <c r="AX200" s="15"/>
      <c r="AY200" s="15"/>
      <c r="AZ200" s="15">
        <v>471176.25</v>
      </c>
      <c r="BA200" s="15"/>
      <c r="BB200" s="16">
        <f t="shared" si="182"/>
        <v>91176.25</v>
      </c>
      <c r="BE200" s="295"/>
    </row>
    <row r="201" spans="1:57" ht="193.2" outlineLevel="1">
      <c r="A201" s="98"/>
      <c r="B201" s="102"/>
      <c r="C201" s="23"/>
      <c r="D201" s="31" t="s">
        <v>639</v>
      </c>
      <c r="E201" s="56" t="s">
        <v>243</v>
      </c>
      <c r="F201" s="253"/>
      <c r="G201" s="254"/>
      <c r="H201" s="279" t="s">
        <v>244</v>
      </c>
      <c r="I201" s="112"/>
      <c r="J201" s="112"/>
      <c r="K201" s="112"/>
      <c r="L201" s="113">
        <f>SUM(L180:L200)</f>
        <v>20028050</v>
      </c>
      <c r="M201" s="113">
        <f>SUM(M180:M200)</f>
        <v>3344684.35</v>
      </c>
      <c r="N201" s="112"/>
      <c r="O201" s="112"/>
      <c r="P201" s="112"/>
      <c r="Q201" s="112"/>
      <c r="R201" s="113">
        <f>SUM(R180:R200)</f>
        <v>240000</v>
      </c>
      <c r="S201" s="113">
        <f>SUM(S180:S200)</f>
        <v>360000</v>
      </c>
      <c r="T201" s="113">
        <f>SUM(T180:T200)</f>
        <v>600000</v>
      </c>
      <c r="U201" s="113">
        <f>SUM(U180:U200)</f>
        <v>0</v>
      </c>
      <c r="V201" s="112"/>
      <c r="W201" s="112"/>
      <c r="X201" s="112"/>
      <c r="Y201" s="113">
        <f>SUM(Y180:Y200)</f>
        <v>0</v>
      </c>
      <c r="Z201" s="113"/>
      <c r="AA201" s="112"/>
      <c r="AB201" s="113">
        <f>SUM(AB180:AB200)</f>
        <v>4218000</v>
      </c>
      <c r="AC201" s="113">
        <f>SUM(AC180:AC200)</f>
        <v>17150600</v>
      </c>
      <c r="AD201" s="113">
        <f>SUM(AD180:AD200)</f>
        <v>0</v>
      </c>
      <c r="AE201" s="113">
        <f>SUM(AE180:AE200)</f>
        <v>417800</v>
      </c>
      <c r="AF201" s="113">
        <f>SUM(AF180:AF200)</f>
        <v>22986400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 si="184">SUM(AQ180:AQ200)</f>
        <v>23372734.350000001</v>
      </c>
      <c r="AR201" s="113">
        <f t="shared" ref="AR201:BB201" si="185">SUM(AR180:AR200)</f>
        <v>22986400</v>
      </c>
      <c r="AS201" s="113">
        <f t="shared" si="185"/>
        <v>0</v>
      </c>
      <c r="AT201" s="113">
        <f t="shared" si="185"/>
        <v>46359134.350000009</v>
      </c>
      <c r="AU201" s="113">
        <f t="shared" si="185"/>
        <v>23372734.350000001</v>
      </c>
      <c r="AV201" s="113">
        <f t="shared" si="185"/>
        <v>0</v>
      </c>
      <c r="AW201" s="113">
        <f t="shared" si="185"/>
        <v>0</v>
      </c>
      <c r="AX201" s="113">
        <f t="shared" si="185"/>
        <v>0</v>
      </c>
      <c r="AY201" s="113">
        <f t="shared" si="185"/>
        <v>0</v>
      </c>
      <c r="AZ201" s="113">
        <f t="shared" si="185"/>
        <v>12112776.25</v>
      </c>
      <c r="BA201" s="113">
        <f t="shared" si="185"/>
        <v>0</v>
      </c>
      <c r="BB201" s="113">
        <f t="shared" si="185"/>
        <v>-10873623.75</v>
      </c>
      <c r="BE201" s="295"/>
    </row>
    <row r="202" spans="1:57" s="24" customFormat="1" ht="13.8" customHeight="1">
      <c r="A202" s="114"/>
      <c r="B202" s="115"/>
      <c r="C202" s="314" t="s">
        <v>246</v>
      </c>
      <c r="D202" s="314"/>
      <c r="E202" s="315"/>
      <c r="F202" s="246"/>
      <c r="G202" s="246"/>
      <c r="H202" s="278" t="s">
        <v>245</v>
      </c>
      <c r="I202" s="116"/>
      <c r="J202" s="116"/>
      <c r="K202" s="116"/>
      <c r="L202" s="117">
        <f>SUM(L222)</f>
        <v>4411050</v>
      </c>
      <c r="M202" s="117">
        <f>SUM(M222)</f>
        <v>736645.35000000021</v>
      </c>
      <c r="N202" s="116"/>
      <c r="O202" s="116"/>
      <c r="P202" s="116"/>
      <c r="Q202" s="116"/>
      <c r="R202" s="117">
        <f t="shared" ref="R202:U202" si="186">SUM(R222)</f>
        <v>0</v>
      </c>
      <c r="S202" s="117">
        <f t="shared" si="186"/>
        <v>0</v>
      </c>
      <c r="T202" s="117">
        <f t="shared" si="186"/>
        <v>0</v>
      </c>
      <c r="U202" s="117">
        <f t="shared" si="186"/>
        <v>0</v>
      </c>
      <c r="V202" s="116"/>
      <c r="W202" s="116"/>
      <c r="X202" s="116"/>
      <c r="Y202" s="117">
        <f>SUM(Y222)</f>
        <v>0</v>
      </c>
      <c r="Z202" s="117"/>
      <c r="AA202" s="117"/>
      <c r="AB202" s="117">
        <f t="shared" ref="AB202:AF202" si="187">SUM(AB222)</f>
        <v>1311000</v>
      </c>
      <c r="AC202" s="117">
        <f t="shared" ref="AC202:AD202" si="188">SUM(AC222)</f>
        <v>1293800</v>
      </c>
      <c r="AD202" s="117">
        <f t="shared" si="188"/>
        <v>0</v>
      </c>
      <c r="AE202" s="117">
        <f t="shared" si="187"/>
        <v>43000</v>
      </c>
      <c r="AF202" s="117">
        <f t="shared" si="187"/>
        <v>2647800</v>
      </c>
      <c r="AG202" s="116"/>
      <c r="AH202" s="116"/>
      <c r="AI202" s="116"/>
      <c r="AJ202" s="117">
        <f t="shared" ref="AJ202:AL202" si="189">SUM(AJ222)</f>
        <v>0</v>
      </c>
      <c r="AK202" s="117">
        <f t="shared" si="189"/>
        <v>0</v>
      </c>
      <c r="AL202" s="117">
        <f t="shared" si="189"/>
        <v>0</v>
      </c>
      <c r="AM202" s="117">
        <f t="shared" ref="AM202:AN202" si="190">SUM(AM222)</f>
        <v>0</v>
      </c>
      <c r="AN202" s="117">
        <f t="shared" si="190"/>
        <v>0</v>
      </c>
      <c r="AO202" s="132"/>
      <c r="AP202" s="25"/>
      <c r="AQ202" s="117">
        <f t="shared" ref="AQ202" si="191">SUM(AQ222)</f>
        <v>5147695.3499999996</v>
      </c>
      <c r="AR202" s="117">
        <f t="shared" ref="AR202:BB202" si="192">SUM(AR222)</f>
        <v>2647800</v>
      </c>
      <c r="AS202" s="117">
        <f t="shared" si="192"/>
        <v>0</v>
      </c>
      <c r="AT202" s="117">
        <f t="shared" si="192"/>
        <v>7795495.3499999996</v>
      </c>
      <c r="AU202" s="117">
        <f t="shared" si="192"/>
        <v>5147695.3499999996</v>
      </c>
      <c r="AV202" s="117">
        <f t="shared" si="192"/>
        <v>0</v>
      </c>
      <c r="AW202" s="117">
        <f t="shared" si="192"/>
        <v>0</v>
      </c>
      <c r="AX202" s="117">
        <f t="shared" si="192"/>
        <v>1659400</v>
      </c>
      <c r="AY202" s="117">
        <f t="shared" si="192"/>
        <v>0</v>
      </c>
      <c r="AZ202" s="117">
        <f t="shared" si="192"/>
        <v>0</v>
      </c>
      <c r="BA202" s="117">
        <f t="shared" si="192"/>
        <v>0</v>
      </c>
      <c r="BB202" s="117">
        <f t="shared" si="192"/>
        <v>-988400</v>
      </c>
      <c r="BE202" s="295"/>
    </row>
    <row r="203" spans="1:57" ht="78" outlineLevel="2">
      <c r="A203" s="98"/>
      <c r="B203" s="102"/>
      <c r="C203" s="23"/>
      <c r="D203" s="257"/>
      <c r="E203" s="123"/>
      <c r="F203" s="249"/>
      <c r="G203" s="283"/>
      <c r="H203" s="302" t="s">
        <v>538</v>
      </c>
      <c r="I203" s="104" t="s">
        <v>4</v>
      </c>
      <c r="J203" s="105">
        <v>1</v>
      </c>
      <c r="K203" s="105">
        <v>3</v>
      </c>
      <c r="L203" s="106">
        <f>IF(I203&lt;&gt;0,((VLOOKUP(I203,'1. Standard_Cost'!$B$4:$D$11,2)+VLOOKUP(I203,'1. Standard_Cost'!$B$4:$D$11,3))*J203*K203),"0")</f>
        <v>242250</v>
      </c>
      <c r="M203" s="106">
        <f>L203*'1. Standard_Cost'!$F$4</f>
        <v>40455.75</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c r="AB203" s="108">
        <f>+Z203*'1. Standard_Cost'!$B$23+AA203*'1. Standard_Cost'!$C$23</f>
        <v>0</v>
      </c>
      <c r="AC203" s="109"/>
      <c r="AD203" s="110"/>
      <c r="AE203" s="108">
        <f>SUM(AD203,AC203,AB203,Y203,U203,T203,S203,R203)*'1. Standard_Cost'!$B$31</f>
        <v>0</v>
      </c>
      <c r="AF203" s="108">
        <f t="shared" ref="AF203:AF221" si="193">SUM(AE203,AD203,AC203,AB203,Y203,U203,T203,S203,R203)</f>
        <v>0</v>
      </c>
      <c r="AG203" s="107"/>
      <c r="AH203" s="107"/>
      <c r="AI203" s="107"/>
      <c r="AJ203" s="111"/>
      <c r="AK203" s="111"/>
      <c r="AL203" s="111"/>
      <c r="AM203" s="108">
        <f>AG203*'1. Standard_Cost'!$B$27+'Incremental_Cost Year 3'!AH203*'1. Standard_Cost'!$C$27+'Incremental_Cost Year 3'!AI203*'1. Standard_Cost'!$D$27+'Incremental_Cost Year 3'!AJ203+'Incremental_Cost Year 3'!AL203+AK203</f>
        <v>0</v>
      </c>
      <c r="AN203" s="108">
        <f>AM203*'1. Standard_Cost'!$C$31</f>
        <v>0</v>
      </c>
      <c r="AO203" s="125" t="s">
        <v>413</v>
      </c>
      <c r="AQ203" s="14">
        <f t="shared" ref="AQ203:AQ221" si="194">L203+M203</f>
        <v>282705.75</v>
      </c>
      <c r="AR203" s="14">
        <f t="shared" ref="AR203:AR221" si="195">AF203</f>
        <v>0</v>
      </c>
      <c r="AS203" s="14">
        <f t="shared" ref="AS203:AS221" si="196">AM203+AN203</f>
        <v>0</v>
      </c>
      <c r="AT203" s="14">
        <f>SUM(AQ203,AR203,AS203)</f>
        <v>282705.75</v>
      </c>
      <c r="AU203" s="15">
        <v>282705.75</v>
      </c>
      <c r="AV203" s="15"/>
      <c r="AW203" s="15"/>
      <c r="AX203" s="15"/>
      <c r="AY203" s="15"/>
      <c r="AZ203" s="15"/>
      <c r="BA203" s="15"/>
      <c r="BB203" s="16">
        <f t="shared" ref="BB203:BB221" si="197">SUM(AU203:BA203)-AT203</f>
        <v>0</v>
      </c>
      <c r="BE203" s="295"/>
    </row>
    <row r="204" spans="1:57" ht="140.4" outlineLevel="2">
      <c r="A204" s="98"/>
      <c r="B204" s="102"/>
      <c r="C204" s="23"/>
      <c r="D204" s="269"/>
      <c r="E204" s="271"/>
      <c r="F204" s="250"/>
      <c r="G204" s="255"/>
      <c r="H204" s="302" t="s">
        <v>539</v>
      </c>
      <c r="I204" s="104" t="s">
        <v>5</v>
      </c>
      <c r="J204" s="105">
        <v>4</v>
      </c>
      <c r="K204" s="105">
        <v>12</v>
      </c>
      <c r="L204" s="106">
        <f>IF(I204&lt;&gt;0,((VLOOKUP(I204,'1. Standard_Cost'!$B$4:$D$11,2)+VLOOKUP(I204,'1. Standard_Cost'!$B$4:$D$11,3))*J204*K204),"0")</f>
        <v>3393600</v>
      </c>
      <c r="M204" s="106">
        <f>L204*'1. Standard_Cost'!$F$4</f>
        <v>566731.20000000007</v>
      </c>
      <c r="N204" s="107">
        <v>1</v>
      </c>
      <c r="O204" s="107">
        <v>2</v>
      </c>
      <c r="P204" s="107">
        <v>12</v>
      </c>
      <c r="Q204" s="107"/>
      <c r="R204" s="108">
        <v>0</v>
      </c>
      <c r="S204" s="108">
        <v>0</v>
      </c>
      <c r="T204" s="108">
        <f>N204*P204*Q204*'1. Standard_Cost'!$D$15</f>
        <v>0</v>
      </c>
      <c r="U204" s="108">
        <v>0</v>
      </c>
      <c r="V204" s="107"/>
      <c r="W204" s="107"/>
      <c r="X204" s="107"/>
      <c r="Y204" s="108">
        <f>+V204*((X204*'1. Standard_Cost'!$B$19)+(W204*X204*'1. Standard_Cost'!$C$19))</f>
        <v>0</v>
      </c>
      <c r="Z204" s="107"/>
      <c r="AA204" s="107">
        <v>10</v>
      </c>
      <c r="AB204" s="108">
        <f>+Z204*'1. Standard_Cost'!$B$23+AA204*'1. Standard_Cost'!$C$23</f>
        <v>190000</v>
      </c>
      <c r="AC204" s="109">
        <f>13*3500*2+13*2*500</f>
        <v>104000</v>
      </c>
      <c r="AD204" s="110"/>
      <c r="AE204" s="108">
        <v>0</v>
      </c>
      <c r="AF204" s="108">
        <f t="shared" si="193"/>
        <v>294000</v>
      </c>
      <c r="AG204" s="107"/>
      <c r="AH204" s="107"/>
      <c r="AI204" s="107"/>
      <c r="AJ204" s="111"/>
      <c r="AK204" s="111"/>
      <c r="AL204" s="111"/>
      <c r="AM204" s="108">
        <f>AG204*'1. Standard_Cost'!$B$27+'Incremental_Cost Year 3'!AH204*'1. Standard_Cost'!$C$27+'Incremental_Cost Year 3'!AI204*'1. Standard_Cost'!$D$27+'Incremental_Cost Year 3'!AJ204+'Incremental_Cost Year 3'!AL204+AK204</f>
        <v>0</v>
      </c>
      <c r="AN204" s="108">
        <f>AM204*'1. Standard_Cost'!$C$31</f>
        <v>0</v>
      </c>
      <c r="AO204" s="125" t="s">
        <v>414</v>
      </c>
      <c r="AQ204" s="14">
        <f t="shared" si="194"/>
        <v>3960331.2</v>
      </c>
      <c r="AR204" s="14">
        <f t="shared" si="195"/>
        <v>294000</v>
      </c>
      <c r="AS204" s="14">
        <f t="shared" si="196"/>
        <v>0</v>
      </c>
      <c r="AT204" s="14">
        <f t="shared" ref="AT204:AT221" si="198">SUM(AQ204,AR204,AS204)</f>
        <v>4254331.2</v>
      </c>
      <c r="AU204" s="15">
        <v>3960331.2</v>
      </c>
      <c r="AV204" s="15"/>
      <c r="AW204" s="15"/>
      <c r="AX204" s="15">
        <v>294000</v>
      </c>
      <c r="AY204" s="15"/>
      <c r="AZ204" s="15"/>
      <c r="BA204" s="15"/>
      <c r="BB204" s="16">
        <f t="shared" si="197"/>
        <v>0</v>
      </c>
      <c r="BE204" s="295"/>
    </row>
    <row r="205" spans="1:57" ht="31.2" customHeight="1" outlineLevel="2">
      <c r="A205" s="98"/>
      <c r="B205" s="102"/>
      <c r="C205" s="23"/>
      <c r="D205" s="269"/>
      <c r="E205" s="271"/>
      <c r="F205" s="27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v>2</v>
      </c>
      <c r="AB205" s="108">
        <f>+Z205*'[1]1. Standard_Cost'!$B$23+AA205*'[1]1. Standard_Cost'!$C$23</f>
        <v>38000</v>
      </c>
      <c r="AC205" s="109"/>
      <c r="AD205" s="110"/>
      <c r="AE205" s="108">
        <f>SUM(AD205,AC205,AB205,Y205,U205,T205,S205,R205)*'[1]1. Standard_Cost'!$B$31</f>
        <v>7600</v>
      </c>
      <c r="AF205" s="108">
        <f t="shared" si="193"/>
        <v>45600</v>
      </c>
      <c r="AG205" s="107"/>
      <c r="AH205" s="107"/>
      <c r="AI205" s="107"/>
      <c r="AJ205" s="111"/>
      <c r="AK205" s="111"/>
      <c r="AL205" s="111"/>
      <c r="AM205" s="108">
        <f>AG205*'1. Standard_Cost'!$B$27+'Incremental_Cost Year 3'!AH205*'1. Standard_Cost'!$C$27+'Incremental_Cost Year 3'!AI205*'1. Standard_Cost'!$D$27+'Incremental_Cost Year 3'!AJ205+'Incremental_Cost Year 3'!AL205+AK205</f>
        <v>0</v>
      </c>
      <c r="AN205" s="108">
        <f>AM205*'1. Standard_Cost'!$C$31</f>
        <v>0</v>
      </c>
      <c r="AO205" s="125"/>
      <c r="AQ205" s="14">
        <f t="shared" si="194"/>
        <v>0</v>
      </c>
      <c r="AR205" s="14">
        <f t="shared" si="195"/>
        <v>45600</v>
      </c>
      <c r="AS205" s="14">
        <f t="shared" si="196"/>
        <v>0</v>
      </c>
      <c r="AT205" s="14">
        <f t="shared" si="198"/>
        <v>45600</v>
      </c>
      <c r="AU205" s="15"/>
      <c r="AV205" s="15"/>
      <c r="AW205" s="15"/>
      <c r="AX205" s="15">
        <v>45600</v>
      </c>
      <c r="AY205" s="15"/>
      <c r="AZ205" s="15"/>
      <c r="BA205" s="15"/>
      <c r="BB205" s="16">
        <f t="shared" si="197"/>
        <v>0</v>
      </c>
      <c r="BE205" s="295"/>
    </row>
    <row r="206" spans="1:57" ht="62.4" outlineLevel="2">
      <c r="A206" s="98"/>
      <c r="B206" s="102"/>
      <c r="C206" s="23"/>
      <c r="D206" s="269"/>
      <c r="E206" s="271"/>
      <c r="F206" s="250"/>
      <c r="G206" s="255"/>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193"/>
        <v>0</v>
      </c>
      <c r="AG206" s="107"/>
      <c r="AH206" s="107"/>
      <c r="AI206" s="107"/>
      <c r="AJ206" s="111"/>
      <c r="AK206" s="111"/>
      <c r="AL206" s="111"/>
      <c r="AM206" s="108">
        <f>AG206*'1. Standard_Cost'!$B$27+'Incremental_Cost Year 3'!AH206*'1. Standard_Cost'!$C$27+'Incremental_Cost Year 3'!AI206*'1. Standard_Cost'!$D$27+'Incremental_Cost Year 3'!AJ206+'Incremental_Cost Year 3'!AL206+AK206</f>
        <v>0</v>
      </c>
      <c r="AN206" s="108">
        <f>AM206*'1. Standard_Cost'!$C$31</f>
        <v>0</v>
      </c>
      <c r="AO206" s="125" t="s">
        <v>415</v>
      </c>
      <c r="AQ206" s="14">
        <f t="shared" si="194"/>
        <v>0</v>
      </c>
      <c r="AR206" s="14">
        <f t="shared" si="195"/>
        <v>0</v>
      </c>
      <c r="AS206" s="14">
        <f t="shared" si="196"/>
        <v>0</v>
      </c>
      <c r="AT206" s="14">
        <f t="shared" si="198"/>
        <v>0</v>
      </c>
      <c r="AU206" s="15"/>
      <c r="AV206" s="15"/>
      <c r="AW206" s="15"/>
      <c r="AX206" s="15"/>
      <c r="AY206" s="15"/>
      <c r="AZ206" s="15"/>
      <c r="BA206" s="15"/>
      <c r="BB206" s="16">
        <f t="shared" si="197"/>
        <v>0</v>
      </c>
      <c r="BE206" s="295"/>
    </row>
    <row r="207" spans="1:57" ht="36" customHeight="1" outlineLevel="2">
      <c r="A207" s="98"/>
      <c r="B207" s="102"/>
      <c r="C207" s="23"/>
      <c r="D207" s="269"/>
      <c r="E207" s="271"/>
      <c r="F207" s="250"/>
      <c r="G207" s="255"/>
      <c r="H207" s="302" t="s">
        <v>541</v>
      </c>
      <c r="I207" s="104" t="s">
        <v>4</v>
      </c>
      <c r="J207" s="105">
        <v>0.4</v>
      </c>
      <c r="K207" s="105">
        <v>3</v>
      </c>
      <c r="L207" s="106">
        <f>IF(I207&lt;&gt;0,((VLOOKUP(I207,'1. Standard_Cost'!$B$4:$D$11,2)+VLOOKUP(I207,'1. Standard_Cost'!$B$4:$D$11,3))*J207*K207),"0")</f>
        <v>96900</v>
      </c>
      <c r="M207" s="106">
        <f>L207*'1. Standard_Cost'!$F$4</f>
        <v>16182.300000000001</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v>10</v>
      </c>
      <c r="AB207" s="108">
        <f>+Z207*'1. Standard_Cost'!$B$23+AA207*'1. Standard_Cost'!$C$23</f>
        <v>190000</v>
      </c>
      <c r="AC207" s="109">
        <f>2*10*300</f>
        <v>6000</v>
      </c>
      <c r="AD207" s="110"/>
      <c r="AE207" s="108">
        <v>0</v>
      </c>
      <c r="AF207" s="108">
        <f t="shared" si="193"/>
        <v>196000</v>
      </c>
      <c r="AG207" s="107"/>
      <c r="AH207" s="107"/>
      <c r="AI207" s="107"/>
      <c r="AJ207" s="111"/>
      <c r="AK207" s="111"/>
      <c r="AL207" s="111"/>
      <c r="AM207" s="108">
        <f>AG207*'1. Standard_Cost'!$B$27+'Incremental_Cost Year 3'!AH207*'1. Standard_Cost'!$C$27+'Incremental_Cost Year 3'!AI207*'1. Standard_Cost'!$D$27+'Incremental_Cost Year 3'!AJ207+'Incremental_Cost Year 3'!AL207+AK207</f>
        <v>0</v>
      </c>
      <c r="AN207" s="108">
        <f>AM207*'1. Standard_Cost'!$C$31</f>
        <v>0</v>
      </c>
      <c r="AO207" s="125" t="s">
        <v>416</v>
      </c>
      <c r="AQ207" s="14">
        <f t="shared" si="194"/>
        <v>113082.3</v>
      </c>
      <c r="AR207" s="14">
        <f t="shared" si="195"/>
        <v>196000</v>
      </c>
      <c r="AS207" s="14">
        <f t="shared" si="196"/>
        <v>0</v>
      </c>
      <c r="AT207" s="14">
        <f t="shared" si="198"/>
        <v>309082.3</v>
      </c>
      <c r="AU207" s="15">
        <v>113082.3</v>
      </c>
      <c r="AV207" s="15"/>
      <c r="AW207" s="15"/>
      <c r="AX207" s="15"/>
      <c r="AY207" s="15"/>
      <c r="AZ207" s="15"/>
      <c r="BA207" s="15"/>
      <c r="BB207" s="16">
        <f t="shared" si="197"/>
        <v>-196000</v>
      </c>
      <c r="BE207" s="295"/>
    </row>
    <row r="208" spans="1:57" ht="109.2" outlineLevel="2">
      <c r="A208" s="98"/>
      <c r="B208" s="102"/>
      <c r="C208" s="23"/>
      <c r="D208" s="269"/>
      <c r="E208" s="271"/>
      <c r="F208" s="250"/>
      <c r="G208" s="255"/>
      <c r="H208" s="302" t="s">
        <v>542</v>
      </c>
      <c r="I208" s="104"/>
      <c r="J208" s="105"/>
      <c r="K208" s="105"/>
      <c r="L208" s="106" t="str">
        <f>IF(I208&lt;&gt;0,((VLOOKUP(I208,'1. Standard_Cost'!$B$4:$D$11,2)+VLOOKUP(I208,'1. Standard_Cost'!$B$4:$D$11,3))*J208*K208),"0")</f>
        <v>0</v>
      </c>
      <c r="M208" s="106">
        <f>L208*'1. Standard_Cost'!$F$4</f>
        <v>0</v>
      </c>
      <c r="N208" s="107">
        <v>3</v>
      </c>
      <c r="O208" s="107">
        <v>1</v>
      </c>
      <c r="P208" s="107">
        <v>13</v>
      </c>
      <c r="Q208" s="107"/>
      <c r="R208" s="108">
        <v>0</v>
      </c>
      <c r="S208" s="108">
        <v>0</v>
      </c>
      <c r="T208" s="108">
        <f>N208*P208*Q208*'1. Standard_Cost'!$D$15</f>
        <v>0</v>
      </c>
      <c r="U208" s="108">
        <v>0</v>
      </c>
      <c r="V208" s="107"/>
      <c r="W208" s="107"/>
      <c r="X208" s="107"/>
      <c r="Y208" s="108">
        <f>+V208*((X208*'1. Standard_Cost'!$B$19)+(W208*X208*'1. Standard_Cost'!$C$19))</f>
        <v>0</v>
      </c>
      <c r="Z208" s="107"/>
      <c r="AA208" s="107"/>
      <c r="AB208" s="108">
        <f>+Z208*'1. Standard_Cost'!$B$23+AA208*'1. Standard_Cost'!$C$23</f>
        <v>0</v>
      </c>
      <c r="AC208" s="109">
        <f>13*3500*3+13*500*3</f>
        <v>156000</v>
      </c>
      <c r="AD208" s="110"/>
      <c r="AE208" s="108">
        <v>0</v>
      </c>
      <c r="AF208" s="108">
        <f t="shared" si="193"/>
        <v>156000</v>
      </c>
      <c r="AG208" s="107"/>
      <c r="AH208" s="107"/>
      <c r="AI208" s="107"/>
      <c r="AJ208" s="111"/>
      <c r="AK208" s="111"/>
      <c r="AL208" s="111"/>
      <c r="AM208" s="108">
        <f>AG208*'1. Standard_Cost'!$B$27+'Incremental_Cost Year 3'!AH208*'1. Standard_Cost'!$C$27+'Incremental_Cost Year 3'!AI208*'1. Standard_Cost'!$D$27+'Incremental_Cost Year 3'!AJ208+'Incremental_Cost Year 3'!AL208+AK208</f>
        <v>0</v>
      </c>
      <c r="AN208" s="108">
        <f>AM208*'1. Standard_Cost'!$C$31</f>
        <v>0</v>
      </c>
      <c r="AO208" s="125" t="s">
        <v>417</v>
      </c>
      <c r="AQ208" s="14">
        <f t="shared" si="194"/>
        <v>0</v>
      </c>
      <c r="AR208" s="14">
        <f t="shared" si="195"/>
        <v>156000</v>
      </c>
      <c r="AS208" s="14">
        <f t="shared" si="196"/>
        <v>0</v>
      </c>
      <c r="AT208" s="14">
        <f t="shared" si="198"/>
        <v>156000</v>
      </c>
      <c r="AU208" s="15"/>
      <c r="AV208" s="15"/>
      <c r="AW208" s="15"/>
      <c r="AX208" s="15"/>
      <c r="AY208" s="15"/>
      <c r="AZ208" s="15"/>
      <c r="BA208" s="15"/>
      <c r="BB208" s="16">
        <f t="shared" si="197"/>
        <v>-156000</v>
      </c>
      <c r="BE208" s="295"/>
    </row>
    <row r="209" spans="1:57" ht="15.6" outlineLevel="2">
      <c r="A209" s="98"/>
      <c r="B209" s="102"/>
      <c r="C209" s="23"/>
      <c r="D209" s="269"/>
      <c r="E209" s="271"/>
      <c r="F209" s="27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v>3</v>
      </c>
      <c r="AB209" s="108">
        <f>+Z209*'[1]1. Standard_Cost'!$B$23+AA209*'[1]1. Standard_Cost'!$C$23</f>
        <v>57000</v>
      </c>
      <c r="AC209" s="109"/>
      <c r="AD209" s="110"/>
      <c r="AE209" s="108">
        <v>0</v>
      </c>
      <c r="AF209" s="108">
        <f t="shared" si="193"/>
        <v>57000</v>
      </c>
      <c r="AG209" s="107"/>
      <c r="AH209" s="107"/>
      <c r="AI209" s="107"/>
      <c r="AJ209" s="111"/>
      <c r="AK209" s="111"/>
      <c r="AL209" s="111"/>
      <c r="AM209" s="108">
        <f>AG209*'1. Standard_Cost'!$B$27+'Incremental_Cost Year 3'!AH209*'1. Standard_Cost'!$C$27+'Incremental_Cost Year 3'!AI209*'1. Standard_Cost'!$D$27+'Incremental_Cost Year 3'!AJ209+'Incremental_Cost Year 3'!AL209+AK209</f>
        <v>0</v>
      </c>
      <c r="AN209" s="108">
        <f>AM209*'1. Standard_Cost'!$C$31</f>
        <v>0</v>
      </c>
      <c r="AO209" s="125" t="s">
        <v>418</v>
      </c>
      <c r="AQ209" s="14">
        <f t="shared" si="194"/>
        <v>0</v>
      </c>
      <c r="AR209" s="14">
        <f t="shared" si="195"/>
        <v>57000</v>
      </c>
      <c r="AS209" s="14">
        <f t="shared" si="196"/>
        <v>0</v>
      </c>
      <c r="AT209" s="14">
        <f t="shared" si="198"/>
        <v>57000</v>
      </c>
      <c r="AU209" s="15"/>
      <c r="AV209" s="15"/>
      <c r="AW209" s="15"/>
      <c r="AX209" s="15"/>
      <c r="AY209" s="15"/>
      <c r="AZ209" s="15"/>
      <c r="BA209" s="15"/>
      <c r="BB209" s="16">
        <f t="shared" si="197"/>
        <v>-57000</v>
      </c>
      <c r="BE209" s="295"/>
    </row>
    <row r="210" spans="1:57" ht="109.2" outlineLevel="2">
      <c r="A210" s="98"/>
      <c r="B210" s="102"/>
      <c r="C210" s="23"/>
      <c r="D210" s="269"/>
      <c r="E210" s="271"/>
      <c r="F210" s="250"/>
      <c r="G210" s="255"/>
      <c r="H210" s="302" t="s">
        <v>543</v>
      </c>
      <c r="I210" s="104" t="s">
        <v>4</v>
      </c>
      <c r="J210" s="105">
        <v>1</v>
      </c>
      <c r="K210" s="105">
        <v>3</v>
      </c>
      <c r="L210" s="106">
        <f>IF(I210&lt;&gt;0,((VLOOKUP(I210,'1. Standard_Cost'!$B$4:$D$11,2)+VLOOKUP(I210,'1. Standard_Cost'!$B$4:$D$11,3))*J210*K210),"0")</f>
        <v>242250</v>
      </c>
      <c r="M210" s="106">
        <f>L210*'1. Standard_Cost'!$F$4</f>
        <v>40455.75</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v>9</v>
      </c>
      <c r="AB210" s="108">
        <f>+Z210*'1. Standard_Cost'!$B$23+AA210*'1. Standard_Cost'!$C$23</f>
        <v>171000</v>
      </c>
      <c r="AC210" s="109">
        <f>2*10*300</f>
        <v>6000</v>
      </c>
      <c r="AD210" s="110"/>
      <c r="AE210" s="108">
        <f>SUM(AD210,AC210,AB210,Y210,U210,T210,S210,R210)*'1. Standard_Cost'!$B$31</f>
        <v>35400</v>
      </c>
      <c r="AF210" s="108">
        <f t="shared" si="193"/>
        <v>212400</v>
      </c>
      <c r="AG210" s="107"/>
      <c r="AH210" s="107"/>
      <c r="AI210" s="107"/>
      <c r="AJ210" s="111"/>
      <c r="AK210" s="111"/>
      <c r="AL210" s="111"/>
      <c r="AM210" s="108">
        <f>AG210*'1. Standard_Cost'!$B$27+'Incremental_Cost Year 3'!AH210*'1. Standard_Cost'!$C$27+'Incremental_Cost Year 3'!AI210*'1. Standard_Cost'!$D$27+'Incremental_Cost Year 3'!AJ210+'Incremental_Cost Year 3'!AL210+AK210</f>
        <v>0</v>
      </c>
      <c r="AN210" s="108">
        <f>AM210*'1. Standard_Cost'!$C$31</f>
        <v>0</v>
      </c>
      <c r="AO210" s="125" t="s">
        <v>418</v>
      </c>
      <c r="AQ210" s="14">
        <f t="shared" si="194"/>
        <v>282705.75</v>
      </c>
      <c r="AR210" s="14">
        <f t="shared" si="195"/>
        <v>212400</v>
      </c>
      <c r="AS210" s="14">
        <f t="shared" si="196"/>
        <v>0</v>
      </c>
      <c r="AT210" s="14">
        <f t="shared" si="198"/>
        <v>495105.75</v>
      </c>
      <c r="AU210" s="15">
        <v>282705.75</v>
      </c>
      <c r="AV210" s="15"/>
      <c r="AW210" s="15"/>
      <c r="AX210" s="15"/>
      <c r="AY210" s="15"/>
      <c r="AZ210" s="15"/>
      <c r="BA210" s="15"/>
      <c r="BB210" s="16">
        <f t="shared" si="197"/>
        <v>-212400</v>
      </c>
      <c r="BE210" s="295"/>
    </row>
    <row r="211" spans="1:57" ht="78" outlineLevel="2">
      <c r="A211" s="98"/>
      <c r="B211" s="102"/>
      <c r="C211" s="23"/>
      <c r="D211" s="269"/>
      <c r="E211" s="271"/>
      <c r="F211" s="250"/>
      <c r="G211" s="255"/>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c r="AD211" s="110"/>
      <c r="AE211" s="108">
        <f>SUM(AD211,AC211,AB211,Y211,U211,T211,S211,R211)*'1. Standard_Cost'!$B$31</f>
        <v>0</v>
      </c>
      <c r="AF211" s="108">
        <f t="shared" si="193"/>
        <v>0</v>
      </c>
      <c r="AG211" s="107"/>
      <c r="AH211" s="107"/>
      <c r="AI211" s="107"/>
      <c r="AJ211" s="111"/>
      <c r="AK211" s="111"/>
      <c r="AL211" s="111"/>
      <c r="AM211" s="108">
        <f>AG211*'1. Standard_Cost'!$B$27+'Incremental_Cost Year 3'!AH211*'1. Standard_Cost'!$C$27+'Incremental_Cost Year 3'!AI211*'1. Standard_Cost'!$D$27+'Incremental_Cost Year 3'!AJ211+'Incremental_Cost Year 3'!AL211+AK211</f>
        <v>0</v>
      </c>
      <c r="AN211" s="108">
        <f>AM211*'1. Standard_Cost'!$C$31</f>
        <v>0</v>
      </c>
      <c r="AO211" s="125" t="s">
        <v>419</v>
      </c>
      <c r="AQ211" s="14">
        <f t="shared" si="194"/>
        <v>0</v>
      </c>
      <c r="AR211" s="14">
        <f t="shared" si="195"/>
        <v>0</v>
      </c>
      <c r="AS211" s="14">
        <f t="shared" si="196"/>
        <v>0</v>
      </c>
      <c r="AT211" s="14">
        <f t="shared" si="198"/>
        <v>0</v>
      </c>
      <c r="AU211" s="15"/>
      <c r="AV211" s="15"/>
      <c r="AW211" s="15"/>
      <c r="AX211" s="15"/>
      <c r="AY211" s="15"/>
      <c r="AZ211" s="15"/>
      <c r="BA211" s="15"/>
      <c r="BB211" s="16">
        <f t="shared" si="197"/>
        <v>0</v>
      </c>
      <c r="BE211" s="295"/>
    </row>
    <row r="212" spans="1:57" ht="109.2" outlineLevel="2">
      <c r="A212" s="98"/>
      <c r="B212" s="102"/>
      <c r="C212" s="23"/>
      <c r="D212" s="269"/>
      <c r="E212" s="271"/>
      <c r="F212" s="250"/>
      <c r="G212" s="255"/>
      <c r="H212" s="302" t="s">
        <v>545</v>
      </c>
      <c r="I212" s="104" t="s">
        <v>4</v>
      </c>
      <c r="J212" s="105">
        <v>1</v>
      </c>
      <c r="K212" s="105">
        <v>2</v>
      </c>
      <c r="L212" s="106">
        <f>IF(I212&lt;&gt;0,((VLOOKUP(I212,'1. Standard_Cost'!$B$4:$D$11,2)+VLOOKUP(I212,'1. Standard_Cost'!$B$4:$D$11,3))*J212*K212),"0")</f>
        <v>161500</v>
      </c>
      <c r="M212" s="106">
        <f>L212*'1. Standard_Cost'!$F$4</f>
        <v>26970.5</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v>15</v>
      </c>
      <c r="AB212" s="108">
        <f>+Z212*'1. Standard_Cost'!$B$23+AA212*'1. Standard_Cost'!$C$23</f>
        <v>285000</v>
      </c>
      <c r="AC212" s="109">
        <f>2*10*300</f>
        <v>6000</v>
      </c>
      <c r="AD212" s="110"/>
      <c r="AE212" s="108">
        <v>0</v>
      </c>
      <c r="AF212" s="108">
        <f t="shared" si="193"/>
        <v>291000</v>
      </c>
      <c r="AG212" s="107"/>
      <c r="AH212" s="107"/>
      <c r="AI212" s="107"/>
      <c r="AJ212" s="111"/>
      <c r="AK212" s="111"/>
      <c r="AL212" s="111"/>
      <c r="AM212" s="108">
        <f>AG212*'1. Standard_Cost'!$B$27+'Incremental_Cost Year 3'!AH212*'1. Standard_Cost'!$C$27+'Incremental_Cost Year 3'!AI212*'1. Standard_Cost'!$D$27+'Incremental_Cost Year 3'!AJ212+'Incremental_Cost Year 3'!AL212+AK212</f>
        <v>0</v>
      </c>
      <c r="AN212" s="108">
        <f>AM212*'1. Standard_Cost'!$C$31</f>
        <v>0</v>
      </c>
      <c r="AO212" s="125" t="s">
        <v>300</v>
      </c>
      <c r="AQ212" s="14">
        <f t="shared" si="194"/>
        <v>188470.5</v>
      </c>
      <c r="AR212" s="14">
        <f t="shared" si="195"/>
        <v>291000</v>
      </c>
      <c r="AS212" s="14">
        <f t="shared" si="196"/>
        <v>0</v>
      </c>
      <c r="AT212" s="14">
        <f t="shared" si="198"/>
        <v>479470.5</v>
      </c>
      <c r="AU212" s="15">
        <v>188470.5</v>
      </c>
      <c r="AV212" s="15"/>
      <c r="AW212" s="15"/>
      <c r="AX212" s="15"/>
      <c r="AY212" s="15"/>
      <c r="AZ212" s="15"/>
      <c r="BA212" s="15"/>
      <c r="BB212" s="16">
        <f t="shared" si="197"/>
        <v>-291000</v>
      </c>
      <c r="BE212" s="295"/>
    </row>
    <row r="213" spans="1:57" ht="93.6" outlineLevel="2">
      <c r="A213" s="98"/>
      <c r="B213" s="102"/>
      <c r="C213" s="23"/>
      <c r="D213" s="269"/>
      <c r="E213" s="271"/>
      <c r="F213" s="250"/>
      <c r="G213" s="255"/>
      <c r="H213" s="302" t="s">
        <v>546</v>
      </c>
      <c r="I213" s="104" t="s">
        <v>4</v>
      </c>
      <c r="J213" s="105">
        <v>0.2</v>
      </c>
      <c r="K213" s="105">
        <v>1</v>
      </c>
      <c r="L213" s="106">
        <f>IF(I213&lt;&gt;0,((VLOOKUP(I213,'1. Standard_Cost'!$B$4:$D$11,2)+VLOOKUP(I213,'1. Standard_Cost'!$B$4:$D$11,3))*J213*K213),"0")</f>
        <v>16150</v>
      </c>
      <c r="M213" s="106">
        <f>L213*'1. Standard_Cost'!$F$4</f>
        <v>2697.05</v>
      </c>
      <c r="N213" s="107">
        <v>1</v>
      </c>
      <c r="O213" s="107">
        <v>3</v>
      </c>
      <c r="P213" s="107">
        <v>13</v>
      </c>
      <c r="Q213" s="107">
        <v>2</v>
      </c>
      <c r="R213" s="108">
        <v>0</v>
      </c>
      <c r="S213" s="108">
        <v>0</v>
      </c>
      <c r="T213" s="108">
        <v>0</v>
      </c>
      <c r="U213" s="108">
        <v>0</v>
      </c>
      <c r="V213" s="107"/>
      <c r="W213" s="107"/>
      <c r="X213" s="107"/>
      <c r="Y213" s="108">
        <f>+V213*((X213*'1. Standard_Cost'!$B$19)+(W213*X213*'1. Standard_Cost'!$C$19))</f>
        <v>0</v>
      </c>
      <c r="Z213" s="107"/>
      <c r="AA213" s="107"/>
      <c r="AB213" s="108">
        <f>+Z213*'1. Standard_Cost'!$B$23+AA213*'1. Standard_Cost'!$C$23</f>
        <v>0</v>
      </c>
      <c r="AC213" s="109">
        <f>13*3500*3+13*500*3</f>
        <v>156000</v>
      </c>
      <c r="AD213" s="110"/>
      <c r="AE213" s="108">
        <v>0</v>
      </c>
      <c r="AF213" s="108">
        <f t="shared" si="193"/>
        <v>156000</v>
      </c>
      <c r="AG213" s="107"/>
      <c r="AH213" s="107"/>
      <c r="AI213" s="107"/>
      <c r="AJ213" s="111"/>
      <c r="AK213" s="111"/>
      <c r="AL213" s="111"/>
      <c r="AM213" s="108">
        <f>AG213*'1. Standard_Cost'!$B$27+'Incremental_Cost Year 3'!AH213*'1. Standard_Cost'!$C$27+'Incremental_Cost Year 3'!AI213*'1. Standard_Cost'!$D$27+'Incremental_Cost Year 3'!AJ213+'Incremental_Cost Year 3'!AL213+AK213</f>
        <v>0</v>
      </c>
      <c r="AN213" s="108">
        <f>AM213*'1. Standard_Cost'!$C$31</f>
        <v>0</v>
      </c>
      <c r="AO213" s="125" t="s">
        <v>420</v>
      </c>
      <c r="AQ213" s="14">
        <f t="shared" si="194"/>
        <v>18847.05</v>
      </c>
      <c r="AR213" s="14">
        <f t="shared" si="195"/>
        <v>156000</v>
      </c>
      <c r="AS213" s="14">
        <f t="shared" si="196"/>
        <v>0</v>
      </c>
      <c r="AT213" s="14">
        <f t="shared" si="198"/>
        <v>174847.05</v>
      </c>
      <c r="AU213" s="15">
        <v>18847.05</v>
      </c>
      <c r="AV213" s="15"/>
      <c r="AW213" s="15"/>
      <c r="AX213" s="15">
        <v>156000</v>
      </c>
      <c r="AY213" s="15"/>
      <c r="AZ213" s="15"/>
      <c r="BA213" s="15"/>
      <c r="BB213" s="16">
        <f t="shared" si="197"/>
        <v>0</v>
      </c>
      <c r="BE213" s="295"/>
    </row>
    <row r="214" spans="1:57" ht="21" customHeight="1" outlineLevel="2">
      <c r="A214" s="98"/>
      <c r="B214" s="102"/>
      <c r="C214" s="23"/>
      <c r="D214" s="269"/>
      <c r="E214" s="271"/>
      <c r="F214" s="27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v>4</v>
      </c>
      <c r="AB214" s="108">
        <f>+Z214*'[1]1. Standard_Cost'!$B$23+AA214*'[1]1. Standard_Cost'!$C$23</f>
        <v>76000</v>
      </c>
      <c r="AC214" s="109"/>
      <c r="AD214" s="110"/>
      <c r="AE214" s="108">
        <v>0</v>
      </c>
      <c r="AF214" s="108">
        <f t="shared" si="193"/>
        <v>76000</v>
      </c>
      <c r="AG214" s="107"/>
      <c r="AH214" s="107"/>
      <c r="AI214" s="107"/>
      <c r="AJ214" s="111"/>
      <c r="AK214" s="111"/>
      <c r="AL214" s="111"/>
      <c r="AM214" s="108">
        <f>AG214*'1. Standard_Cost'!$B$27+'Incremental_Cost Year 3'!AH214*'1. Standard_Cost'!$C$27+'Incremental_Cost Year 3'!AI214*'1. Standard_Cost'!$D$27+'Incremental_Cost Year 3'!AJ214+'Incremental_Cost Year 3'!AL214+AK214</f>
        <v>0</v>
      </c>
      <c r="AN214" s="108">
        <f>AM214*'1. Standard_Cost'!$C$31</f>
        <v>0</v>
      </c>
      <c r="AO214" s="125" t="s">
        <v>421</v>
      </c>
      <c r="AQ214" s="14">
        <f t="shared" si="194"/>
        <v>0</v>
      </c>
      <c r="AR214" s="14">
        <f t="shared" si="195"/>
        <v>76000</v>
      </c>
      <c r="AS214" s="14">
        <f t="shared" si="196"/>
        <v>0</v>
      </c>
      <c r="AT214" s="14">
        <f t="shared" si="198"/>
        <v>76000</v>
      </c>
      <c r="AU214" s="15"/>
      <c r="AV214" s="15"/>
      <c r="AW214" s="15"/>
      <c r="AX214" s="15"/>
      <c r="AY214" s="15"/>
      <c r="AZ214" s="15"/>
      <c r="BA214" s="15"/>
      <c r="BB214" s="16">
        <f t="shared" si="197"/>
        <v>-76000</v>
      </c>
      <c r="BE214" s="295"/>
    </row>
    <row r="215" spans="1:57" ht="187.2" outlineLevel="2">
      <c r="A215" s="98"/>
      <c r="B215" s="102"/>
      <c r="C215" s="23"/>
      <c r="D215" s="269"/>
      <c r="E215" s="271"/>
      <c r="F215" s="250"/>
      <c r="G215" s="255"/>
      <c r="H215" s="302" t="s">
        <v>547</v>
      </c>
      <c r="I215" s="104" t="s">
        <v>4</v>
      </c>
      <c r="J215" s="105">
        <v>0.2</v>
      </c>
      <c r="K215" s="105">
        <v>1</v>
      </c>
      <c r="L215" s="106">
        <f>IF(I215&lt;&gt;0,((VLOOKUP(I215,'1. Standard_Cost'!$B$4:$D$11,2)+VLOOKUP(I215,'1. Standard_Cost'!$B$4:$D$11,3))*J215*K215),"0")</f>
        <v>16150</v>
      </c>
      <c r="M215" s="106">
        <f>L215*'1. Standard_Cost'!$F$4</f>
        <v>2697.05</v>
      </c>
      <c r="N215" s="107">
        <v>1</v>
      </c>
      <c r="O215" s="107">
        <v>1</v>
      </c>
      <c r="P215" s="107">
        <v>50</v>
      </c>
      <c r="Q215" s="107"/>
      <c r="R215" s="108">
        <v>0</v>
      </c>
      <c r="S215" s="108">
        <v>0</v>
      </c>
      <c r="T215" s="108">
        <f>N215*P215*Q215*'1. Standard_Cost'!$D$15</f>
        <v>0</v>
      </c>
      <c r="U215" s="108">
        <v>0</v>
      </c>
      <c r="V215" s="107"/>
      <c r="W215" s="107"/>
      <c r="X215" s="107"/>
      <c r="Y215" s="108">
        <f>+V215*((X215*'1. Standard_Cost'!$B$19)+(W215*X215*'1. Standard_Cost'!$C$19))</f>
        <v>0</v>
      </c>
      <c r="Z215" s="107"/>
      <c r="AA215" s="107">
        <v>2</v>
      </c>
      <c r="AB215" s="108">
        <f>+Z215*'1. Standard_Cost'!$B$23+AA215*'1. Standard_Cost'!$C$23</f>
        <v>38000</v>
      </c>
      <c r="AC215" s="109">
        <f>51*3500+51*300</f>
        <v>193800</v>
      </c>
      <c r="AD215" s="110"/>
      <c r="AE215" s="108">
        <v>0</v>
      </c>
      <c r="AF215" s="108">
        <f t="shared" si="193"/>
        <v>231800</v>
      </c>
      <c r="AG215" s="107"/>
      <c r="AH215" s="107"/>
      <c r="AI215" s="107"/>
      <c r="AJ215" s="111"/>
      <c r="AK215" s="111"/>
      <c r="AL215" s="111"/>
      <c r="AM215" s="108">
        <f>AG215*'1. Standard_Cost'!$B$27+'Incremental_Cost Year 3'!AH215*'1. Standard_Cost'!$C$27+'Incremental_Cost Year 3'!AI215*'1. Standard_Cost'!$D$27+'Incremental_Cost Year 3'!AJ215+'Incremental_Cost Year 3'!AL215+AK215</f>
        <v>0</v>
      </c>
      <c r="AN215" s="108">
        <f>AM215*'1. Standard_Cost'!$C$31</f>
        <v>0</v>
      </c>
      <c r="AO215" s="125" t="s">
        <v>421</v>
      </c>
      <c r="AQ215" s="14">
        <f t="shared" si="194"/>
        <v>18847.05</v>
      </c>
      <c r="AR215" s="14">
        <f t="shared" si="195"/>
        <v>231800</v>
      </c>
      <c r="AS215" s="14">
        <f t="shared" si="196"/>
        <v>0</v>
      </c>
      <c r="AT215" s="14">
        <f t="shared" si="198"/>
        <v>250647.05</v>
      </c>
      <c r="AU215" s="15">
        <v>18847.05</v>
      </c>
      <c r="AV215" s="15"/>
      <c r="AW215" s="15"/>
      <c r="AX215" s="15">
        <v>231800</v>
      </c>
      <c r="AY215" s="15"/>
      <c r="AZ215" s="15"/>
      <c r="BA215" s="15"/>
      <c r="BB215" s="16">
        <f t="shared" si="197"/>
        <v>0</v>
      </c>
      <c r="BE215" s="295"/>
    </row>
    <row r="216" spans="1:57" ht="41.4" outlineLevel="2">
      <c r="A216" s="98"/>
      <c r="B216" s="102"/>
      <c r="C216" s="23"/>
      <c r="D216" s="269"/>
      <c r="E216" s="271"/>
      <c r="F216" s="250"/>
      <c r="G216" s="255"/>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93"/>
        <v>0</v>
      </c>
      <c r="AG216" s="107"/>
      <c r="AH216" s="107"/>
      <c r="AI216" s="107"/>
      <c r="AJ216" s="111"/>
      <c r="AK216" s="111"/>
      <c r="AL216" s="111"/>
      <c r="AM216" s="108">
        <f>AG216*'1. Standard_Cost'!$B$27+'Incremental_Cost Year 3'!AH216*'1. Standard_Cost'!$C$27+'Incremental_Cost Year 3'!AI216*'1. Standard_Cost'!$D$27+'Incremental_Cost Year 3'!AJ216+'Incremental_Cost Year 3'!AL216+AK216</f>
        <v>0</v>
      </c>
      <c r="AN216" s="108">
        <f>AM216*'1. Standard_Cost'!$C$31</f>
        <v>0</v>
      </c>
      <c r="AO216" s="125" t="s">
        <v>422</v>
      </c>
      <c r="AQ216" s="14">
        <f t="shared" si="194"/>
        <v>0</v>
      </c>
      <c r="AR216" s="14">
        <f t="shared" si="195"/>
        <v>0</v>
      </c>
      <c r="AS216" s="14">
        <f t="shared" si="196"/>
        <v>0</v>
      </c>
      <c r="AT216" s="14">
        <f t="shared" si="198"/>
        <v>0</v>
      </c>
      <c r="AU216" s="15"/>
      <c r="AV216" s="15"/>
      <c r="AW216" s="15"/>
      <c r="AX216" s="15"/>
      <c r="AY216" s="15"/>
      <c r="AZ216" s="15"/>
      <c r="BA216" s="15"/>
      <c r="BB216" s="16">
        <f t="shared" si="197"/>
        <v>0</v>
      </c>
      <c r="BE216" s="295"/>
    </row>
    <row r="217" spans="1:57" ht="124.8" outlineLevel="2">
      <c r="A217" s="98"/>
      <c r="B217" s="102"/>
      <c r="C217" s="23"/>
      <c r="D217" s="269"/>
      <c r="E217" s="271"/>
      <c r="F217" s="250"/>
      <c r="G217" s="255"/>
      <c r="H217" s="302" t="s">
        <v>548</v>
      </c>
      <c r="I217" s="104" t="s">
        <v>4</v>
      </c>
      <c r="J217" s="105">
        <v>0.4</v>
      </c>
      <c r="K217" s="105">
        <v>2</v>
      </c>
      <c r="L217" s="106">
        <f>IF(I217&lt;&gt;0,((VLOOKUP(I217,'1. Standard_Cost'!$B$4:$D$11,2)+VLOOKUP(I217,'1. Standard_Cost'!$B$4:$D$11,3))*J217*K217),"0")</f>
        <v>64600</v>
      </c>
      <c r="M217" s="106">
        <f>L217*'1. Standard_Cost'!$F$4</f>
        <v>10788.2</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v>10</v>
      </c>
      <c r="AB217" s="108">
        <f>+Z217*'1. Standard_Cost'!$B$23+AA217*'1. Standard_Cost'!$C$23</f>
        <v>190000</v>
      </c>
      <c r="AC217" s="109">
        <f>20*300</f>
        <v>6000</v>
      </c>
      <c r="AD217" s="110"/>
      <c r="AE217" s="108">
        <v>0</v>
      </c>
      <c r="AF217" s="108">
        <f t="shared" si="193"/>
        <v>196000</v>
      </c>
      <c r="AG217" s="107"/>
      <c r="AH217" s="107"/>
      <c r="AI217" s="107"/>
      <c r="AJ217" s="111"/>
      <c r="AK217" s="111"/>
      <c r="AL217" s="111"/>
      <c r="AM217" s="108">
        <f>AG217*'1. Standard_Cost'!$B$27+'Incremental_Cost Year 3'!AH217*'1. Standard_Cost'!$C$27+'Incremental_Cost Year 3'!AI217*'1. Standard_Cost'!$D$27+'Incremental_Cost Year 3'!AJ217+'Incremental_Cost Year 3'!AL217+AK217</f>
        <v>0</v>
      </c>
      <c r="AN217" s="108">
        <f>AM217*'1. Standard_Cost'!$C$31</f>
        <v>0</v>
      </c>
      <c r="AO217" s="125" t="s">
        <v>423</v>
      </c>
      <c r="AQ217" s="14">
        <f t="shared" si="194"/>
        <v>75388.2</v>
      </c>
      <c r="AR217" s="14">
        <f t="shared" si="195"/>
        <v>196000</v>
      </c>
      <c r="AS217" s="14">
        <f t="shared" si="196"/>
        <v>0</v>
      </c>
      <c r="AT217" s="14">
        <f t="shared" si="198"/>
        <v>271388.2</v>
      </c>
      <c r="AU217" s="15">
        <v>75388.2</v>
      </c>
      <c r="AV217" s="15"/>
      <c r="AW217" s="15"/>
      <c r="AX217" s="15">
        <v>196000</v>
      </c>
      <c r="AY217" s="15"/>
      <c r="AZ217" s="15"/>
      <c r="BA217" s="15"/>
      <c r="BB217" s="16">
        <f t="shared" si="197"/>
        <v>0</v>
      </c>
      <c r="BE217" s="295"/>
    </row>
    <row r="218" spans="1:57" ht="234" outlineLevel="2">
      <c r="A218" s="98"/>
      <c r="B218" s="102"/>
      <c r="C218" s="23"/>
      <c r="D218" s="269"/>
      <c r="E218" s="271"/>
      <c r="F218" s="250"/>
      <c r="G218" s="255"/>
      <c r="H218" s="302" t="s">
        <v>549</v>
      </c>
      <c r="I218" s="104" t="s">
        <v>4</v>
      </c>
      <c r="J218" s="105">
        <v>0.2</v>
      </c>
      <c r="K218" s="105">
        <v>1</v>
      </c>
      <c r="L218" s="106">
        <f>IF(I218&lt;&gt;0,((VLOOKUP(I218,'1. Standard_Cost'!$B$4:$D$11,2)+VLOOKUP(I218,'1. Standard_Cost'!$B$4:$D$11,3))*J218*K218),"0")</f>
        <v>16150</v>
      </c>
      <c r="M218" s="106">
        <f>L218*'1. Standard_Cost'!$F$4</f>
        <v>2697.05</v>
      </c>
      <c r="N218" s="107">
        <v>1</v>
      </c>
      <c r="O218" s="107">
        <v>3</v>
      </c>
      <c r="P218" s="107">
        <v>30</v>
      </c>
      <c r="Q218" s="107"/>
      <c r="R218" s="108">
        <v>0</v>
      </c>
      <c r="S218" s="108">
        <v>0</v>
      </c>
      <c r="T218" s="108">
        <f>N218*P218*Q218*'1. Standard_Cost'!$D$15</f>
        <v>0</v>
      </c>
      <c r="U218" s="108">
        <v>0</v>
      </c>
      <c r="V218" s="107"/>
      <c r="W218" s="107"/>
      <c r="X218" s="107"/>
      <c r="Y218" s="108">
        <f>+V218*((X218*'1. Standard_Cost'!$B$19)+(W218*X218*'1. Standard_Cost'!$C$19))</f>
        <v>0</v>
      </c>
      <c r="Z218" s="107"/>
      <c r="AA218" s="107">
        <v>4</v>
      </c>
      <c r="AB218" s="108">
        <f>+Z218*'1. Standard_Cost'!$B$23+AA218*'1. Standard_Cost'!$C$23</f>
        <v>76000</v>
      </c>
      <c r="AC218" s="109">
        <f>30*3*3500+30*3*500+5*20*500+5*20*500+2*100000</f>
        <v>660000</v>
      </c>
      <c r="AD218" s="110"/>
      <c r="AE218" s="108">
        <v>0</v>
      </c>
      <c r="AF218" s="108">
        <f t="shared" si="193"/>
        <v>736000</v>
      </c>
      <c r="AG218" s="107"/>
      <c r="AH218" s="107"/>
      <c r="AI218" s="107"/>
      <c r="AJ218" s="111"/>
      <c r="AK218" s="111"/>
      <c r="AL218" s="111"/>
      <c r="AM218" s="108">
        <f>AG218*'1. Standard_Cost'!$B$27+'Incremental_Cost Year 3'!AH218*'1. Standard_Cost'!$C$27+'Incremental_Cost Year 3'!AI218*'1. Standard_Cost'!$D$27+'Incremental_Cost Year 3'!AJ218+'Incremental_Cost Year 3'!AL218+AK218</f>
        <v>0</v>
      </c>
      <c r="AN218" s="108">
        <f>AM218*'1. Standard_Cost'!$C$31</f>
        <v>0</v>
      </c>
      <c r="AO218" s="125" t="s">
        <v>424</v>
      </c>
      <c r="AQ218" s="14">
        <f t="shared" si="194"/>
        <v>18847.05</v>
      </c>
      <c r="AR218" s="14">
        <f t="shared" si="195"/>
        <v>736000</v>
      </c>
      <c r="AS218" s="14">
        <f t="shared" si="196"/>
        <v>0</v>
      </c>
      <c r="AT218" s="14">
        <f t="shared" si="198"/>
        <v>754847.05</v>
      </c>
      <c r="AU218" s="15">
        <v>18847.05</v>
      </c>
      <c r="AV218" s="15"/>
      <c r="AW218" s="15"/>
      <c r="AX218" s="15">
        <v>736000</v>
      </c>
      <c r="AY218" s="15"/>
      <c r="AZ218" s="15"/>
      <c r="BA218" s="15"/>
      <c r="BB218" s="16">
        <f t="shared" si="197"/>
        <v>0</v>
      </c>
      <c r="BE218" s="295"/>
    </row>
    <row r="219" spans="1:57" ht="36" customHeight="1" outlineLevel="2">
      <c r="A219" s="98"/>
      <c r="B219" s="102"/>
      <c r="C219" s="23"/>
      <c r="D219" s="251"/>
      <c r="E219" s="251"/>
      <c r="F219" s="251"/>
      <c r="G219" s="250"/>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93"/>
        <v>0</v>
      </c>
      <c r="AG219" s="107"/>
      <c r="AH219" s="107"/>
      <c r="AI219" s="107"/>
      <c r="AJ219" s="111"/>
      <c r="AK219" s="111"/>
      <c r="AL219" s="111"/>
      <c r="AM219" s="108">
        <f>AG219*'1. Standard_Cost'!$B$27+'Incremental_Cost Year 3'!AH219*'1. Standard_Cost'!$C$27+'Incremental_Cost Year 3'!AI219*'1. Standard_Cost'!$D$27+'Incremental_Cost Year 3'!AJ219+'Incremental_Cost Year 3'!AL219+AK219</f>
        <v>0</v>
      </c>
      <c r="AN219" s="108">
        <f>AM219*'1. Standard_Cost'!$C$31</f>
        <v>0</v>
      </c>
      <c r="AO219" s="125" t="s">
        <v>425</v>
      </c>
      <c r="AQ219" s="14">
        <f t="shared" si="194"/>
        <v>0</v>
      </c>
      <c r="AR219" s="14">
        <f t="shared" si="195"/>
        <v>0</v>
      </c>
      <c r="AS219" s="14">
        <f t="shared" si="196"/>
        <v>0</v>
      </c>
      <c r="AT219" s="14">
        <f t="shared" si="198"/>
        <v>0</v>
      </c>
      <c r="AU219" s="15"/>
      <c r="AV219" s="15"/>
      <c r="AW219" s="15"/>
      <c r="AX219" s="15"/>
      <c r="AY219" s="15"/>
      <c r="AZ219" s="15"/>
      <c r="BA219" s="15"/>
      <c r="BB219" s="16">
        <f t="shared" si="197"/>
        <v>0</v>
      </c>
      <c r="BE219" s="295"/>
    </row>
    <row r="220" spans="1:57" ht="32.25" customHeight="1" outlineLevel="2">
      <c r="A220" s="98"/>
      <c r="B220" s="102"/>
      <c r="C220" s="23"/>
      <c r="D220" s="251"/>
      <c r="E220" s="251"/>
      <c r="F220" s="251"/>
      <c r="G220" s="250"/>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93"/>
        <v>0</v>
      </c>
      <c r="AG220" s="107"/>
      <c r="AH220" s="107"/>
      <c r="AI220" s="107"/>
      <c r="AJ220" s="111"/>
      <c r="AK220" s="111"/>
      <c r="AL220" s="111"/>
      <c r="AM220" s="108">
        <f>AG220*'1. Standard_Cost'!$B$27+'Incremental_Cost Year 3'!AH220*'1. Standard_Cost'!$C$27+'Incremental_Cost Year 3'!AI220*'1. Standard_Cost'!$D$27+'Incremental_Cost Year 3'!AJ220+'Incremental_Cost Year 3'!AL220+AK220</f>
        <v>0</v>
      </c>
      <c r="AN220" s="108">
        <f>AM220*'1. Standard_Cost'!$C$31</f>
        <v>0</v>
      </c>
      <c r="AO220" s="125" t="s">
        <v>426</v>
      </c>
      <c r="AQ220" s="14">
        <f t="shared" si="194"/>
        <v>0</v>
      </c>
      <c r="AR220" s="14">
        <f t="shared" si="195"/>
        <v>0</v>
      </c>
      <c r="AS220" s="14">
        <f t="shared" si="196"/>
        <v>0</v>
      </c>
      <c r="AT220" s="14">
        <f t="shared" si="198"/>
        <v>0</v>
      </c>
      <c r="AU220" s="15"/>
      <c r="AV220" s="15"/>
      <c r="AW220" s="15"/>
      <c r="AX220" s="15"/>
      <c r="AY220" s="15"/>
      <c r="AZ220" s="15"/>
      <c r="BA220" s="15"/>
      <c r="BB220" s="16">
        <f t="shared" si="197"/>
        <v>0</v>
      </c>
      <c r="BE220" s="295"/>
    </row>
    <row r="221" spans="1:57" ht="45" customHeight="1" outlineLevel="2">
      <c r="A221" s="98"/>
      <c r="B221" s="102"/>
      <c r="C221" s="23"/>
      <c r="D221" s="251"/>
      <c r="E221" s="251"/>
      <c r="F221" s="251"/>
      <c r="G221" s="250"/>
      <c r="H221" s="302" t="s">
        <v>550</v>
      </c>
      <c r="I221" s="104" t="s">
        <v>4</v>
      </c>
      <c r="J221" s="105">
        <v>1</v>
      </c>
      <c r="K221" s="105">
        <v>2</v>
      </c>
      <c r="L221" s="106">
        <f>IF(I221&lt;&gt;0,((VLOOKUP(I221,'1. Standard_Cost'!$B$4:$D$11,2)+VLOOKUP(I221,'1. Standard_Cost'!$B$4:$D$11,3))*J221*K221),"0")</f>
        <v>161500</v>
      </c>
      <c r="M221" s="106">
        <f>L221*'1. Standard_Cost'!$F$4</f>
        <v>26970.5</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93"/>
        <v>0</v>
      </c>
      <c r="AG221" s="107"/>
      <c r="AH221" s="107"/>
      <c r="AI221" s="107"/>
      <c r="AJ221" s="111"/>
      <c r="AK221" s="111"/>
      <c r="AL221" s="111"/>
      <c r="AM221" s="108">
        <f>AG221*'1. Standard_Cost'!$B$27+'Incremental_Cost Year 3'!AH221*'1. Standard_Cost'!$C$27+'Incremental_Cost Year 3'!AI221*'1. Standard_Cost'!$D$27+'Incremental_Cost Year 3'!AJ221+'Incremental_Cost Year 3'!AL221+AK221</f>
        <v>0</v>
      </c>
      <c r="AN221" s="108">
        <f>AM221*'1. Standard_Cost'!$C$31</f>
        <v>0</v>
      </c>
      <c r="AO221" s="125" t="s">
        <v>427</v>
      </c>
      <c r="AQ221" s="14">
        <f t="shared" si="194"/>
        <v>188470.5</v>
      </c>
      <c r="AR221" s="14">
        <f t="shared" si="195"/>
        <v>0</v>
      </c>
      <c r="AS221" s="14">
        <f t="shared" si="196"/>
        <v>0</v>
      </c>
      <c r="AT221" s="14">
        <f t="shared" si="198"/>
        <v>188470.5</v>
      </c>
      <c r="AU221" s="15">
        <v>188470.5</v>
      </c>
      <c r="AV221" s="15"/>
      <c r="AW221" s="15"/>
      <c r="AX221" s="15"/>
      <c r="AY221" s="15"/>
      <c r="AZ221" s="15"/>
      <c r="BA221" s="15"/>
      <c r="BB221" s="16">
        <f t="shared" si="197"/>
        <v>0</v>
      </c>
      <c r="BE221" s="295"/>
    </row>
    <row r="222" spans="1:57" ht="82.8" outlineLevel="1">
      <c r="A222" s="98"/>
      <c r="B222" s="102"/>
      <c r="C222" s="23"/>
      <c r="D222" s="31" t="s">
        <v>712</v>
      </c>
      <c r="E222" s="56" t="s">
        <v>247</v>
      </c>
      <c r="F222" s="253">
        <v>2021</v>
      </c>
      <c r="G222" s="254">
        <v>2026</v>
      </c>
      <c r="H222" s="279" t="s">
        <v>248</v>
      </c>
      <c r="I222" s="112"/>
      <c r="J222" s="112"/>
      <c r="K222" s="112"/>
      <c r="L222" s="113">
        <f>SUM(L203:L221)</f>
        <v>4411050</v>
      </c>
      <c r="M222" s="113">
        <f>SUM(M203:M221)</f>
        <v>736645.35000000021</v>
      </c>
      <c r="N222" s="112"/>
      <c r="O222" s="112"/>
      <c r="P222" s="112"/>
      <c r="Q222" s="112"/>
      <c r="R222" s="113">
        <f>SUM(R203:R221)</f>
        <v>0</v>
      </c>
      <c r="S222" s="113">
        <f>SUM(S203:S221)</f>
        <v>0</v>
      </c>
      <c r="T222" s="113">
        <f>SUM(T203:T221)</f>
        <v>0</v>
      </c>
      <c r="U222" s="113">
        <f>SUM(U203:U221)</f>
        <v>0</v>
      </c>
      <c r="V222" s="112"/>
      <c r="W222" s="112"/>
      <c r="X222" s="112"/>
      <c r="Y222" s="113">
        <f>SUM(Y203:Y221)</f>
        <v>0</v>
      </c>
      <c r="Z222" s="113"/>
      <c r="AA222" s="112"/>
      <c r="AB222" s="113">
        <f>SUM(AB203:AB221)</f>
        <v>1311000</v>
      </c>
      <c r="AC222" s="113">
        <f>SUM(AC203:AC221)</f>
        <v>1293800</v>
      </c>
      <c r="AD222" s="113">
        <f>SUM(AD203:AD221)</f>
        <v>0</v>
      </c>
      <c r="AE222" s="113">
        <f>SUM(AE203:AE221)</f>
        <v>43000</v>
      </c>
      <c r="AF222" s="113">
        <f>SUM(AF203:AF221)</f>
        <v>2647800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BB222" si="199">SUM(AQ203:AQ221)</f>
        <v>5147695.3499999996</v>
      </c>
      <c r="AR222" s="113">
        <f t="shared" si="199"/>
        <v>2647800</v>
      </c>
      <c r="AS222" s="113">
        <f t="shared" si="199"/>
        <v>0</v>
      </c>
      <c r="AT222" s="113">
        <f t="shared" si="199"/>
        <v>7795495.3499999996</v>
      </c>
      <c r="AU222" s="113">
        <f t="shared" si="199"/>
        <v>5147695.3499999996</v>
      </c>
      <c r="AV222" s="113">
        <f t="shared" si="199"/>
        <v>0</v>
      </c>
      <c r="AW222" s="113">
        <f t="shared" si="199"/>
        <v>0</v>
      </c>
      <c r="AX222" s="113">
        <f t="shared" si="199"/>
        <v>1659400</v>
      </c>
      <c r="AY222" s="113">
        <f t="shared" si="199"/>
        <v>0</v>
      </c>
      <c r="AZ222" s="113">
        <f t="shared" si="199"/>
        <v>0</v>
      </c>
      <c r="BA222" s="113">
        <f t="shared" si="199"/>
        <v>0</v>
      </c>
      <c r="BB222" s="113">
        <f t="shared" si="199"/>
        <v>-988400</v>
      </c>
      <c r="BE222" s="295"/>
    </row>
    <row r="223" spans="1:57" s="13" customFormat="1" ht="13.8" customHeight="1">
      <c r="A223" s="101"/>
      <c r="B223" s="316" t="s">
        <v>253</v>
      </c>
      <c r="C223" s="317"/>
      <c r="D223" s="317"/>
      <c r="E223" s="318"/>
      <c r="F223" s="241"/>
      <c r="G223" s="241"/>
      <c r="H223" s="241" t="s">
        <v>252</v>
      </c>
      <c r="I223" s="40"/>
      <c r="J223" s="40"/>
      <c r="K223" s="40"/>
      <c r="L223" s="41">
        <f>SUM(L224)</f>
        <v>3619700</v>
      </c>
      <c r="M223" s="41">
        <f>SUM(M224)</f>
        <v>604489.9</v>
      </c>
      <c r="N223" s="40"/>
      <c r="O223" s="40"/>
      <c r="P223" s="40"/>
      <c r="Q223" s="40"/>
      <c r="R223" s="41">
        <f t="shared" ref="R223:U223" si="200">SUM(R224)</f>
        <v>0</v>
      </c>
      <c r="S223" s="41">
        <f t="shared" si="200"/>
        <v>0</v>
      </c>
      <c r="T223" s="41">
        <f t="shared" si="200"/>
        <v>0</v>
      </c>
      <c r="U223" s="41">
        <f t="shared" si="200"/>
        <v>0</v>
      </c>
      <c r="V223" s="40"/>
      <c r="W223" s="40"/>
      <c r="X223" s="40"/>
      <c r="Y223" s="41">
        <f t="shared" ref="Y223" si="201">SUM(Y224)</f>
        <v>0</v>
      </c>
      <c r="Z223" s="41">
        <f t="shared" ref="Z223" si="202">SUM(Z224)</f>
        <v>0</v>
      </c>
      <c r="AA223" s="40"/>
      <c r="AB223" s="41">
        <f t="shared" ref="AB223:AF223" si="203">SUM(AB224)</f>
        <v>418000</v>
      </c>
      <c r="AC223" s="41">
        <f t="shared" ref="AC223:AD223" si="204">SUM(AC224)</f>
        <v>916000</v>
      </c>
      <c r="AD223" s="41">
        <f t="shared" si="204"/>
        <v>0</v>
      </c>
      <c r="AE223" s="41">
        <f t="shared" si="203"/>
        <v>172800</v>
      </c>
      <c r="AF223" s="41">
        <f t="shared" si="203"/>
        <v>1506800</v>
      </c>
      <c r="AG223" s="40"/>
      <c r="AH223" s="40"/>
      <c r="AI223" s="40"/>
      <c r="AJ223" s="41">
        <f t="shared" ref="AJ223:AL223" si="205">SUM(AJ224)</f>
        <v>0</v>
      </c>
      <c r="AK223" s="41">
        <f t="shared" si="205"/>
        <v>0</v>
      </c>
      <c r="AL223" s="41">
        <f t="shared" si="205"/>
        <v>0</v>
      </c>
      <c r="AM223" s="41">
        <f t="shared" ref="AM223:AN223" si="206">SUM(AM224)</f>
        <v>900000</v>
      </c>
      <c r="AN223" s="41">
        <f t="shared" si="206"/>
        <v>135000</v>
      </c>
      <c r="AO223" s="129"/>
      <c r="AQ223" s="41">
        <f t="shared" ref="AQ223:BB223" si="207">SUM(AQ224)</f>
        <v>4224189.9000000004</v>
      </c>
      <c r="AR223" s="41">
        <f t="shared" si="207"/>
        <v>1506800</v>
      </c>
      <c r="AS223" s="41">
        <f t="shared" si="207"/>
        <v>1035000</v>
      </c>
      <c r="AT223" s="41">
        <f t="shared" si="207"/>
        <v>6765989.9000000004</v>
      </c>
      <c r="AU223" s="41">
        <f t="shared" si="207"/>
        <v>4231389.9000000004</v>
      </c>
      <c r="AV223" s="41">
        <f t="shared" si="207"/>
        <v>0</v>
      </c>
      <c r="AW223" s="41">
        <f t="shared" si="207"/>
        <v>0</v>
      </c>
      <c r="AX223" s="41">
        <f t="shared" si="207"/>
        <v>1505000</v>
      </c>
      <c r="AY223" s="41">
        <f t="shared" si="207"/>
        <v>0</v>
      </c>
      <c r="AZ223" s="41">
        <f t="shared" si="207"/>
        <v>0</v>
      </c>
      <c r="BA223" s="41">
        <f t="shared" si="207"/>
        <v>0</v>
      </c>
      <c r="BB223" s="41">
        <f t="shared" si="207"/>
        <v>-1029600</v>
      </c>
      <c r="BE223" s="295"/>
    </row>
    <row r="224" spans="1:57" s="24" customFormat="1" ht="13.8" customHeight="1">
      <c r="A224" s="114"/>
      <c r="B224" s="115"/>
      <c r="C224" s="314" t="s">
        <v>254</v>
      </c>
      <c r="D224" s="314"/>
      <c r="E224" s="315"/>
      <c r="F224" s="246"/>
      <c r="G224" s="246"/>
      <c r="H224" s="278" t="s">
        <v>255</v>
      </c>
      <c r="I224" s="116"/>
      <c r="J224" s="116"/>
      <c r="K224" s="116"/>
      <c r="L224" s="117">
        <f>SUM(L232,L236,L242)</f>
        <v>3619700</v>
      </c>
      <c r="M224" s="117">
        <f>SUM(M232,M236,M242)</f>
        <v>604489.9</v>
      </c>
      <c r="N224" s="116"/>
      <c r="O224" s="116"/>
      <c r="P224" s="116"/>
      <c r="Q224" s="116"/>
      <c r="R224" s="117">
        <f t="shared" ref="R224:U224" si="208">SUM(R232,R236,R242)</f>
        <v>0</v>
      </c>
      <c r="S224" s="117">
        <f t="shared" si="208"/>
        <v>0</v>
      </c>
      <c r="T224" s="117">
        <f t="shared" si="208"/>
        <v>0</v>
      </c>
      <c r="U224" s="117">
        <f t="shared" si="208"/>
        <v>0</v>
      </c>
      <c r="V224" s="116"/>
      <c r="W224" s="116"/>
      <c r="X224" s="116"/>
      <c r="Y224" s="117">
        <f>SUM(Y232,Y236,Y242)</f>
        <v>0</v>
      </c>
      <c r="Z224" s="116"/>
      <c r="AA224" s="116"/>
      <c r="AB224" s="117">
        <f t="shared" ref="AB224:AF224" si="209">SUM(AB232,AB236,AB242)</f>
        <v>418000</v>
      </c>
      <c r="AC224" s="117">
        <f t="shared" si="209"/>
        <v>916000</v>
      </c>
      <c r="AD224" s="117">
        <f t="shared" si="209"/>
        <v>0</v>
      </c>
      <c r="AE224" s="117">
        <f t="shared" si="209"/>
        <v>172800</v>
      </c>
      <c r="AF224" s="117">
        <f t="shared" si="209"/>
        <v>1506800</v>
      </c>
      <c r="AG224" s="116"/>
      <c r="AH224" s="116"/>
      <c r="AI224" s="116"/>
      <c r="AJ224" s="117">
        <f t="shared" ref="AJ224:AL224" si="210">SUM(AJ232,AJ236,AJ242)</f>
        <v>0</v>
      </c>
      <c r="AK224" s="117">
        <f t="shared" si="210"/>
        <v>0</v>
      </c>
      <c r="AL224" s="117">
        <f t="shared" si="210"/>
        <v>0</v>
      </c>
      <c r="AM224" s="117">
        <f t="shared" ref="AM224:AN224" si="211">SUM(AM232,AM236,AM242)</f>
        <v>900000</v>
      </c>
      <c r="AN224" s="117">
        <f t="shared" si="211"/>
        <v>135000</v>
      </c>
      <c r="AO224" s="132"/>
      <c r="AP224" s="25"/>
      <c r="AQ224" s="117">
        <f t="shared" ref="AQ224" si="212">SUM(AQ232,AQ236,AQ242)</f>
        <v>4224189.9000000004</v>
      </c>
      <c r="AR224" s="117">
        <f t="shared" ref="AR224:BB224" si="213">SUM(AR232,AR236,AR242)</f>
        <v>1506800</v>
      </c>
      <c r="AS224" s="117">
        <f t="shared" si="213"/>
        <v>1035000</v>
      </c>
      <c r="AT224" s="117">
        <f t="shared" si="213"/>
        <v>6765989.9000000004</v>
      </c>
      <c r="AU224" s="117">
        <f t="shared" si="213"/>
        <v>4231389.9000000004</v>
      </c>
      <c r="AV224" s="117">
        <f t="shared" si="213"/>
        <v>0</v>
      </c>
      <c r="AW224" s="117">
        <f t="shared" si="213"/>
        <v>0</v>
      </c>
      <c r="AX224" s="117">
        <f t="shared" si="213"/>
        <v>1505000</v>
      </c>
      <c r="AY224" s="117">
        <f t="shared" si="213"/>
        <v>0</v>
      </c>
      <c r="AZ224" s="117">
        <f t="shared" si="213"/>
        <v>0</v>
      </c>
      <c r="BA224" s="117">
        <f t="shared" si="213"/>
        <v>0</v>
      </c>
      <c r="BB224" s="117">
        <f t="shared" si="213"/>
        <v>-1029600</v>
      </c>
      <c r="BE224" s="295"/>
    </row>
    <row r="225" spans="1:57" ht="46.8" outlineLevel="2">
      <c r="A225" s="98"/>
      <c r="B225" s="102"/>
      <c r="C225" s="23"/>
      <c r="D225" s="257"/>
      <c r="E225" s="257"/>
      <c r="F225" s="257"/>
      <c r="G225" s="257"/>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214">SUM(AE225,AD225,AC225,AB225,Y225,U225,T225,S225,R225)</f>
        <v>0</v>
      </c>
      <c r="AG225" s="107"/>
      <c r="AH225" s="107"/>
      <c r="AI225" s="107"/>
      <c r="AJ225" s="111"/>
      <c r="AK225" s="111"/>
      <c r="AL225" s="111"/>
      <c r="AM225" s="108">
        <f>AG225*'1. Standard_Cost'!$B$27+'Incremental_Cost Year 3'!AH225*'1. Standard_Cost'!$C$27+'Incremental_Cost Year 3'!AI225*'1. Standard_Cost'!$D$27+'Incremental_Cost Year 3'!AJ225+'Incremental_Cost Year 3'!AL225+AK225</f>
        <v>0</v>
      </c>
      <c r="AN225" s="108">
        <f>AM225*'1. Standard_Cost'!$C$31</f>
        <v>0</v>
      </c>
      <c r="AO225" s="125" t="s">
        <v>428</v>
      </c>
      <c r="AQ225" s="14">
        <f t="shared" ref="AQ225:AQ231" si="215">L225+M225</f>
        <v>0</v>
      </c>
      <c r="AR225" s="14">
        <f t="shared" ref="AR225:AR231" si="216">AF225</f>
        <v>0</v>
      </c>
      <c r="AS225" s="14">
        <f t="shared" ref="AS225:AS231" si="217">AM225+AN225</f>
        <v>0</v>
      </c>
      <c r="AT225" s="14">
        <f>SUM(AQ225,AR225,AS225)</f>
        <v>0</v>
      </c>
      <c r="AU225" s="15"/>
      <c r="AV225" s="15"/>
      <c r="AW225" s="15"/>
      <c r="AX225" s="15"/>
      <c r="AY225" s="15"/>
      <c r="AZ225" s="15"/>
      <c r="BA225" s="15"/>
      <c r="BB225" s="16">
        <f t="shared" ref="BB225:BB231" si="218">SUM(AU225:BA225)-AT225</f>
        <v>0</v>
      </c>
      <c r="BE225" s="295"/>
    </row>
    <row r="226" spans="1:57" ht="202.8" outlineLevel="2">
      <c r="A226" s="98"/>
      <c r="B226" s="102"/>
      <c r="C226" s="23"/>
      <c r="D226" s="269"/>
      <c r="E226" s="269"/>
      <c r="F226" s="269"/>
      <c r="G226" s="269"/>
      <c r="H226" s="302" t="s">
        <v>552</v>
      </c>
      <c r="I226" s="104"/>
      <c r="J226" s="105"/>
      <c r="K226" s="105"/>
      <c r="L226" s="106" t="str">
        <f>IF(I226&lt;&gt;0,((VLOOKUP(I226,'1. Standard_Cost'!$B$4:$D$11,2)+VLOOKUP(I226,'1. Standard_Cost'!$B$4:$D$11,3))*J226*K226),"0")</f>
        <v>0</v>
      </c>
      <c r="M226" s="106">
        <f>L226*'1. Standard_Cost'!$F$4</f>
        <v>0</v>
      </c>
      <c r="N226" s="107">
        <v>4</v>
      </c>
      <c r="O226" s="107">
        <v>1</v>
      </c>
      <c r="P226" s="107">
        <v>10</v>
      </c>
      <c r="Q226" s="107"/>
      <c r="R226" s="108">
        <v>0</v>
      </c>
      <c r="S226" s="108">
        <v>0</v>
      </c>
      <c r="T226" s="108">
        <f>N226*P226*Q226*'1. Standard_Cost'!$D$15</f>
        <v>0</v>
      </c>
      <c r="U226" s="108">
        <v>0</v>
      </c>
      <c r="V226" s="107"/>
      <c r="W226" s="107"/>
      <c r="X226" s="107"/>
      <c r="Y226" s="108">
        <f>+V226*((X226*'1. Standard_Cost'!$B$19)+(W226*X226*'1. Standard_Cost'!$C$19))</f>
        <v>0</v>
      </c>
      <c r="Z226" s="107"/>
      <c r="AA226" s="107">
        <f>5+5</f>
        <v>10</v>
      </c>
      <c r="AB226" s="108">
        <f>+Z226*'1. Standard_Cost'!$B$23+AA226*'1. Standard_Cost'!$C$23</f>
        <v>190000</v>
      </c>
      <c r="AC226" s="109">
        <f>4*30000+40*3500+40*500</f>
        <v>280000</v>
      </c>
      <c r="AD226" s="110"/>
      <c r="AE226" s="108">
        <v>0</v>
      </c>
      <c r="AF226" s="108">
        <f t="shared" si="214"/>
        <v>470000</v>
      </c>
      <c r="AG226" s="107">
        <v>10</v>
      </c>
      <c r="AH226" s="107"/>
      <c r="AI226" s="107"/>
      <c r="AJ226" s="111"/>
      <c r="AK226" s="111"/>
      <c r="AL226" s="111"/>
      <c r="AM226" s="108">
        <f>AG226*'1. Standard_Cost'!$B$27+'Incremental_Cost Year 3'!AH226*'1. Standard_Cost'!$C$27+'Incremental_Cost Year 3'!AI226*'1. Standard_Cost'!$D$27+'Incremental_Cost Year 3'!AJ226+'Incremental_Cost Year 3'!AL226+AK226</f>
        <v>900000</v>
      </c>
      <c r="AN226" s="108">
        <f>AM226*'1. Standard_Cost'!$C$31</f>
        <v>135000</v>
      </c>
      <c r="AO226" s="125" t="s">
        <v>429</v>
      </c>
      <c r="AQ226" s="14">
        <f t="shared" si="215"/>
        <v>0</v>
      </c>
      <c r="AR226" s="14">
        <f t="shared" si="216"/>
        <v>470000</v>
      </c>
      <c r="AS226" s="14">
        <f t="shared" si="217"/>
        <v>1035000</v>
      </c>
      <c r="AT226" s="14">
        <f t="shared" ref="AT226:AT231" si="219">SUM(AQ226,AR226,AS226)</f>
        <v>1505000</v>
      </c>
      <c r="AU226" s="15"/>
      <c r="AV226" s="15"/>
      <c r="AW226" s="15"/>
      <c r="AX226" s="15">
        <v>1505000</v>
      </c>
      <c r="AY226" s="15"/>
      <c r="AZ226" s="15"/>
      <c r="BA226" s="15"/>
      <c r="BB226" s="16">
        <f t="shared" si="218"/>
        <v>0</v>
      </c>
      <c r="BE226" s="295"/>
    </row>
    <row r="227" spans="1:57" ht="27.6" outlineLevel="2">
      <c r="A227" s="98"/>
      <c r="B227" s="102"/>
      <c r="C227" s="23"/>
      <c r="D227" s="269"/>
      <c r="E227" s="269"/>
      <c r="F227" s="269"/>
      <c r="G227" s="269"/>
      <c r="H227" s="305" t="s">
        <v>551</v>
      </c>
      <c r="I227" s="104" t="s">
        <v>5</v>
      </c>
      <c r="J227" s="105">
        <v>12</v>
      </c>
      <c r="K227" s="105">
        <v>4</v>
      </c>
      <c r="L227" s="106">
        <f>IF(I227&lt;&gt;0,((VLOOKUP(I227,'[1]1. Standard_Cost'!$B$4:$D$11,2)+VLOOKUP(I227,'[1]1. Standard_Cost'!$B$4:$D$11,3))*J227*K227),"0")</f>
        <v>3393600</v>
      </c>
      <c r="M227" s="106">
        <f>L227*'[1]1. Standard_Cost'!$F$4</f>
        <v>566731.20000000007</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214"/>
        <v>0</v>
      </c>
      <c r="AG227" s="107"/>
      <c r="AH227" s="107"/>
      <c r="AI227" s="107"/>
      <c r="AJ227" s="111"/>
      <c r="AK227" s="111"/>
      <c r="AL227" s="111"/>
      <c r="AM227" s="108">
        <f>AG227*'1. Standard_Cost'!$B$27+'Incremental_Cost Year 3'!AH227*'1. Standard_Cost'!$C$27+'Incremental_Cost Year 3'!AI227*'1. Standard_Cost'!$D$27+'Incremental_Cost Year 3'!AJ227+'Incremental_Cost Year 3'!AL227+AK227</f>
        <v>0</v>
      </c>
      <c r="AN227" s="108">
        <f>AM227*'1. Standard_Cost'!$C$31</f>
        <v>0</v>
      </c>
      <c r="AO227" s="125" t="s">
        <v>430</v>
      </c>
      <c r="AQ227" s="14">
        <f t="shared" si="215"/>
        <v>3960331.2</v>
      </c>
      <c r="AR227" s="14">
        <f t="shared" si="216"/>
        <v>0</v>
      </c>
      <c r="AS227" s="14">
        <f t="shared" ref="AS227" si="220">AM227+AN227</f>
        <v>0</v>
      </c>
      <c r="AT227" s="14">
        <f t="shared" ref="AT227" si="221">SUM(AQ227,AR227,AS227)</f>
        <v>3960331.2</v>
      </c>
      <c r="AU227" s="15">
        <v>3960331.2</v>
      </c>
      <c r="AV227" s="15"/>
      <c r="AW227" s="15"/>
      <c r="AX227" s="15"/>
      <c r="AY227" s="15"/>
      <c r="AZ227" s="15"/>
      <c r="BA227" s="15"/>
      <c r="BB227" s="16">
        <f t="shared" si="218"/>
        <v>0</v>
      </c>
      <c r="BE227" s="295"/>
    </row>
    <row r="228" spans="1:57" ht="78" outlineLevel="2">
      <c r="A228" s="98"/>
      <c r="B228" s="102"/>
      <c r="C228" s="23"/>
      <c r="D228" s="269"/>
      <c r="E228" s="269"/>
      <c r="F228" s="269"/>
      <c r="G228" s="26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214"/>
        <v>0</v>
      </c>
      <c r="AG228" s="107"/>
      <c r="AH228" s="107"/>
      <c r="AI228" s="107"/>
      <c r="AJ228" s="111"/>
      <c r="AK228" s="111"/>
      <c r="AL228" s="111"/>
      <c r="AM228" s="108">
        <f>AG228*'1. Standard_Cost'!$B$27+'Incremental_Cost Year 3'!AH228*'1. Standard_Cost'!$C$27+'Incremental_Cost Year 3'!AI228*'1. Standard_Cost'!$D$27+'Incremental_Cost Year 3'!AJ228+'Incremental_Cost Year 3'!AL228+AK228</f>
        <v>0</v>
      </c>
      <c r="AN228" s="108">
        <f>AM228*'1. Standard_Cost'!$C$31</f>
        <v>0</v>
      </c>
      <c r="AO228" s="125" t="s">
        <v>430</v>
      </c>
      <c r="AQ228" s="14">
        <f t="shared" si="215"/>
        <v>0</v>
      </c>
      <c r="AR228" s="14">
        <f t="shared" si="216"/>
        <v>0</v>
      </c>
      <c r="AS228" s="14">
        <f t="shared" si="217"/>
        <v>0</v>
      </c>
      <c r="AT228" s="14">
        <f t="shared" si="219"/>
        <v>0</v>
      </c>
      <c r="AU228" s="15"/>
      <c r="AV228" s="15"/>
      <c r="AW228" s="15"/>
      <c r="AX228" s="15"/>
      <c r="AY228" s="15"/>
      <c r="AZ228" s="15"/>
      <c r="BA228" s="15"/>
      <c r="BB228" s="16">
        <f t="shared" si="218"/>
        <v>0</v>
      </c>
      <c r="BE228" s="295"/>
    </row>
    <row r="229" spans="1:57" ht="31.2" outlineLevel="2">
      <c r="A229" s="98"/>
      <c r="B229" s="102"/>
      <c r="C229" s="23"/>
      <c r="D229" s="269"/>
      <c r="E229" s="269"/>
      <c r="F229" s="269"/>
      <c r="G229" s="26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214"/>
        <v>0</v>
      </c>
      <c r="AG229" s="107"/>
      <c r="AH229" s="107"/>
      <c r="AI229" s="107"/>
      <c r="AJ229" s="111"/>
      <c r="AK229" s="111"/>
      <c r="AL229" s="111"/>
      <c r="AM229" s="108">
        <f>AG229*'1. Standard_Cost'!$B$27+'Incremental_Cost Year 3'!AH229*'1. Standard_Cost'!$C$27+'Incremental_Cost Year 3'!AI229*'1. Standard_Cost'!$D$27+'Incremental_Cost Year 3'!AJ229+'Incremental_Cost Year 3'!AL229+AK229</f>
        <v>0</v>
      </c>
      <c r="AN229" s="108">
        <f>AM229*'1. Standard_Cost'!$C$31</f>
        <v>0</v>
      </c>
      <c r="AO229" s="125" t="s">
        <v>431</v>
      </c>
      <c r="AQ229" s="14">
        <f t="shared" si="215"/>
        <v>0</v>
      </c>
      <c r="AR229" s="14">
        <f t="shared" si="216"/>
        <v>0</v>
      </c>
      <c r="AS229" s="14">
        <f t="shared" si="217"/>
        <v>0</v>
      </c>
      <c r="AT229" s="14">
        <f t="shared" si="219"/>
        <v>0</v>
      </c>
      <c r="AU229" s="15"/>
      <c r="AV229" s="15"/>
      <c r="AW229" s="15"/>
      <c r="AX229" s="15"/>
      <c r="AY229" s="15"/>
      <c r="AZ229" s="15"/>
      <c r="BA229" s="15"/>
      <c r="BB229" s="16">
        <f t="shared" si="218"/>
        <v>0</v>
      </c>
      <c r="BE229" s="295"/>
    </row>
    <row r="230" spans="1:57" ht="78" outlineLevel="2">
      <c r="A230" s="98"/>
      <c r="B230" s="102"/>
      <c r="C230" s="23"/>
      <c r="D230" s="269"/>
      <c r="E230" s="269"/>
      <c r="F230" s="269"/>
      <c r="G230" s="269"/>
      <c r="H230" s="302" t="s">
        <v>553</v>
      </c>
      <c r="I230" s="104" t="s">
        <v>4</v>
      </c>
      <c r="J230" s="105">
        <v>0.2</v>
      </c>
      <c r="K230" s="105">
        <v>5</v>
      </c>
      <c r="L230" s="106">
        <f>IF(I230&lt;&gt;0,((VLOOKUP(I230,'1. Standard_Cost'!$B$4:$D$11,2)+VLOOKUP(I230,'1. Standard_Cost'!$B$4:$D$11,3))*J230*K230),"0")</f>
        <v>80750</v>
      </c>
      <c r="M230" s="106">
        <f>L230*'1. Standard_Cost'!$F$4</f>
        <v>13485.25</v>
      </c>
      <c r="N230" s="107">
        <v>2</v>
      </c>
      <c r="O230" s="107">
        <v>3</v>
      </c>
      <c r="P230" s="107">
        <v>10</v>
      </c>
      <c r="Q230" s="107"/>
      <c r="R230" s="108">
        <v>0</v>
      </c>
      <c r="S230" s="108">
        <v>0</v>
      </c>
      <c r="T230" s="108">
        <f>N230*P230*Q230*'1. Standard_Cost'!$D$15</f>
        <v>0</v>
      </c>
      <c r="U230" s="108">
        <v>0</v>
      </c>
      <c r="V230" s="107"/>
      <c r="W230" s="107"/>
      <c r="X230" s="107"/>
      <c r="Y230" s="108">
        <f>+V230*((X230*'1. Standard_Cost'!$B$19)+(W230*X230*'1. Standard_Cost'!$C$19))</f>
        <v>0</v>
      </c>
      <c r="Z230" s="107"/>
      <c r="AA230" s="107"/>
      <c r="AB230" s="108">
        <f>+Z230*'1. Standard_Cost'!$B$23+AA230*'1. Standard_Cost'!$C$23</f>
        <v>0</v>
      </c>
      <c r="AC230" s="109">
        <f>20*3500*3+20*500*3</f>
        <v>240000</v>
      </c>
      <c r="AD230" s="110"/>
      <c r="AE230" s="108">
        <f>SUM(AD230,AC230,AB230,Y230,U230,T230,S230,R230)*'1. Standard_Cost'!$B$31</f>
        <v>48000</v>
      </c>
      <c r="AF230" s="108">
        <f t="shared" si="214"/>
        <v>288000</v>
      </c>
      <c r="AG230" s="107"/>
      <c r="AH230" s="107"/>
      <c r="AI230" s="107"/>
      <c r="AJ230" s="111"/>
      <c r="AK230" s="111"/>
      <c r="AL230" s="111"/>
      <c r="AM230" s="108">
        <f>AG230*'1. Standard_Cost'!$B$27+'Incremental_Cost Year 3'!AH230*'1. Standard_Cost'!$C$27+'Incremental_Cost Year 3'!AI230*'1. Standard_Cost'!$D$27+'Incremental_Cost Year 3'!AJ230+'Incremental_Cost Year 3'!AL230+AK230</f>
        <v>0</v>
      </c>
      <c r="AN230" s="108">
        <f>AM230*'1. Standard_Cost'!$C$31</f>
        <v>0</v>
      </c>
      <c r="AO230" s="125" t="s">
        <v>432</v>
      </c>
      <c r="AQ230" s="14">
        <f t="shared" si="215"/>
        <v>94235.25</v>
      </c>
      <c r="AR230" s="14">
        <f t="shared" si="216"/>
        <v>288000</v>
      </c>
      <c r="AS230" s="14">
        <f t="shared" si="217"/>
        <v>0</v>
      </c>
      <c r="AT230" s="14">
        <f t="shared" si="219"/>
        <v>382235.25</v>
      </c>
      <c r="AU230" s="15">
        <v>94235.25</v>
      </c>
      <c r="AV230" s="15"/>
      <c r="AW230" s="15"/>
      <c r="AX230" s="15"/>
      <c r="AY230" s="15"/>
      <c r="AZ230" s="15"/>
      <c r="BA230" s="15"/>
      <c r="BB230" s="16">
        <f t="shared" si="218"/>
        <v>-288000</v>
      </c>
      <c r="BE230" s="295"/>
    </row>
    <row r="231" spans="1:57" ht="78" outlineLevel="2">
      <c r="A231" s="98"/>
      <c r="B231" s="102"/>
      <c r="C231" s="23"/>
      <c r="D231" s="269"/>
      <c r="E231" s="269"/>
      <c r="F231" s="269"/>
      <c r="G231" s="26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7</v>
      </c>
      <c r="AB231" s="108">
        <f>+Z231*'1. Standard_Cost'!$B$23+AA231*'1. Standard_Cost'!$C$23</f>
        <v>133000</v>
      </c>
      <c r="AC231" s="109"/>
      <c r="AD231" s="110"/>
      <c r="AE231" s="108">
        <f>SUM(AD231,AC231,AB231,Y231,U231,T231,S231,R231)*'1. Standard_Cost'!$B$31</f>
        <v>26600</v>
      </c>
      <c r="AF231" s="108">
        <f t="shared" si="214"/>
        <v>159600</v>
      </c>
      <c r="AG231" s="107"/>
      <c r="AH231" s="107"/>
      <c r="AI231" s="107"/>
      <c r="AJ231" s="111"/>
      <c r="AK231" s="111"/>
      <c r="AL231" s="111"/>
      <c r="AM231" s="108">
        <f>AG231*'1. Standard_Cost'!$B$27+'Incremental_Cost Year 3'!AH231*'1. Standard_Cost'!$C$27+'Incremental_Cost Year 3'!AI231*'1. Standard_Cost'!$D$27+'Incremental_Cost Year 3'!AJ231+'Incremental_Cost Year 3'!AL231+AK231</f>
        <v>0</v>
      </c>
      <c r="AN231" s="108">
        <f>AM231*'1. Standard_Cost'!$C$31</f>
        <v>0</v>
      </c>
      <c r="AO231" s="125" t="s">
        <v>433</v>
      </c>
      <c r="AQ231" s="14">
        <f t="shared" si="215"/>
        <v>0</v>
      </c>
      <c r="AR231" s="14">
        <f t="shared" si="216"/>
        <v>159600</v>
      </c>
      <c r="AS231" s="14">
        <f t="shared" si="217"/>
        <v>0</v>
      </c>
      <c r="AT231" s="14">
        <f t="shared" si="219"/>
        <v>159600</v>
      </c>
      <c r="AU231" s="15"/>
      <c r="AV231" s="15"/>
      <c r="AW231" s="15"/>
      <c r="AX231" s="15"/>
      <c r="AY231" s="15"/>
      <c r="AZ231" s="15"/>
      <c r="BA231" s="15"/>
      <c r="BB231" s="16">
        <f t="shared" si="218"/>
        <v>-159600</v>
      </c>
      <c r="BE231" s="295"/>
    </row>
    <row r="232" spans="1:57" ht="82.8" outlineLevel="1">
      <c r="A232" s="98"/>
      <c r="B232" s="102"/>
      <c r="C232" s="23"/>
      <c r="D232" s="31" t="s">
        <v>640</v>
      </c>
      <c r="E232" s="56" t="s">
        <v>259</v>
      </c>
      <c r="F232" s="253">
        <v>2021</v>
      </c>
      <c r="G232" s="254">
        <v>2026</v>
      </c>
      <c r="H232" s="277" t="s">
        <v>260</v>
      </c>
      <c r="I232" s="112"/>
      <c r="J232" s="112"/>
      <c r="K232" s="112"/>
      <c r="L232" s="113">
        <f>SUM(L225:L231)</f>
        <v>3474350</v>
      </c>
      <c r="M232" s="113">
        <f>SUM(M225:M231)</f>
        <v>580216.45000000007</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323000</v>
      </c>
      <c r="AC232" s="113">
        <f>SUM(AC225:AC231)</f>
        <v>520000</v>
      </c>
      <c r="AD232" s="113">
        <f>SUM(AD225:AD231)</f>
        <v>0</v>
      </c>
      <c r="AE232" s="113">
        <f>SUM(AE225:AE231)</f>
        <v>74600</v>
      </c>
      <c r="AF232" s="113">
        <f>SUM(AF225:AF231)</f>
        <v>917600</v>
      </c>
      <c r="AG232" s="112"/>
      <c r="AH232" s="112"/>
      <c r="AI232" s="112"/>
      <c r="AJ232" s="113">
        <f>SUM(AJ225:AJ231)</f>
        <v>0</v>
      </c>
      <c r="AK232" s="113">
        <f>SUM(AK225:AK231)</f>
        <v>0</v>
      </c>
      <c r="AL232" s="113">
        <f>SUM(AL225:AL231)</f>
        <v>0</v>
      </c>
      <c r="AM232" s="113">
        <f>SUM(AM225:AM231)</f>
        <v>900000</v>
      </c>
      <c r="AN232" s="113">
        <f>SUM(AN225:AN231)</f>
        <v>135000</v>
      </c>
      <c r="AO232" s="131"/>
      <c r="AP232" s="17"/>
      <c r="AQ232" s="113">
        <f t="shared" ref="AQ232:BB232" si="222">SUM(AQ225:AQ231)</f>
        <v>4054566.45</v>
      </c>
      <c r="AR232" s="113">
        <f t="shared" si="222"/>
        <v>917600</v>
      </c>
      <c r="AS232" s="113">
        <f t="shared" si="222"/>
        <v>1035000</v>
      </c>
      <c r="AT232" s="113">
        <f t="shared" si="222"/>
        <v>6007166.4500000002</v>
      </c>
      <c r="AU232" s="113">
        <f t="shared" si="222"/>
        <v>4054566.45</v>
      </c>
      <c r="AV232" s="113">
        <f t="shared" si="222"/>
        <v>0</v>
      </c>
      <c r="AW232" s="113">
        <f t="shared" si="222"/>
        <v>0</v>
      </c>
      <c r="AX232" s="113">
        <f t="shared" si="222"/>
        <v>1505000</v>
      </c>
      <c r="AY232" s="113">
        <f t="shared" si="222"/>
        <v>0</v>
      </c>
      <c r="AZ232" s="113">
        <f t="shared" si="222"/>
        <v>0</v>
      </c>
      <c r="BA232" s="113">
        <f t="shared" si="222"/>
        <v>0</v>
      </c>
      <c r="BB232" s="113">
        <f t="shared" si="222"/>
        <v>-447600</v>
      </c>
      <c r="BE232" s="295"/>
    </row>
    <row r="233" spans="1:57" ht="156" outlineLevel="2">
      <c r="A233" s="98"/>
      <c r="B233" s="102"/>
      <c r="C233" s="23"/>
      <c r="D233" s="257"/>
      <c r="E233" s="257"/>
      <c r="F233" s="257"/>
      <c r="G233" s="257"/>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223">SUM(AE233,AD233,AC233,AB233,Y233,U233,T233,S233,R233)</f>
        <v>0</v>
      </c>
      <c r="AG233" s="107"/>
      <c r="AH233" s="107"/>
      <c r="AI233" s="107"/>
      <c r="AJ233" s="111"/>
      <c r="AK233" s="111"/>
      <c r="AL233" s="111"/>
      <c r="AM233" s="108">
        <f>AG233*'1. Standard_Cost'!$B$27+'Incremental_Cost Year 3'!AH233*'1. Standard_Cost'!$C$27+'Incremental_Cost Year 3'!AI233*'1. Standard_Cost'!$D$27+'Incremental_Cost Year 3'!AJ233+'Incremental_Cost Year 3'!AL233+AK233</f>
        <v>0</v>
      </c>
      <c r="AN233" s="108">
        <f>AM233*'1. Standard_Cost'!$C$31</f>
        <v>0</v>
      </c>
      <c r="AO233" s="125" t="s">
        <v>434</v>
      </c>
      <c r="AQ233" s="14">
        <f t="shared" ref="AQ233:AQ235" si="224">L233+M233</f>
        <v>0</v>
      </c>
      <c r="AR233" s="14">
        <f t="shared" ref="AR233:AR235" si="225">AF233</f>
        <v>0</v>
      </c>
      <c r="AS233" s="14">
        <f t="shared" ref="AS233:AS235" si="226">AM233+AN233</f>
        <v>0</v>
      </c>
      <c r="AT233" s="14">
        <f>SUM(AQ233,AR233,AS233)</f>
        <v>0</v>
      </c>
      <c r="AU233" s="15"/>
      <c r="AV233" s="15"/>
      <c r="AW233" s="15"/>
      <c r="AX233" s="15"/>
      <c r="AY233" s="15"/>
      <c r="AZ233" s="15"/>
      <c r="BA233" s="15"/>
      <c r="BB233" s="16">
        <f t="shared" ref="BB233:BB235" si="227">SUM(AU233:BA233)-AT233</f>
        <v>0</v>
      </c>
      <c r="BE233" s="295"/>
    </row>
    <row r="234" spans="1:57" ht="62.4" outlineLevel="2">
      <c r="A234" s="98"/>
      <c r="B234" s="102"/>
      <c r="C234" s="23"/>
      <c r="D234" s="269"/>
      <c r="E234" s="269"/>
      <c r="F234" s="269"/>
      <c r="G234" s="26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223"/>
        <v>0</v>
      </c>
      <c r="AG234" s="107"/>
      <c r="AH234" s="107"/>
      <c r="AI234" s="107"/>
      <c r="AJ234" s="111"/>
      <c r="AK234" s="111"/>
      <c r="AL234" s="111"/>
      <c r="AM234" s="108">
        <f>AG234*'1. Standard_Cost'!$B$27+'Incremental_Cost Year 3'!AH234*'1. Standard_Cost'!$C$27+'Incremental_Cost Year 3'!AI234*'1. Standard_Cost'!$D$27+'Incremental_Cost Year 3'!AJ234+'Incremental_Cost Year 3'!AL234+AK234</f>
        <v>0</v>
      </c>
      <c r="AN234" s="108">
        <f>AM234*'1. Standard_Cost'!$C$31</f>
        <v>0</v>
      </c>
      <c r="AO234" s="125" t="s">
        <v>435</v>
      </c>
      <c r="AQ234" s="14">
        <f t="shared" si="224"/>
        <v>0</v>
      </c>
      <c r="AR234" s="14">
        <f t="shared" si="225"/>
        <v>0</v>
      </c>
      <c r="AS234" s="14">
        <f t="shared" si="226"/>
        <v>0</v>
      </c>
      <c r="AT234" s="14">
        <f t="shared" ref="AT234:AT235" si="228">SUM(AQ234,AR234,AS234)</f>
        <v>0</v>
      </c>
      <c r="AU234" s="15"/>
      <c r="AV234" s="15"/>
      <c r="AW234" s="15"/>
      <c r="AX234" s="15"/>
      <c r="AY234" s="15"/>
      <c r="AZ234" s="15"/>
      <c r="BA234" s="15"/>
      <c r="BB234" s="16">
        <f t="shared" si="227"/>
        <v>0</v>
      </c>
      <c r="BE234" s="295"/>
    </row>
    <row r="235" spans="1:57" ht="124.8" outlineLevel="2">
      <c r="A235" s="98"/>
      <c r="B235" s="102"/>
      <c r="C235" s="23"/>
      <c r="D235" s="269"/>
      <c r="E235" s="269"/>
      <c r="F235" s="269"/>
      <c r="G235" s="174"/>
      <c r="H235" s="302" t="s">
        <v>555</v>
      </c>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223"/>
        <v>0</v>
      </c>
      <c r="AG235" s="107"/>
      <c r="AH235" s="107"/>
      <c r="AI235" s="107"/>
      <c r="AJ235" s="111"/>
      <c r="AK235" s="111"/>
      <c r="AL235" s="111"/>
      <c r="AM235" s="108">
        <f>AG235*'1. Standard_Cost'!$B$27+'Incremental_Cost Year 3'!AH235*'1. Standard_Cost'!$C$27+'Incremental_Cost Year 3'!AI235*'1. Standard_Cost'!$D$27+'Incremental_Cost Year 3'!AJ235+'Incremental_Cost Year 3'!AL235+AK235</f>
        <v>0</v>
      </c>
      <c r="AN235" s="108">
        <f>AM235*'1. Standard_Cost'!$C$31</f>
        <v>0</v>
      </c>
      <c r="AO235" s="125" t="s">
        <v>436</v>
      </c>
      <c r="AQ235" s="14">
        <f t="shared" si="224"/>
        <v>0</v>
      </c>
      <c r="AR235" s="14">
        <f t="shared" si="225"/>
        <v>0</v>
      </c>
      <c r="AS235" s="14">
        <f t="shared" si="226"/>
        <v>0</v>
      </c>
      <c r="AT235" s="14">
        <f t="shared" si="228"/>
        <v>0</v>
      </c>
      <c r="AU235" s="15">
        <v>0</v>
      </c>
      <c r="AV235" s="15"/>
      <c r="AW235" s="15"/>
      <c r="AX235" s="15"/>
      <c r="AY235" s="15"/>
      <c r="AZ235" s="15"/>
      <c r="BA235" s="15"/>
      <c r="BB235" s="16">
        <f t="shared" si="227"/>
        <v>0</v>
      </c>
      <c r="BE235" s="295"/>
    </row>
    <row r="236" spans="1:57" ht="110.4" outlineLevel="1">
      <c r="A236" s="98"/>
      <c r="B236" s="102"/>
      <c r="C236" s="23"/>
      <c r="D236" s="347" t="s">
        <v>641</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29">SUM(AQ233:AQ235)</f>
        <v>0</v>
      </c>
      <c r="AR236" s="113">
        <f t="shared" si="229"/>
        <v>0</v>
      </c>
      <c r="AS236" s="113">
        <f t="shared" si="229"/>
        <v>0</v>
      </c>
      <c r="AT236" s="113">
        <f t="shared" si="229"/>
        <v>0</v>
      </c>
      <c r="AU236" s="113">
        <f t="shared" si="229"/>
        <v>0</v>
      </c>
      <c r="AV236" s="113">
        <f t="shared" si="229"/>
        <v>0</v>
      </c>
      <c r="AW236" s="113">
        <f t="shared" si="229"/>
        <v>0</v>
      </c>
      <c r="AX236" s="113">
        <f t="shared" si="229"/>
        <v>0</v>
      </c>
      <c r="AY236" s="113">
        <f t="shared" si="229"/>
        <v>0</v>
      </c>
      <c r="AZ236" s="113">
        <f t="shared" si="229"/>
        <v>0</v>
      </c>
      <c r="BA236" s="113">
        <f t="shared" si="229"/>
        <v>0</v>
      </c>
      <c r="BB236" s="113">
        <f t="shared" si="229"/>
        <v>0</v>
      </c>
      <c r="BE236" s="295"/>
    </row>
    <row r="237" spans="1:57"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30">SUM(AE237,AD237,AC237,AB237,Y237,U237,T237,S237,R237)</f>
        <v>0</v>
      </c>
      <c r="AG237" s="107"/>
      <c r="AH237" s="107"/>
      <c r="AI237" s="107"/>
      <c r="AJ237" s="111"/>
      <c r="AK237" s="111"/>
      <c r="AL237" s="111"/>
      <c r="AM237" s="108">
        <f>AG237*'1. Standard_Cost'!$B$27+'Incremental_Cost Year 3'!AH237*'1. Standard_Cost'!$C$27+'Incremental_Cost Year 3'!AI237*'1. Standard_Cost'!$D$27+'Incremental_Cost Year 3'!AJ237+'Incremental_Cost Year 3'!AL237+AK237</f>
        <v>0</v>
      </c>
      <c r="AN237" s="108">
        <f>AM237*'1. Standard_Cost'!$C$31</f>
        <v>0</v>
      </c>
      <c r="AO237" s="125" t="s">
        <v>437</v>
      </c>
      <c r="AQ237" s="14">
        <f t="shared" ref="AQ237:AQ241" si="231">L237+M237</f>
        <v>0</v>
      </c>
      <c r="AR237" s="14">
        <f t="shared" ref="AR237:AR241" si="232">AF237</f>
        <v>0</v>
      </c>
      <c r="AS237" s="14">
        <f t="shared" ref="AS237:AS241" si="233">AM237+AN237</f>
        <v>0</v>
      </c>
      <c r="AT237" s="14">
        <f>SUM(AQ237,AR237,AS237)</f>
        <v>0</v>
      </c>
      <c r="AU237" s="15"/>
      <c r="AV237" s="15"/>
      <c r="AW237" s="15"/>
      <c r="AX237" s="15"/>
      <c r="AY237" s="15"/>
      <c r="AZ237" s="15"/>
      <c r="BA237" s="15"/>
      <c r="BB237" s="16">
        <f t="shared" ref="BB237:BB241" si="234">SUM(AU237:BA237)-AT237</f>
        <v>0</v>
      </c>
      <c r="BE237" s="295"/>
    </row>
    <row r="238" spans="1:57" ht="46.8" outlineLevel="2">
      <c r="A238" s="98"/>
      <c r="B238" s="102"/>
      <c r="C238" s="23"/>
      <c r="D238" s="269"/>
      <c r="E238" s="269"/>
      <c r="F238" s="269"/>
      <c r="G238" s="26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30"/>
        <v>0</v>
      </c>
      <c r="AG238" s="107"/>
      <c r="AH238" s="107"/>
      <c r="AI238" s="107"/>
      <c r="AJ238" s="111"/>
      <c r="AK238" s="111"/>
      <c r="AL238" s="111"/>
      <c r="AM238" s="108">
        <f>AG238*'1. Standard_Cost'!$B$27+'Incremental_Cost Year 3'!AH238*'1. Standard_Cost'!$C$27+'Incremental_Cost Year 3'!AI238*'1. Standard_Cost'!$D$27+'Incremental_Cost Year 3'!AJ238+'Incremental_Cost Year 3'!AL238+AK238</f>
        <v>0</v>
      </c>
      <c r="AN238" s="108">
        <f>AM238*'1. Standard_Cost'!$C$31</f>
        <v>0</v>
      </c>
      <c r="AO238" s="125" t="s">
        <v>438</v>
      </c>
      <c r="AQ238" s="14">
        <f t="shared" si="231"/>
        <v>0</v>
      </c>
      <c r="AR238" s="14">
        <f t="shared" si="232"/>
        <v>0</v>
      </c>
      <c r="AS238" s="14">
        <f t="shared" si="233"/>
        <v>0</v>
      </c>
      <c r="AT238" s="14">
        <f t="shared" ref="AT238:AT241" si="235">SUM(AQ238,AR238,AS238)</f>
        <v>0</v>
      </c>
      <c r="AU238" s="15"/>
      <c r="AV238" s="15"/>
      <c r="AW238" s="15"/>
      <c r="AX238" s="15"/>
      <c r="AY238" s="15"/>
      <c r="AZ238" s="15"/>
      <c r="BA238" s="15"/>
      <c r="BB238" s="16">
        <f t="shared" si="234"/>
        <v>0</v>
      </c>
      <c r="BE238" s="295"/>
    </row>
    <row r="239" spans="1:57" ht="62.4" outlineLevel="2">
      <c r="A239" s="98"/>
      <c r="B239" s="102"/>
      <c r="C239" s="23"/>
      <c r="D239" s="269"/>
      <c r="E239" s="269"/>
      <c r="F239" s="269"/>
      <c r="G239" s="26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30"/>
        <v>0</v>
      </c>
      <c r="AG239" s="107"/>
      <c r="AH239" s="107"/>
      <c r="AI239" s="107"/>
      <c r="AJ239" s="111"/>
      <c r="AK239" s="111"/>
      <c r="AL239" s="111"/>
      <c r="AM239" s="108">
        <f>AG239*'1. Standard_Cost'!$B$27+'Incremental_Cost Year 3'!AH239*'1. Standard_Cost'!$C$27+'Incremental_Cost Year 3'!AI239*'1. Standard_Cost'!$D$27+'Incremental_Cost Year 3'!AJ239+'Incremental_Cost Year 3'!AL239+AK239</f>
        <v>0</v>
      </c>
      <c r="AN239" s="108">
        <f>AM239*'1. Standard_Cost'!$C$31</f>
        <v>0</v>
      </c>
      <c r="AO239" s="125" t="s">
        <v>439</v>
      </c>
      <c r="AQ239" s="14">
        <f t="shared" si="231"/>
        <v>0</v>
      </c>
      <c r="AR239" s="14">
        <f t="shared" si="232"/>
        <v>0</v>
      </c>
      <c r="AS239" s="14">
        <f t="shared" si="233"/>
        <v>0</v>
      </c>
      <c r="AT239" s="14">
        <f t="shared" si="235"/>
        <v>0</v>
      </c>
      <c r="AU239" s="15"/>
      <c r="AV239" s="15"/>
      <c r="AW239" s="15"/>
      <c r="AX239" s="15"/>
      <c r="AY239" s="15"/>
      <c r="AZ239" s="15"/>
      <c r="BA239" s="15"/>
      <c r="BB239" s="16">
        <f t="shared" si="234"/>
        <v>0</v>
      </c>
      <c r="BE239" s="295"/>
    </row>
    <row r="240" spans="1:57" ht="109.2" outlineLevel="2">
      <c r="A240" s="98"/>
      <c r="B240" s="102"/>
      <c r="C240" s="23"/>
      <c r="D240" s="269"/>
      <c r="E240" s="269"/>
      <c r="F240" s="269"/>
      <c r="G240" s="269"/>
      <c r="H240" s="302" t="s">
        <v>556</v>
      </c>
      <c r="I240" s="104" t="s">
        <v>4</v>
      </c>
      <c r="J240" s="105">
        <v>0.4</v>
      </c>
      <c r="K240" s="105">
        <v>4</v>
      </c>
      <c r="L240" s="106">
        <f>IF(I240&lt;&gt;0,((VLOOKUP(I240,'1. Standard_Cost'!$B$4:$D$11,2)+VLOOKUP(I240,'1. Standard_Cost'!$B$4:$D$11,3))*J240*K240),"0")</f>
        <v>129200</v>
      </c>
      <c r="M240" s="106">
        <f>L240*'1. Standard_Cost'!$F$4</f>
        <v>21576.400000000001</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c r="AB240" s="108">
        <f>+Z240*'1. Standard_Cost'!$B$23+AA240*'1. Standard_Cost'!$C$23</f>
        <v>0</v>
      </c>
      <c r="AC240" s="109">
        <f>20*300</f>
        <v>6000</v>
      </c>
      <c r="AD240" s="110"/>
      <c r="AE240" s="108">
        <f>SUM(AD240,AC240,AB240,Y240,U240,T240,S240,R240)*'1. Standard_Cost'!$B$31</f>
        <v>1200</v>
      </c>
      <c r="AF240" s="108">
        <f t="shared" si="230"/>
        <v>7200</v>
      </c>
      <c r="AG240" s="107"/>
      <c r="AH240" s="107"/>
      <c r="AI240" s="107"/>
      <c r="AJ240" s="111"/>
      <c r="AK240" s="111"/>
      <c r="AL240" s="111"/>
      <c r="AM240" s="108">
        <f>AG240*'1. Standard_Cost'!$B$27+'Incremental_Cost Year 3'!AH240*'1. Standard_Cost'!$C$27+'Incremental_Cost Year 3'!AI240*'1. Standard_Cost'!$D$27+'Incremental_Cost Year 3'!AJ240+'Incremental_Cost Year 3'!AL240+AK240</f>
        <v>0</v>
      </c>
      <c r="AN240" s="108">
        <f>AM240*'1. Standard_Cost'!$C$31</f>
        <v>0</v>
      </c>
      <c r="AO240" s="125" t="s">
        <v>440</v>
      </c>
      <c r="AQ240" s="14">
        <f t="shared" si="231"/>
        <v>150776.4</v>
      </c>
      <c r="AR240" s="14">
        <f t="shared" si="232"/>
        <v>7200</v>
      </c>
      <c r="AS240" s="14">
        <f t="shared" si="233"/>
        <v>0</v>
      </c>
      <c r="AT240" s="14">
        <f t="shared" si="235"/>
        <v>157976.4</v>
      </c>
      <c r="AU240" s="15">
        <v>157976.4</v>
      </c>
      <c r="AV240" s="15"/>
      <c r="AW240" s="15"/>
      <c r="AX240" s="15"/>
      <c r="AY240" s="15"/>
      <c r="AZ240" s="15"/>
      <c r="BA240" s="15"/>
      <c r="BB240" s="16">
        <f t="shared" si="234"/>
        <v>0</v>
      </c>
      <c r="BE240" s="295"/>
    </row>
    <row r="241" spans="1:57" ht="140.4" outlineLevel="2">
      <c r="A241" s="98"/>
      <c r="B241" s="102"/>
      <c r="C241" s="23"/>
      <c r="D241" s="269"/>
      <c r="E241" s="269"/>
      <c r="F241" s="269"/>
      <c r="G241" s="269"/>
      <c r="H241" s="302" t="s">
        <v>557</v>
      </c>
      <c r="I241" s="104" t="s">
        <v>4</v>
      </c>
      <c r="J241" s="105">
        <v>0.2</v>
      </c>
      <c r="K241" s="105">
        <v>1</v>
      </c>
      <c r="L241" s="106">
        <f>IF(I241&lt;&gt;0,((VLOOKUP(I241,'1. Standard_Cost'!$B$4:$D$11,2)+VLOOKUP(I241,'1. Standard_Cost'!$B$4:$D$11,3))*J241*K241),"0")</f>
        <v>16150</v>
      </c>
      <c r="M241" s="106">
        <f>L241*'1. Standard_Cost'!$F$4</f>
        <v>2697.05</v>
      </c>
      <c r="N241" s="107">
        <v>2</v>
      </c>
      <c r="O241" s="107">
        <v>2</v>
      </c>
      <c r="P241" s="107">
        <v>25</v>
      </c>
      <c r="Q241" s="107"/>
      <c r="R241" s="108">
        <v>0</v>
      </c>
      <c r="S241" s="108">
        <v>0</v>
      </c>
      <c r="T241" s="108">
        <f>N241*P241*Q241*'1. Standard_Cost'!$D$15</f>
        <v>0</v>
      </c>
      <c r="U241" s="108">
        <v>0</v>
      </c>
      <c r="V241" s="107"/>
      <c r="W241" s="107"/>
      <c r="X241" s="107"/>
      <c r="Y241" s="108">
        <f>+V241*((X241*'1. Standard_Cost'!$B$19)+(W241*X241*'1. Standard_Cost'!$C$19))</f>
        <v>0</v>
      </c>
      <c r="Z241" s="107"/>
      <c r="AA241" s="107">
        <v>5</v>
      </c>
      <c r="AB241" s="108">
        <f>+Z241*'1. Standard_Cost'!$B$23+AA241*'1. Standard_Cost'!$C$23</f>
        <v>95000</v>
      </c>
      <c r="AC241" s="109">
        <f>50*2*3500+50*2*400</f>
        <v>390000</v>
      </c>
      <c r="AD241" s="110"/>
      <c r="AE241" s="108">
        <f>SUM(AD241,AC241,AB241,Y241,U241,T241,S241,R241)*'1. Standard_Cost'!$B$31</f>
        <v>97000</v>
      </c>
      <c r="AF241" s="108">
        <f t="shared" si="230"/>
        <v>582000</v>
      </c>
      <c r="AG241" s="107"/>
      <c r="AH241" s="107"/>
      <c r="AI241" s="107"/>
      <c r="AJ241" s="111"/>
      <c r="AK241" s="111"/>
      <c r="AL241" s="111"/>
      <c r="AM241" s="108">
        <f>AG241*'1. Standard_Cost'!$B$27+'Incremental_Cost Year 3'!AH241*'1. Standard_Cost'!$C$27+'Incremental_Cost Year 3'!AI241*'1. Standard_Cost'!$D$27+'Incremental_Cost Year 3'!AJ241+'Incremental_Cost Year 3'!AL241+AK241</f>
        <v>0</v>
      </c>
      <c r="AN241" s="108">
        <f>AM241*'1. Standard_Cost'!$C$31</f>
        <v>0</v>
      </c>
      <c r="AO241" s="125" t="s">
        <v>441</v>
      </c>
      <c r="AQ241" s="14">
        <f t="shared" si="231"/>
        <v>18847.05</v>
      </c>
      <c r="AR241" s="14">
        <f t="shared" si="232"/>
        <v>582000</v>
      </c>
      <c r="AS241" s="14">
        <f t="shared" si="233"/>
        <v>0</v>
      </c>
      <c r="AT241" s="14">
        <f t="shared" si="235"/>
        <v>600847.05000000005</v>
      </c>
      <c r="AU241" s="15">
        <v>18847.05</v>
      </c>
      <c r="AV241" s="15"/>
      <c r="AW241" s="15"/>
      <c r="AX241" s="15"/>
      <c r="AY241" s="15"/>
      <c r="AZ241" s="15"/>
      <c r="BA241" s="15"/>
      <c r="BB241" s="16">
        <f t="shared" si="234"/>
        <v>-582000</v>
      </c>
      <c r="BE241" s="295"/>
    </row>
    <row r="242" spans="1:57" ht="69" outlineLevel="1">
      <c r="A242" s="98"/>
      <c r="B242" s="102"/>
      <c r="C242" s="23"/>
      <c r="D242" s="56" t="s">
        <v>713</v>
      </c>
      <c r="E242" s="56" t="s">
        <v>265</v>
      </c>
      <c r="F242" s="253">
        <v>2021</v>
      </c>
      <c r="G242" s="254">
        <v>2026</v>
      </c>
      <c r="H242" s="277" t="s">
        <v>269</v>
      </c>
      <c r="I242" s="112"/>
      <c r="J242" s="112"/>
      <c r="K242" s="112"/>
      <c r="L242" s="113">
        <f>SUM(L237:L241)</f>
        <v>145350</v>
      </c>
      <c r="M242" s="113">
        <f>SUM(M237:M241)</f>
        <v>24273.45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95000</v>
      </c>
      <c r="AC242" s="113">
        <f>SUM(AC237:AC241)</f>
        <v>396000</v>
      </c>
      <c r="AD242" s="113">
        <f>SUM(AD237:AD241)</f>
        <v>0</v>
      </c>
      <c r="AE242" s="113">
        <f>SUM(AE237:AE241)</f>
        <v>98200</v>
      </c>
      <c r="AF242" s="113">
        <f>SUM(AF237:AF241)</f>
        <v>589200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36">SUM(AQ237:AQ241)</f>
        <v>169623.44999999998</v>
      </c>
      <c r="AR242" s="113">
        <f t="shared" si="236"/>
        <v>589200</v>
      </c>
      <c r="AS242" s="113">
        <f t="shared" si="236"/>
        <v>0</v>
      </c>
      <c r="AT242" s="113">
        <f t="shared" si="236"/>
        <v>758823.45000000007</v>
      </c>
      <c r="AU242" s="113">
        <f t="shared" si="236"/>
        <v>176823.44999999998</v>
      </c>
      <c r="AV242" s="113">
        <f t="shared" si="236"/>
        <v>0</v>
      </c>
      <c r="AW242" s="113">
        <f t="shared" si="236"/>
        <v>0</v>
      </c>
      <c r="AX242" s="113">
        <f t="shared" si="236"/>
        <v>0</v>
      </c>
      <c r="AY242" s="113">
        <f t="shared" si="236"/>
        <v>0</v>
      </c>
      <c r="AZ242" s="113">
        <f t="shared" si="236"/>
        <v>0</v>
      </c>
      <c r="BA242" s="113">
        <f t="shared" si="236"/>
        <v>0</v>
      </c>
      <c r="BB242" s="113">
        <f t="shared" si="236"/>
        <v>-582000</v>
      </c>
      <c r="BE242" s="295"/>
    </row>
  </sheetData>
  <mergeCells count="17">
    <mergeCell ref="B223:E223"/>
    <mergeCell ref="C224:E224"/>
    <mergeCell ref="AQ2:BB2"/>
    <mergeCell ref="C80:E80"/>
    <mergeCell ref="B92:E92"/>
    <mergeCell ref="C93:E93"/>
    <mergeCell ref="C143:E143"/>
    <mergeCell ref="B31:E31"/>
    <mergeCell ref="C32:E32"/>
    <mergeCell ref="C40:E40"/>
    <mergeCell ref="C179:E179"/>
    <mergeCell ref="C202:E202"/>
    <mergeCell ref="B1:L1"/>
    <mergeCell ref="B2:E2"/>
    <mergeCell ref="B3:E3"/>
    <mergeCell ref="B5:E5"/>
    <mergeCell ref="C6:E6"/>
  </mergeCells>
  <conditionalFormatting sqref="BB243:BB286 BB288:BB291 BB293:BB302 BB305:BB308 BB33 BB81:BB82 BB94:BB100 BB7:BB10 BB26:BB29 BB24 BB36:BB38 BB85:BB90 BB16:BB20 BA17 BB60:BB78 BB183:BB185 BB144:BB146 BB154:BB160 BB162:BB167">
    <cfRule type="cellIs" dxfId="1405" priority="175" operator="lessThan">
      <formula>0</formula>
    </cfRule>
    <cfRule type="cellIs" dxfId="1404" priority="176" operator="lessThan">
      <formula>-105575</formula>
    </cfRule>
  </conditionalFormatting>
  <conditionalFormatting sqref="BB311:BB314 BB316:BB320">
    <cfRule type="cellIs" dxfId="1403" priority="173" operator="lessThan">
      <formula>0</formula>
    </cfRule>
    <cfRule type="cellIs" dxfId="1402" priority="174" operator="lessThan">
      <formula>-105575</formula>
    </cfRule>
  </conditionalFormatting>
  <conditionalFormatting sqref="BB321:BB325">
    <cfRule type="cellIs" dxfId="1401" priority="171" operator="lessThan">
      <formula>0</formula>
    </cfRule>
    <cfRule type="cellIs" dxfId="1400" priority="172" operator="lessThan">
      <formula>-105575</formula>
    </cfRule>
  </conditionalFormatting>
  <conditionalFormatting sqref="BB326:BB330">
    <cfRule type="cellIs" dxfId="1399" priority="169" operator="lessThan">
      <formula>0</formula>
    </cfRule>
    <cfRule type="cellIs" dxfId="1398" priority="170" operator="lessThan">
      <formula>-105575</formula>
    </cfRule>
  </conditionalFormatting>
  <conditionalFormatting sqref="BB332:BB335 BB337:BB341">
    <cfRule type="cellIs" dxfId="1397" priority="167" operator="lessThan">
      <formula>0</formula>
    </cfRule>
    <cfRule type="cellIs" dxfId="1396" priority="168" operator="lessThan">
      <formula>-105575</formula>
    </cfRule>
  </conditionalFormatting>
  <conditionalFormatting sqref="BB342:BB346">
    <cfRule type="cellIs" dxfId="1395" priority="165" operator="lessThan">
      <formula>0</formula>
    </cfRule>
    <cfRule type="cellIs" dxfId="1394" priority="166" operator="lessThan">
      <formula>-105575</formula>
    </cfRule>
  </conditionalFormatting>
  <conditionalFormatting sqref="BB347:BB351">
    <cfRule type="cellIs" dxfId="1393" priority="163" operator="lessThan">
      <formula>0</formula>
    </cfRule>
    <cfRule type="cellIs" dxfId="1392" priority="164" operator="lessThan">
      <formula>-105575</formula>
    </cfRule>
  </conditionalFormatting>
  <conditionalFormatting sqref="BB353:BB356 BB358:BB362">
    <cfRule type="cellIs" dxfId="1391" priority="161" operator="lessThan">
      <formula>0</formula>
    </cfRule>
    <cfRule type="cellIs" dxfId="1390" priority="162" operator="lessThan">
      <formula>-105575</formula>
    </cfRule>
  </conditionalFormatting>
  <conditionalFormatting sqref="BB363:BB367">
    <cfRule type="cellIs" dxfId="1389" priority="159" operator="lessThan">
      <formula>0</formula>
    </cfRule>
    <cfRule type="cellIs" dxfId="1388" priority="160" operator="lessThan">
      <formula>-105575</formula>
    </cfRule>
  </conditionalFormatting>
  <conditionalFormatting sqref="BB370:BB373 BB375:BB379">
    <cfRule type="cellIs" dxfId="1387" priority="157" operator="lessThan">
      <formula>0</formula>
    </cfRule>
    <cfRule type="cellIs" dxfId="1386" priority="158" operator="lessThan">
      <formula>-105575</formula>
    </cfRule>
  </conditionalFormatting>
  <conditionalFormatting sqref="BB381:BB384">
    <cfRule type="cellIs" dxfId="1385" priority="155" operator="lessThan">
      <formula>0</formula>
    </cfRule>
    <cfRule type="cellIs" dxfId="1384" priority="156" operator="lessThan">
      <formula>-105575</formula>
    </cfRule>
  </conditionalFormatting>
  <conditionalFormatting sqref="BB381:BB384 BB386:BB390">
    <cfRule type="cellIs" dxfId="1383" priority="153" operator="lessThan">
      <formula>0</formula>
    </cfRule>
    <cfRule type="cellIs" dxfId="1382" priority="154" operator="lessThan">
      <formula>-105575</formula>
    </cfRule>
  </conditionalFormatting>
  <conditionalFormatting sqref="BB391:BB395">
    <cfRule type="cellIs" dxfId="1381" priority="151" operator="lessThan">
      <formula>0</formula>
    </cfRule>
    <cfRule type="cellIs" dxfId="1380" priority="152" operator="lessThan">
      <formula>-105575</formula>
    </cfRule>
  </conditionalFormatting>
  <conditionalFormatting sqref="BB396:BB400">
    <cfRule type="cellIs" dxfId="1379" priority="149" operator="lessThan">
      <formula>0</formula>
    </cfRule>
    <cfRule type="cellIs" dxfId="1378" priority="150" operator="lessThan">
      <formula>-105575</formula>
    </cfRule>
  </conditionalFormatting>
  <conditionalFormatting sqref="BB401:BB405">
    <cfRule type="cellIs" dxfId="1377" priority="147" operator="lessThan">
      <formula>0</formula>
    </cfRule>
    <cfRule type="cellIs" dxfId="1376" priority="148" operator="lessThan">
      <formula>-105575</formula>
    </cfRule>
  </conditionalFormatting>
  <conditionalFormatting sqref="BB406:BB410">
    <cfRule type="cellIs" dxfId="1375" priority="145" operator="lessThan">
      <formula>0</formula>
    </cfRule>
    <cfRule type="cellIs" dxfId="1374" priority="146" operator="lessThan">
      <formula>-105575</formula>
    </cfRule>
  </conditionalFormatting>
  <conditionalFormatting sqref="BB412:BB415">
    <cfRule type="cellIs" dxfId="1373" priority="143" operator="lessThan">
      <formula>0</formula>
    </cfRule>
    <cfRule type="cellIs" dxfId="1372" priority="144" operator="lessThan">
      <formula>-105575</formula>
    </cfRule>
  </conditionalFormatting>
  <conditionalFormatting sqref="BB412:BB415">
    <cfRule type="cellIs" dxfId="1371" priority="141" operator="lessThan">
      <formula>0</formula>
    </cfRule>
    <cfRule type="cellIs" dxfId="1370" priority="142" operator="lessThan">
      <formula>-105575</formula>
    </cfRule>
  </conditionalFormatting>
  <conditionalFormatting sqref="BB418:BB421">
    <cfRule type="cellIs" dxfId="1369" priority="139" operator="lessThan">
      <formula>0</formula>
    </cfRule>
    <cfRule type="cellIs" dxfId="1368" priority="140" operator="lessThan">
      <formula>-105575</formula>
    </cfRule>
  </conditionalFormatting>
  <conditionalFormatting sqref="BB418:BB421 BB423:BB427">
    <cfRule type="cellIs" dxfId="1367" priority="137" operator="lessThan">
      <formula>0</formula>
    </cfRule>
    <cfRule type="cellIs" dxfId="1366" priority="138" operator="lessThan">
      <formula>-105575</formula>
    </cfRule>
  </conditionalFormatting>
  <conditionalFormatting sqref="BB428:BB432">
    <cfRule type="cellIs" dxfId="1365" priority="135" operator="lessThan">
      <formula>0</formula>
    </cfRule>
    <cfRule type="cellIs" dxfId="1364" priority="136" operator="lessThan">
      <formula>-105575</formula>
    </cfRule>
  </conditionalFormatting>
  <conditionalFormatting sqref="BB433:BB437">
    <cfRule type="cellIs" dxfId="1363" priority="133" operator="lessThan">
      <formula>0</formula>
    </cfRule>
    <cfRule type="cellIs" dxfId="1362" priority="134" operator="lessThan">
      <formula>-105575</formula>
    </cfRule>
  </conditionalFormatting>
  <conditionalFormatting sqref="BB439:BB442">
    <cfRule type="cellIs" dxfId="1361" priority="131" operator="lessThan">
      <formula>0</formula>
    </cfRule>
    <cfRule type="cellIs" dxfId="1360" priority="132" operator="lessThan">
      <formula>-105575</formula>
    </cfRule>
  </conditionalFormatting>
  <conditionalFormatting sqref="BB439:BB442 BB444:BB448">
    <cfRule type="cellIs" dxfId="1359" priority="129" operator="lessThan">
      <formula>0</formula>
    </cfRule>
    <cfRule type="cellIs" dxfId="1358" priority="130" operator="lessThan">
      <formula>-105575</formula>
    </cfRule>
  </conditionalFormatting>
  <conditionalFormatting sqref="BB449:BB453">
    <cfRule type="cellIs" dxfId="1357" priority="127" operator="lessThan">
      <formula>0</formula>
    </cfRule>
    <cfRule type="cellIs" dxfId="1356" priority="128" operator="lessThan">
      <formula>-105575</formula>
    </cfRule>
  </conditionalFormatting>
  <conditionalFormatting sqref="BB454:BB458">
    <cfRule type="cellIs" dxfId="1355" priority="125" operator="lessThan">
      <formula>0</formula>
    </cfRule>
    <cfRule type="cellIs" dxfId="1354" priority="126" operator="lessThan">
      <formula>-105575</formula>
    </cfRule>
  </conditionalFormatting>
  <conditionalFormatting sqref="BB460:BB463">
    <cfRule type="cellIs" dxfId="1353" priority="123" operator="lessThan">
      <formula>0</formula>
    </cfRule>
    <cfRule type="cellIs" dxfId="1352" priority="124" operator="lessThan">
      <formula>-105575</formula>
    </cfRule>
  </conditionalFormatting>
  <conditionalFormatting sqref="BB460:BB463 BB465:BB469">
    <cfRule type="cellIs" dxfId="1351" priority="121" operator="lessThan">
      <formula>0</formula>
    </cfRule>
    <cfRule type="cellIs" dxfId="1350" priority="122" operator="lessThan">
      <formula>-105575</formula>
    </cfRule>
  </conditionalFormatting>
  <conditionalFormatting sqref="BB470:BB474">
    <cfRule type="cellIs" dxfId="1349" priority="119" operator="lessThan">
      <formula>0</formula>
    </cfRule>
    <cfRule type="cellIs" dxfId="1348" priority="120" operator="lessThan">
      <formula>-105575</formula>
    </cfRule>
  </conditionalFormatting>
  <conditionalFormatting sqref="BB475:BB479">
    <cfRule type="cellIs" dxfId="1347" priority="117" operator="lessThan">
      <formula>0</formula>
    </cfRule>
    <cfRule type="cellIs" dxfId="1346" priority="118" operator="lessThan">
      <formula>-105575</formula>
    </cfRule>
  </conditionalFormatting>
  <conditionalFormatting sqref="BB481:BB484">
    <cfRule type="cellIs" dxfId="1345" priority="115" operator="lessThan">
      <formula>0</formula>
    </cfRule>
    <cfRule type="cellIs" dxfId="1344" priority="116" operator="lessThan">
      <formula>-105575</formula>
    </cfRule>
  </conditionalFormatting>
  <conditionalFormatting sqref="BB481:BB484 BB486:BB490">
    <cfRule type="cellIs" dxfId="1343" priority="113" operator="lessThan">
      <formula>0</formula>
    </cfRule>
    <cfRule type="cellIs" dxfId="1342" priority="114" operator="lessThan">
      <formula>-105575</formula>
    </cfRule>
  </conditionalFormatting>
  <conditionalFormatting sqref="BB491:BB495">
    <cfRule type="cellIs" dxfId="1341" priority="111" operator="lessThan">
      <formula>0</formula>
    </cfRule>
    <cfRule type="cellIs" dxfId="1340" priority="112" operator="lessThan">
      <formula>-105575</formula>
    </cfRule>
  </conditionalFormatting>
  <conditionalFormatting sqref="BB144:BB146 BB154:BB160 BB162:BB167">
    <cfRule type="cellIs" dxfId="1339" priority="109" operator="lessThan">
      <formula>0</formula>
    </cfRule>
    <cfRule type="cellIs" dxfId="1338" priority="110" operator="lessThan">
      <formula>-105575</formula>
    </cfRule>
  </conditionalFormatting>
  <conditionalFormatting sqref="BB163:BB164">
    <cfRule type="cellIs" dxfId="1337" priority="107" operator="lessThan">
      <formula>0</formula>
    </cfRule>
    <cfRule type="cellIs" dxfId="1336" priority="108" operator="lessThan">
      <formula>-105575</formula>
    </cfRule>
  </conditionalFormatting>
  <conditionalFormatting sqref="BB34:BB35">
    <cfRule type="cellIs" dxfId="1335" priority="97" operator="lessThan">
      <formula>0</formula>
    </cfRule>
    <cfRule type="cellIs" dxfId="1334" priority="98" operator="lessThan">
      <formula>-105575</formula>
    </cfRule>
  </conditionalFormatting>
  <conditionalFormatting sqref="BB41 BB56:BB58">
    <cfRule type="cellIs" dxfId="1333" priority="95" operator="lessThan">
      <formula>0</formula>
    </cfRule>
    <cfRule type="cellIs" dxfId="1332" priority="96" operator="lessThan">
      <formula>-105575</formula>
    </cfRule>
  </conditionalFormatting>
  <conditionalFormatting sqref="BB14">
    <cfRule type="cellIs" dxfId="1331" priority="105" operator="lessThan">
      <formula>0</formula>
    </cfRule>
    <cfRule type="cellIs" dxfId="1330" priority="106" operator="lessThan">
      <formula>-105575</formula>
    </cfRule>
  </conditionalFormatting>
  <conditionalFormatting sqref="BB11">
    <cfRule type="cellIs" dxfId="1329" priority="103" operator="lessThan">
      <formula>0</formula>
    </cfRule>
    <cfRule type="cellIs" dxfId="1328" priority="104" operator="lessThan">
      <formula>-105575</formula>
    </cfRule>
  </conditionalFormatting>
  <conditionalFormatting sqref="BB54:BB55">
    <cfRule type="cellIs" dxfId="1327" priority="93" operator="lessThan">
      <formula>0</formula>
    </cfRule>
    <cfRule type="cellIs" dxfId="1326" priority="94" operator="lessThan">
      <formula>-105575</formula>
    </cfRule>
  </conditionalFormatting>
  <conditionalFormatting sqref="BB21 BB23">
    <cfRule type="cellIs" dxfId="1325" priority="101" operator="lessThan">
      <formula>0</formula>
    </cfRule>
    <cfRule type="cellIs" dxfId="1324" priority="102" operator="lessThan">
      <formula>-105575</formula>
    </cfRule>
  </conditionalFormatting>
  <conditionalFormatting sqref="BB22">
    <cfRule type="cellIs" dxfId="1323" priority="99" operator="lessThan">
      <formula>0</formula>
    </cfRule>
    <cfRule type="cellIs" dxfId="1322" priority="100" operator="lessThan">
      <formula>-105575</formula>
    </cfRule>
  </conditionalFormatting>
  <conditionalFormatting sqref="BB52:BB53">
    <cfRule type="cellIs" dxfId="1321" priority="91" operator="lessThan">
      <formula>0</formula>
    </cfRule>
    <cfRule type="cellIs" dxfId="1320" priority="92" operator="lessThan">
      <formula>-105575</formula>
    </cfRule>
  </conditionalFormatting>
  <conditionalFormatting sqref="BB50:BB51">
    <cfRule type="cellIs" dxfId="1319" priority="89" operator="lessThan">
      <formula>0</formula>
    </cfRule>
    <cfRule type="cellIs" dxfId="1318" priority="90" operator="lessThan">
      <formula>-105575</formula>
    </cfRule>
  </conditionalFormatting>
  <conditionalFormatting sqref="BB49">
    <cfRule type="cellIs" dxfId="1317" priority="87" operator="lessThan">
      <formula>0</formula>
    </cfRule>
    <cfRule type="cellIs" dxfId="1316" priority="88" operator="lessThan">
      <formula>-105575</formula>
    </cfRule>
  </conditionalFormatting>
  <conditionalFormatting sqref="BB47:BB48">
    <cfRule type="cellIs" dxfId="1315" priority="85" operator="lessThan">
      <formula>0</formula>
    </cfRule>
    <cfRule type="cellIs" dxfId="1314" priority="86" operator="lessThan">
      <formula>-105575</formula>
    </cfRule>
  </conditionalFormatting>
  <conditionalFormatting sqref="BB45:BB46">
    <cfRule type="cellIs" dxfId="1313" priority="83" operator="lessThan">
      <formula>0</formula>
    </cfRule>
    <cfRule type="cellIs" dxfId="1312" priority="84" operator="lessThan">
      <formula>-105575</formula>
    </cfRule>
  </conditionalFormatting>
  <conditionalFormatting sqref="BB42 BB44">
    <cfRule type="cellIs" dxfId="1311" priority="81" operator="lessThan">
      <formula>0</formula>
    </cfRule>
    <cfRule type="cellIs" dxfId="1310" priority="82" operator="lessThan">
      <formula>-105575</formula>
    </cfRule>
  </conditionalFormatting>
  <conditionalFormatting sqref="BB43">
    <cfRule type="cellIs" dxfId="1309" priority="79" operator="lessThan">
      <formula>0</formula>
    </cfRule>
    <cfRule type="cellIs" dxfId="1308" priority="80" operator="lessThan">
      <formula>-105575</formula>
    </cfRule>
  </conditionalFormatting>
  <conditionalFormatting sqref="BB83:BB84">
    <cfRule type="cellIs" dxfId="1307" priority="77" operator="lessThan">
      <formula>0</formula>
    </cfRule>
    <cfRule type="cellIs" dxfId="1306" priority="78" operator="lessThan">
      <formula>-105575</formula>
    </cfRule>
  </conditionalFormatting>
  <conditionalFormatting sqref="BB102:BB106 BB111:BB112">
    <cfRule type="cellIs" dxfId="1305" priority="75" operator="lessThan">
      <formula>0</formula>
    </cfRule>
    <cfRule type="cellIs" dxfId="1304" priority="76" operator="lessThan">
      <formula>-105575</formula>
    </cfRule>
  </conditionalFormatting>
  <conditionalFormatting sqref="BB114 BB134:BB135 BB125:BB128">
    <cfRule type="cellIs" dxfId="1303" priority="71" operator="lessThan">
      <formula>0</formula>
    </cfRule>
    <cfRule type="cellIs" dxfId="1302" priority="72" operator="lessThan">
      <formula>-105575</formula>
    </cfRule>
  </conditionalFormatting>
  <conditionalFormatting sqref="BB107:BB110">
    <cfRule type="cellIs" dxfId="1301" priority="73" operator="lessThan">
      <formula>0</formula>
    </cfRule>
    <cfRule type="cellIs" dxfId="1300" priority="74" operator="lessThan">
      <formula>-105575</formula>
    </cfRule>
  </conditionalFormatting>
  <conditionalFormatting sqref="BB123:BB124 BB115:BB118">
    <cfRule type="cellIs" dxfId="1299" priority="67" operator="lessThan">
      <formula>0</formula>
    </cfRule>
    <cfRule type="cellIs" dxfId="1298" priority="68" operator="lessThan">
      <formula>-105575</formula>
    </cfRule>
  </conditionalFormatting>
  <conditionalFormatting sqref="BB129:BB133">
    <cfRule type="cellIs" dxfId="1297" priority="69" operator="lessThan">
      <formula>0</formula>
    </cfRule>
    <cfRule type="cellIs" dxfId="1296" priority="70" operator="lessThan">
      <formula>-105575</formula>
    </cfRule>
  </conditionalFormatting>
  <conditionalFormatting sqref="BB119:BB122">
    <cfRule type="cellIs" dxfId="1295" priority="65" operator="lessThan">
      <formula>0</formula>
    </cfRule>
    <cfRule type="cellIs" dxfId="1294" priority="66" operator="lessThan">
      <formula>-105575</formula>
    </cfRule>
  </conditionalFormatting>
  <conditionalFormatting sqref="BB137:BB138">
    <cfRule type="cellIs" dxfId="1293" priority="63" operator="lessThan">
      <formula>0</formula>
    </cfRule>
    <cfRule type="cellIs" dxfId="1292" priority="64" operator="lessThan">
      <formula>-105575</formula>
    </cfRule>
  </conditionalFormatting>
  <conditionalFormatting sqref="BB147:BB153">
    <cfRule type="cellIs" dxfId="1291" priority="59" operator="lessThan">
      <formula>0</formula>
    </cfRule>
    <cfRule type="cellIs" dxfId="1290" priority="60" operator="lessThan">
      <formula>-105575</formula>
    </cfRule>
  </conditionalFormatting>
  <conditionalFormatting sqref="BB140:BB141">
    <cfRule type="cellIs" dxfId="1289" priority="61" operator="lessThan">
      <formula>0</formula>
    </cfRule>
    <cfRule type="cellIs" dxfId="1288" priority="62" operator="lessThan">
      <formula>-105575</formula>
    </cfRule>
  </conditionalFormatting>
  <conditionalFormatting sqref="BB161">
    <cfRule type="cellIs" dxfId="1287" priority="55" operator="lessThan">
      <formula>0</formula>
    </cfRule>
    <cfRule type="cellIs" dxfId="1286" priority="56" operator="lessThan">
      <formula>-105575</formula>
    </cfRule>
  </conditionalFormatting>
  <conditionalFormatting sqref="BB147:BB153">
    <cfRule type="cellIs" dxfId="1285" priority="57" operator="lessThan">
      <formula>0</formula>
    </cfRule>
    <cfRule type="cellIs" dxfId="1284" priority="58" operator="lessThan">
      <formula>-105575</formula>
    </cfRule>
  </conditionalFormatting>
  <conditionalFormatting sqref="BB193:BB198">
    <cfRule type="cellIs" dxfId="1283" priority="35" operator="lessThan">
      <formula>0</formula>
    </cfRule>
    <cfRule type="cellIs" dxfId="1282" priority="36" operator="lessThan">
      <formula>-105575</formula>
    </cfRule>
  </conditionalFormatting>
  <conditionalFormatting sqref="BB161">
    <cfRule type="cellIs" dxfId="1281" priority="53" operator="lessThan">
      <formula>0</formula>
    </cfRule>
    <cfRule type="cellIs" dxfId="1280" priority="54" operator="lessThan">
      <formula>-105575</formula>
    </cfRule>
  </conditionalFormatting>
  <conditionalFormatting sqref="BB169 BB175:BB177">
    <cfRule type="cellIs" dxfId="1279" priority="51" operator="lessThan">
      <formula>0</formula>
    </cfRule>
    <cfRule type="cellIs" dxfId="1278" priority="52" operator="lessThan">
      <formula>-105575</formula>
    </cfRule>
  </conditionalFormatting>
  <conditionalFormatting sqref="BB169 BB175:BB177">
    <cfRule type="cellIs" dxfId="1277" priority="49" operator="lessThan">
      <formula>0</formula>
    </cfRule>
    <cfRule type="cellIs" dxfId="1276" priority="50" operator="lessThan">
      <formula>-105575</formula>
    </cfRule>
  </conditionalFormatting>
  <conditionalFormatting sqref="BB170:BB174">
    <cfRule type="cellIs" dxfId="1275" priority="47" operator="lessThan">
      <formula>0</formula>
    </cfRule>
    <cfRule type="cellIs" dxfId="1274" priority="48" operator="lessThan">
      <formula>-105575</formula>
    </cfRule>
  </conditionalFormatting>
  <conditionalFormatting sqref="BB182">
    <cfRule type="cellIs" dxfId="1273" priority="31" operator="lessThan">
      <formula>0</formula>
    </cfRule>
    <cfRule type="cellIs" dxfId="1272" priority="32" operator="lessThan">
      <formula>-105575</formula>
    </cfRule>
  </conditionalFormatting>
  <conditionalFormatting sqref="BB170:BB174">
    <cfRule type="cellIs" dxfId="1271" priority="45" operator="lessThan">
      <formula>0</formula>
    </cfRule>
    <cfRule type="cellIs" dxfId="1270" priority="46" operator="lessThan">
      <formula>-105575</formula>
    </cfRule>
  </conditionalFormatting>
  <conditionalFormatting sqref="BB193:BB198">
    <cfRule type="cellIs" dxfId="1269" priority="33" operator="lessThan">
      <formula>0</formula>
    </cfRule>
    <cfRule type="cellIs" dxfId="1268" priority="34" operator="lessThan">
      <formula>-105575</formula>
    </cfRule>
  </conditionalFormatting>
  <conditionalFormatting sqref="BB180 BB186:BB192 BB199:BB200">
    <cfRule type="cellIs" dxfId="1267" priority="43" operator="lessThan">
      <formula>0</formula>
    </cfRule>
    <cfRule type="cellIs" dxfId="1266" priority="44" operator="lessThan">
      <formula>-105575</formula>
    </cfRule>
  </conditionalFormatting>
  <conditionalFormatting sqref="BB180 BB186:BB192 BB199:BB200">
    <cfRule type="cellIs" dxfId="1265" priority="41" operator="lessThan">
      <formula>0</formula>
    </cfRule>
    <cfRule type="cellIs" dxfId="1264" priority="42" operator="lessThan">
      <formula>-105575</formula>
    </cfRule>
  </conditionalFormatting>
  <conditionalFormatting sqref="BB181">
    <cfRule type="cellIs" dxfId="1263" priority="37" operator="lessThan">
      <formula>0</formula>
    </cfRule>
    <cfRule type="cellIs" dxfId="1262" priority="38" operator="lessThan">
      <formula>-105575</formula>
    </cfRule>
  </conditionalFormatting>
  <conditionalFormatting sqref="BB181">
    <cfRule type="cellIs" dxfId="1261" priority="39" operator="lessThan">
      <formula>0</formula>
    </cfRule>
    <cfRule type="cellIs" dxfId="1260" priority="40" operator="lessThan">
      <formula>-105575</formula>
    </cfRule>
  </conditionalFormatting>
  <conditionalFormatting sqref="BB182">
    <cfRule type="cellIs" dxfId="1259" priority="29" operator="lessThan">
      <formula>0</formula>
    </cfRule>
    <cfRule type="cellIs" dxfId="1258" priority="30" operator="lessThan">
      <formula>-105575</formula>
    </cfRule>
  </conditionalFormatting>
  <conditionalFormatting sqref="BB218">
    <cfRule type="cellIs" dxfId="1257" priority="17" operator="lessThan">
      <formula>0</formula>
    </cfRule>
    <cfRule type="cellIs" dxfId="1256" priority="18" operator="lessThan">
      <formula>-105575</formula>
    </cfRule>
  </conditionalFormatting>
  <conditionalFormatting sqref="BB220:BB221">
    <cfRule type="cellIs" dxfId="1255" priority="23" operator="lessThan">
      <formula>0</formula>
    </cfRule>
    <cfRule type="cellIs" dxfId="1254" priority="24" operator="lessThan">
      <formula>-105575</formula>
    </cfRule>
  </conditionalFormatting>
  <conditionalFormatting sqref="BB218">
    <cfRule type="cellIs" dxfId="1253" priority="15" operator="lessThan">
      <formula>0</formula>
    </cfRule>
    <cfRule type="cellIs" dxfId="1252" priority="16" operator="lessThan">
      <formula>-105575</formula>
    </cfRule>
  </conditionalFormatting>
  <conditionalFormatting sqref="BB203 BB219:BB221 BB210:BB217">
    <cfRule type="cellIs" dxfId="1251" priority="27" operator="lessThan">
      <formula>0</formula>
    </cfRule>
    <cfRule type="cellIs" dxfId="1250" priority="28" operator="lessThan">
      <formula>-105575</formula>
    </cfRule>
  </conditionalFormatting>
  <conditionalFormatting sqref="BB203 BB219:BB221 BB210:BB217">
    <cfRule type="cellIs" dxfId="1249" priority="25" operator="lessThan">
      <formula>0</formula>
    </cfRule>
    <cfRule type="cellIs" dxfId="1248" priority="26" operator="lessThan">
      <formula>-105575</formula>
    </cfRule>
  </conditionalFormatting>
  <conditionalFormatting sqref="BB204:BB209">
    <cfRule type="cellIs" dxfId="1247" priority="19" operator="lessThan">
      <formula>0</formula>
    </cfRule>
    <cfRule type="cellIs" dxfId="1246" priority="20" operator="lessThan">
      <formula>-105575</formula>
    </cfRule>
  </conditionalFormatting>
  <conditionalFormatting sqref="BB204:BB209">
    <cfRule type="cellIs" dxfId="1245" priority="21" operator="lessThan">
      <formula>0</formula>
    </cfRule>
    <cfRule type="cellIs" dxfId="1244" priority="22" operator="lessThan">
      <formula>-105575</formula>
    </cfRule>
  </conditionalFormatting>
  <conditionalFormatting sqref="BB225:BB231">
    <cfRule type="cellIs" dxfId="1243" priority="13" operator="lessThan">
      <formula>0</formula>
    </cfRule>
    <cfRule type="cellIs" dxfId="1242" priority="14" operator="lessThan">
      <formula>-105575</formula>
    </cfRule>
  </conditionalFormatting>
  <conditionalFormatting sqref="BB233:BB235">
    <cfRule type="cellIs" dxfId="1241" priority="11" operator="lessThan">
      <formula>0</formula>
    </cfRule>
    <cfRule type="cellIs" dxfId="1240" priority="12" operator="lessThan">
      <formula>-105575</formula>
    </cfRule>
  </conditionalFormatting>
  <conditionalFormatting sqref="BB237">
    <cfRule type="cellIs" dxfId="1239" priority="9" operator="lessThan">
      <formula>0</formula>
    </cfRule>
    <cfRule type="cellIs" dxfId="1238" priority="10" operator="lessThan">
      <formula>-105575</formula>
    </cfRule>
  </conditionalFormatting>
  <conditionalFormatting sqref="BB238:BB241">
    <cfRule type="cellIs" dxfId="1237" priority="7" operator="lessThan">
      <formula>0</formula>
    </cfRule>
    <cfRule type="cellIs" dxfId="1236" priority="8" operator="lessThan">
      <formula>-105575</formula>
    </cfRule>
  </conditionalFormatting>
  <conditionalFormatting sqref="BB12">
    <cfRule type="cellIs" dxfId="1235" priority="5" operator="lessThan">
      <formula>0</formula>
    </cfRule>
    <cfRule type="cellIs" dxfId="1234" priority="6" operator="lessThan">
      <formula>-105575</formula>
    </cfRule>
  </conditionalFormatting>
  <conditionalFormatting sqref="BB13">
    <cfRule type="cellIs" dxfId="1233" priority="3" operator="lessThan">
      <formula>0</formula>
    </cfRule>
    <cfRule type="cellIs" dxfId="1232" priority="4" operator="lessThan">
      <formula>-105575</formula>
    </cfRule>
  </conditionalFormatting>
  <conditionalFormatting sqref="BA18">
    <cfRule type="cellIs" dxfId="1231" priority="1" operator="lessThan">
      <formula>0</formula>
    </cfRule>
    <cfRule type="cellIs" dxfId="123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legacyDrawing r:id="rId2"/>
  <extLst xmlns:x14="http://schemas.microsoft.com/office/spreadsheetml/2009/9/main">
    <ext uri="{CCE6A557-97BC-4b89-ADB6-D9C93CAAB3DF}">
      <x14:dataValidations xmlns:xm="http://schemas.microsoft.com/office/excel/2006/main" count="3">
        <x14:dataValidation type="list" allowBlank="1" showInputMessage="1" showErrorMessage="1">
          <x14:formula1>
            <xm:f>'1. Standard_Cost'!$B$4:$B$10</xm:f>
          </x14:formula1>
          <xm:sqref>I17</xm:sqref>
        </x14:dataValidation>
        <x14:dataValidation type="list" allowBlank="1" showInputMessage="1" showErrorMessage="1">
          <x14:formula1>
            <xm:f>'[3]1. Standard_Cost'!#REF!</xm:f>
          </x14:formula1>
          <xm:sqref>I7:I12 I14 I16 I24 I18:I22 I26:I27</xm:sqref>
        </x14:dataValidation>
        <x14:dataValidation type="list" allowBlank="1" showInputMessage="1" showErrorMessage="1">
          <x14:formula1>
            <xm:f>'[2]1. Standard_Cost'!#REF!</xm:f>
          </x14:formula1>
          <xm:sqref>I34</xm:sqref>
        </x14:dataValidation>
      </x14:dataValidations>
    </ext>
  </extLst>
</worksheet>
</file>

<file path=xl/worksheets/sheet5.xml><?xml version="1.0" encoding="utf-8"?>
<worksheet xmlns="http://schemas.openxmlformats.org/spreadsheetml/2006/main" xmlns:r="http://schemas.openxmlformats.org/officeDocument/2006/relationships">
  <dimension ref="A1:BB242"/>
  <sheetViews>
    <sheetView zoomScale="60" zoomScaleNormal="60" workbookViewId="0">
      <selection activeCell="E7" sqref="E7"/>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9" style="5" customWidth="1" outlineLevel="2"/>
    <col min="37" max="37" width="9" style="5" bestFit="1" customWidth="1" outlineLevel="2"/>
    <col min="38" max="38" width="8.109375" style="5" bestFit="1"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6" width="14.88671875" style="5" customWidth="1"/>
    <col min="47" max="53" width="15" style="4"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202</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241"/>
      <c r="G5" s="241"/>
      <c r="H5" s="241" t="s">
        <v>61</v>
      </c>
      <c r="I5" s="40"/>
      <c r="J5" s="40"/>
      <c r="K5" s="40"/>
      <c r="L5" s="41">
        <f>SUM(L6)</f>
        <v>4099825</v>
      </c>
      <c r="M5" s="41">
        <f>SUM(M6)</f>
        <v>684670.77500000002</v>
      </c>
      <c r="N5" s="40"/>
      <c r="O5" s="40"/>
      <c r="P5" s="40"/>
      <c r="Q5" s="40"/>
      <c r="R5" s="41">
        <f t="shared" ref="R5:U5" si="0">SUM(R6)</f>
        <v>322000</v>
      </c>
      <c r="S5" s="41">
        <f t="shared" si="0"/>
        <v>610500</v>
      </c>
      <c r="T5" s="41">
        <f t="shared" si="0"/>
        <v>0</v>
      </c>
      <c r="U5" s="41">
        <f t="shared" si="0"/>
        <v>520000</v>
      </c>
      <c r="V5" s="40"/>
      <c r="W5" s="40"/>
      <c r="X5" s="40"/>
      <c r="Y5" s="41">
        <f t="shared" ref="Y5:AF5" si="1">SUM(Y6)</f>
        <v>0</v>
      </c>
      <c r="Z5" s="41">
        <f t="shared" si="1"/>
        <v>0</v>
      </c>
      <c r="AA5" s="41">
        <f t="shared" si="1"/>
        <v>0</v>
      </c>
      <c r="AB5" s="41">
        <f t="shared" si="1"/>
        <v>1691000</v>
      </c>
      <c r="AC5" s="41">
        <f t="shared" si="1"/>
        <v>3719197.6639999999</v>
      </c>
      <c r="AD5" s="41">
        <f t="shared" si="1"/>
        <v>0</v>
      </c>
      <c r="AE5" s="41">
        <f t="shared" si="1"/>
        <v>1372539.5327999999</v>
      </c>
      <c r="AF5" s="41">
        <f t="shared" si="1"/>
        <v>8235237.1968</v>
      </c>
      <c r="AG5" s="40"/>
      <c r="AH5" s="40"/>
      <c r="AI5" s="40"/>
      <c r="AJ5" s="41">
        <f t="shared" ref="AJ5:AN5" si="2">SUM(AJ6)</f>
        <v>0</v>
      </c>
      <c r="AK5" s="41">
        <f t="shared" si="2"/>
        <v>1800000</v>
      </c>
      <c r="AL5" s="41">
        <f t="shared" si="2"/>
        <v>0</v>
      </c>
      <c r="AM5" s="41">
        <f t="shared" si="2"/>
        <v>1800000</v>
      </c>
      <c r="AN5" s="41">
        <f t="shared" si="2"/>
        <v>270000</v>
      </c>
      <c r="AO5" s="129"/>
      <c r="AQ5" s="41">
        <f t="shared" ref="AQ5:BB5" si="3">SUM(AQ6)</f>
        <v>4784495.7750000004</v>
      </c>
      <c r="AR5" s="41">
        <f t="shared" si="3"/>
        <v>8235237.1968</v>
      </c>
      <c r="AS5" s="41">
        <f t="shared" si="3"/>
        <v>2070000</v>
      </c>
      <c r="AT5" s="41">
        <f t="shared" si="3"/>
        <v>15089732.971800001</v>
      </c>
      <c r="AU5" s="41">
        <f t="shared" si="3"/>
        <v>6458323</v>
      </c>
      <c r="AV5" s="41">
        <f t="shared" si="3"/>
        <v>0</v>
      </c>
      <c r="AW5" s="41">
        <f t="shared" si="3"/>
        <v>0</v>
      </c>
      <c r="AX5" s="41">
        <f t="shared" si="3"/>
        <v>0</v>
      </c>
      <c r="AY5" s="41">
        <f t="shared" si="3"/>
        <v>0</v>
      </c>
      <c r="AZ5" s="41">
        <f t="shared" si="3"/>
        <v>0</v>
      </c>
      <c r="BA5" s="41">
        <f t="shared" si="3"/>
        <v>705360</v>
      </c>
      <c r="BB5" s="41">
        <f t="shared" si="3"/>
        <v>-7926049.9718000004</v>
      </c>
    </row>
    <row r="6" spans="1:54" s="13" customFormat="1" ht="13.8" customHeight="1">
      <c r="A6" s="101"/>
      <c r="B6" s="27"/>
      <c r="C6" s="324" t="s">
        <v>204</v>
      </c>
      <c r="D6" s="324"/>
      <c r="E6" s="325"/>
      <c r="F6" s="248"/>
      <c r="G6" s="298"/>
      <c r="H6" s="239" t="s">
        <v>62</v>
      </c>
      <c r="I6" s="37"/>
      <c r="J6" s="37"/>
      <c r="K6" s="37"/>
      <c r="L6" s="42">
        <f>SUM(L15+L17+L25+L30)</f>
        <v>4099825</v>
      </c>
      <c r="M6" s="42">
        <f>SUM(M15+M17+M25+M30)</f>
        <v>684670.77500000002</v>
      </c>
      <c r="N6" s="42"/>
      <c r="O6" s="43"/>
      <c r="P6" s="43"/>
      <c r="Q6" s="43"/>
      <c r="R6" s="42">
        <f t="shared" ref="R6:U6" si="4">SUM(R15+R17+R25+R30)</f>
        <v>322000</v>
      </c>
      <c r="S6" s="42">
        <f t="shared" si="4"/>
        <v>610500</v>
      </c>
      <c r="T6" s="42">
        <f t="shared" si="4"/>
        <v>0</v>
      </c>
      <c r="U6" s="42">
        <f t="shared" si="4"/>
        <v>520000</v>
      </c>
      <c r="V6" s="42"/>
      <c r="W6" s="43"/>
      <c r="X6" s="43"/>
      <c r="Y6" s="42">
        <f t="shared" ref="Y6:AF6" si="5">SUM(Y15+Y17+Y25+Y30)</f>
        <v>0</v>
      </c>
      <c r="Z6" s="42">
        <f t="shared" si="5"/>
        <v>0</v>
      </c>
      <c r="AA6" s="42">
        <f t="shared" si="5"/>
        <v>0</v>
      </c>
      <c r="AB6" s="42">
        <f t="shared" si="5"/>
        <v>1691000</v>
      </c>
      <c r="AC6" s="42">
        <f t="shared" si="5"/>
        <v>3719197.6639999999</v>
      </c>
      <c r="AD6" s="42">
        <f t="shared" si="5"/>
        <v>0</v>
      </c>
      <c r="AE6" s="42">
        <f t="shared" si="5"/>
        <v>1372539.5327999999</v>
      </c>
      <c r="AF6" s="42">
        <f t="shared" si="5"/>
        <v>8235237.1968</v>
      </c>
      <c r="AG6" s="43"/>
      <c r="AH6" s="43"/>
      <c r="AI6" s="43"/>
      <c r="AJ6" s="42">
        <f t="shared" ref="AJ6:AN6" si="6">SUM(AJ15+AJ17+AJ25+AJ30)</f>
        <v>0</v>
      </c>
      <c r="AK6" s="42">
        <f t="shared" si="6"/>
        <v>1800000</v>
      </c>
      <c r="AL6" s="42">
        <f t="shared" si="6"/>
        <v>0</v>
      </c>
      <c r="AM6" s="42">
        <f t="shared" si="6"/>
        <v>1800000</v>
      </c>
      <c r="AN6" s="42">
        <f t="shared" si="6"/>
        <v>270000</v>
      </c>
      <c r="AO6" s="130"/>
      <c r="AQ6" s="42">
        <f t="shared" ref="AQ6:BB6" si="7">SUM(AQ15+AQ17+AQ25+AQ30)</f>
        <v>4784495.7750000004</v>
      </c>
      <c r="AR6" s="42">
        <f t="shared" si="7"/>
        <v>8235237.1968</v>
      </c>
      <c r="AS6" s="42">
        <f t="shared" si="7"/>
        <v>2070000</v>
      </c>
      <c r="AT6" s="42">
        <f t="shared" si="7"/>
        <v>15089732.971800001</v>
      </c>
      <c r="AU6" s="42">
        <f t="shared" si="7"/>
        <v>6458323</v>
      </c>
      <c r="AV6" s="42">
        <f t="shared" si="7"/>
        <v>0</v>
      </c>
      <c r="AW6" s="42">
        <f t="shared" si="7"/>
        <v>0</v>
      </c>
      <c r="AX6" s="42">
        <f t="shared" si="7"/>
        <v>0</v>
      </c>
      <c r="AY6" s="42">
        <f t="shared" si="7"/>
        <v>0</v>
      </c>
      <c r="AZ6" s="42">
        <f t="shared" si="7"/>
        <v>0</v>
      </c>
      <c r="BA6" s="42">
        <f t="shared" si="7"/>
        <v>705360</v>
      </c>
      <c r="BB6" s="42">
        <f t="shared" si="7"/>
        <v>-7926049.9718000004</v>
      </c>
    </row>
    <row r="7" spans="1:54" ht="93.6" outlineLevel="2">
      <c r="A7" s="98"/>
      <c r="B7" s="102"/>
      <c r="C7" s="23"/>
      <c r="D7" s="257"/>
      <c r="E7" s="123"/>
      <c r="F7" s="270"/>
      <c r="G7" s="250"/>
      <c r="H7" s="302" t="s">
        <v>659</v>
      </c>
      <c r="I7" s="258" t="s">
        <v>2</v>
      </c>
      <c r="J7" s="259">
        <v>1</v>
      </c>
      <c r="K7" s="259">
        <v>4</v>
      </c>
      <c r="L7" s="106">
        <f>IF(I7&lt;&gt;0,((VLOOKUP(I7,'1. Standard_Cost'!$B$4:$D$11,2)+VLOOKUP(I7,'1. Standard_Cost'!$B$4:$D$11,3))*J7*K7),"0")</f>
        <v>484000</v>
      </c>
      <c r="M7" s="106">
        <f>L7*'1. Standard_Cost'!$F$4</f>
        <v>80828</v>
      </c>
      <c r="N7" s="260"/>
      <c r="O7" s="260"/>
      <c r="P7" s="260"/>
      <c r="Q7" s="260"/>
      <c r="R7" s="108">
        <f>'1. Standard_Cost'!$B$15*N7*P7</f>
        <v>0</v>
      </c>
      <c r="S7" s="108">
        <f>N7*O7*P7*'1. Standard_Cost'!$C$15</f>
        <v>0</v>
      </c>
      <c r="T7" s="108">
        <f>N7*P7*Q7*'1. Standard_Cost'!$D$15</f>
        <v>0</v>
      </c>
      <c r="U7" s="108">
        <f>N7*O7*'1. Standard_Cost'!$E$15</f>
        <v>0</v>
      </c>
      <c r="V7" s="107"/>
      <c r="W7" s="107"/>
      <c r="X7" s="107"/>
      <c r="Y7" s="108">
        <f>+V7*((X7*'1. Standard_Cost'!$B$19)+(W7*X7*'1. Standard_Cost'!$C$19))</f>
        <v>0</v>
      </c>
      <c r="Z7" s="260"/>
      <c r="AA7" s="260"/>
      <c r="AB7" s="108">
        <f>+Z7*'1. Standard_Cost'!$B$23+AA7*'1. Standard_Cost'!$C$23</f>
        <v>0</v>
      </c>
      <c r="AC7" s="261">
        <f>SUM(L7+M7)*0.2</f>
        <v>112965.6</v>
      </c>
      <c r="AD7" s="262"/>
      <c r="AE7" s="108">
        <f>SUM(AD7,AC7,AB7,Y7,U7,T7,S7,R7)*'1. Standard_Cost'!$B$31</f>
        <v>22593.120000000003</v>
      </c>
      <c r="AF7" s="108">
        <f>SUM(AE7,AD7,AC7,AB7,Y7,U7,T7,S7,R7)</f>
        <v>135558.72</v>
      </c>
      <c r="AG7" s="107"/>
      <c r="AH7" s="107"/>
      <c r="AI7" s="107"/>
      <c r="AJ7" s="111"/>
      <c r="AK7" s="111"/>
      <c r="AL7" s="111"/>
      <c r="AM7" s="108">
        <f>AG7*'1. Standard_Cost'!$B$27+'Incremental_Cost Year 4'!AH7*'1. Standard_Cost'!$C$27+'Incremental_Cost Year 4'!AI7*'1. Standard_Cost'!$D$27+'Incremental_Cost Year 4'!AJ7+'Incremental_Cost Year 4'!AL7+AK7</f>
        <v>0</v>
      </c>
      <c r="AN7" s="108">
        <f>AM7*'1. Standard_Cost'!$C$31</f>
        <v>0</v>
      </c>
      <c r="AO7" s="134" t="s">
        <v>270</v>
      </c>
      <c r="AQ7" s="14">
        <f>L7+M7</f>
        <v>564828</v>
      </c>
      <c r="AR7" s="14">
        <f>AF7</f>
        <v>135558.72</v>
      </c>
      <c r="AS7" s="14">
        <f>AM7+AN7</f>
        <v>0</v>
      </c>
      <c r="AT7" s="14">
        <f>SUM(AQ7,AR7,AS7)</f>
        <v>700386.72</v>
      </c>
      <c r="AU7" s="234">
        <v>700387</v>
      </c>
      <c r="AV7" s="234"/>
      <c r="AW7" s="234"/>
      <c r="AX7" s="234"/>
      <c r="AY7" s="234"/>
      <c r="AZ7" s="234"/>
      <c r="BA7" s="234"/>
      <c r="BB7" s="16">
        <f>SUM(AU7:BA7)-AT7</f>
        <v>0.28000000002793968</v>
      </c>
    </row>
    <row r="8" spans="1:54" ht="13.5" customHeight="1" outlineLevel="2">
      <c r="A8" s="98"/>
      <c r="B8" s="102"/>
      <c r="C8" s="23"/>
      <c r="D8" s="269"/>
      <c r="E8" s="271"/>
      <c r="F8" s="270"/>
      <c r="G8" s="250"/>
      <c r="H8" s="302" t="s">
        <v>580</v>
      </c>
      <c r="I8" s="258" t="s">
        <v>3</v>
      </c>
      <c r="J8" s="259">
        <v>0.5</v>
      </c>
      <c r="K8" s="259">
        <v>4</v>
      </c>
      <c r="L8" s="106">
        <f>IF(I8&lt;&gt;0,((VLOOKUP(I8,'1. Standard_Cost'!$B$4:$D$11,2)+VLOOKUP(I8,'1. Standard_Cost'!$B$4:$D$11,3))*J8*K8),"0")</f>
        <v>201600</v>
      </c>
      <c r="M8" s="106">
        <f>L8*'1. Standard_Cost'!$F$4</f>
        <v>33667.200000000004</v>
      </c>
      <c r="N8" s="260"/>
      <c r="O8" s="260"/>
      <c r="P8" s="260"/>
      <c r="Q8" s="260"/>
      <c r="R8" s="108">
        <f>'1. Standard_Cost'!$B$15*N8*P8</f>
        <v>0</v>
      </c>
      <c r="S8" s="108">
        <f>N8*O8*P8*'1. Standard_Cost'!$C$15</f>
        <v>0</v>
      </c>
      <c r="T8" s="108">
        <f>N8*P8*Q8*'1. Standard_Cost'!$D$15</f>
        <v>0</v>
      </c>
      <c r="U8" s="108">
        <f>N8*O8*'1. Standard_Cost'!$E$15</f>
        <v>0</v>
      </c>
      <c r="V8" s="107"/>
      <c r="W8" s="107"/>
      <c r="X8" s="107"/>
      <c r="Y8" s="108">
        <f>+V8*((X8*'1. Standard_Cost'!$B$19)+(W8*X8*'1. Standard_Cost'!$C$19))</f>
        <v>0</v>
      </c>
      <c r="Z8" s="260"/>
      <c r="AA8" s="260"/>
      <c r="AB8" s="108">
        <f>+Z8*'1. Standard_Cost'!$B$23+AA8*'1. Standard_Cost'!$C$23</f>
        <v>0</v>
      </c>
      <c r="AC8" s="261">
        <f>SUM(L8+M8)*0.12</f>
        <v>28232.064000000002</v>
      </c>
      <c r="AD8" s="262"/>
      <c r="AE8" s="108">
        <f>SUM(AD8,AC8,AB8,Y8,U8,T8,S8,R8)*'1. Standard_Cost'!$B$31</f>
        <v>5646.412800000001</v>
      </c>
      <c r="AF8" s="108">
        <f t="shared" ref="AF8:AF14" si="8">SUM(AE8,AD8,AC8,AB8,Y8,U8,T8,S8,R8)</f>
        <v>33878.476800000004</v>
      </c>
      <c r="AG8" s="107"/>
      <c r="AH8" s="107"/>
      <c r="AI8" s="107"/>
      <c r="AJ8" s="111"/>
      <c r="AK8" s="111"/>
      <c r="AL8" s="111"/>
      <c r="AM8" s="108">
        <f>AG8*'1. Standard_Cost'!$B$27+'Incremental_Cost Year 4'!AH8*'1. Standard_Cost'!$C$27+'Incremental_Cost Year 4'!AI8*'1. Standard_Cost'!$D$27+'Incremental_Cost Year 4'!AJ8+'Incremental_Cost Year 4'!AL8+AK8</f>
        <v>0</v>
      </c>
      <c r="AN8" s="108">
        <f>AM8*'1. Standard_Cost'!$C$31</f>
        <v>0</v>
      </c>
      <c r="AO8" s="125" t="s">
        <v>271</v>
      </c>
      <c r="AQ8" s="14">
        <f t="shared" ref="AQ8:AQ14" si="9">L8+M8</f>
        <v>235267.20000000001</v>
      </c>
      <c r="AR8" s="14">
        <f t="shared" ref="AR8:AR14" si="10">AF8</f>
        <v>33878.476800000004</v>
      </c>
      <c r="AS8" s="14">
        <f t="shared" ref="AS8:AS14" si="11">AM8+AN8</f>
        <v>0</v>
      </c>
      <c r="AT8" s="14">
        <f t="shared" ref="AT8:AT14" si="12">SUM(AQ8,AR8,AS8)</f>
        <v>269145.67680000002</v>
      </c>
      <c r="AU8" s="234">
        <v>269146</v>
      </c>
      <c r="AV8" s="234"/>
      <c r="AW8" s="234"/>
      <c r="AX8" s="234"/>
      <c r="AY8" s="234"/>
      <c r="AZ8" s="234"/>
      <c r="BA8" s="234"/>
      <c r="BB8" s="16">
        <f t="shared" ref="BB8:BB14" si="13">SUM(AU8:BA8)-AT8</f>
        <v>0.32319999998435378</v>
      </c>
    </row>
    <row r="9" spans="1:54" ht="93.6" customHeight="1" outlineLevel="2">
      <c r="A9" s="98"/>
      <c r="B9" s="102"/>
      <c r="C9" s="23"/>
      <c r="D9" s="251"/>
      <c r="E9" s="250"/>
      <c r="F9" s="270"/>
      <c r="G9" s="250"/>
      <c r="H9" s="302" t="s">
        <v>660</v>
      </c>
      <c r="I9" s="258" t="s">
        <v>4</v>
      </c>
      <c r="J9" s="259">
        <v>12</v>
      </c>
      <c r="K9" s="259">
        <v>1</v>
      </c>
      <c r="L9" s="106">
        <f>IF(I9&lt;&gt;0,((VLOOKUP(I9,'1. Standard_Cost'!$B$4:$D$11,2)+VLOOKUP(I9,'1. Standard_Cost'!$B$4:$D$11,3))*J9*K9),"0")</f>
        <v>969000</v>
      </c>
      <c r="M9" s="106">
        <f>L9*'1. Standard_Cost'!$F$4</f>
        <v>161823</v>
      </c>
      <c r="N9" s="260">
        <v>1</v>
      </c>
      <c r="O9" s="260">
        <v>2</v>
      </c>
      <c r="P9" s="260">
        <v>10</v>
      </c>
      <c r="Q9" s="260"/>
      <c r="R9" s="108">
        <f>'1. Standard_Cost'!$B$15*N9*P9</f>
        <v>20000</v>
      </c>
      <c r="S9" s="108">
        <f>N9*O9*P9*'1. Standard_Cost'!$C$15</f>
        <v>30000</v>
      </c>
      <c r="T9" s="108">
        <f>N9*P9*Q9*'1. Standard_Cost'!$D$15</f>
        <v>0</v>
      </c>
      <c r="U9" s="108">
        <f>N9*O9*'1. Standard_Cost'!$E$15</f>
        <v>80000</v>
      </c>
      <c r="V9" s="107"/>
      <c r="W9" s="107"/>
      <c r="X9" s="107"/>
      <c r="Y9" s="108">
        <f>+V9*((X9*'1. Standard_Cost'!$B$19)+(W9*X9*'1. Standard_Cost'!$C$19))</f>
        <v>0</v>
      </c>
      <c r="Z9" s="260"/>
      <c r="AA9" s="260">
        <v>10</v>
      </c>
      <c r="AB9" s="108">
        <f>+Z9*'1. Standard_Cost'!$B$23+AA9*'1. Standard_Cost'!$C$23</f>
        <v>190000</v>
      </c>
      <c r="AC9" s="261">
        <f>10*500</f>
        <v>5000</v>
      </c>
      <c r="AD9" s="262"/>
      <c r="AE9" s="108">
        <f>SUM(AD9,AC9,AB9,Y9,U9,T9,S9,R9)*'1. Standard_Cost'!$B$31</f>
        <v>65000</v>
      </c>
      <c r="AF9" s="108">
        <f t="shared" si="8"/>
        <v>390000</v>
      </c>
      <c r="AG9" s="107"/>
      <c r="AH9" s="107"/>
      <c r="AI9" s="107"/>
      <c r="AJ9" s="111"/>
      <c r="AK9" s="111"/>
      <c r="AL9" s="111"/>
      <c r="AM9" s="108">
        <f>AG9*'1. Standard_Cost'!$B$27+'Incremental_Cost Year 4'!AH9*'1. Standard_Cost'!$C$27+'Incremental_Cost Year 4'!AI9*'1. Standard_Cost'!$D$27+'Incremental_Cost Year 4'!AJ9+'Incremental_Cost Year 4'!AL9+AK9</f>
        <v>0</v>
      </c>
      <c r="AN9" s="108">
        <f>AM9*'1. Standard_Cost'!$C$31</f>
        <v>0</v>
      </c>
      <c r="AO9" s="125" t="s">
        <v>272</v>
      </c>
      <c r="AQ9" s="14">
        <f t="shared" si="9"/>
        <v>1130823</v>
      </c>
      <c r="AR9" s="14">
        <f t="shared" si="10"/>
        <v>390000</v>
      </c>
      <c r="AS9" s="14">
        <f t="shared" si="11"/>
        <v>0</v>
      </c>
      <c r="AT9" s="14">
        <f t="shared" si="12"/>
        <v>1520823</v>
      </c>
      <c r="AU9" s="234">
        <v>1130823</v>
      </c>
      <c r="AV9" s="234"/>
      <c r="AW9" s="234"/>
      <c r="AX9" s="234"/>
      <c r="AY9" s="234"/>
      <c r="AZ9" s="234"/>
      <c r="BA9" s="234"/>
      <c r="BB9" s="16">
        <f t="shared" si="13"/>
        <v>-390000</v>
      </c>
    </row>
    <row r="10" spans="1:54" ht="78" outlineLevel="2">
      <c r="A10" s="98"/>
      <c r="B10" s="102"/>
      <c r="C10" s="23"/>
      <c r="D10" s="251"/>
      <c r="E10" s="250"/>
      <c r="F10" s="270"/>
      <c r="G10" s="250"/>
      <c r="H10" s="302" t="s">
        <v>581</v>
      </c>
      <c r="I10" s="258"/>
      <c r="J10" s="259"/>
      <c r="K10" s="259"/>
      <c r="L10" s="106" t="str">
        <f>IF(I10&lt;&gt;0,((VLOOKUP(I10,'1. Standard_Cost'!$B$4:$D$11,2)+VLOOKUP(I10,'1. Standard_Cost'!$B$4:$D$11,3))*J10*K10),"0")</f>
        <v>0</v>
      </c>
      <c r="M10" s="106">
        <f>L10*'1. Standard_Cost'!$F$4</f>
        <v>0</v>
      </c>
      <c r="N10" s="260">
        <v>1</v>
      </c>
      <c r="O10" s="260">
        <v>2</v>
      </c>
      <c r="P10" s="260">
        <v>10</v>
      </c>
      <c r="Q10" s="260"/>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260"/>
      <c r="AA10" s="260">
        <v>10</v>
      </c>
      <c r="AB10" s="108">
        <f>+Z10*'1. Standard_Cost'!$B$23+AA10*'1. Standard_Cost'!$C$23</f>
        <v>190000</v>
      </c>
      <c r="AC10" s="261">
        <f>10*500</f>
        <v>5000</v>
      </c>
      <c r="AD10" s="262"/>
      <c r="AE10" s="108">
        <f>SUM(AD10,AC10,AB10,Y10,U10,T10,S10,R10)*'1. Standard_Cost'!$B$31</f>
        <v>65000</v>
      </c>
      <c r="AF10" s="108">
        <f t="shared" si="8"/>
        <v>390000</v>
      </c>
      <c r="AG10" s="107"/>
      <c r="AH10" s="107"/>
      <c r="AI10" s="107"/>
      <c r="AJ10" s="111"/>
      <c r="AK10" s="111"/>
      <c r="AL10" s="111"/>
      <c r="AM10" s="108">
        <f>AG10*'1. Standard_Cost'!$B$27+'Incremental_Cost Year 4'!AH10*'1. Standard_Cost'!$C$27+'Incremental_Cost Year 4'!AI10*'1. Standard_Cost'!$D$27+'Incremental_Cost Year 4'!AJ10+'Incremental_Cost Year 4'!AL10+AK10</f>
        <v>0</v>
      </c>
      <c r="AN10" s="108">
        <f>AM10*'1. Standard_Cost'!$C$31</f>
        <v>0</v>
      </c>
      <c r="AO10" s="134" t="s">
        <v>273</v>
      </c>
      <c r="AQ10" s="14">
        <f t="shared" si="9"/>
        <v>0</v>
      </c>
      <c r="AR10" s="14">
        <f t="shared" si="10"/>
        <v>390000</v>
      </c>
      <c r="AS10" s="14">
        <f t="shared" si="11"/>
        <v>0</v>
      </c>
      <c r="AT10" s="14">
        <f t="shared" si="12"/>
        <v>390000</v>
      </c>
      <c r="AU10" s="234"/>
      <c r="AV10" s="234"/>
      <c r="AW10" s="234"/>
      <c r="AX10" s="234"/>
      <c r="AY10" s="234"/>
      <c r="AZ10" s="234"/>
      <c r="BA10" s="234"/>
      <c r="BB10" s="16">
        <f t="shared" si="13"/>
        <v>-390000</v>
      </c>
    </row>
    <row r="11" spans="1:54" ht="124.8" customHeight="1" outlineLevel="2">
      <c r="A11" s="98"/>
      <c r="B11" s="102"/>
      <c r="C11" s="23"/>
      <c r="D11" s="251"/>
      <c r="E11" s="250"/>
      <c r="F11" s="270"/>
      <c r="G11" s="250"/>
      <c r="H11" s="302" t="s">
        <v>661</v>
      </c>
      <c r="I11" s="258" t="s">
        <v>4</v>
      </c>
      <c r="J11" s="259">
        <v>1</v>
      </c>
      <c r="K11" s="259">
        <v>3</v>
      </c>
      <c r="L11" s="106">
        <f>IF(I11&lt;&gt;0,((VLOOKUP(I11,'1. Standard_Cost'!$B$4:$D$11,2)+VLOOKUP(I11,'1. Standard_Cost'!$B$4:$D$11,3))*J11*K11),"0")</f>
        <v>242250</v>
      </c>
      <c r="M11" s="106">
        <f>L11*'1. Standard_Cost'!$F$4</f>
        <v>40455.75</v>
      </c>
      <c r="N11" s="260"/>
      <c r="O11" s="260"/>
      <c r="P11" s="260"/>
      <c r="Q11" s="260"/>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260"/>
      <c r="AA11" s="260">
        <v>10</v>
      </c>
      <c r="AB11" s="108">
        <f>+Z11*'1. Standard_Cost'!$B$23+AA11*'1. Standard_Cost'!$C$23</f>
        <v>190000</v>
      </c>
      <c r="AC11" s="261">
        <v>29000</v>
      </c>
      <c r="AD11" s="262"/>
      <c r="AE11" s="108">
        <f>SUM(AD11,AC11,AB11,Y11,U11,T11,S11,R11)*'1. Standard_Cost'!$B$31</f>
        <v>43800</v>
      </c>
      <c r="AF11" s="108">
        <f t="shared" si="8"/>
        <v>262800</v>
      </c>
      <c r="AG11" s="107"/>
      <c r="AH11" s="107"/>
      <c r="AI11" s="107"/>
      <c r="AJ11" s="111"/>
      <c r="AK11" s="111"/>
      <c r="AL11" s="111"/>
      <c r="AM11" s="108">
        <f>AG11*'1. Standard_Cost'!$B$27+'Incremental_Cost Year 4'!AH11*'1. Standard_Cost'!$C$27+'Incremental_Cost Year 4'!AI11*'1. Standard_Cost'!$D$27+'Incremental_Cost Year 4'!AJ11+'Incremental_Cost Year 4'!AL11+AK11</f>
        <v>0</v>
      </c>
      <c r="AN11" s="108">
        <f>AM11*'1. Standard_Cost'!$C$31</f>
        <v>0</v>
      </c>
      <c r="AO11" s="134" t="s">
        <v>275</v>
      </c>
      <c r="AQ11" s="14">
        <f t="shared" si="9"/>
        <v>282705.75</v>
      </c>
      <c r="AR11" s="14">
        <f t="shared" si="10"/>
        <v>262800</v>
      </c>
      <c r="AS11" s="14">
        <f t="shared" si="11"/>
        <v>0</v>
      </c>
      <c r="AT11" s="14">
        <f t="shared" si="12"/>
        <v>545505.75</v>
      </c>
      <c r="AU11" s="234"/>
      <c r="AV11" s="234"/>
      <c r="AW11" s="234"/>
      <c r="AX11" s="234"/>
      <c r="AY11" s="234"/>
      <c r="AZ11" s="234"/>
      <c r="BA11" s="234">
        <v>317506</v>
      </c>
      <c r="BB11" s="16">
        <f t="shared" si="13"/>
        <v>-227999.75</v>
      </c>
    </row>
    <row r="12" spans="1:54" ht="55.2" customHeight="1" outlineLevel="2">
      <c r="A12" s="98"/>
      <c r="B12" s="102"/>
      <c r="C12" s="23"/>
      <c r="D12" s="251"/>
      <c r="E12" s="250"/>
      <c r="F12" s="270"/>
      <c r="G12" s="250"/>
      <c r="H12" s="302" t="s">
        <v>662</v>
      </c>
      <c r="I12" s="258" t="s">
        <v>3</v>
      </c>
      <c r="J12" s="259">
        <v>1</v>
      </c>
      <c r="K12" s="259">
        <v>2</v>
      </c>
      <c r="L12" s="106">
        <f>IF(I12&lt;&gt;0,((VLOOKUP(I12,'1. Standard_Cost'!$B$4:$D$11,2)+VLOOKUP(I12,'1. Standard_Cost'!$B$4:$D$11,3))*J12*K12),"0")</f>
        <v>201600</v>
      </c>
      <c r="M12" s="106">
        <f>L12*'1. Standard_Cost'!$F$4</f>
        <v>33667.200000000004</v>
      </c>
      <c r="N12" s="260"/>
      <c r="O12" s="260"/>
      <c r="P12" s="260"/>
      <c r="Q12" s="260"/>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8"/>
        <v>0</v>
      </c>
      <c r="AG12" s="107"/>
      <c r="AH12" s="107"/>
      <c r="AI12" s="107"/>
      <c r="AJ12" s="111"/>
      <c r="AK12" s="111"/>
      <c r="AL12" s="111"/>
      <c r="AM12" s="108">
        <f>AG12*'1. Standard_Cost'!$B$27+'Incremental_Cost Year 4'!AH12*'1. Standard_Cost'!$C$27+'Incremental_Cost Year 4'!AI12*'1. Standard_Cost'!$D$27+'Incremental_Cost Year 4'!AJ12+'Incremental_Cost Year 4'!AL12+AK12</f>
        <v>0</v>
      </c>
      <c r="AN12" s="108">
        <f>AM12*'1. Standard_Cost'!$C$31</f>
        <v>0</v>
      </c>
      <c r="AO12" s="134" t="s">
        <v>273</v>
      </c>
      <c r="AQ12" s="14">
        <f t="shared" si="9"/>
        <v>235267.20000000001</v>
      </c>
      <c r="AR12" s="14">
        <f t="shared" si="10"/>
        <v>0</v>
      </c>
      <c r="AS12" s="14">
        <f t="shared" si="11"/>
        <v>0</v>
      </c>
      <c r="AT12" s="14">
        <f t="shared" si="12"/>
        <v>235267.20000000001</v>
      </c>
      <c r="AU12" s="234">
        <v>235267</v>
      </c>
      <c r="AV12" s="234"/>
      <c r="AW12" s="234"/>
      <c r="AX12" s="234"/>
      <c r="AY12" s="234"/>
      <c r="AZ12" s="234"/>
      <c r="BA12" s="234"/>
      <c r="BB12" s="16">
        <f t="shared" si="13"/>
        <v>-0.20000000001164153</v>
      </c>
    </row>
    <row r="13" spans="1:54" ht="69" outlineLevel="2">
      <c r="A13" s="98"/>
      <c r="B13" s="102"/>
      <c r="C13" s="23"/>
      <c r="D13" s="251"/>
      <c r="E13" s="250"/>
      <c r="F13" s="270"/>
      <c r="G13" s="250"/>
      <c r="H13" s="302" t="s">
        <v>663</v>
      </c>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8"/>
        <v>0</v>
      </c>
      <c r="AG13" s="107"/>
      <c r="AH13" s="107"/>
      <c r="AI13" s="107"/>
      <c r="AJ13" s="111"/>
      <c r="AK13" s="111"/>
      <c r="AL13" s="111"/>
      <c r="AM13" s="108">
        <f>AG13*'1. Standard_Cost'!$B$27+'Incremental_Cost Year 4'!AH13*'1. Standard_Cost'!$C$27+'Incremental_Cost Year 4'!AI13*'1. Standard_Cost'!$D$27+'Incremental_Cost Year 4'!AJ13+'Incremental_Cost Year 4'!AL13+AK13</f>
        <v>0</v>
      </c>
      <c r="AN13" s="108">
        <f>AM13*'1. Standard_Cost'!$C$31</f>
        <v>0</v>
      </c>
      <c r="AO13" s="134" t="s">
        <v>275</v>
      </c>
      <c r="AQ13" s="14">
        <f t="shared" si="9"/>
        <v>0</v>
      </c>
      <c r="AR13" s="14">
        <f t="shared" si="10"/>
        <v>0</v>
      </c>
      <c r="AS13" s="14">
        <f t="shared" si="11"/>
        <v>0</v>
      </c>
      <c r="AT13" s="14">
        <f t="shared" si="12"/>
        <v>0</v>
      </c>
      <c r="AU13" s="234"/>
      <c r="AV13" s="234"/>
      <c r="AW13" s="234"/>
      <c r="AX13" s="234"/>
      <c r="AY13" s="234"/>
      <c r="AZ13" s="234"/>
      <c r="BA13" s="234"/>
      <c r="BB13" s="16">
        <f t="shared" si="13"/>
        <v>0</v>
      </c>
    </row>
    <row r="14" spans="1:54" ht="78" outlineLevel="2">
      <c r="A14" s="98"/>
      <c r="B14" s="102"/>
      <c r="C14" s="23"/>
      <c r="D14" s="251"/>
      <c r="E14" s="250"/>
      <c r="F14" s="270"/>
      <c r="G14" s="250"/>
      <c r="H14" s="302" t="s">
        <v>664</v>
      </c>
      <c r="I14" s="258" t="s">
        <v>5</v>
      </c>
      <c r="J14" s="259">
        <v>0.25</v>
      </c>
      <c r="K14" s="259">
        <v>15</v>
      </c>
      <c r="L14" s="106">
        <f>IF(I14&lt;&gt;0,((VLOOKUP(I14,'1. Standard_Cost'!$B$4:$D$11,2)+VLOOKUP(I14,'1. Standard_Cost'!$B$4:$D$11,3))*J14*K14),"0")</f>
        <v>265125</v>
      </c>
      <c r="M14" s="106">
        <f>L14*'1. Standard_Cost'!$F$4</f>
        <v>44275.875</v>
      </c>
      <c r="N14" s="260"/>
      <c r="O14" s="260"/>
      <c r="P14" s="260"/>
      <c r="Q14" s="260"/>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260"/>
      <c r="AA14" s="260"/>
      <c r="AB14" s="108">
        <f>+Z14*'1. Standard_Cost'!$B$23+AA14*'1. Standard_Cost'!$C$23</f>
        <v>0</v>
      </c>
      <c r="AC14" s="261">
        <v>31000</v>
      </c>
      <c r="AD14" s="262"/>
      <c r="AE14" s="108">
        <f>SUM(AD14,AC14,AB14,Y14,U14,T14,S14,R14)*'1. Standard_Cost'!$B$31</f>
        <v>6200</v>
      </c>
      <c r="AF14" s="108">
        <f t="shared" si="8"/>
        <v>37200</v>
      </c>
      <c r="AG14" s="107"/>
      <c r="AH14" s="107"/>
      <c r="AI14" s="107"/>
      <c r="AJ14" s="111"/>
      <c r="AK14" s="111"/>
      <c r="AL14" s="111"/>
      <c r="AM14" s="108">
        <f>AG14*'1. Standard_Cost'!$B$27+'Incremental_Cost Year 4'!AH14*'1. Standard_Cost'!$C$27+'Incremental_Cost Year 4'!AI14*'1. Standard_Cost'!$D$27+'Incremental_Cost Year 4'!AJ14+'Incremental_Cost Year 4'!AL14+AK14</f>
        <v>0</v>
      </c>
      <c r="AN14" s="108">
        <f>AM14*'1. Standard_Cost'!$C$31</f>
        <v>0</v>
      </c>
      <c r="AO14" s="134" t="s">
        <v>274</v>
      </c>
      <c r="AQ14" s="14">
        <f t="shared" si="9"/>
        <v>309400.875</v>
      </c>
      <c r="AR14" s="14">
        <f t="shared" si="10"/>
        <v>37200</v>
      </c>
      <c r="AS14" s="14">
        <f t="shared" si="11"/>
        <v>0</v>
      </c>
      <c r="AT14" s="14">
        <f t="shared" si="12"/>
        <v>346600.875</v>
      </c>
      <c r="AU14" s="234"/>
      <c r="AV14" s="234"/>
      <c r="AW14" s="234"/>
      <c r="AX14" s="234"/>
      <c r="AY14" s="234"/>
      <c r="AZ14" s="234"/>
      <c r="BA14" s="234">
        <v>346601</v>
      </c>
      <c r="BB14" s="16">
        <f t="shared" si="13"/>
        <v>0.125</v>
      </c>
    </row>
    <row r="15" spans="1:54" ht="262.2" outlineLevel="1">
      <c r="A15" s="98"/>
      <c r="B15" s="102"/>
      <c r="C15" s="23"/>
      <c r="D15" s="301" t="s">
        <v>624</v>
      </c>
      <c r="E15" s="122" t="s">
        <v>206</v>
      </c>
      <c r="F15" s="268">
        <v>2021</v>
      </c>
      <c r="G15" s="254">
        <v>2026</v>
      </c>
      <c r="H15" s="276" t="s">
        <v>48</v>
      </c>
      <c r="I15" s="112"/>
      <c r="J15" s="112"/>
      <c r="K15" s="112"/>
      <c r="L15" s="113">
        <f>SUM(L7:L14)</f>
        <v>2363575</v>
      </c>
      <c r="M15" s="113">
        <f>SUM(M7:M14)</f>
        <v>394717.02500000002</v>
      </c>
      <c r="N15" s="113"/>
      <c r="O15" s="112"/>
      <c r="P15" s="112"/>
      <c r="Q15" s="112"/>
      <c r="R15" s="113">
        <f>SUM(R7:R14)</f>
        <v>40000</v>
      </c>
      <c r="S15" s="113">
        <f>SUM(S7:S14)</f>
        <v>60000</v>
      </c>
      <c r="T15" s="113">
        <f>SUM(T7:T14)</f>
        <v>0</v>
      </c>
      <c r="U15" s="113">
        <f>SUM(U7:U14)</f>
        <v>160000</v>
      </c>
      <c r="V15" s="112"/>
      <c r="W15" s="112"/>
      <c r="X15" s="112"/>
      <c r="Y15" s="113">
        <f>SUM(Y7:Y14)</f>
        <v>0</v>
      </c>
      <c r="Z15" s="112"/>
      <c r="AA15" s="112"/>
      <c r="AB15" s="113">
        <f>SUM(AB7:AB14)</f>
        <v>570000</v>
      </c>
      <c r="AC15" s="113">
        <f>SUM(AC7:AC14)</f>
        <v>211197.66400000002</v>
      </c>
      <c r="AD15" s="113">
        <f>SUM(AD7:AD14)</f>
        <v>0</v>
      </c>
      <c r="AE15" s="113">
        <f>SUM(AE7:AE14)</f>
        <v>208239.53279999999</v>
      </c>
      <c r="AF15" s="113">
        <f>SUM(AF7:AF14)</f>
        <v>1249437.1968</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2758292.0250000004</v>
      </c>
      <c r="AR15" s="113">
        <f t="shared" si="14"/>
        <v>1249437.1968</v>
      </c>
      <c r="AS15" s="113">
        <f t="shared" si="14"/>
        <v>0</v>
      </c>
      <c r="AT15" s="113">
        <f t="shared" si="14"/>
        <v>4007729.2218000004</v>
      </c>
      <c r="AU15" s="113">
        <f t="shared" si="14"/>
        <v>2335623</v>
      </c>
      <c r="AV15" s="113">
        <f t="shared" si="14"/>
        <v>0</v>
      </c>
      <c r="AW15" s="113">
        <f t="shared" si="14"/>
        <v>0</v>
      </c>
      <c r="AX15" s="113">
        <f t="shared" si="14"/>
        <v>0</v>
      </c>
      <c r="AY15" s="113">
        <f t="shared" si="14"/>
        <v>0</v>
      </c>
      <c r="AZ15" s="113">
        <f t="shared" si="14"/>
        <v>0</v>
      </c>
      <c r="BA15" s="113">
        <f t="shared" si="14"/>
        <v>664107</v>
      </c>
      <c r="BB15" s="113">
        <f t="shared" si="14"/>
        <v>-1007999.2217999999</v>
      </c>
    </row>
    <row r="16" spans="1:54" ht="78" outlineLevel="2">
      <c r="A16" s="98"/>
      <c r="B16" s="102"/>
      <c r="C16" s="23"/>
      <c r="D16" s="251"/>
      <c r="E16" s="250"/>
      <c r="F16" s="270"/>
      <c r="G16" s="250"/>
      <c r="H16" s="302" t="s">
        <v>665</v>
      </c>
      <c r="I16" s="258" t="s">
        <v>5</v>
      </c>
      <c r="J16" s="259">
        <v>1</v>
      </c>
      <c r="K16" s="259">
        <v>1</v>
      </c>
      <c r="L16" s="106">
        <f>IF(I16&lt;&gt;0,((VLOOKUP(I16,'1. Standard_Cost'!$B$4:$D$11,2)+VLOOKUP(I16,'1. Standard_Cost'!$B$4:$D$11,3))*J16*K16),"0")</f>
        <v>70700</v>
      </c>
      <c r="M16" s="106">
        <f>L16*'1. Standard_Cost'!$F$4</f>
        <v>11806.900000000001</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260"/>
      <c r="AA16" s="260">
        <v>10</v>
      </c>
      <c r="AB16" s="108">
        <f>+Z16*'1. Standard_Cost'!$B$23+AA16*'1. Standard_Cost'!$C$23</f>
        <v>190000</v>
      </c>
      <c r="AC16" s="109"/>
      <c r="AD16" s="110"/>
      <c r="AE16" s="108">
        <f>SUM(AD16,AC16,AB16,Y16,U16,T16,S16,R16)*'1. Standard_Cost'!$B$31</f>
        <v>38000</v>
      </c>
      <c r="AF16" s="108">
        <f t="shared" ref="AF16" si="15">SUM(AE16,AD16,AC16,AB16,Y16,U16,T16,S16,R16)</f>
        <v>228000</v>
      </c>
      <c r="AG16" s="107"/>
      <c r="AH16" s="107"/>
      <c r="AI16" s="107"/>
      <c r="AJ16" s="111"/>
      <c r="AK16" s="111"/>
      <c r="AL16" s="111"/>
      <c r="AM16" s="108">
        <f>AG16*'1. Standard_Cost'!$B$27+'Incremental_Cost Year 4'!AH16*'1. Standard_Cost'!$C$27+'Incremental_Cost Year 4'!AI16*'1. Standard_Cost'!$D$27+'Incremental_Cost Year 4'!AJ16+'Incremental_Cost Year 4'!AL16+AK16</f>
        <v>0</v>
      </c>
      <c r="AN16" s="108">
        <f>AM16*'1. Standard_Cost'!$C$31</f>
        <v>0</v>
      </c>
      <c r="AO16" s="125" t="s">
        <v>276</v>
      </c>
      <c r="AQ16" s="14">
        <f t="shared" ref="AQ16:AQ24" si="16">L16+M16</f>
        <v>82506.899999999994</v>
      </c>
      <c r="AR16" s="14">
        <f t="shared" ref="AR16:AR24" si="17">AF16</f>
        <v>228000</v>
      </c>
      <c r="AS16" s="14">
        <f t="shared" ref="AS16:AS24" si="18">AM16+AN16</f>
        <v>0</v>
      </c>
      <c r="AT16" s="14">
        <f>SUM(AQ16,AR16,AS16)</f>
        <v>310506.90000000002</v>
      </c>
      <c r="AU16" s="234">
        <v>82507</v>
      </c>
      <c r="AV16" s="234"/>
      <c r="AW16" s="234"/>
      <c r="AX16" s="234"/>
      <c r="AY16" s="234"/>
      <c r="AZ16" s="234"/>
      <c r="BA16" s="234"/>
      <c r="BB16" s="16">
        <f t="shared" ref="BB16:BB24" si="19">SUM(AU16:BA16)-AT16</f>
        <v>-227999.90000000002</v>
      </c>
    </row>
    <row r="17" spans="1:54" ht="62.4" outlineLevel="1">
      <c r="A17" s="98"/>
      <c r="B17" s="143"/>
      <c r="C17" s="144"/>
      <c r="D17" s="287" t="s">
        <v>625</v>
      </c>
      <c r="E17" s="287" t="s">
        <v>207</v>
      </c>
      <c r="F17" s="287"/>
      <c r="G17" s="287"/>
      <c r="H17" s="287" t="s">
        <v>49</v>
      </c>
      <c r="I17" s="112"/>
      <c r="J17" s="112"/>
      <c r="K17" s="112"/>
      <c r="L17" s="113">
        <f>SUM(L16:L16)</f>
        <v>70700</v>
      </c>
      <c r="M17" s="113">
        <f>SUM(M16:M16)</f>
        <v>11806.900000000001</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190000</v>
      </c>
      <c r="AC17" s="113">
        <f>SUM(AC16:AC16)</f>
        <v>0</v>
      </c>
      <c r="AD17" s="113">
        <f>SUM(AD16:AD16)</f>
        <v>0</v>
      </c>
      <c r="AE17" s="113">
        <f>SUM(AE16:AE16)</f>
        <v>38000</v>
      </c>
      <c r="AF17" s="113">
        <f>SUM(AF16:AF16)</f>
        <v>228000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82506.899999999994</v>
      </c>
      <c r="AR17" s="113">
        <f t="shared" si="20"/>
        <v>228000</v>
      </c>
      <c r="AS17" s="113">
        <f t="shared" si="20"/>
        <v>0</v>
      </c>
      <c r="AT17" s="113">
        <f t="shared" si="20"/>
        <v>310506.90000000002</v>
      </c>
      <c r="AU17" s="113">
        <f t="shared" si="20"/>
        <v>82507</v>
      </c>
      <c r="AV17" s="113">
        <f t="shared" si="20"/>
        <v>0</v>
      </c>
      <c r="AW17" s="113">
        <f t="shared" si="20"/>
        <v>0</v>
      </c>
      <c r="AX17" s="113">
        <f t="shared" si="20"/>
        <v>0</v>
      </c>
      <c r="AY17" s="113">
        <f t="shared" si="20"/>
        <v>0</v>
      </c>
      <c r="AZ17" s="113">
        <f t="shared" si="20"/>
        <v>0</v>
      </c>
      <c r="BA17" s="113">
        <f t="shared" si="20"/>
        <v>0</v>
      </c>
      <c r="BB17" s="16">
        <f t="shared" si="19"/>
        <v>-227999.90000000002</v>
      </c>
    </row>
    <row r="18" spans="1:54" ht="31.2" outlineLevel="2">
      <c r="A18" s="98"/>
      <c r="B18" s="143"/>
      <c r="C18" s="144"/>
      <c r="D18" s="149"/>
      <c r="E18" s="149"/>
      <c r="F18" s="288"/>
      <c r="G18" s="289"/>
      <c r="H18" s="302" t="s">
        <v>666</v>
      </c>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260"/>
      <c r="AA18" s="260"/>
      <c r="AB18" s="108">
        <f>+Z18*'1. Standard_Cost'!$B$23+AA18*'1. Standard_Cost'!$C$23</f>
        <v>0</v>
      </c>
      <c r="AC18" s="261">
        <v>1600000</v>
      </c>
      <c r="AD18" s="262"/>
      <c r="AE18" s="108">
        <f>SUM(AD18,AC18,AB18,Y18,U18,T18,S18,R18)*'1. Standard_Cost'!$B$31</f>
        <v>320000</v>
      </c>
      <c r="AF18" s="108">
        <f t="shared" ref="AF18:AF24" si="21">SUM(AE18,AD18,AC18,AB18,Y18,U18,T18,S18,R18)</f>
        <v>1920000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1920000</v>
      </c>
      <c r="AS18" s="14">
        <f t="shared" ref="AS18" si="24">AM18+AN18</f>
        <v>0</v>
      </c>
      <c r="AT18" s="14">
        <f>SUM(AQ18,AR18,AS18)</f>
        <v>1920000</v>
      </c>
      <c r="AU18" s="234">
        <v>1920000</v>
      </c>
      <c r="AV18" s="234"/>
      <c r="AW18" s="234"/>
      <c r="AX18" s="234"/>
      <c r="AY18" s="234"/>
      <c r="AZ18" s="234"/>
      <c r="BA18" s="234"/>
      <c r="BB18" s="16">
        <f t="shared" si="19"/>
        <v>0</v>
      </c>
    </row>
    <row r="19" spans="1:54" ht="62.4" outlineLevel="2">
      <c r="A19" s="98"/>
      <c r="B19" s="143"/>
      <c r="C19" s="144"/>
      <c r="D19" s="290"/>
      <c r="E19" s="290"/>
      <c r="F19" s="290"/>
      <c r="G19" s="291"/>
      <c r="H19" s="302" t="s">
        <v>667</v>
      </c>
      <c r="I19" s="258" t="s">
        <v>4</v>
      </c>
      <c r="J19" s="259">
        <v>3</v>
      </c>
      <c r="K19" s="259">
        <v>3</v>
      </c>
      <c r="L19" s="106">
        <f>IF(I19&lt;&gt;0,((VLOOKUP(I19,'1. Standard_Cost'!$B$4:$D$11,2)+VLOOKUP(I19,'1. Standard_Cost'!$B$4:$D$11,3))*J19*K19),"0")</f>
        <v>726750</v>
      </c>
      <c r="M19" s="106">
        <f>L19*'1. Standard_Cost'!$F$4</f>
        <v>121367.25</v>
      </c>
      <c r="N19" s="260"/>
      <c r="O19" s="260"/>
      <c r="P19" s="260"/>
      <c r="Q19" s="260"/>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260"/>
      <c r="AA19" s="260">
        <v>10</v>
      </c>
      <c r="AB19" s="108">
        <f>+Z19*'1. Standard_Cost'!$B$23+AA19*'1. Standard_Cost'!$C$23</f>
        <v>190000</v>
      </c>
      <c r="AC19" s="261">
        <v>85000</v>
      </c>
      <c r="AD19" s="262"/>
      <c r="AE19" s="108">
        <f>SUM(AD19,AC19,AB19,Y19,U19,T19,S19,R19)*'1. Standard_Cost'!$B$31</f>
        <v>55000</v>
      </c>
      <c r="AF19" s="108">
        <f t="shared" si="21"/>
        <v>330000</v>
      </c>
      <c r="AG19" s="107"/>
      <c r="AH19" s="107"/>
      <c r="AI19" s="107"/>
      <c r="AJ19" s="111"/>
      <c r="AK19" s="111"/>
      <c r="AL19" s="111"/>
      <c r="AM19" s="108">
        <f>AG19*'1. Standard_Cost'!$B$27+'Incremental_Cost Year 4'!AH19*'1. Standard_Cost'!$C$27+'Incremental_Cost Year 4'!AI19*'1. Standard_Cost'!$D$27+'Incremental_Cost Year 4'!AJ19+'Incremental_Cost Year 4'!AL19+AK19</f>
        <v>0</v>
      </c>
      <c r="AN19" s="108">
        <f>AM19*'1. Standard_Cost'!$C$31</f>
        <v>0</v>
      </c>
      <c r="AO19" s="125" t="s">
        <v>278</v>
      </c>
      <c r="AQ19" s="14">
        <f t="shared" si="16"/>
        <v>848117.25</v>
      </c>
      <c r="AR19" s="14">
        <f t="shared" si="17"/>
        <v>330000</v>
      </c>
      <c r="AS19" s="14">
        <f t="shared" si="18"/>
        <v>0</v>
      </c>
      <c r="AT19" s="14">
        <f t="shared" ref="AT19:AT24" si="25">SUM(AQ19,AR19,AS19)</f>
        <v>1178117.25</v>
      </c>
      <c r="AU19" s="234">
        <v>950117</v>
      </c>
      <c r="AV19" s="234"/>
      <c r="AW19" s="234"/>
      <c r="AX19" s="234"/>
      <c r="AY19" s="234"/>
      <c r="AZ19" s="234"/>
      <c r="BA19" s="234"/>
      <c r="BB19" s="16">
        <f t="shared" si="19"/>
        <v>-228000.25</v>
      </c>
    </row>
    <row r="20" spans="1:54" ht="62.4" outlineLevel="2">
      <c r="A20" s="98"/>
      <c r="B20" s="143"/>
      <c r="C20" s="144"/>
      <c r="D20" s="290"/>
      <c r="E20" s="290"/>
      <c r="F20" s="171"/>
      <c r="G20" s="291"/>
      <c r="H20" s="302" t="s">
        <v>668</v>
      </c>
      <c r="I20" s="258" t="s">
        <v>4</v>
      </c>
      <c r="J20" s="259">
        <v>3</v>
      </c>
      <c r="K20" s="259">
        <v>3</v>
      </c>
      <c r="L20" s="106">
        <f>IF(I20&lt;&gt;0,((VLOOKUP(I20,'1. Standard_Cost'!$B$4:$D$11,2)+VLOOKUP(I20,'1. Standard_Cost'!$B$4:$D$11,3))*J20*K20),"0")</f>
        <v>726750</v>
      </c>
      <c r="M20" s="106">
        <f>L20*'1. Standard_Cost'!$F$4</f>
        <v>121367.25</v>
      </c>
      <c r="N20" s="260"/>
      <c r="O20" s="260"/>
      <c r="P20" s="260"/>
      <c r="Q20" s="260"/>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260"/>
      <c r="AA20" s="260">
        <v>10</v>
      </c>
      <c r="AB20" s="108">
        <f>+Z20*'1. Standard_Cost'!$B$23+AA20*'1. Standard_Cost'!$C$23</f>
        <v>190000</v>
      </c>
      <c r="AC20" s="261">
        <v>85000</v>
      </c>
      <c r="AD20" s="262"/>
      <c r="AE20" s="108">
        <f>SUM(AD20,AC20,AB20,Y20,U20,T20,S20,R20)*'1. Standard_Cost'!$B$31</f>
        <v>55000</v>
      </c>
      <c r="AF20" s="108">
        <f t="shared" si="21"/>
        <v>330000</v>
      </c>
      <c r="AG20" s="107"/>
      <c r="AH20" s="107"/>
      <c r="AI20" s="107"/>
      <c r="AJ20" s="111"/>
      <c r="AK20" s="111"/>
      <c r="AL20" s="111"/>
      <c r="AM20" s="108">
        <f>AG20*'1. Standard_Cost'!$B$27+'Incremental_Cost Year 4'!AH20*'1. Standard_Cost'!$C$27+'Incremental_Cost Year 4'!AI20*'1. Standard_Cost'!$D$27+'Incremental_Cost Year 4'!AJ20+'Incremental_Cost Year 4'!AL20+AK20</f>
        <v>0</v>
      </c>
      <c r="AN20" s="108">
        <f>AM20*'1. Standard_Cost'!$C$31</f>
        <v>0</v>
      </c>
      <c r="AO20" s="125" t="s">
        <v>278</v>
      </c>
      <c r="AQ20" s="14">
        <f t="shared" si="16"/>
        <v>848117.25</v>
      </c>
      <c r="AR20" s="14">
        <f t="shared" si="17"/>
        <v>330000</v>
      </c>
      <c r="AS20" s="14">
        <f t="shared" si="18"/>
        <v>0</v>
      </c>
      <c r="AT20" s="14">
        <f t="shared" si="25"/>
        <v>1178117.25</v>
      </c>
      <c r="AU20" s="234">
        <v>950117</v>
      </c>
      <c r="AV20" s="234"/>
      <c r="AW20" s="234"/>
      <c r="AX20" s="234"/>
      <c r="AY20" s="234"/>
      <c r="AZ20" s="234"/>
      <c r="BA20" s="234"/>
      <c r="BB20" s="16">
        <f t="shared" si="19"/>
        <v>-228000.25</v>
      </c>
    </row>
    <row r="21" spans="1:54" ht="62.4" outlineLevel="2">
      <c r="A21" s="98"/>
      <c r="B21" s="143"/>
      <c r="C21" s="144"/>
      <c r="D21" s="290"/>
      <c r="E21" s="290"/>
      <c r="F21" s="290"/>
      <c r="G21" s="291"/>
      <c r="H21" s="302" t="s">
        <v>669</v>
      </c>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21"/>
        <v>0</v>
      </c>
      <c r="AG21" s="107"/>
      <c r="AH21" s="107"/>
      <c r="AI21" s="107"/>
      <c r="AJ21" s="111"/>
      <c r="AK21" s="111"/>
      <c r="AL21" s="111"/>
      <c r="AM21" s="108">
        <f>AG21*'1. Standard_Cost'!$B$27+'Incremental_Cost Year 4'!AH21*'1. Standard_Cost'!$C$27+'Incremental_Cost Year 4'!AI21*'1. Standard_Cost'!$D$27+'Incremental_Cost Year 4'!AJ21+'Incremental_Cost Year 4'!AL21+AK21</f>
        <v>0</v>
      </c>
      <c r="AN21" s="108">
        <f>AM21*'1. Standard_Cost'!$C$31</f>
        <v>0</v>
      </c>
      <c r="AO21" s="125" t="s">
        <v>279</v>
      </c>
      <c r="AQ21" s="14">
        <f t="shared" si="16"/>
        <v>0</v>
      </c>
      <c r="AR21" s="14">
        <f t="shared" si="17"/>
        <v>0</v>
      </c>
      <c r="AS21" s="14">
        <f t="shared" si="18"/>
        <v>0</v>
      </c>
      <c r="AT21" s="14">
        <f t="shared" si="25"/>
        <v>0</v>
      </c>
      <c r="AU21" s="234"/>
      <c r="AV21" s="234"/>
      <c r="AW21" s="234"/>
      <c r="AX21" s="234"/>
      <c r="AY21" s="234"/>
      <c r="AZ21" s="234"/>
      <c r="BA21" s="234"/>
      <c r="BB21" s="16">
        <f t="shared" si="19"/>
        <v>0</v>
      </c>
    </row>
    <row r="22" spans="1:54" ht="78" outlineLevel="2">
      <c r="A22" s="98"/>
      <c r="B22" s="143"/>
      <c r="C22" s="144"/>
      <c r="D22" s="290"/>
      <c r="E22" s="290"/>
      <c r="F22" s="290"/>
      <c r="G22" s="291"/>
      <c r="H22" s="302" t="s">
        <v>670</v>
      </c>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21"/>
        <v>0</v>
      </c>
      <c r="AG22" s="107"/>
      <c r="AH22" s="107"/>
      <c r="AI22" s="107"/>
      <c r="AJ22" s="111"/>
      <c r="AK22" s="111"/>
      <c r="AL22" s="111"/>
      <c r="AM22" s="108">
        <f>AG22*'1. Standard_Cost'!$B$27+'Incremental_Cost Year 4'!AH22*'1. Standard_Cost'!$C$27+'Incremental_Cost Year 4'!AI22*'1. Standard_Cost'!$D$27+'Incremental_Cost Year 4'!AJ22+'Incremental_Cost Year 4'!AL22+AK22</f>
        <v>0</v>
      </c>
      <c r="AN22" s="108">
        <f>AM22*'1. Standard_Cost'!$C$31</f>
        <v>0</v>
      </c>
      <c r="AO22" s="125" t="s">
        <v>280</v>
      </c>
      <c r="AQ22" s="14">
        <f t="shared" si="16"/>
        <v>0</v>
      </c>
      <c r="AR22" s="14">
        <f t="shared" si="17"/>
        <v>0</v>
      </c>
      <c r="AS22" s="14">
        <f t="shared" si="18"/>
        <v>0</v>
      </c>
      <c r="AT22" s="14">
        <f t="shared" si="25"/>
        <v>0</v>
      </c>
      <c r="AU22" s="234"/>
      <c r="AV22" s="234"/>
      <c r="AW22" s="234"/>
      <c r="AX22" s="234"/>
      <c r="AY22" s="234"/>
      <c r="AZ22" s="234"/>
      <c r="BA22" s="234"/>
      <c r="BB22" s="16">
        <f t="shared" si="19"/>
        <v>0</v>
      </c>
    </row>
    <row r="23" spans="1:54" ht="46.8" outlineLevel="2">
      <c r="A23" s="98"/>
      <c r="B23" s="143"/>
      <c r="C23" s="144"/>
      <c r="D23" s="290"/>
      <c r="E23" s="290"/>
      <c r="F23" s="290"/>
      <c r="G23" s="291"/>
      <c r="H23" s="302" t="s">
        <v>671</v>
      </c>
      <c r="I23" s="258" t="s">
        <v>4</v>
      </c>
      <c r="J23" s="259">
        <v>1</v>
      </c>
      <c r="K23" s="259">
        <v>1</v>
      </c>
      <c r="L23" s="106">
        <f>IF(I23&lt;&gt;0,((VLOOKUP(I23,'1. Standard_Cost'!$B$4:$D$11,2)+VLOOKUP(I23,'1. Standard_Cost'!$B$4:$D$11,3))*J23*K23),"0")</f>
        <v>80750</v>
      </c>
      <c r="M23" s="106">
        <f>L23*'1. Standard_Cost'!$F$4</f>
        <v>13485.25</v>
      </c>
      <c r="N23" s="260"/>
      <c r="O23" s="260"/>
      <c r="P23" s="260"/>
      <c r="Q23" s="260"/>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260"/>
      <c r="AA23" s="260"/>
      <c r="AB23" s="108">
        <f>+Z23*'1. Standard_Cost'!$B$23+AA23*'1. Standard_Cost'!$C$23</f>
        <v>0</v>
      </c>
      <c r="AC23" s="261">
        <v>10000</v>
      </c>
      <c r="AD23" s="262"/>
      <c r="AE23" s="108">
        <f>SUM(AD23,AC23,AB23,Y23,U23,T23,S23,R23)*'1. Standard_Cost'!$B$31</f>
        <v>2000</v>
      </c>
      <c r="AF23" s="108">
        <f t="shared" si="21"/>
        <v>12000</v>
      </c>
      <c r="AG23" s="107"/>
      <c r="AH23" s="107"/>
      <c r="AI23" s="107"/>
      <c r="AJ23" s="111"/>
      <c r="AK23" s="111"/>
      <c r="AL23" s="111"/>
      <c r="AM23" s="108">
        <f>AG23*'1. Standard_Cost'!$B$27+'Incremental_Cost Year 4'!AH23*'1. Standard_Cost'!$C$27+'Incremental_Cost Year 4'!AI23*'1. Standard_Cost'!$D$27+'Incremental_Cost Year 4'!AJ23+'Incremental_Cost Year 4'!AL23+AK23</f>
        <v>0</v>
      </c>
      <c r="AN23" s="108">
        <f>AM23*'1. Standard_Cost'!$C$31</f>
        <v>0</v>
      </c>
      <c r="AO23" s="125" t="s">
        <v>281</v>
      </c>
      <c r="AQ23" s="14">
        <f t="shared" si="16"/>
        <v>94235.25</v>
      </c>
      <c r="AR23" s="14">
        <f t="shared" si="17"/>
        <v>12000</v>
      </c>
      <c r="AS23" s="14">
        <f t="shared" si="18"/>
        <v>0</v>
      </c>
      <c r="AT23" s="14">
        <f t="shared" si="25"/>
        <v>106235.25</v>
      </c>
      <c r="AU23" s="234">
        <v>106235</v>
      </c>
      <c r="AV23" s="234"/>
      <c r="AW23" s="234"/>
      <c r="AX23" s="234"/>
      <c r="AY23" s="234"/>
      <c r="AZ23" s="234"/>
      <c r="BA23" s="234"/>
      <c r="BB23" s="16">
        <f t="shared" si="19"/>
        <v>-0.25</v>
      </c>
    </row>
    <row r="24" spans="1:54" ht="93.6" outlineLevel="2">
      <c r="A24" s="98"/>
      <c r="B24" s="143"/>
      <c r="C24" s="144"/>
      <c r="D24" s="290"/>
      <c r="E24" s="290"/>
      <c r="F24" s="290"/>
      <c r="G24" s="291"/>
      <c r="H24" s="302" t="s">
        <v>586</v>
      </c>
      <c r="I24" s="258" t="s">
        <v>5</v>
      </c>
      <c r="J24" s="259">
        <v>0.5</v>
      </c>
      <c r="K24" s="259">
        <v>1</v>
      </c>
      <c r="L24" s="106">
        <f>IF(I24&lt;&gt;0,((VLOOKUP(I24,'1. Standard_Cost'!$B$4:$D$11,2)+VLOOKUP(I24,'1. Standard_Cost'!$B$4:$D$11,3))*J24*K24),"0")</f>
        <v>35350</v>
      </c>
      <c r="M24" s="106">
        <f>L24*'1. Standard_Cost'!$F$4</f>
        <v>5903.4500000000007</v>
      </c>
      <c r="N24" s="260">
        <v>1</v>
      </c>
      <c r="O24" s="260">
        <v>2</v>
      </c>
      <c r="P24" s="260">
        <v>16</v>
      </c>
      <c r="Q24" s="260"/>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260"/>
      <c r="AA24" s="260">
        <v>15</v>
      </c>
      <c r="AB24" s="108">
        <f>+Z24*'1. Standard_Cost'!$B$23+AA24*'1. Standard_Cost'!$C$23</f>
        <v>285000</v>
      </c>
      <c r="AC24" s="261">
        <f>16*500</f>
        <v>8000</v>
      </c>
      <c r="AD24" s="262"/>
      <c r="AE24" s="108">
        <f>SUM(AD24,AC24,AB24,Y24,U24,T24,S24,R24)*'1. Standard_Cost'!$B$31</f>
        <v>90600</v>
      </c>
      <c r="AF24" s="108">
        <f t="shared" si="21"/>
        <v>543600</v>
      </c>
      <c r="AG24" s="107"/>
      <c r="AH24" s="107"/>
      <c r="AI24" s="107"/>
      <c r="AJ24" s="111"/>
      <c r="AK24" s="111"/>
      <c r="AL24" s="111"/>
      <c r="AM24" s="108">
        <f>AG24*'1. Standard_Cost'!$B$27+'Incremental_Cost Year 4'!AH24*'1. Standard_Cost'!$C$27+'Incremental_Cost Year 4'!AI24*'1. Standard_Cost'!$D$27+'Incremental_Cost Year 4'!AJ24+'Incremental_Cost Year 4'!AL24+AK24</f>
        <v>0</v>
      </c>
      <c r="AN24" s="108">
        <f>AM24*'1. Standard_Cost'!$C$31</f>
        <v>0</v>
      </c>
      <c r="AO24" s="125" t="s">
        <v>282</v>
      </c>
      <c r="AQ24" s="14">
        <f t="shared" si="16"/>
        <v>41253.449999999997</v>
      </c>
      <c r="AR24" s="14">
        <f t="shared" si="17"/>
        <v>543600</v>
      </c>
      <c r="AS24" s="14">
        <f t="shared" si="18"/>
        <v>0</v>
      </c>
      <c r="AT24" s="14">
        <f t="shared" si="25"/>
        <v>584853.44999999995</v>
      </c>
      <c r="AU24" s="234"/>
      <c r="AV24" s="234"/>
      <c r="AW24" s="234"/>
      <c r="AX24" s="234"/>
      <c r="AY24" s="234"/>
      <c r="AZ24" s="234"/>
      <c r="BA24" s="234">
        <v>41253</v>
      </c>
      <c r="BB24" s="16">
        <f t="shared" si="19"/>
        <v>-543600.44999999995</v>
      </c>
    </row>
    <row r="25" spans="1:54" ht="93.6" outlineLevel="1">
      <c r="A25" s="98"/>
      <c r="B25" s="143"/>
      <c r="C25" s="144"/>
      <c r="D25" s="287" t="s">
        <v>626</v>
      </c>
      <c r="E25" s="287" t="s">
        <v>208</v>
      </c>
      <c r="F25" s="287"/>
      <c r="G25" s="287"/>
      <c r="H25" s="287" t="s">
        <v>50</v>
      </c>
      <c r="I25" s="112"/>
      <c r="J25" s="112"/>
      <c r="K25" s="112"/>
      <c r="L25" s="113">
        <f>SUM(L18:L24)</f>
        <v>1569600</v>
      </c>
      <c r="M25" s="113">
        <f>SUM(M18:M24)</f>
        <v>262123.2</v>
      </c>
      <c r="N25" s="112"/>
      <c r="O25" s="112"/>
      <c r="P25" s="112"/>
      <c r="Q25" s="112"/>
      <c r="R25" s="113">
        <f t="shared" ref="R25:U25" si="26">SUM(R18:R24)</f>
        <v>32000</v>
      </c>
      <c r="S25" s="113">
        <f t="shared" si="26"/>
        <v>48000</v>
      </c>
      <c r="T25" s="113">
        <f t="shared" si="26"/>
        <v>0</v>
      </c>
      <c r="U25" s="113">
        <f t="shared" si="26"/>
        <v>80000</v>
      </c>
      <c r="V25" s="112"/>
      <c r="W25" s="112"/>
      <c r="X25" s="112"/>
      <c r="Y25" s="113">
        <f>SUM(Y18:Y24)</f>
        <v>0</v>
      </c>
      <c r="Z25" s="112"/>
      <c r="AA25" s="112"/>
      <c r="AB25" s="113">
        <f t="shared" ref="AB25:AF25" si="27">SUM(AB18:AB24)</f>
        <v>665000</v>
      </c>
      <c r="AC25" s="113">
        <f t="shared" si="27"/>
        <v>1788000</v>
      </c>
      <c r="AD25" s="113">
        <f t="shared" si="27"/>
        <v>0</v>
      </c>
      <c r="AE25" s="113">
        <f t="shared" si="27"/>
        <v>522600</v>
      </c>
      <c r="AF25" s="113">
        <f t="shared" si="27"/>
        <v>3135600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1831723.2</v>
      </c>
      <c r="AR25" s="113">
        <f t="shared" si="29"/>
        <v>3135600</v>
      </c>
      <c r="AS25" s="113">
        <f t="shared" si="29"/>
        <v>0</v>
      </c>
      <c r="AT25" s="113">
        <f t="shared" si="29"/>
        <v>4967323.2</v>
      </c>
      <c r="AU25" s="113">
        <f t="shared" si="29"/>
        <v>3926469</v>
      </c>
      <c r="AV25" s="113">
        <f t="shared" si="29"/>
        <v>0</v>
      </c>
      <c r="AW25" s="113">
        <f t="shared" si="29"/>
        <v>0</v>
      </c>
      <c r="AX25" s="113">
        <f t="shared" si="29"/>
        <v>0</v>
      </c>
      <c r="AY25" s="113">
        <f t="shared" si="29"/>
        <v>0</v>
      </c>
      <c r="AZ25" s="113">
        <f t="shared" si="29"/>
        <v>0</v>
      </c>
      <c r="BA25" s="113">
        <f t="shared" si="29"/>
        <v>41253</v>
      </c>
      <c r="BB25" s="113">
        <f t="shared" si="29"/>
        <v>-999601.2</v>
      </c>
    </row>
    <row r="26" spans="1:54" ht="93.6" outlineLevel="2">
      <c r="A26" s="98"/>
      <c r="B26" s="143"/>
      <c r="C26" s="144"/>
      <c r="D26" s="149"/>
      <c r="E26" s="149"/>
      <c r="F26" s="288"/>
      <c r="G26" s="289"/>
      <c r="H26" s="302" t="s">
        <v>657</v>
      </c>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260"/>
      <c r="AA26" s="260"/>
      <c r="AB26" s="108">
        <f>+Z26*'1. Standard_Cost'!$B$23+AA26*'1. Standard_Cost'!$C$23</f>
        <v>0</v>
      </c>
      <c r="AC26" s="261">
        <f>1*420000</f>
        <v>420000</v>
      </c>
      <c r="AD26" s="262"/>
      <c r="AE26" s="108">
        <f>SUM(AD26,AC26,AB26,Y26,U26,T26,S26,R26)*'1. Standard_Cost'!$B$31</f>
        <v>84000</v>
      </c>
      <c r="AF26" s="108">
        <f t="shared" ref="AF26:AF29" si="30">SUM(AE26,AD26,AC26,AB26,Y26,U26,T26,S26,R26)</f>
        <v>504000</v>
      </c>
      <c r="AG26" s="260"/>
      <c r="AH26" s="260"/>
      <c r="AI26" s="260"/>
      <c r="AJ26" s="263"/>
      <c r="AK26" s="263"/>
      <c r="AL26" s="263"/>
      <c r="AM26" s="108">
        <f>AG26*'1. Standard_Cost'!$B$27+'Incremental_Cost Year 4'!AH26*'1. Standard_Cost'!$C$27+'Incremental_Cost Year 4'!AI26*'1. Standard_Cost'!$D$27+'Incremental_Cost Year 4'!AJ26+'Incremental_Cost Year 4'!AL26+AK26</f>
        <v>0</v>
      </c>
      <c r="AN26" s="108">
        <f>AM26*'1. Standard_Cost'!$C$31</f>
        <v>0</v>
      </c>
      <c r="AO26" s="125" t="s">
        <v>283</v>
      </c>
      <c r="AQ26" s="14">
        <f>L26+M26</f>
        <v>0</v>
      </c>
      <c r="AR26" s="14">
        <f t="shared" ref="AR26:AR29" si="31">AF26</f>
        <v>504000</v>
      </c>
      <c r="AS26" s="14">
        <f t="shared" ref="AS26:AS29" si="32">AM26+AN26</f>
        <v>0</v>
      </c>
      <c r="AT26" s="14">
        <f>SUM(AQ26,AR26,AS26)</f>
        <v>504000</v>
      </c>
      <c r="AU26" s="234"/>
      <c r="AV26" s="234"/>
      <c r="AW26" s="234"/>
      <c r="AX26" s="234"/>
      <c r="AY26" s="234"/>
      <c r="AZ26" s="234"/>
      <c r="BA26" s="234"/>
      <c r="BB26" s="16">
        <f>SUM(AU26:BA26)-AT26</f>
        <v>-504000</v>
      </c>
    </row>
    <row r="27" spans="1:54" ht="218.4" outlineLevel="2">
      <c r="A27" s="98"/>
      <c r="B27" s="143"/>
      <c r="C27" s="144"/>
      <c r="D27" s="290"/>
      <c r="E27" s="290"/>
      <c r="F27" s="290"/>
      <c r="G27" s="291"/>
      <c r="H27" s="302" t="s">
        <v>587</v>
      </c>
      <c r="I27" s="258" t="s">
        <v>193</v>
      </c>
      <c r="J27" s="259">
        <v>0.25</v>
      </c>
      <c r="K27" s="259">
        <v>2</v>
      </c>
      <c r="L27" s="106">
        <f>IF(I27&lt;&gt;0,((VLOOKUP(I27,'1. Standard_Cost'!$B$4:$D$11,2)+VLOOKUP(I27,'1. Standard_Cost'!$B$4:$D$11,3))*J27*K27),"0")</f>
        <v>25250</v>
      </c>
      <c r="M27" s="106">
        <f>L27*'1. Standard_Cost'!$F$4</f>
        <v>4216.75</v>
      </c>
      <c r="N27" s="260">
        <v>2</v>
      </c>
      <c r="O27" s="260">
        <v>2</v>
      </c>
      <c r="P27" s="260">
        <v>20</v>
      </c>
      <c r="Q27" s="260"/>
      <c r="R27" s="108">
        <f>'1. Standard_Cost'!$B$15*N27*P27</f>
        <v>80000</v>
      </c>
      <c r="S27" s="108">
        <f>N27*O27*P27*'1. Standard_Cost'!$C$15</f>
        <v>120000</v>
      </c>
      <c r="T27" s="108">
        <f>N27*P27*Q27*'1. Standard_Cost'!$D$15</f>
        <v>0</v>
      </c>
      <c r="U27" s="108">
        <f>N27*O27*'1. Standard_Cost'!$E$15</f>
        <v>160000</v>
      </c>
      <c r="V27" s="107"/>
      <c r="W27" s="107"/>
      <c r="X27" s="107"/>
      <c r="Y27" s="108">
        <f>+V27*((X27*'1. Standard_Cost'!$B$19)+(W27*X27*'1. Standard_Cost'!$C$19))</f>
        <v>0</v>
      </c>
      <c r="Z27" s="260"/>
      <c r="AA27" s="260">
        <v>14</v>
      </c>
      <c r="AB27" s="108">
        <f>+Z27*'1. Standard_Cost'!$B$23+AA27*'1. Standard_Cost'!$C$23</f>
        <v>266000</v>
      </c>
      <c r="AC27" s="261">
        <v>100000</v>
      </c>
      <c r="AD27" s="262"/>
      <c r="AE27" s="108">
        <f>SUM(AD27,AC27,AB27,Y27,U27,T27,S27,R27)*'1. Standard_Cost'!$B$31</f>
        <v>145200</v>
      </c>
      <c r="AF27" s="108">
        <f t="shared" si="30"/>
        <v>871200</v>
      </c>
      <c r="AG27" s="260"/>
      <c r="AH27" s="260"/>
      <c r="AI27" s="260"/>
      <c r="AJ27" s="263"/>
      <c r="AK27" s="263"/>
      <c r="AL27" s="263"/>
      <c r="AM27" s="108">
        <f>AG27*'1. Standard_Cost'!$B$27+'Incremental_Cost Year 4'!AH27*'1. Standard_Cost'!$C$27+'Incremental_Cost Year 4'!AI27*'1. Standard_Cost'!$D$27+'Incremental_Cost Year 4'!AJ27+'Incremental_Cost Year 4'!AL27+AK27</f>
        <v>0</v>
      </c>
      <c r="AN27" s="108">
        <f>AM27*'1. Standard_Cost'!$C$31</f>
        <v>0</v>
      </c>
      <c r="AO27" s="125" t="s">
        <v>284</v>
      </c>
      <c r="AQ27" s="14">
        <f t="shared" ref="AQ27:AQ29" si="33">L27+M27</f>
        <v>29466.75</v>
      </c>
      <c r="AR27" s="14">
        <f t="shared" si="31"/>
        <v>871200</v>
      </c>
      <c r="AS27" s="14">
        <f t="shared" si="32"/>
        <v>0</v>
      </c>
      <c r="AT27" s="14">
        <f t="shared" ref="AT27:AT29" si="34">SUM(AQ27,AR27,AS27)</f>
        <v>900666.75</v>
      </c>
      <c r="AU27" s="234">
        <v>31217</v>
      </c>
      <c r="AV27" s="234"/>
      <c r="AW27" s="234"/>
      <c r="AX27" s="234"/>
      <c r="AY27" s="234"/>
      <c r="AZ27" s="234"/>
      <c r="BA27" s="234"/>
      <c r="BB27" s="16">
        <f t="shared" ref="BB27:BB29" si="35">SUM(AU27:BA27)-AT27</f>
        <v>-869449.75</v>
      </c>
    </row>
    <row r="28" spans="1:54" ht="187.2" customHeight="1" outlineLevel="2">
      <c r="A28" s="98"/>
      <c r="B28" s="143"/>
      <c r="C28" s="144"/>
      <c r="D28" s="290"/>
      <c r="E28" s="290"/>
      <c r="F28" s="290"/>
      <c r="G28" s="291"/>
      <c r="H28" s="302" t="s">
        <v>658</v>
      </c>
      <c r="I28" s="258" t="s">
        <v>5</v>
      </c>
      <c r="J28" s="259">
        <v>0.5</v>
      </c>
      <c r="K28" s="259">
        <v>2</v>
      </c>
      <c r="L28" s="106">
        <f>IF(I28&lt;&gt;0,((VLOOKUP(I28,'1. Standard_Cost'!$B$4:$D$11,2)+VLOOKUP(I28,'1. Standard_Cost'!$B$4:$D$11,3))*J28*K28),"0")</f>
        <v>70700</v>
      </c>
      <c r="M28" s="106">
        <f>L28*'1. Standard_Cost'!$F$4</f>
        <v>11806.900000000001</v>
      </c>
      <c r="N28" s="260">
        <v>1</v>
      </c>
      <c r="O28" s="260">
        <v>3</v>
      </c>
      <c r="P28" s="260">
        <v>85</v>
      </c>
      <c r="Q28" s="260"/>
      <c r="R28" s="108">
        <f>'1. Standard_Cost'!$B$15*N28*P28</f>
        <v>170000</v>
      </c>
      <c r="S28" s="108">
        <f>N28*O28*P28*'1. Standard_Cost'!$C$15</f>
        <v>382500</v>
      </c>
      <c r="T28" s="108">
        <f>N28*P28*Q28*'1. Standard_Cost'!$D$15</f>
        <v>0</v>
      </c>
      <c r="U28" s="108">
        <f>N28*O28*'1. Standard_Cost'!$E$15</f>
        <v>120000</v>
      </c>
      <c r="V28" s="107"/>
      <c r="W28" s="107"/>
      <c r="X28" s="107"/>
      <c r="Y28" s="108">
        <f>+V28*((X28*'1. Standard_Cost'!$B$19)+(W28*X28*'1. Standard_Cost'!$C$19))</f>
        <v>0</v>
      </c>
      <c r="Z28" s="260"/>
      <c r="AA28" s="260"/>
      <c r="AB28" s="108">
        <f>+Z28*'1. Standard_Cost'!$B$23+AA28*'1. Standard_Cost'!$C$23</f>
        <v>0</v>
      </c>
      <c r="AC28" s="261">
        <v>1200000</v>
      </c>
      <c r="AD28" s="262"/>
      <c r="AE28" s="108">
        <f>SUM(AD28,AC28,AB28,Y28,U28,T28,S28,R28)*'1. Standard_Cost'!$B$31</f>
        <v>374500</v>
      </c>
      <c r="AF28" s="108">
        <f t="shared" si="30"/>
        <v>2247000</v>
      </c>
      <c r="AG28" s="260"/>
      <c r="AH28" s="260"/>
      <c r="AI28" s="260"/>
      <c r="AJ28" s="263"/>
      <c r="AK28" s="263"/>
      <c r="AL28" s="263"/>
      <c r="AM28" s="108">
        <f>AG28*'1. Standard_Cost'!$B$27+'Incremental_Cost Year 4'!AH28*'1. Standard_Cost'!$C$27+'Incremental_Cost Year 4'!AI28*'1. Standard_Cost'!$D$27+'Incremental_Cost Year 4'!AJ28+'Incremental_Cost Year 4'!AL28+AK28</f>
        <v>0</v>
      </c>
      <c r="AN28" s="108">
        <f>AM28*'1. Standard_Cost'!$C$31</f>
        <v>0</v>
      </c>
      <c r="AO28" s="125" t="s">
        <v>285</v>
      </c>
      <c r="AQ28" s="14">
        <f t="shared" si="33"/>
        <v>82506.899999999994</v>
      </c>
      <c r="AR28" s="14">
        <f t="shared" si="31"/>
        <v>2247000</v>
      </c>
      <c r="AS28" s="14">
        <f t="shared" si="32"/>
        <v>0</v>
      </c>
      <c r="AT28" s="14">
        <f t="shared" si="34"/>
        <v>2329506.9</v>
      </c>
      <c r="AU28" s="234">
        <v>82507</v>
      </c>
      <c r="AV28" s="234"/>
      <c r="AW28" s="234"/>
      <c r="AX28" s="234"/>
      <c r="AY28" s="234"/>
      <c r="AZ28" s="234"/>
      <c r="BA28" s="234"/>
      <c r="BB28" s="16">
        <f t="shared" si="35"/>
        <v>-2246999.9</v>
      </c>
    </row>
    <row r="29" spans="1:54" ht="93.6" outlineLevel="2">
      <c r="A29" s="98"/>
      <c r="B29" s="143"/>
      <c r="C29" s="144"/>
      <c r="D29" s="290"/>
      <c r="E29" s="290"/>
      <c r="F29" s="290"/>
      <c r="G29" s="291"/>
      <c r="H29" s="302" t="s">
        <v>588</v>
      </c>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30"/>
        <v>0</v>
      </c>
      <c r="AG29" s="260"/>
      <c r="AH29" s="260"/>
      <c r="AI29" s="260"/>
      <c r="AJ29" s="263"/>
      <c r="AK29" s="263">
        <v>1800000</v>
      </c>
      <c r="AL29" s="263"/>
      <c r="AM29" s="108">
        <f>AG29*'1. Standard_Cost'!$B$27+'Incremental_Cost Year 4'!AH29*'1. Standard_Cost'!$C$27+'Incremental_Cost Year 4'!AI29*'1. Standard_Cost'!$D$27+'Incremental_Cost Year 4'!AJ29+'Incremental_Cost Year 4'!AL29+AK29</f>
        <v>1800000</v>
      </c>
      <c r="AN29" s="108">
        <f>AM29*'1. Standard_Cost'!$C$31</f>
        <v>270000</v>
      </c>
      <c r="AO29" s="125" t="s">
        <v>286</v>
      </c>
      <c r="AQ29" s="14">
        <f t="shared" si="33"/>
        <v>0</v>
      </c>
      <c r="AR29" s="14">
        <f t="shared" si="31"/>
        <v>0</v>
      </c>
      <c r="AS29" s="14">
        <f t="shared" si="32"/>
        <v>2070000</v>
      </c>
      <c r="AT29" s="14">
        <f t="shared" si="34"/>
        <v>2070000</v>
      </c>
      <c r="AU29" s="234"/>
      <c r="AV29" s="234"/>
      <c r="AW29" s="234"/>
      <c r="AX29" s="234"/>
      <c r="AY29" s="234"/>
      <c r="AZ29" s="234"/>
      <c r="BA29" s="234"/>
      <c r="BB29" s="16">
        <f t="shared" si="35"/>
        <v>-2070000</v>
      </c>
    </row>
    <row r="30" spans="1:54" ht="78" outlineLevel="1">
      <c r="A30" s="98"/>
      <c r="B30" s="143"/>
      <c r="C30" s="144"/>
      <c r="D30" s="287" t="s">
        <v>627</v>
      </c>
      <c r="E30" s="287" t="s">
        <v>209</v>
      </c>
      <c r="F30" s="287">
        <v>2021</v>
      </c>
      <c r="G30" s="287">
        <v>2026</v>
      </c>
      <c r="H30" s="287" t="s">
        <v>191</v>
      </c>
      <c r="I30" s="112"/>
      <c r="J30" s="112"/>
      <c r="K30" s="112"/>
      <c r="L30" s="113">
        <f>SUM(L26:L29)</f>
        <v>95950</v>
      </c>
      <c r="M30" s="113">
        <f>SUM(M26:M29)</f>
        <v>16023.650000000001</v>
      </c>
      <c r="N30" s="112"/>
      <c r="O30" s="112"/>
      <c r="P30" s="112"/>
      <c r="Q30" s="112"/>
      <c r="R30" s="113">
        <f t="shared" ref="R30:U30" si="36">SUM(R26:R29)</f>
        <v>250000</v>
      </c>
      <c r="S30" s="113">
        <f t="shared" si="36"/>
        <v>502500</v>
      </c>
      <c r="T30" s="113">
        <f t="shared" si="36"/>
        <v>0</v>
      </c>
      <c r="U30" s="113">
        <f t="shared" si="36"/>
        <v>280000</v>
      </c>
      <c r="V30" s="112"/>
      <c r="W30" s="112"/>
      <c r="X30" s="112"/>
      <c r="Y30" s="113">
        <f>SUM(Y26:Y29)</f>
        <v>0</v>
      </c>
      <c r="Z30" s="112"/>
      <c r="AA30" s="112"/>
      <c r="AB30" s="113">
        <f t="shared" ref="AB30:AF30" si="37">SUM(AB26:AB29)</f>
        <v>266000</v>
      </c>
      <c r="AC30" s="113">
        <f t="shared" si="37"/>
        <v>1720000</v>
      </c>
      <c r="AD30" s="113">
        <f t="shared" si="37"/>
        <v>0</v>
      </c>
      <c r="AE30" s="113">
        <f t="shared" si="37"/>
        <v>603700</v>
      </c>
      <c r="AF30" s="113">
        <f t="shared" si="37"/>
        <v>3622200</v>
      </c>
      <c r="AG30" s="112"/>
      <c r="AH30" s="112"/>
      <c r="AI30" s="112"/>
      <c r="AJ30" s="113">
        <f t="shared" ref="AJ30:AN30" si="38">SUM(AJ26:AJ29)</f>
        <v>0</v>
      </c>
      <c r="AK30" s="113">
        <f t="shared" si="38"/>
        <v>1800000</v>
      </c>
      <c r="AL30" s="113">
        <f t="shared" si="38"/>
        <v>0</v>
      </c>
      <c r="AM30" s="113">
        <f t="shared" si="38"/>
        <v>1800000</v>
      </c>
      <c r="AN30" s="113">
        <f t="shared" si="38"/>
        <v>270000</v>
      </c>
      <c r="AO30" s="131"/>
      <c r="AP30" s="17"/>
      <c r="AQ30" s="113">
        <f t="shared" ref="AQ30:BB30" si="39">SUM(AQ26:AQ29)</f>
        <v>111973.65</v>
      </c>
      <c r="AR30" s="113">
        <f t="shared" si="39"/>
        <v>3622200</v>
      </c>
      <c r="AS30" s="113">
        <f t="shared" si="39"/>
        <v>2070000</v>
      </c>
      <c r="AT30" s="113">
        <f t="shared" si="39"/>
        <v>5804173.6500000004</v>
      </c>
      <c r="AU30" s="113">
        <f t="shared" si="39"/>
        <v>113724</v>
      </c>
      <c r="AV30" s="113">
        <f t="shared" si="39"/>
        <v>0</v>
      </c>
      <c r="AW30" s="113">
        <f t="shared" si="39"/>
        <v>0</v>
      </c>
      <c r="AX30" s="113">
        <f t="shared" si="39"/>
        <v>0</v>
      </c>
      <c r="AY30" s="113">
        <f t="shared" si="39"/>
        <v>0</v>
      </c>
      <c r="AZ30" s="113">
        <f t="shared" si="39"/>
        <v>0</v>
      </c>
      <c r="BA30" s="113">
        <f t="shared" si="39"/>
        <v>0</v>
      </c>
      <c r="BB30" s="113">
        <f t="shared" si="39"/>
        <v>-5690449.6500000004</v>
      </c>
    </row>
    <row r="31" spans="1:54" s="13" customFormat="1" ht="15.6" customHeight="1">
      <c r="A31" s="101"/>
      <c r="B31" s="319" t="s">
        <v>211</v>
      </c>
      <c r="C31" s="320"/>
      <c r="D31" s="320"/>
      <c r="E31" s="321"/>
      <c r="F31" s="292"/>
      <c r="G31" s="292"/>
      <c r="H31" s="292" t="s">
        <v>63</v>
      </c>
      <c r="I31" s="40"/>
      <c r="J31" s="40"/>
      <c r="K31" s="40"/>
      <c r="L31" s="41">
        <f>SUM(L32,L40,L80)</f>
        <v>12498530</v>
      </c>
      <c r="M31" s="41">
        <f>SUM(M32,M40,M80)</f>
        <v>2087254.5099999998</v>
      </c>
      <c r="N31" s="40"/>
      <c r="O31" s="40"/>
      <c r="P31" s="40"/>
      <c r="Q31" s="40"/>
      <c r="R31" s="41">
        <f t="shared" ref="R31:U31" si="40">SUM(R32,R40,R80)</f>
        <v>634000</v>
      </c>
      <c r="S31" s="41">
        <f t="shared" si="40"/>
        <v>681000</v>
      </c>
      <c r="T31" s="41">
        <f t="shared" si="40"/>
        <v>0</v>
      </c>
      <c r="U31" s="41">
        <f t="shared" si="40"/>
        <v>1120000</v>
      </c>
      <c r="V31" s="40"/>
      <c r="W31" s="40"/>
      <c r="X31" s="40"/>
      <c r="Y31" s="41">
        <f>SUM(Y32,Y40,Y80)</f>
        <v>0</v>
      </c>
      <c r="Z31" s="40"/>
      <c r="AA31" s="40"/>
      <c r="AB31" s="41">
        <f t="shared" ref="AB31:AF31" si="41">SUM(AB32,AB40,AB80)</f>
        <v>3306000</v>
      </c>
      <c r="AC31" s="41">
        <f t="shared" si="41"/>
        <v>20640296.32</v>
      </c>
      <c r="AD31" s="41">
        <f t="shared" si="41"/>
        <v>0</v>
      </c>
      <c r="AE31" s="41">
        <f t="shared" si="41"/>
        <v>5276259.2640000004</v>
      </c>
      <c r="AF31" s="41">
        <f t="shared" si="41"/>
        <v>31657555.583999999</v>
      </c>
      <c r="AG31" s="41"/>
      <c r="AH31" s="41"/>
      <c r="AI31" s="41"/>
      <c r="AJ31" s="41">
        <f t="shared" ref="AJ31:AN31" si="42">SUM(AJ32,AJ40,AJ80)</f>
        <v>2000000</v>
      </c>
      <c r="AK31" s="41">
        <f t="shared" si="42"/>
        <v>0</v>
      </c>
      <c r="AL31" s="41">
        <f t="shared" si="42"/>
        <v>1700000</v>
      </c>
      <c r="AM31" s="41">
        <f t="shared" si="42"/>
        <v>3700000</v>
      </c>
      <c r="AN31" s="41">
        <f t="shared" si="42"/>
        <v>555000</v>
      </c>
      <c r="AO31" s="129"/>
      <c r="AQ31" s="41">
        <f t="shared" ref="AQ31:BB31" si="43">SUM(AQ32,AQ40,AQ80)</f>
        <v>14585784.510000002</v>
      </c>
      <c r="AR31" s="41">
        <f t="shared" si="43"/>
        <v>31657555.583999999</v>
      </c>
      <c r="AS31" s="41">
        <f t="shared" si="43"/>
        <v>4255000</v>
      </c>
      <c r="AT31" s="41">
        <f t="shared" si="43"/>
        <v>50498340.093999997</v>
      </c>
      <c r="AU31" s="41">
        <f t="shared" si="43"/>
        <v>32298274</v>
      </c>
      <c r="AV31" s="41">
        <f t="shared" si="43"/>
        <v>0</v>
      </c>
      <c r="AW31" s="41">
        <f t="shared" si="43"/>
        <v>0</v>
      </c>
      <c r="AX31" s="41">
        <f t="shared" si="43"/>
        <v>0</v>
      </c>
      <c r="AY31" s="41">
        <f t="shared" si="43"/>
        <v>0</v>
      </c>
      <c r="AZ31" s="41">
        <f t="shared" si="43"/>
        <v>456000</v>
      </c>
      <c r="BA31" s="41">
        <f t="shared" si="43"/>
        <v>5712757</v>
      </c>
      <c r="BB31" s="41">
        <f t="shared" si="43"/>
        <v>-12031309.094000001</v>
      </c>
    </row>
    <row r="32" spans="1:54" s="13" customFormat="1" ht="15.6" customHeight="1">
      <c r="A32" s="101"/>
      <c r="B32" s="155"/>
      <c r="C32" s="322" t="s">
        <v>210</v>
      </c>
      <c r="D32" s="322"/>
      <c r="E32" s="323"/>
      <c r="F32" s="299"/>
      <c r="G32" s="299"/>
      <c r="H32" s="293" t="s">
        <v>181</v>
      </c>
      <c r="I32" s="37"/>
      <c r="J32" s="37"/>
      <c r="K32" s="37"/>
      <c r="L32" s="42">
        <f>SUM(L39)</f>
        <v>212100</v>
      </c>
      <c r="M32" s="42">
        <f>SUM(M39)</f>
        <v>35420.700000000004</v>
      </c>
      <c r="N32" s="42"/>
      <c r="O32" s="42"/>
      <c r="P32" s="42"/>
      <c r="Q32" s="42"/>
      <c r="R32" s="42">
        <f t="shared" ref="R32:U32" si="44">SUM(R39)</f>
        <v>24000</v>
      </c>
      <c r="S32" s="42">
        <f t="shared" si="44"/>
        <v>36000</v>
      </c>
      <c r="T32" s="42">
        <f t="shared" si="44"/>
        <v>0</v>
      </c>
      <c r="U32" s="42">
        <f t="shared" si="44"/>
        <v>80000</v>
      </c>
      <c r="V32" s="42"/>
      <c r="W32" s="42"/>
      <c r="X32" s="42"/>
      <c r="Y32" s="42">
        <f>SUM(Y39)</f>
        <v>0</v>
      </c>
      <c r="Z32" s="42"/>
      <c r="AA32" s="42"/>
      <c r="AB32" s="42">
        <f t="shared" ref="AB32:AF32" si="45">SUM(AB39)</f>
        <v>190000</v>
      </c>
      <c r="AC32" s="42">
        <f t="shared" si="45"/>
        <v>1956000</v>
      </c>
      <c r="AD32" s="42">
        <f t="shared" si="45"/>
        <v>0</v>
      </c>
      <c r="AE32" s="42">
        <f t="shared" si="45"/>
        <v>457200</v>
      </c>
      <c r="AF32" s="42">
        <f t="shared" si="45"/>
        <v>2743200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247520.69999999998</v>
      </c>
      <c r="AR32" s="42">
        <f t="shared" si="47"/>
        <v>2743200</v>
      </c>
      <c r="AS32" s="42">
        <f t="shared" si="47"/>
        <v>0</v>
      </c>
      <c r="AT32" s="42">
        <f t="shared" si="47"/>
        <v>2990720.7</v>
      </c>
      <c r="AU32" s="42">
        <f t="shared" si="47"/>
        <v>2587521</v>
      </c>
      <c r="AV32" s="42">
        <f t="shared" si="47"/>
        <v>0</v>
      </c>
      <c r="AW32" s="42">
        <f t="shared" si="47"/>
        <v>0</v>
      </c>
      <c r="AX32" s="42">
        <f t="shared" si="47"/>
        <v>0</v>
      </c>
      <c r="AY32" s="42">
        <f t="shared" si="47"/>
        <v>0</v>
      </c>
      <c r="AZ32" s="42">
        <f t="shared" si="47"/>
        <v>0</v>
      </c>
      <c r="BA32" s="42">
        <f t="shared" si="47"/>
        <v>0</v>
      </c>
      <c r="BB32" s="42">
        <f t="shared" si="47"/>
        <v>-403199.70000000007</v>
      </c>
    </row>
    <row r="33" spans="1:54" ht="93.6" outlineLevel="2">
      <c r="A33" s="98"/>
      <c r="B33" s="143"/>
      <c r="C33" s="144"/>
      <c r="D33" s="149"/>
      <c r="E33" s="149"/>
      <c r="F33" s="288"/>
      <c r="G33" s="289"/>
      <c r="H33" s="302" t="s">
        <v>582</v>
      </c>
      <c r="I33" s="280"/>
      <c r="J33" s="281"/>
      <c r="K33" s="281"/>
      <c r="L33" s="106" t="str">
        <f>IF(I33&lt;&gt;0,((VLOOKUP(I33,'1. Standard_Cost'!$B$4:$D$11,2)+VLOOKUP(I33,'1. Standard_Cost'!$B$4:$D$11,3))*J33*K33),"0")</f>
        <v>0</v>
      </c>
      <c r="M33" s="106">
        <f>L33*'1. Standard_Cost'!$F$4</f>
        <v>0</v>
      </c>
      <c r="N33" s="260"/>
      <c r="O33" s="260"/>
      <c r="P33" s="260"/>
      <c r="Q33" s="260"/>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260"/>
      <c r="AA33" s="260"/>
      <c r="AB33" s="108">
        <f>+Z33*'1. Standard_Cost'!$B$23+AA33*'1. Standard_Cost'!$C$23</f>
        <v>0</v>
      </c>
      <c r="AC33" s="261"/>
      <c r="AD33" s="262"/>
      <c r="AE33" s="108">
        <f>SUM(AD33,AC33,AB33,Y33,U33,T33,S33,R33)*'1. Standard_Cost'!$B$31</f>
        <v>0</v>
      </c>
      <c r="AF33" s="108">
        <f t="shared" ref="AF33:AF38" si="48">SUM(AE33,AD33,AC33,AB33,Y33,U33,T33,S33,R33)</f>
        <v>0</v>
      </c>
      <c r="AG33" s="107"/>
      <c r="AH33" s="107"/>
      <c r="AI33" s="107"/>
      <c r="AJ33" s="111"/>
      <c r="AK33" s="111"/>
      <c r="AL33" s="111"/>
      <c r="AM33" s="108">
        <f>AG33*'1. Standard_Cost'!$B$27+'Incremental_Cost Year 4'!AH33*'1. Standard_Cost'!$C$27+'Incremental_Cost Year 4'!AI33*'1. Standard_Cost'!$D$27+'Incremental_Cost Year 4'!AJ33+'Incremental_Cost Year 4'!AL33+AK33</f>
        <v>0</v>
      </c>
      <c r="AN33" s="108">
        <f>AM33*'1. Standard_Cost'!$C$31</f>
        <v>0</v>
      </c>
      <c r="AO33" s="125" t="s">
        <v>287</v>
      </c>
      <c r="AQ33" s="14">
        <f t="shared" ref="AQ33:AQ38" si="49">L33+M33</f>
        <v>0</v>
      </c>
      <c r="AR33" s="14">
        <f t="shared" ref="AR33:AR38" si="50">AF33</f>
        <v>0</v>
      </c>
      <c r="AS33" s="14">
        <f t="shared" ref="AS33:AS38" si="51">AM33+AN33</f>
        <v>0</v>
      </c>
      <c r="AT33" s="14">
        <f>SUM(AQ33,AR33,AS33)</f>
        <v>0</v>
      </c>
      <c r="AU33" s="234"/>
      <c r="AV33" s="234"/>
      <c r="AW33" s="234"/>
      <c r="AX33" s="234"/>
      <c r="AY33" s="234"/>
      <c r="AZ33" s="234"/>
      <c r="BA33" s="234"/>
      <c r="BB33" s="16">
        <f t="shared" ref="BB33:BB38" si="52">SUM(AU33:BA33)-AT33</f>
        <v>0</v>
      </c>
    </row>
    <row r="34" spans="1:54" ht="124.8" outlineLevel="2">
      <c r="A34" s="98"/>
      <c r="B34" s="143"/>
      <c r="C34" s="144"/>
      <c r="D34" s="290"/>
      <c r="E34" s="290"/>
      <c r="F34" s="290"/>
      <c r="G34" s="291"/>
      <c r="H34" s="302" t="s">
        <v>583</v>
      </c>
      <c r="I34" s="280" t="s">
        <v>5</v>
      </c>
      <c r="J34" s="281">
        <v>1</v>
      </c>
      <c r="K34" s="281">
        <v>2</v>
      </c>
      <c r="L34" s="106">
        <f>IF(I34&lt;&gt;0,((VLOOKUP(I34,'1. Standard_Cost'!$B$4:$D$11,2)+VLOOKUP(I34,'1. Standard_Cost'!$B$4:$D$11,3))*J34*K34),"0")</f>
        <v>141400</v>
      </c>
      <c r="M34" s="106">
        <f>L34*'1. Standard_Cost'!$F$4</f>
        <v>23613.800000000003</v>
      </c>
      <c r="N34" s="260"/>
      <c r="O34" s="260"/>
      <c r="P34" s="260"/>
      <c r="Q34" s="260"/>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260"/>
      <c r="AA34" s="260">
        <v>10</v>
      </c>
      <c r="AB34" s="108">
        <f>+Z34*'1. Standard_Cost'!$B$23+AA34*'1. Standard_Cost'!$C$23</f>
        <v>190000</v>
      </c>
      <c r="AC34" s="261">
        <v>250000</v>
      </c>
      <c r="AD34" s="262"/>
      <c r="AE34" s="108">
        <f>SUM(AD34,AC34,AB34,Y34,U34,T34,S34,R34)*'1. Standard_Cost'!$B$31</f>
        <v>88000</v>
      </c>
      <c r="AF34" s="108">
        <f t="shared" si="48"/>
        <v>528000</v>
      </c>
      <c r="AG34" s="107"/>
      <c r="AH34" s="107"/>
      <c r="AI34" s="107"/>
      <c r="AJ34" s="111"/>
      <c r="AK34" s="111"/>
      <c r="AL34" s="111"/>
      <c r="AM34" s="108">
        <f>AG34*'1. Standard_Cost'!$B$27+'Incremental_Cost Year 4'!AH34*'1. Standard_Cost'!$C$27+'Incremental_Cost Year 4'!AI34*'1. Standard_Cost'!$D$27+'Incremental_Cost Year 4'!AJ34+'Incremental_Cost Year 4'!AL34+AK34</f>
        <v>0</v>
      </c>
      <c r="AN34" s="108">
        <f>AM34*'1. Standard_Cost'!$C$31</f>
        <v>0</v>
      </c>
      <c r="AO34" s="125" t="s">
        <v>288</v>
      </c>
      <c r="AQ34" s="14">
        <f t="shared" si="49"/>
        <v>165013.79999999999</v>
      </c>
      <c r="AR34" s="14">
        <f t="shared" si="50"/>
        <v>528000</v>
      </c>
      <c r="AS34" s="14">
        <f t="shared" si="51"/>
        <v>0</v>
      </c>
      <c r="AT34" s="14">
        <f t="shared" ref="AT34:AT38" si="53">SUM(AQ34,AR34,AS34)</f>
        <v>693013.8</v>
      </c>
      <c r="AU34" s="234">
        <v>465014</v>
      </c>
      <c r="AV34" s="234"/>
      <c r="AW34" s="234"/>
      <c r="AX34" s="234"/>
      <c r="AY34" s="234"/>
      <c r="AZ34" s="234"/>
      <c r="BA34" s="234"/>
      <c r="BB34" s="16">
        <f t="shared" si="52"/>
        <v>-227999.80000000005</v>
      </c>
    </row>
    <row r="35" spans="1:54" ht="78" outlineLevel="2">
      <c r="A35" s="98"/>
      <c r="B35" s="143"/>
      <c r="C35" s="144"/>
      <c r="D35" s="290"/>
      <c r="E35" s="290"/>
      <c r="F35" s="290"/>
      <c r="G35" s="291"/>
      <c r="H35" s="302" t="s">
        <v>672</v>
      </c>
      <c r="I35" s="258"/>
      <c r="J35" s="259"/>
      <c r="K35" s="259"/>
      <c r="L35" s="106" t="str">
        <f>IF(I35&lt;&gt;0,((VLOOKUP(I35,'1. Standard_Cost'!$B$4:$D$11,2)+VLOOKUP(I35,'1. Standard_Cost'!$B$4:$D$11,3))*J35*K35),"0")</f>
        <v>0</v>
      </c>
      <c r="M35" s="106">
        <f>L35*'1. Standard_Cost'!$F$4</f>
        <v>0</v>
      </c>
      <c r="N35" s="260"/>
      <c r="O35" s="260"/>
      <c r="P35" s="260"/>
      <c r="Q35" s="260"/>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260"/>
      <c r="AA35" s="260"/>
      <c r="AB35" s="108">
        <f>+Z35*'1. Standard_Cost'!$B$23+AA35*'1. Standard_Cost'!$C$23</f>
        <v>0</v>
      </c>
      <c r="AC35" s="261"/>
      <c r="AD35" s="262"/>
      <c r="AE35" s="108">
        <f>SUM(AD35,AC35,AB35,Y35,U35,T35,S35,R35)*'1. Standard_Cost'!$B$31</f>
        <v>0</v>
      </c>
      <c r="AF35" s="108">
        <f t="shared" si="48"/>
        <v>0</v>
      </c>
      <c r="AG35" s="107"/>
      <c r="AH35" s="107"/>
      <c r="AI35" s="107"/>
      <c r="AJ35" s="111"/>
      <c r="AK35" s="111"/>
      <c r="AL35" s="111"/>
      <c r="AM35" s="108">
        <f>AG35*'1. Standard_Cost'!$B$27+'Incremental_Cost Year 4'!AH35*'1. Standard_Cost'!$C$27+'Incremental_Cost Year 4'!AI35*'1. Standard_Cost'!$D$27+'Incremental_Cost Year 4'!AJ35+'Incremental_Cost Year 4'!AL35+AK35</f>
        <v>0</v>
      </c>
      <c r="AN35" s="108">
        <f>AM35*'1. Standard_Cost'!$C$31</f>
        <v>0</v>
      </c>
      <c r="AO35" s="125" t="s">
        <v>289</v>
      </c>
      <c r="AQ35" s="14">
        <f t="shared" si="49"/>
        <v>0</v>
      </c>
      <c r="AR35" s="14">
        <f t="shared" si="50"/>
        <v>0</v>
      </c>
      <c r="AS35" s="14">
        <f t="shared" si="51"/>
        <v>0</v>
      </c>
      <c r="AT35" s="14">
        <f t="shared" si="53"/>
        <v>0</v>
      </c>
      <c r="AU35" s="234"/>
      <c r="AV35" s="234"/>
      <c r="AW35" s="234"/>
      <c r="AX35" s="234"/>
      <c r="AY35" s="234"/>
      <c r="AZ35" s="234"/>
      <c r="BA35" s="234"/>
      <c r="BB35" s="16">
        <f t="shared" si="52"/>
        <v>0</v>
      </c>
    </row>
    <row r="36" spans="1:54" ht="124.8" outlineLevel="2">
      <c r="A36" s="98"/>
      <c r="B36" s="143"/>
      <c r="C36" s="144"/>
      <c r="D36" s="290"/>
      <c r="E36" s="290"/>
      <c r="F36" s="290"/>
      <c r="G36" s="291"/>
      <c r="H36" s="302" t="s">
        <v>584</v>
      </c>
      <c r="I36" s="280" t="s">
        <v>5</v>
      </c>
      <c r="J36" s="281">
        <v>0.5</v>
      </c>
      <c r="K36" s="281">
        <v>2</v>
      </c>
      <c r="L36" s="106">
        <f>IF(I36&lt;&gt;0,((VLOOKUP(I36,'1. Standard_Cost'!$B$4:$D$11,2)+VLOOKUP(I36,'1. Standard_Cost'!$B$4:$D$11,3))*J36*K36),"0")</f>
        <v>70700</v>
      </c>
      <c r="M36" s="106">
        <f>L36*'1. Standard_Cost'!$F$4</f>
        <v>11806.900000000001</v>
      </c>
      <c r="N36" s="260">
        <v>1</v>
      </c>
      <c r="O36" s="260">
        <v>2</v>
      </c>
      <c r="P36" s="260">
        <v>12</v>
      </c>
      <c r="Q36" s="260"/>
      <c r="R36" s="108">
        <f>'1. Standard_Cost'!$B$15*N36*P36</f>
        <v>24000</v>
      </c>
      <c r="S36" s="108">
        <f>N36*O36*P36*'1. Standard_Cost'!$C$15</f>
        <v>36000</v>
      </c>
      <c r="T36" s="108">
        <f>N36*P36*Q36*'1. Standard_Cost'!$D$15</f>
        <v>0</v>
      </c>
      <c r="U36" s="108">
        <f>N36*O36*'1. Standard_Cost'!$E$15</f>
        <v>80000</v>
      </c>
      <c r="V36" s="107"/>
      <c r="W36" s="107"/>
      <c r="X36" s="107"/>
      <c r="Y36" s="108">
        <f>+V36*((X36*'1. Standard_Cost'!$B$19)+(W36*X36*'1. Standard_Cost'!$C$19))</f>
        <v>0</v>
      </c>
      <c r="Z36" s="260"/>
      <c r="AA36" s="260"/>
      <c r="AB36" s="108">
        <f>+Z36*'1. Standard_Cost'!$B$23+AA36*'1. Standard_Cost'!$C$23</f>
        <v>0</v>
      </c>
      <c r="AC36" s="261">
        <f>12*500</f>
        <v>6000</v>
      </c>
      <c r="AD36" s="262"/>
      <c r="AE36" s="108">
        <f>SUM(AD36,AC36,AB36,Y36,U36,T36,S36,R36)*'1. Standard_Cost'!$B$31</f>
        <v>29200</v>
      </c>
      <c r="AF36" s="108">
        <f t="shared" si="48"/>
        <v>175200</v>
      </c>
      <c r="AG36" s="107"/>
      <c r="AH36" s="107"/>
      <c r="AI36" s="107"/>
      <c r="AJ36" s="111"/>
      <c r="AK36" s="111"/>
      <c r="AL36" s="111"/>
      <c r="AM36" s="108">
        <f>AG36*'1. Standard_Cost'!$B$27+'Incremental_Cost Year 4'!AH36*'1. Standard_Cost'!$C$27+'Incremental_Cost Year 4'!AI36*'1. Standard_Cost'!$D$27+'Incremental_Cost Year 4'!AJ36+'Incremental_Cost Year 4'!AL36+AK36</f>
        <v>0</v>
      </c>
      <c r="AN36" s="108">
        <f>AM36*'1. Standard_Cost'!$C$31</f>
        <v>0</v>
      </c>
      <c r="AO36" s="125" t="s">
        <v>290</v>
      </c>
      <c r="AQ36" s="14">
        <f t="shared" si="49"/>
        <v>82506.899999999994</v>
      </c>
      <c r="AR36" s="14">
        <f t="shared" si="50"/>
        <v>175200</v>
      </c>
      <c r="AS36" s="14">
        <f t="shared" si="51"/>
        <v>0</v>
      </c>
      <c r="AT36" s="14">
        <f t="shared" si="53"/>
        <v>257706.9</v>
      </c>
      <c r="AU36" s="234">
        <v>82507</v>
      </c>
      <c r="AV36" s="234"/>
      <c r="AW36" s="234"/>
      <c r="AX36" s="234"/>
      <c r="AY36" s="234"/>
      <c r="AZ36" s="234"/>
      <c r="BA36" s="234"/>
      <c r="BB36" s="16">
        <f t="shared" si="52"/>
        <v>-175199.9</v>
      </c>
    </row>
    <row r="37" spans="1:54" ht="124.8" outlineLevel="2">
      <c r="A37" s="98"/>
      <c r="B37" s="143"/>
      <c r="C37" s="144"/>
      <c r="D37" s="290"/>
      <c r="E37" s="290"/>
      <c r="F37" s="290"/>
      <c r="G37" s="291"/>
      <c r="H37" s="302" t="s">
        <v>673</v>
      </c>
      <c r="I37" s="258"/>
      <c r="J37" s="259"/>
      <c r="K37" s="259"/>
      <c r="L37" s="106" t="str">
        <f>IF(I37&lt;&gt;0,((VLOOKUP(I37,'1. Standard_Cost'!$B$4:$D$11,2)+VLOOKUP(I37,'1. Standard_Cost'!$B$4:$D$11,3))*J37*K37),"0")</f>
        <v>0</v>
      </c>
      <c r="M37" s="106">
        <f>L37*'1. Standard_Cost'!$F$4</f>
        <v>0</v>
      </c>
      <c r="N37" s="260"/>
      <c r="O37" s="260"/>
      <c r="P37" s="260"/>
      <c r="Q37" s="260"/>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260"/>
      <c r="AA37" s="260"/>
      <c r="AB37" s="108">
        <f>+Z37*'1. Standard_Cost'!$B$23+AA37*'1. Standard_Cost'!$C$23</f>
        <v>0</v>
      </c>
      <c r="AC37" s="261"/>
      <c r="AD37" s="262"/>
      <c r="AE37" s="108">
        <f>SUM(AD37,AC37,AB37,Y37,U37,T37,S37,R37)*'1. Standard_Cost'!$B$31</f>
        <v>0</v>
      </c>
      <c r="AF37" s="108">
        <f t="shared" si="48"/>
        <v>0</v>
      </c>
      <c r="AG37" s="107"/>
      <c r="AH37" s="107"/>
      <c r="AI37" s="107"/>
      <c r="AJ37" s="111"/>
      <c r="AK37" s="111"/>
      <c r="AL37" s="111"/>
      <c r="AM37" s="108">
        <f>AG37*'1. Standard_Cost'!$B$27+'Incremental_Cost Year 4'!AH37*'1. Standard_Cost'!$C$27+'Incremental_Cost Year 4'!AI37*'1. Standard_Cost'!$D$27+'Incremental_Cost Year 4'!AJ37+'Incremental_Cost Year 4'!AL37+AK37</f>
        <v>0</v>
      </c>
      <c r="AN37" s="108">
        <f>AM37*'1. Standard_Cost'!$C$31</f>
        <v>0</v>
      </c>
      <c r="AO37" s="125" t="s">
        <v>291</v>
      </c>
      <c r="AQ37" s="14">
        <f t="shared" si="49"/>
        <v>0</v>
      </c>
      <c r="AR37" s="14">
        <f t="shared" si="50"/>
        <v>0</v>
      </c>
      <c r="AS37" s="14">
        <f t="shared" si="51"/>
        <v>0</v>
      </c>
      <c r="AT37" s="14">
        <f t="shared" si="53"/>
        <v>0</v>
      </c>
      <c r="AU37" s="234"/>
      <c r="AV37" s="234"/>
      <c r="AW37" s="234"/>
      <c r="AX37" s="234"/>
      <c r="AY37" s="234"/>
      <c r="AZ37" s="234"/>
      <c r="BA37" s="234"/>
      <c r="BB37" s="16">
        <f t="shared" si="52"/>
        <v>0</v>
      </c>
    </row>
    <row r="38" spans="1:54" ht="78" outlineLevel="2">
      <c r="A38" s="98"/>
      <c r="B38" s="143"/>
      <c r="C38" s="144"/>
      <c r="D38" s="290"/>
      <c r="E38" s="290"/>
      <c r="F38" s="290"/>
      <c r="G38" s="291"/>
      <c r="H38" s="302" t="s">
        <v>585</v>
      </c>
      <c r="I38" s="258"/>
      <c r="J38" s="259"/>
      <c r="K38" s="259"/>
      <c r="L38" s="106" t="str">
        <f>IF(I38&lt;&gt;0,((VLOOKUP(I38,'1. Standard_Cost'!$B$4:$D$11,2)+VLOOKUP(I38,'1. Standard_Cost'!$B$4:$D$11,3))*J38*K38),"0")</f>
        <v>0</v>
      </c>
      <c r="M38" s="106">
        <f>L38*'1. Standard_Cost'!$F$4</f>
        <v>0</v>
      </c>
      <c r="N38" s="260"/>
      <c r="O38" s="260"/>
      <c r="P38" s="260"/>
      <c r="Q38" s="260"/>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260"/>
      <c r="AA38" s="260"/>
      <c r="AB38" s="108">
        <f>+Z38*'1. Standard_Cost'!$B$23+AA38*'1. Standard_Cost'!$C$23</f>
        <v>0</v>
      </c>
      <c r="AC38" s="261">
        <v>1700000</v>
      </c>
      <c r="AD38" s="262"/>
      <c r="AE38" s="108">
        <f>SUM(AD38,AC38,AB38,Y38,U38,T38,S38,R38)*'1. Standard_Cost'!$B$31</f>
        <v>340000</v>
      </c>
      <c r="AF38" s="108">
        <f t="shared" si="48"/>
        <v>2040000</v>
      </c>
      <c r="AG38" s="107"/>
      <c r="AH38" s="107"/>
      <c r="AI38" s="107"/>
      <c r="AJ38" s="111"/>
      <c r="AK38" s="111"/>
      <c r="AL38" s="111"/>
      <c r="AM38" s="108">
        <f>AG38*'1. Standard_Cost'!$B$27+'Incremental_Cost Year 4'!AH38*'1. Standard_Cost'!$C$27+'Incremental_Cost Year 4'!AI38*'1. Standard_Cost'!$D$27+'Incremental_Cost Year 4'!AJ38+'Incremental_Cost Year 4'!AL38+AK38</f>
        <v>0</v>
      </c>
      <c r="AN38" s="108">
        <f>AM38*'1. Standard_Cost'!$C$31</f>
        <v>0</v>
      </c>
      <c r="AO38" s="125" t="s">
        <v>292</v>
      </c>
      <c r="AQ38" s="14">
        <f t="shared" si="49"/>
        <v>0</v>
      </c>
      <c r="AR38" s="14">
        <f t="shared" si="50"/>
        <v>2040000</v>
      </c>
      <c r="AS38" s="14">
        <f t="shared" si="51"/>
        <v>0</v>
      </c>
      <c r="AT38" s="14">
        <f t="shared" si="53"/>
        <v>2040000</v>
      </c>
      <c r="AU38" s="234">
        <v>2040000</v>
      </c>
      <c r="AV38" s="234"/>
      <c r="AW38" s="234"/>
      <c r="AX38" s="234"/>
      <c r="AY38" s="234"/>
      <c r="AZ38" s="234"/>
      <c r="BA38" s="234"/>
      <c r="BB38" s="16">
        <f t="shared" si="52"/>
        <v>0</v>
      </c>
    </row>
    <row r="39" spans="1:54" ht="156" outlineLevel="1">
      <c r="A39" s="98"/>
      <c r="B39" s="143"/>
      <c r="C39" s="144"/>
      <c r="D39" s="145" t="s">
        <v>628</v>
      </c>
      <c r="E39" s="145" t="s">
        <v>212</v>
      </c>
      <c r="F39" s="285">
        <v>2021</v>
      </c>
      <c r="G39" s="286">
        <v>2026</v>
      </c>
      <c r="H39" s="287" t="s">
        <v>214</v>
      </c>
      <c r="I39" s="112"/>
      <c r="J39" s="112"/>
      <c r="K39" s="112"/>
      <c r="L39" s="113">
        <f>SUM(L33:L38)</f>
        <v>212100</v>
      </c>
      <c r="M39" s="113">
        <f>SUM(M33:M38)</f>
        <v>35420.700000000004</v>
      </c>
      <c r="N39" s="112"/>
      <c r="O39" s="112"/>
      <c r="P39" s="112"/>
      <c r="Q39" s="112"/>
      <c r="R39" s="113">
        <f t="shared" ref="R39:U39" si="54">SUM(R33:R38)</f>
        <v>24000</v>
      </c>
      <c r="S39" s="113">
        <f t="shared" si="54"/>
        <v>36000</v>
      </c>
      <c r="T39" s="113">
        <f t="shared" si="54"/>
        <v>0</v>
      </c>
      <c r="U39" s="113">
        <f t="shared" si="54"/>
        <v>80000</v>
      </c>
      <c r="V39" s="112"/>
      <c r="W39" s="112"/>
      <c r="X39" s="112"/>
      <c r="Y39" s="113">
        <f>SUM(Y33:Y38)</f>
        <v>0</v>
      </c>
      <c r="Z39" s="112"/>
      <c r="AA39" s="112"/>
      <c r="AB39" s="113">
        <f>SUM(AB33:AB38)</f>
        <v>190000</v>
      </c>
      <c r="AC39" s="113">
        <f t="shared" ref="AC39:AF39" si="55">SUM(AC33:AC38)</f>
        <v>1956000</v>
      </c>
      <c r="AD39" s="113">
        <f t="shared" si="55"/>
        <v>0</v>
      </c>
      <c r="AE39" s="113">
        <f t="shared" si="55"/>
        <v>457200</v>
      </c>
      <c r="AF39" s="113">
        <f t="shared" si="55"/>
        <v>2743200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247520.69999999998</v>
      </c>
      <c r="AR39" s="113">
        <f t="shared" si="57"/>
        <v>2743200</v>
      </c>
      <c r="AS39" s="113">
        <f t="shared" si="57"/>
        <v>0</v>
      </c>
      <c r="AT39" s="113">
        <f t="shared" si="57"/>
        <v>2990720.7</v>
      </c>
      <c r="AU39" s="113">
        <f t="shared" si="57"/>
        <v>2587521</v>
      </c>
      <c r="AV39" s="113">
        <f t="shared" si="57"/>
        <v>0</v>
      </c>
      <c r="AW39" s="113">
        <f t="shared" si="57"/>
        <v>0</v>
      </c>
      <c r="AX39" s="113">
        <f t="shared" si="57"/>
        <v>0</v>
      </c>
      <c r="AY39" s="113">
        <f t="shared" si="57"/>
        <v>0</v>
      </c>
      <c r="AZ39" s="113">
        <f t="shared" si="57"/>
        <v>0</v>
      </c>
      <c r="BA39" s="113">
        <f t="shared" si="57"/>
        <v>0</v>
      </c>
      <c r="BB39" s="113">
        <f t="shared" si="57"/>
        <v>-403199.70000000007</v>
      </c>
    </row>
    <row r="40" spans="1:54" s="24" customFormat="1" ht="13.8" customHeight="1">
      <c r="A40" s="114"/>
      <c r="B40" s="115"/>
      <c r="C40" s="314" t="s">
        <v>192</v>
      </c>
      <c r="D40" s="314"/>
      <c r="E40" s="315"/>
      <c r="F40" s="246"/>
      <c r="G40" s="246"/>
      <c r="H40" s="278" t="s">
        <v>184</v>
      </c>
      <c r="I40" s="116"/>
      <c r="J40" s="116"/>
      <c r="K40" s="116"/>
      <c r="L40" s="117">
        <f>SUM(L59,L79)</f>
        <v>11605655</v>
      </c>
      <c r="M40" s="117">
        <f>SUM(M59,M79)</f>
        <v>1938144.3849999998</v>
      </c>
      <c r="N40" s="116"/>
      <c r="O40" s="116"/>
      <c r="P40" s="116"/>
      <c r="Q40" s="116"/>
      <c r="R40" s="117">
        <f t="shared" ref="R40:U40" si="58">SUM(R59,R79)</f>
        <v>420000</v>
      </c>
      <c r="S40" s="117">
        <f t="shared" si="58"/>
        <v>360000</v>
      </c>
      <c r="T40" s="117">
        <f t="shared" si="58"/>
        <v>0</v>
      </c>
      <c r="U40" s="117">
        <f t="shared" si="58"/>
        <v>640000</v>
      </c>
      <c r="V40" s="116"/>
      <c r="W40" s="116"/>
      <c r="X40" s="116"/>
      <c r="Y40" s="117">
        <f>SUM(Y59,Y79)</f>
        <v>0</v>
      </c>
      <c r="Z40" s="116"/>
      <c r="AA40" s="116"/>
      <c r="AB40" s="117">
        <f t="shared" ref="AB40:AF40" si="59">SUM(AB59,AB79)</f>
        <v>1862000</v>
      </c>
      <c r="AC40" s="117">
        <f t="shared" si="59"/>
        <v>14176296.32</v>
      </c>
      <c r="AD40" s="117">
        <f t="shared" si="59"/>
        <v>0</v>
      </c>
      <c r="AE40" s="117">
        <f t="shared" si="59"/>
        <v>3491659.264</v>
      </c>
      <c r="AF40" s="117">
        <f t="shared" si="59"/>
        <v>20949955.583999999</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13543799.385000002</v>
      </c>
      <c r="AR40" s="117">
        <f t="shared" si="61"/>
        <v>20949955.583999999</v>
      </c>
      <c r="AS40" s="117">
        <f t="shared" si="61"/>
        <v>0</v>
      </c>
      <c r="AT40" s="117">
        <f t="shared" si="61"/>
        <v>34493754.968999997</v>
      </c>
      <c r="AU40" s="117">
        <f t="shared" si="61"/>
        <v>22021289</v>
      </c>
      <c r="AV40" s="117">
        <f t="shared" si="61"/>
        <v>0</v>
      </c>
      <c r="AW40" s="117">
        <f t="shared" si="61"/>
        <v>0</v>
      </c>
      <c r="AX40" s="117">
        <f t="shared" si="61"/>
        <v>0</v>
      </c>
      <c r="AY40" s="117">
        <f t="shared" si="61"/>
        <v>0</v>
      </c>
      <c r="AZ40" s="117">
        <f t="shared" si="61"/>
        <v>456000</v>
      </c>
      <c r="BA40" s="117">
        <f t="shared" si="61"/>
        <v>5712757</v>
      </c>
      <c r="BB40" s="117">
        <f t="shared" si="61"/>
        <v>-6303708.9690000005</v>
      </c>
    </row>
    <row r="41" spans="1:54" ht="93.6" outlineLevel="2">
      <c r="A41" s="98"/>
      <c r="B41" s="102"/>
      <c r="C41" s="23"/>
      <c r="D41" s="257"/>
      <c r="E41" s="257"/>
      <c r="F41" s="251"/>
      <c r="G41" s="250"/>
      <c r="H41" s="302" t="s">
        <v>589</v>
      </c>
      <c r="I41" s="258" t="s">
        <v>2</v>
      </c>
      <c r="J41" s="259">
        <v>1</v>
      </c>
      <c r="K41" s="259">
        <v>7</v>
      </c>
      <c r="L41" s="106">
        <f>IF(I41&lt;&gt;0,((VLOOKUP(I41,'1. Standard_Cost'!$B$4:$D$11,2)+VLOOKUP(I41,'1. Standard_Cost'!$B$4:$D$11,3))*J41*K41),"0")</f>
        <v>847000</v>
      </c>
      <c r="M41" s="106">
        <f>L41*'1. Standard_Cost'!$F$4</f>
        <v>141449</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260"/>
      <c r="AA41" s="260"/>
      <c r="AB41" s="108">
        <f>+Z41*'1. Standard_Cost'!$B$23+AA41*'1. Standard_Cost'!$C$23</f>
        <v>0</v>
      </c>
      <c r="AC41" s="261">
        <v>99000</v>
      </c>
      <c r="AD41" s="262"/>
      <c r="AE41" s="108">
        <f>SUM(AD41,AC41,AB41,Y41,U41,T41,S41,R41)*'1. Standard_Cost'!$B$31</f>
        <v>19800</v>
      </c>
      <c r="AF41" s="108">
        <f t="shared" ref="AF41:AF58" si="62">SUM(AE41,AD41,AC41,AB41,Y41,U41,T41,S41,R41)</f>
        <v>118800</v>
      </c>
      <c r="AG41" s="107"/>
      <c r="AH41" s="107"/>
      <c r="AI41" s="107"/>
      <c r="AJ41" s="111"/>
      <c r="AK41" s="111"/>
      <c r="AL41" s="111"/>
      <c r="AM41" s="108">
        <f>AG41*'1. Standard_Cost'!$B$27+'Incremental_Cost Year 4'!AH41*'1. Standard_Cost'!$C$27+'Incremental_Cost Year 4'!AI41*'1. Standard_Cost'!$D$27+'Incremental_Cost Year 4'!AJ41+'Incremental_Cost Year 4'!AL41+AK41</f>
        <v>0</v>
      </c>
      <c r="AN41" s="108">
        <f>AM41*'1. Standard_Cost'!$C$31</f>
        <v>0</v>
      </c>
      <c r="AO41" s="125" t="s">
        <v>293</v>
      </c>
      <c r="AQ41" s="14">
        <f t="shared" ref="AQ41:AQ58" si="63">L41+M41</f>
        <v>988449</v>
      </c>
      <c r="AR41" s="14">
        <f t="shared" ref="AR41:AR58" si="64">AF41</f>
        <v>118800</v>
      </c>
      <c r="AS41" s="14">
        <f t="shared" ref="AS41:AS58" si="65">AM41+AN41</f>
        <v>0</v>
      </c>
      <c r="AT41" s="14">
        <f>SUM(AQ41,AR41,AS41)</f>
        <v>1107249</v>
      </c>
      <c r="AU41" s="234">
        <v>1107249</v>
      </c>
      <c r="AV41" s="234"/>
      <c r="AW41" s="234"/>
      <c r="AX41" s="234"/>
      <c r="AY41" s="234"/>
      <c r="AZ41" s="234"/>
      <c r="BA41" s="234"/>
      <c r="BB41" s="16">
        <f t="shared" ref="BB41:BB58" si="66">SUM(AU41:BA41)-AT41</f>
        <v>0</v>
      </c>
    </row>
    <row r="42" spans="1:54" ht="109.2" outlineLevel="2">
      <c r="A42" s="98"/>
      <c r="B42" s="102"/>
      <c r="C42" s="23"/>
      <c r="D42" s="251"/>
      <c r="E42" s="251"/>
      <c r="F42" s="251"/>
      <c r="G42" s="250"/>
      <c r="H42" s="302" t="s">
        <v>590</v>
      </c>
      <c r="I42" s="258" t="s">
        <v>2</v>
      </c>
      <c r="J42" s="259">
        <v>0.6</v>
      </c>
      <c r="K42" s="259">
        <v>9</v>
      </c>
      <c r="L42" s="106">
        <f>IF(I42&lt;&gt;0,((VLOOKUP(I42,'1. Standard_Cost'!$B$4:$D$11,2)+VLOOKUP(I42,'1. Standard_Cost'!$B$4:$D$11,3))*J42*K42),"0")</f>
        <v>653400</v>
      </c>
      <c r="M42" s="106">
        <f>L42*'1. Standard_Cost'!$F$4</f>
        <v>109117.8</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260"/>
      <c r="AA42" s="260"/>
      <c r="AB42" s="108">
        <f>+Z42*'1. Standard_Cost'!$B$23+AA42*'1. Standard_Cost'!$C$23</f>
        <v>0</v>
      </c>
      <c r="AC42" s="261">
        <v>76200</v>
      </c>
      <c r="AD42" s="262"/>
      <c r="AE42" s="108">
        <f>SUM(AD42,AC42,AB42,Y42,U42,T42,S42,R42)*'1. Standard_Cost'!$B$31</f>
        <v>15240</v>
      </c>
      <c r="AF42" s="108">
        <f t="shared" si="62"/>
        <v>91440</v>
      </c>
      <c r="AG42" s="107"/>
      <c r="AH42" s="107"/>
      <c r="AI42" s="107"/>
      <c r="AJ42" s="111"/>
      <c r="AK42" s="111"/>
      <c r="AL42" s="111"/>
      <c r="AM42" s="108">
        <f>AG42*'1. Standard_Cost'!$B$27+'Incremental_Cost Year 4'!AH42*'1. Standard_Cost'!$C$27+'Incremental_Cost Year 4'!AI42*'1. Standard_Cost'!$D$27+'Incremental_Cost Year 4'!AJ42+'Incremental_Cost Year 4'!AL42+AK42</f>
        <v>0</v>
      </c>
      <c r="AN42" s="108">
        <f>AM42*'1. Standard_Cost'!$C$31</f>
        <v>0</v>
      </c>
      <c r="AO42" s="125" t="s">
        <v>294</v>
      </c>
      <c r="AQ42" s="14">
        <f t="shared" si="63"/>
        <v>762517.8</v>
      </c>
      <c r="AR42" s="14">
        <f t="shared" si="64"/>
        <v>91440</v>
      </c>
      <c r="AS42" s="14">
        <f t="shared" si="65"/>
        <v>0</v>
      </c>
      <c r="AT42" s="14">
        <f t="shared" ref="AT42:AT57" si="67">SUM(AQ42,AR42,AS42)</f>
        <v>853957.8</v>
      </c>
      <c r="AU42" s="234">
        <v>853958</v>
      </c>
      <c r="AV42" s="234">
        <v>0</v>
      </c>
      <c r="AW42" s="234"/>
      <c r="AX42" s="234"/>
      <c r="AY42" s="234"/>
      <c r="AZ42" s="234"/>
      <c r="BA42" s="234"/>
      <c r="BB42" s="16">
        <f t="shared" si="66"/>
        <v>0.19999999995343387</v>
      </c>
    </row>
    <row r="43" spans="1:54" ht="124.8" outlineLevel="2">
      <c r="A43" s="98"/>
      <c r="B43" s="102"/>
      <c r="C43" s="23"/>
      <c r="D43" s="251"/>
      <c r="E43" s="251"/>
      <c r="F43" s="251"/>
      <c r="G43" s="250"/>
      <c r="H43" s="302" t="s">
        <v>591</v>
      </c>
      <c r="I43" s="258" t="s">
        <v>2</v>
      </c>
      <c r="J43" s="259">
        <v>1.2</v>
      </c>
      <c r="K43" s="259">
        <v>7</v>
      </c>
      <c r="L43" s="106">
        <f>IF(I43&lt;&gt;0,((VLOOKUP(I43,'1. Standard_Cost'!$B$4:$D$11,2)+VLOOKUP(I43,'1. Standard_Cost'!$B$4:$D$11,3))*J43*K43),"0")</f>
        <v>1016400</v>
      </c>
      <c r="M43" s="106">
        <f>L43*'1. Standard_Cost'!$F$4</f>
        <v>169738.80000000002</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260"/>
      <c r="AA43" s="260"/>
      <c r="AB43" s="108">
        <f>+Z43*'1. Standard_Cost'!$B$23+AA43*'1. Standard_Cost'!$C$23</f>
        <v>0</v>
      </c>
      <c r="AC43" s="261">
        <f>0.12*1186139</f>
        <v>142336.68</v>
      </c>
      <c r="AD43" s="262"/>
      <c r="AE43" s="108">
        <f>SUM(AD43,AC43,AB43,Y43,U43,T43,S43,R43)*'1. Standard_Cost'!$B$31</f>
        <v>28467.335999999999</v>
      </c>
      <c r="AF43" s="108">
        <f t="shared" si="62"/>
        <v>170804.016</v>
      </c>
      <c r="AG43" s="107"/>
      <c r="AH43" s="107"/>
      <c r="AI43" s="107"/>
      <c r="AJ43" s="111"/>
      <c r="AK43" s="111"/>
      <c r="AL43" s="111"/>
      <c r="AM43" s="108">
        <f>AG43*'1. Standard_Cost'!$B$27+'Incremental_Cost Year 4'!AH43*'1. Standard_Cost'!$C$27+'Incremental_Cost Year 4'!AI43*'1. Standard_Cost'!$D$27+'Incremental_Cost Year 4'!AJ43+'Incremental_Cost Year 4'!AL43+AK43</f>
        <v>0</v>
      </c>
      <c r="AN43" s="108">
        <f>AM43*'1. Standard_Cost'!$C$31</f>
        <v>0</v>
      </c>
      <c r="AO43" s="125" t="s">
        <v>295</v>
      </c>
      <c r="AQ43" s="14">
        <f t="shared" si="63"/>
        <v>1186138.8</v>
      </c>
      <c r="AR43" s="14">
        <f t="shared" si="64"/>
        <v>170804.016</v>
      </c>
      <c r="AS43" s="14">
        <f t="shared" si="65"/>
        <v>0</v>
      </c>
      <c r="AT43" s="14">
        <f t="shared" si="67"/>
        <v>1356942.8160000001</v>
      </c>
      <c r="AU43" s="234">
        <v>1356943</v>
      </c>
      <c r="AV43" s="234">
        <v>0</v>
      </c>
      <c r="AW43" s="234"/>
      <c r="AX43" s="234"/>
      <c r="AY43" s="234"/>
      <c r="AZ43" s="234"/>
      <c r="BA43" s="234"/>
      <c r="BB43" s="16">
        <f t="shared" si="66"/>
        <v>0.18399999989196658</v>
      </c>
    </row>
    <row r="44" spans="1:54" ht="82.8" outlineLevel="2">
      <c r="A44" s="98"/>
      <c r="B44" s="102"/>
      <c r="C44" s="23"/>
      <c r="D44" s="251"/>
      <c r="E44" s="251"/>
      <c r="F44" s="172"/>
      <c r="G44" s="173"/>
      <c r="H44" s="302" t="s">
        <v>674</v>
      </c>
      <c r="I44" s="258"/>
      <c r="J44" s="259"/>
      <c r="K44" s="259"/>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62"/>
        <v>0</v>
      </c>
      <c r="AG44" s="107"/>
      <c r="AH44" s="107"/>
      <c r="AI44" s="107"/>
      <c r="AJ44" s="111"/>
      <c r="AK44" s="111"/>
      <c r="AL44" s="111"/>
      <c r="AM44" s="108">
        <f>AG44*'1. Standard_Cost'!$B$27+'Incremental_Cost Year 4'!AH44*'1. Standard_Cost'!$C$27+'Incremental_Cost Year 4'!AI44*'1. Standard_Cost'!$D$27+'Incremental_Cost Year 4'!AJ44+'Incremental_Cost Year 4'!AL44+AK44</f>
        <v>0</v>
      </c>
      <c r="AN44" s="108">
        <f>AM44*'1. Standard_Cost'!$C$31</f>
        <v>0</v>
      </c>
      <c r="AO44" s="125" t="s">
        <v>296</v>
      </c>
      <c r="AQ44" s="14">
        <f t="shared" si="63"/>
        <v>0</v>
      </c>
      <c r="AR44" s="14">
        <f t="shared" si="64"/>
        <v>0</v>
      </c>
      <c r="AS44" s="14">
        <f t="shared" si="65"/>
        <v>0</v>
      </c>
      <c r="AT44" s="14">
        <f t="shared" si="67"/>
        <v>0</v>
      </c>
      <c r="AU44" s="234"/>
      <c r="AV44" s="234"/>
      <c r="AW44" s="234"/>
      <c r="AX44" s="234"/>
      <c r="AY44" s="234"/>
      <c r="AZ44" s="234"/>
      <c r="BA44" s="234"/>
      <c r="BB44" s="16">
        <f t="shared" si="66"/>
        <v>0</v>
      </c>
    </row>
    <row r="45" spans="1:54" ht="109.2" outlineLevel="2">
      <c r="A45" s="98"/>
      <c r="B45" s="102"/>
      <c r="C45" s="23"/>
      <c r="D45" s="251"/>
      <c r="E45" s="251"/>
      <c r="F45" s="251"/>
      <c r="G45" s="250"/>
      <c r="H45" s="302" t="s">
        <v>592</v>
      </c>
      <c r="I45" s="258" t="s">
        <v>3</v>
      </c>
      <c r="J45" s="259">
        <v>1.2</v>
      </c>
      <c r="K45" s="259">
        <v>12</v>
      </c>
      <c r="L45" s="106">
        <f>IF(I45&lt;&gt;0,((VLOOKUP(I45,'1. Standard_Cost'!$B$4:$D$11,2)+VLOOKUP(I45,'1. Standard_Cost'!$B$4:$D$11,3))*J45*K45),"0")</f>
        <v>1451520</v>
      </c>
      <c r="M45" s="106">
        <f>L45*'1. Standard_Cost'!$F$4</f>
        <v>242403.84000000003</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260"/>
      <c r="AA45" s="260">
        <v>40</v>
      </c>
      <c r="AB45" s="108">
        <f>+Z45*'1. Standard_Cost'!$B$23+AA45*'1. Standard_Cost'!$C$23</f>
        <v>760000</v>
      </c>
      <c r="AC45" s="261">
        <v>203271</v>
      </c>
      <c r="AD45" s="262"/>
      <c r="AE45" s="108">
        <f>SUM(AD45,AC45,AB45,Y45,U45,T45,S45,R45)*'1. Standard_Cost'!$B$31</f>
        <v>192654.2</v>
      </c>
      <c r="AF45" s="108">
        <f t="shared" si="62"/>
        <v>1155925.2</v>
      </c>
      <c r="AG45" s="107"/>
      <c r="AH45" s="107"/>
      <c r="AI45" s="107"/>
      <c r="AJ45" s="111"/>
      <c r="AK45" s="111"/>
      <c r="AL45" s="111"/>
      <c r="AM45" s="108">
        <f>AG45*'1. Standard_Cost'!$B$27+'Incremental_Cost Year 4'!AH45*'1. Standard_Cost'!$C$27+'Incremental_Cost Year 4'!AI45*'1. Standard_Cost'!$D$27+'Incremental_Cost Year 4'!AJ45+'Incremental_Cost Year 4'!AL45+AK45</f>
        <v>0</v>
      </c>
      <c r="AN45" s="108">
        <f>AM45*'1. Standard_Cost'!$C$31</f>
        <v>0</v>
      </c>
      <c r="AO45" s="125" t="s">
        <v>297</v>
      </c>
      <c r="AQ45" s="14">
        <f t="shared" si="63"/>
        <v>1693923.84</v>
      </c>
      <c r="AR45" s="14">
        <f t="shared" si="64"/>
        <v>1155925.2</v>
      </c>
      <c r="AS45" s="14">
        <f t="shared" si="65"/>
        <v>0</v>
      </c>
      <c r="AT45" s="14">
        <f t="shared" si="67"/>
        <v>2849849.04</v>
      </c>
      <c r="AU45" s="234">
        <v>1897195</v>
      </c>
      <c r="AV45" s="234">
        <v>0</v>
      </c>
      <c r="AW45" s="234"/>
      <c r="AX45" s="234"/>
      <c r="AY45" s="234"/>
      <c r="AZ45" s="234"/>
      <c r="BA45" s="234"/>
      <c r="BB45" s="16">
        <f t="shared" si="66"/>
        <v>-952654.04</v>
      </c>
    </row>
    <row r="46" spans="1:54" ht="140.4" outlineLevel="2">
      <c r="A46" s="98"/>
      <c r="B46" s="102"/>
      <c r="C46" s="23"/>
      <c r="D46" s="251"/>
      <c r="E46" s="251"/>
      <c r="F46" s="251"/>
      <c r="G46" s="250"/>
      <c r="H46" s="302" t="s">
        <v>593</v>
      </c>
      <c r="I46" s="258" t="s">
        <v>3</v>
      </c>
      <c r="J46" s="259">
        <v>1.2</v>
      </c>
      <c r="K46" s="259">
        <v>6</v>
      </c>
      <c r="L46" s="106">
        <f>IF(I46&lt;&gt;0,((VLOOKUP(I46,'1. Standard_Cost'!$B$4:$D$11,2)+VLOOKUP(I46,'1. Standard_Cost'!$B$4:$D$11,3))*J46*K46),"0")</f>
        <v>725760</v>
      </c>
      <c r="M46" s="106">
        <f>L46*'1. Standard_Cost'!$F$4</f>
        <v>121201.92000000001</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260"/>
      <c r="AA46" s="260"/>
      <c r="AB46" s="108">
        <f>+Z46*'1. Standard_Cost'!$B$23+AA46*'1. Standard_Cost'!$C$23</f>
        <v>0</v>
      </c>
      <c r="AC46" s="261">
        <v>101635</v>
      </c>
      <c r="AD46" s="262"/>
      <c r="AE46" s="108">
        <f>SUM(AD46,AC46,AB46,Y46,U46,T46,S46,R46)*'1. Standard_Cost'!$B$31</f>
        <v>20327</v>
      </c>
      <c r="AF46" s="108">
        <f t="shared" si="62"/>
        <v>121962</v>
      </c>
      <c r="AG46" s="107"/>
      <c r="AH46" s="107"/>
      <c r="AI46" s="107"/>
      <c r="AJ46" s="111"/>
      <c r="AK46" s="111"/>
      <c r="AL46" s="111"/>
      <c r="AM46" s="108">
        <f>AG46*'1. Standard_Cost'!$B$27+'Incremental_Cost Year 4'!AH46*'1. Standard_Cost'!$C$27+'Incremental_Cost Year 4'!AI46*'1. Standard_Cost'!$D$27+'Incremental_Cost Year 4'!AJ46+'Incremental_Cost Year 4'!AL46+AK46</f>
        <v>0</v>
      </c>
      <c r="AN46" s="108">
        <f>AM46*'1. Standard_Cost'!$C$31</f>
        <v>0</v>
      </c>
      <c r="AO46" s="125" t="s">
        <v>298</v>
      </c>
      <c r="AQ46" s="14">
        <f t="shared" si="63"/>
        <v>846961.92</v>
      </c>
      <c r="AR46" s="14">
        <f t="shared" si="64"/>
        <v>121962</v>
      </c>
      <c r="AS46" s="14">
        <f t="shared" si="65"/>
        <v>0</v>
      </c>
      <c r="AT46" s="14">
        <f t="shared" si="67"/>
        <v>968923.92</v>
      </c>
      <c r="AU46" s="234">
        <v>968924</v>
      </c>
      <c r="AV46" s="234"/>
      <c r="AW46" s="234"/>
      <c r="AX46" s="234"/>
      <c r="AY46" s="234"/>
      <c r="AZ46" s="234"/>
      <c r="BA46" s="234"/>
      <c r="BB46" s="16">
        <f t="shared" si="66"/>
        <v>7.9999999958090484E-2</v>
      </c>
    </row>
    <row r="47" spans="1:54" ht="93.6" outlineLevel="2">
      <c r="A47" s="98"/>
      <c r="B47" s="102"/>
      <c r="C47" s="23"/>
      <c r="D47" s="251"/>
      <c r="E47" s="251"/>
      <c r="F47" s="172"/>
      <c r="G47" s="173"/>
      <c r="H47" s="302" t="s">
        <v>594</v>
      </c>
      <c r="I47" s="258" t="s">
        <v>3</v>
      </c>
      <c r="J47" s="259">
        <v>1.2</v>
      </c>
      <c r="K47" s="259">
        <v>5</v>
      </c>
      <c r="L47" s="106">
        <f>IF(I47&lt;&gt;0,((VLOOKUP(I47,'1. Standard_Cost'!$B$4:$D$11,2)+VLOOKUP(I47,'1. Standard_Cost'!$B$4:$D$11,3))*J47*K47),"0")</f>
        <v>604800</v>
      </c>
      <c r="M47" s="106">
        <f>L47*'1. Standard_Cost'!$F$4</f>
        <v>101001.60000000001</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260"/>
      <c r="AA47" s="260"/>
      <c r="AB47" s="108">
        <f>+Z47*'1. Standard_Cost'!$B$23+AA47*'1. Standard_Cost'!$C$23</f>
        <v>0</v>
      </c>
      <c r="AC47" s="261">
        <v>84696</v>
      </c>
      <c r="AD47" s="262"/>
      <c r="AE47" s="108">
        <f>SUM(AD47,AC47,AB47,Y47,U47,T47,S47,R47)*'1. Standard_Cost'!$B$31</f>
        <v>16939.2</v>
      </c>
      <c r="AF47" s="108">
        <f t="shared" si="62"/>
        <v>101635.2</v>
      </c>
      <c r="AG47" s="107"/>
      <c r="AH47" s="107"/>
      <c r="AI47" s="107"/>
      <c r="AJ47" s="111"/>
      <c r="AK47" s="111"/>
      <c r="AL47" s="111"/>
      <c r="AM47" s="108">
        <f>AG47*'1. Standard_Cost'!$B$27+'Incremental_Cost Year 4'!AH47*'1. Standard_Cost'!$C$27+'Incremental_Cost Year 4'!AI47*'1. Standard_Cost'!$D$27+'Incremental_Cost Year 4'!AJ47+'Incremental_Cost Year 4'!AL47+AK47</f>
        <v>0</v>
      </c>
      <c r="AN47" s="108">
        <f>AM47*'1. Standard_Cost'!$C$31</f>
        <v>0</v>
      </c>
      <c r="AO47" s="125" t="s">
        <v>298</v>
      </c>
      <c r="AQ47" s="14">
        <f t="shared" si="63"/>
        <v>705801.6</v>
      </c>
      <c r="AR47" s="14">
        <f t="shared" si="64"/>
        <v>101635.2</v>
      </c>
      <c r="AS47" s="14">
        <f t="shared" si="65"/>
        <v>0</v>
      </c>
      <c r="AT47" s="14">
        <f t="shared" si="67"/>
        <v>807436.79999999993</v>
      </c>
      <c r="AU47" s="234">
        <v>807437</v>
      </c>
      <c r="AV47" s="234">
        <v>0</v>
      </c>
      <c r="AW47" s="234"/>
      <c r="AX47" s="234"/>
      <c r="AY47" s="234"/>
      <c r="AZ47" s="234"/>
      <c r="BA47" s="234"/>
      <c r="BB47" s="16">
        <f t="shared" si="66"/>
        <v>0.20000000006984919</v>
      </c>
    </row>
    <row r="48" spans="1:54" ht="93.6" outlineLevel="2">
      <c r="A48" s="98"/>
      <c r="B48" s="102"/>
      <c r="C48" s="23"/>
      <c r="D48" s="251"/>
      <c r="E48" s="251"/>
      <c r="F48" s="172"/>
      <c r="G48" s="173"/>
      <c r="H48" s="302" t="s">
        <v>595</v>
      </c>
      <c r="I48" s="258"/>
      <c r="J48" s="259"/>
      <c r="K48" s="259"/>
      <c r="L48" s="106" t="str">
        <f>IF(I48&lt;&gt;0,((VLOOKUP(I48,'1. Standard_Cost'!$B$4:$D$11,2)+VLOOKUP(I48,'1. Standard_Cost'!$B$4:$D$11,3))*J48*K48),"0")</f>
        <v>0</v>
      </c>
      <c r="M48" s="106">
        <f>L48*'1. Standard_Cost'!$F$4</f>
        <v>0</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260"/>
      <c r="AA48" s="260"/>
      <c r="AB48" s="108">
        <f>+Z48*'1. Standard_Cost'!$B$23+AA48*'1. Standard_Cost'!$C$23</f>
        <v>0</v>
      </c>
      <c r="AC48" s="261"/>
      <c r="AD48" s="262"/>
      <c r="AE48" s="108">
        <f>SUM(AD48,AC48,AB48,Y48,U48,T48,S48,R48)*'1. Standard_Cost'!$B$31</f>
        <v>0</v>
      </c>
      <c r="AF48" s="108">
        <f t="shared" si="62"/>
        <v>0</v>
      </c>
      <c r="AG48" s="107"/>
      <c r="AH48" s="107"/>
      <c r="AI48" s="107"/>
      <c r="AJ48" s="111"/>
      <c r="AK48" s="111"/>
      <c r="AL48" s="111"/>
      <c r="AM48" s="108">
        <f>AG48*'1. Standard_Cost'!$B$27+'Incremental_Cost Year 4'!AH48*'1. Standard_Cost'!$C$27+'Incremental_Cost Year 4'!AI48*'1. Standard_Cost'!$D$27+'Incremental_Cost Year 4'!AJ48+'Incremental_Cost Year 4'!AL48+AK48</f>
        <v>0</v>
      </c>
      <c r="AN48" s="108">
        <f>AM48*'1. Standard_Cost'!$C$31</f>
        <v>0</v>
      </c>
      <c r="AO48" s="125" t="s">
        <v>298</v>
      </c>
      <c r="AQ48" s="14">
        <f t="shared" si="63"/>
        <v>0</v>
      </c>
      <c r="AR48" s="14">
        <f t="shared" si="64"/>
        <v>0</v>
      </c>
      <c r="AS48" s="14">
        <f t="shared" si="65"/>
        <v>0</v>
      </c>
      <c r="AT48" s="14">
        <f t="shared" si="67"/>
        <v>0</v>
      </c>
      <c r="AU48" s="234"/>
      <c r="AV48" s="234"/>
      <c r="AW48" s="234"/>
      <c r="AX48" s="234"/>
      <c r="AY48" s="234"/>
      <c r="AZ48" s="234"/>
      <c r="BA48" s="234"/>
      <c r="BB48" s="16">
        <f t="shared" si="66"/>
        <v>0</v>
      </c>
    </row>
    <row r="49" spans="1:54" ht="124.8" outlineLevel="2">
      <c r="A49" s="98"/>
      <c r="B49" s="102"/>
      <c r="C49" s="23"/>
      <c r="D49" s="251"/>
      <c r="E49" s="251"/>
      <c r="F49" s="251"/>
      <c r="G49" s="250"/>
      <c r="H49" s="302" t="s">
        <v>596</v>
      </c>
      <c r="I49" s="258"/>
      <c r="J49" s="259"/>
      <c r="K49" s="259"/>
      <c r="L49" s="106" t="str">
        <f>IF(I49&lt;&gt;0,((VLOOKUP(I49,'1. Standard_Cost'!$B$4:$D$11,2)+VLOOKUP(I49,'1. Standard_Cost'!$B$4:$D$11,3))*J49*K49),"0")</f>
        <v>0</v>
      </c>
      <c r="M49" s="106">
        <f>L49*'1. Standard_Cost'!$F$4</f>
        <v>0</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260"/>
      <c r="AA49" s="260"/>
      <c r="AB49" s="108">
        <f>+Z49*'1. Standard_Cost'!$B$23+AA49*'1. Standard_Cost'!$C$23</f>
        <v>0</v>
      </c>
      <c r="AC49" s="261"/>
      <c r="AD49" s="262"/>
      <c r="AE49" s="108">
        <f>SUM(AD49,AC49,AB49,Y49,U49,T49,S49,R49)*'1. Standard_Cost'!$B$31</f>
        <v>0</v>
      </c>
      <c r="AF49" s="108">
        <f t="shared" si="62"/>
        <v>0</v>
      </c>
      <c r="AG49" s="107"/>
      <c r="AH49" s="107"/>
      <c r="AI49" s="107"/>
      <c r="AJ49" s="111"/>
      <c r="AK49" s="111"/>
      <c r="AL49" s="111"/>
      <c r="AM49" s="108">
        <f>AG49*'1. Standard_Cost'!$B$27+'Incremental_Cost Year 4'!AH49*'1. Standard_Cost'!$C$27+'Incremental_Cost Year 4'!AI49*'1. Standard_Cost'!$D$27+'Incremental_Cost Year 4'!AJ49+'Incremental_Cost Year 4'!AL49+AK49</f>
        <v>0</v>
      </c>
      <c r="AN49" s="108">
        <f>AM49*'1. Standard_Cost'!$C$31</f>
        <v>0</v>
      </c>
      <c r="AO49" s="125" t="s">
        <v>299</v>
      </c>
      <c r="AQ49" s="14">
        <f t="shared" si="63"/>
        <v>0</v>
      </c>
      <c r="AR49" s="14">
        <f t="shared" si="64"/>
        <v>0</v>
      </c>
      <c r="AS49" s="14">
        <f t="shared" si="65"/>
        <v>0</v>
      </c>
      <c r="AT49" s="14">
        <f t="shared" si="67"/>
        <v>0</v>
      </c>
      <c r="AU49" s="234"/>
      <c r="AV49" s="234">
        <v>0</v>
      </c>
      <c r="AW49" s="234"/>
      <c r="AX49" s="234"/>
      <c r="AY49" s="234"/>
      <c r="AZ49" s="234"/>
      <c r="BA49" s="234"/>
      <c r="BB49" s="16">
        <f t="shared" si="66"/>
        <v>0</v>
      </c>
    </row>
    <row r="50" spans="1:54" ht="140.4" customHeight="1" outlineLevel="2">
      <c r="A50" s="98"/>
      <c r="B50" s="102"/>
      <c r="C50" s="23"/>
      <c r="D50" s="251"/>
      <c r="E50" s="251"/>
      <c r="F50" s="172"/>
      <c r="G50" s="173"/>
      <c r="H50" s="302" t="s">
        <v>597</v>
      </c>
      <c r="I50" s="258"/>
      <c r="J50" s="259"/>
      <c r="K50" s="259"/>
      <c r="L50" s="106" t="str">
        <f>IF(I50&lt;&gt;0,((VLOOKUP(I50,'1. Standard_Cost'!$B$4:$D$11,2)+VLOOKUP(I50,'1. Standard_Cost'!$B$4:$D$11,3))*J50*K50),"0")</f>
        <v>0</v>
      </c>
      <c r="M50" s="106">
        <f>L50*'1. Standard_Cost'!$F$4</f>
        <v>0</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260"/>
      <c r="AA50" s="260"/>
      <c r="AB50" s="108">
        <f>+Z50*'1. Standard_Cost'!$B$23+AA50*'1. Standard_Cost'!$C$23</f>
        <v>0</v>
      </c>
      <c r="AC50" s="261"/>
      <c r="AD50" s="262"/>
      <c r="AE50" s="108">
        <f>SUM(AD50,AC50,AB50,Y50,U50,T50,S50,R50)*'1. Standard_Cost'!$B$31</f>
        <v>0</v>
      </c>
      <c r="AF50" s="108">
        <f t="shared" si="62"/>
        <v>0</v>
      </c>
      <c r="AG50" s="107"/>
      <c r="AH50" s="107"/>
      <c r="AI50" s="107"/>
      <c r="AJ50" s="111"/>
      <c r="AK50" s="111"/>
      <c r="AL50" s="111"/>
      <c r="AM50" s="108">
        <f>AG50*'1. Standard_Cost'!$B$27+'Incremental_Cost Year 4'!AH50*'1. Standard_Cost'!$C$27+'Incremental_Cost Year 4'!AI50*'1. Standard_Cost'!$D$27+'Incremental_Cost Year 4'!AJ50+'Incremental_Cost Year 4'!AL50+AK50</f>
        <v>0</v>
      </c>
      <c r="AN50" s="108">
        <f>AM50*'1. Standard_Cost'!$C$31</f>
        <v>0</v>
      </c>
      <c r="AO50" s="125" t="s">
        <v>300</v>
      </c>
      <c r="AQ50" s="14">
        <f t="shared" si="63"/>
        <v>0</v>
      </c>
      <c r="AR50" s="14">
        <f t="shared" si="64"/>
        <v>0</v>
      </c>
      <c r="AS50" s="14">
        <f t="shared" si="65"/>
        <v>0</v>
      </c>
      <c r="AT50" s="14">
        <f t="shared" si="67"/>
        <v>0</v>
      </c>
      <c r="AU50" s="234"/>
      <c r="AV50" s="234">
        <v>0</v>
      </c>
      <c r="AW50" s="234"/>
      <c r="AX50" s="234"/>
      <c r="AY50" s="234"/>
      <c r="AZ50" s="234"/>
      <c r="BA50" s="234"/>
      <c r="BB50" s="16">
        <f t="shared" si="66"/>
        <v>0</v>
      </c>
    </row>
    <row r="51" spans="1:54" ht="109.2" outlineLevel="2">
      <c r="A51" s="98"/>
      <c r="B51" s="102"/>
      <c r="C51" s="23"/>
      <c r="D51" s="251"/>
      <c r="E51" s="251"/>
      <c r="F51" s="251"/>
      <c r="G51" s="173"/>
      <c r="H51" s="302" t="s">
        <v>598</v>
      </c>
      <c r="I51" s="258"/>
      <c r="J51" s="259"/>
      <c r="K51" s="259"/>
      <c r="L51" s="106" t="str">
        <f>IF(I51&lt;&gt;0,((VLOOKUP(I51,'1. Standard_Cost'!$B$4:$D$11,2)+VLOOKUP(I51,'1. Standard_Cost'!$B$4:$D$11,3))*J51*K51),"0")</f>
        <v>0</v>
      </c>
      <c r="M51" s="106">
        <f>L51*'1. Standard_Cost'!$F$4</f>
        <v>0</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260"/>
      <c r="AA51" s="260"/>
      <c r="AB51" s="108">
        <f>+Z51*'1. Standard_Cost'!$B$23+AA51*'1. Standard_Cost'!$C$23</f>
        <v>0</v>
      </c>
      <c r="AC51" s="261"/>
      <c r="AD51" s="262"/>
      <c r="AE51" s="108">
        <f>SUM(AD51,AC51,AB51,Y51,U51,T51,S51,R51)*'1. Standard_Cost'!$B$31</f>
        <v>0</v>
      </c>
      <c r="AF51" s="108">
        <f t="shared" si="62"/>
        <v>0</v>
      </c>
      <c r="AG51" s="107"/>
      <c r="AH51" s="107"/>
      <c r="AI51" s="107"/>
      <c r="AJ51" s="111"/>
      <c r="AK51" s="111"/>
      <c r="AL51" s="111"/>
      <c r="AM51" s="108">
        <f>AG51*'1. Standard_Cost'!$B$27+'Incremental_Cost Year 4'!AH51*'1. Standard_Cost'!$C$27+'Incremental_Cost Year 4'!AI51*'1. Standard_Cost'!$D$27+'Incremental_Cost Year 4'!AJ51+'Incremental_Cost Year 4'!AL51+AK51</f>
        <v>0</v>
      </c>
      <c r="AN51" s="108">
        <f>AM51*'1. Standard_Cost'!$C$31</f>
        <v>0</v>
      </c>
      <c r="AO51" s="125" t="s">
        <v>301</v>
      </c>
      <c r="AQ51" s="14">
        <f t="shared" si="63"/>
        <v>0</v>
      </c>
      <c r="AR51" s="14">
        <f t="shared" si="64"/>
        <v>0</v>
      </c>
      <c r="AS51" s="14">
        <f t="shared" si="65"/>
        <v>0</v>
      </c>
      <c r="AT51" s="14">
        <f t="shared" si="67"/>
        <v>0</v>
      </c>
      <c r="AU51" s="234"/>
      <c r="AV51" s="234"/>
      <c r="AW51" s="234"/>
      <c r="AX51" s="234"/>
      <c r="AY51" s="234"/>
      <c r="AZ51" s="234"/>
      <c r="BA51" s="234"/>
      <c r="BB51" s="16">
        <f t="shared" si="66"/>
        <v>0</v>
      </c>
    </row>
    <row r="52" spans="1:54" ht="109.2" outlineLevel="2">
      <c r="A52" s="98"/>
      <c r="B52" s="102"/>
      <c r="C52" s="23"/>
      <c r="D52" s="251"/>
      <c r="E52" s="251"/>
      <c r="F52" s="251"/>
      <c r="G52" s="250"/>
      <c r="H52" s="302" t="s">
        <v>599</v>
      </c>
      <c r="I52" s="258"/>
      <c r="J52" s="259"/>
      <c r="K52" s="259"/>
      <c r="L52" s="106" t="str">
        <f>IF(I52&lt;&gt;0,((VLOOKUP(I52,'1. Standard_Cost'!$B$4:$D$11,2)+VLOOKUP(I52,'1. Standard_Cost'!$B$4:$D$11,3))*J52*K52),"0")</f>
        <v>0</v>
      </c>
      <c r="M52" s="106">
        <f>L52*'1. Standard_Cost'!$F$4</f>
        <v>0</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260"/>
      <c r="AA52" s="260"/>
      <c r="AB52" s="108">
        <f>+Z52*'1. Standard_Cost'!$B$23+AA52*'1. Standard_Cost'!$C$23</f>
        <v>0</v>
      </c>
      <c r="AC52" s="261"/>
      <c r="AD52" s="262"/>
      <c r="AE52" s="108">
        <f>SUM(AD52,AC52,AB52,Y52,U52,T52,S52,R52)*'1. Standard_Cost'!$B$31</f>
        <v>0</v>
      </c>
      <c r="AF52" s="108">
        <f t="shared" si="62"/>
        <v>0</v>
      </c>
      <c r="AG52" s="107"/>
      <c r="AH52" s="107"/>
      <c r="AI52" s="107"/>
      <c r="AJ52" s="111"/>
      <c r="AK52" s="111"/>
      <c r="AL52" s="111"/>
      <c r="AM52" s="108">
        <f>AG52*'1. Standard_Cost'!$B$27+'Incremental_Cost Year 4'!AH52*'1. Standard_Cost'!$C$27+'Incremental_Cost Year 4'!AI52*'1. Standard_Cost'!$D$27+'Incremental_Cost Year 4'!AJ52+'Incremental_Cost Year 4'!AL52+AK52</f>
        <v>0</v>
      </c>
      <c r="AN52" s="108">
        <f>AM52*'1. Standard_Cost'!$C$31</f>
        <v>0</v>
      </c>
      <c r="AO52" s="125" t="s">
        <v>302</v>
      </c>
      <c r="AQ52" s="14">
        <f t="shared" si="63"/>
        <v>0</v>
      </c>
      <c r="AR52" s="14">
        <f t="shared" si="64"/>
        <v>0</v>
      </c>
      <c r="AS52" s="14">
        <f t="shared" si="65"/>
        <v>0</v>
      </c>
      <c r="AT52" s="14">
        <f t="shared" si="67"/>
        <v>0</v>
      </c>
      <c r="AU52" s="234"/>
      <c r="AV52" s="234">
        <v>0</v>
      </c>
      <c r="AW52" s="234"/>
      <c r="AX52" s="234"/>
      <c r="AY52" s="234"/>
      <c r="AZ52" s="234"/>
      <c r="BA52" s="234"/>
      <c r="BB52" s="16">
        <f t="shared" si="66"/>
        <v>0</v>
      </c>
    </row>
    <row r="53" spans="1:54" ht="124.8" outlineLevel="2">
      <c r="A53" s="98"/>
      <c r="B53" s="102"/>
      <c r="C53" s="23"/>
      <c r="D53" s="251"/>
      <c r="E53" s="251"/>
      <c r="F53" s="172"/>
      <c r="G53" s="173"/>
      <c r="H53" s="302" t="s">
        <v>600</v>
      </c>
      <c r="I53" s="258" t="s">
        <v>4</v>
      </c>
      <c r="J53" s="259">
        <v>1</v>
      </c>
      <c r="K53" s="259">
        <v>7</v>
      </c>
      <c r="L53" s="106">
        <f>IF(I53&lt;&gt;0,((VLOOKUP(I53,'1. Standard_Cost'!$B$4:$D$11,2)+VLOOKUP(I53,'1. Standard_Cost'!$B$4:$D$11,3))*J53*K53),"0")</f>
        <v>565250</v>
      </c>
      <c r="M53" s="106">
        <f>L53*'1. Standard_Cost'!$F$4</f>
        <v>94396.75</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260"/>
      <c r="AA53" s="260"/>
      <c r="AB53" s="108">
        <f>+Z53*'1. Standard_Cost'!$B$23+AA53*'1. Standard_Cost'!$C$23</f>
        <v>0</v>
      </c>
      <c r="AC53" s="261">
        <f>659647*0.12</f>
        <v>79157.64</v>
      </c>
      <c r="AD53" s="262"/>
      <c r="AE53" s="108">
        <f>SUM(AD53,AC53,AB53,Y53,U53,T53,S53,R53)*'1. Standard_Cost'!$B$31</f>
        <v>15831.528</v>
      </c>
      <c r="AF53" s="108">
        <f t="shared" si="62"/>
        <v>94989.168000000005</v>
      </c>
      <c r="AG53" s="107"/>
      <c r="AH53" s="107"/>
      <c r="AI53" s="107"/>
      <c r="AJ53" s="111"/>
      <c r="AK53" s="111"/>
      <c r="AL53" s="111"/>
      <c r="AM53" s="108">
        <f>AG53*'1. Standard_Cost'!$B$27+'Incremental_Cost Year 4'!AH53*'1. Standard_Cost'!$C$27+'Incremental_Cost Year 4'!AI53*'1. Standard_Cost'!$D$27+'Incremental_Cost Year 4'!AJ53+'Incremental_Cost Year 4'!AL53+AK53</f>
        <v>0</v>
      </c>
      <c r="AN53" s="108">
        <f>AM53*'1. Standard_Cost'!$C$31</f>
        <v>0</v>
      </c>
      <c r="AO53" s="125" t="s">
        <v>302</v>
      </c>
      <c r="AQ53" s="14">
        <f t="shared" si="63"/>
        <v>659646.75</v>
      </c>
      <c r="AR53" s="14">
        <f t="shared" si="64"/>
        <v>94989.168000000005</v>
      </c>
      <c r="AS53" s="14">
        <f t="shared" si="65"/>
        <v>0</v>
      </c>
      <c r="AT53" s="14">
        <f t="shared" si="67"/>
        <v>754635.91800000006</v>
      </c>
      <c r="AU53" s="234">
        <v>754636</v>
      </c>
      <c r="AV53" s="234"/>
      <c r="AW53" s="234"/>
      <c r="AX53" s="234"/>
      <c r="AY53" s="234"/>
      <c r="AZ53" s="234"/>
      <c r="BA53" s="234"/>
      <c r="BB53" s="16">
        <f t="shared" si="66"/>
        <v>8.1999999936670065E-2</v>
      </c>
    </row>
    <row r="54" spans="1:54" ht="62.4" outlineLevel="2">
      <c r="A54" s="98"/>
      <c r="B54" s="102"/>
      <c r="C54" s="23"/>
      <c r="D54" s="251"/>
      <c r="E54" s="251"/>
      <c r="F54" s="172"/>
      <c r="G54" s="173"/>
      <c r="H54" s="302" t="s">
        <v>675</v>
      </c>
      <c r="I54" s="258"/>
      <c r="J54" s="259"/>
      <c r="K54" s="259"/>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62"/>
        <v>0</v>
      </c>
      <c r="AG54" s="107"/>
      <c r="AH54" s="107"/>
      <c r="AI54" s="107"/>
      <c r="AJ54" s="111"/>
      <c r="AK54" s="111"/>
      <c r="AL54" s="111"/>
      <c r="AM54" s="108">
        <f>AG54*'1. Standard_Cost'!$B$27+'Incremental_Cost Year 4'!AH54*'1. Standard_Cost'!$C$27+'Incremental_Cost Year 4'!AI54*'1. Standard_Cost'!$D$27+'Incremental_Cost Year 4'!AJ54+'Incremental_Cost Year 4'!AL54+AK54</f>
        <v>0</v>
      </c>
      <c r="AN54" s="108">
        <f>AM54*'1. Standard_Cost'!$C$31</f>
        <v>0</v>
      </c>
      <c r="AO54" s="125" t="s">
        <v>300</v>
      </c>
      <c r="AQ54" s="14">
        <f t="shared" si="63"/>
        <v>0</v>
      </c>
      <c r="AR54" s="14">
        <f t="shared" si="64"/>
        <v>0</v>
      </c>
      <c r="AS54" s="14">
        <f t="shared" si="65"/>
        <v>0</v>
      </c>
      <c r="AT54" s="14">
        <f t="shared" si="67"/>
        <v>0</v>
      </c>
      <c r="AU54" s="234"/>
      <c r="AV54" s="234">
        <v>0</v>
      </c>
      <c r="AW54" s="234"/>
      <c r="AX54" s="234"/>
      <c r="AY54" s="234"/>
      <c r="AZ54" s="234"/>
      <c r="BA54" s="234"/>
      <c r="BB54" s="16">
        <f t="shared" si="66"/>
        <v>0</v>
      </c>
    </row>
    <row r="55" spans="1:54" ht="156" outlineLevel="2">
      <c r="A55" s="98"/>
      <c r="B55" s="102"/>
      <c r="C55" s="23"/>
      <c r="D55" s="251"/>
      <c r="E55" s="251"/>
      <c r="F55" s="251"/>
      <c r="G55" s="173"/>
      <c r="H55" s="302" t="s">
        <v>601</v>
      </c>
      <c r="I55" s="258"/>
      <c r="J55" s="259"/>
      <c r="K55" s="259"/>
      <c r="L55" s="106" t="str">
        <f>IF(I55&lt;&gt;0,((VLOOKUP(I55,'1. Standard_Cost'!$B$4:$D$11,2)+VLOOKUP(I55,'1. Standard_Cost'!$B$4:$D$11,3))*J55*K55),"0")</f>
        <v>0</v>
      </c>
      <c r="M55" s="106">
        <f>L55*'1. Standard_Cost'!$F$4</f>
        <v>0</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260"/>
      <c r="AA55" s="260"/>
      <c r="AB55" s="108">
        <f>+Z55*'1. Standard_Cost'!$B$23+AA55*'1. Standard_Cost'!$C$23</f>
        <v>0</v>
      </c>
      <c r="AC55" s="261"/>
      <c r="AD55" s="262"/>
      <c r="AE55" s="108">
        <f>SUM(AD55,AC55,AB55,Y55,U55,T55,S55,R55)*'1. Standard_Cost'!$B$31</f>
        <v>0</v>
      </c>
      <c r="AF55" s="108">
        <f t="shared" si="62"/>
        <v>0</v>
      </c>
      <c r="AG55" s="107"/>
      <c r="AH55" s="107"/>
      <c r="AI55" s="107"/>
      <c r="AJ55" s="111"/>
      <c r="AK55" s="111"/>
      <c r="AL55" s="111"/>
      <c r="AM55" s="108">
        <f>AG55*'1. Standard_Cost'!$B$27+'Incremental_Cost Year 4'!AH55*'1. Standard_Cost'!$C$27+'Incremental_Cost Year 4'!AI55*'1. Standard_Cost'!$D$27+'Incremental_Cost Year 4'!AJ55+'Incremental_Cost Year 4'!AL55+AK55</f>
        <v>0</v>
      </c>
      <c r="AN55" s="108">
        <f>AM55*'1. Standard_Cost'!$C$31</f>
        <v>0</v>
      </c>
      <c r="AO55" s="125" t="s">
        <v>303</v>
      </c>
      <c r="AQ55" s="14">
        <f t="shared" si="63"/>
        <v>0</v>
      </c>
      <c r="AR55" s="14">
        <f t="shared" si="64"/>
        <v>0</v>
      </c>
      <c r="AS55" s="14">
        <f t="shared" si="65"/>
        <v>0</v>
      </c>
      <c r="AT55" s="14">
        <f t="shared" si="67"/>
        <v>0</v>
      </c>
      <c r="AU55" s="234"/>
      <c r="AV55" s="234"/>
      <c r="AW55" s="234"/>
      <c r="AX55" s="234"/>
      <c r="AY55" s="234"/>
      <c r="AZ55" s="234"/>
      <c r="BA55" s="234"/>
      <c r="BB55" s="16">
        <f t="shared" si="66"/>
        <v>0</v>
      </c>
    </row>
    <row r="56" spans="1:54" ht="140.4" outlineLevel="2">
      <c r="A56" s="98"/>
      <c r="B56" s="102"/>
      <c r="C56" s="23"/>
      <c r="D56" s="251"/>
      <c r="E56" s="251"/>
      <c r="F56" s="251"/>
      <c r="G56" s="173"/>
      <c r="H56" s="302" t="s">
        <v>602</v>
      </c>
      <c r="I56" s="258"/>
      <c r="J56" s="259"/>
      <c r="K56" s="259"/>
      <c r="L56" s="106" t="str">
        <f>IF(I56&lt;&gt;0,((VLOOKUP(I56,'1. Standard_Cost'!$B$4:$D$11,2)+VLOOKUP(I56,'1. Standard_Cost'!$B$4:$D$11,3))*J56*K56),"0")</f>
        <v>0</v>
      </c>
      <c r="M56" s="106">
        <f>L56*'1. Standard_Cost'!$F$4</f>
        <v>0</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260"/>
      <c r="AA56" s="260"/>
      <c r="AB56" s="108">
        <f>+Z56*'1. Standard_Cost'!$B$23+AA56*'1. Standard_Cost'!$C$23</f>
        <v>0</v>
      </c>
      <c r="AC56" s="261"/>
      <c r="AD56" s="262"/>
      <c r="AE56" s="108">
        <f>SUM(AD56,AC56,AB56,Y56,U56,T56,S56,R56)*'1. Standard_Cost'!$B$31</f>
        <v>0</v>
      </c>
      <c r="AF56" s="108">
        <f t="shared" si="62"/>
        <v>0</v>
      </c>
      <c r="AG56" s="107"/>
      <c r="AH56" s="107"/>
      <c r="AI56" s="107"/>
      <c r="AJ56" s="111"/>
      <c r="AK56" s="111"/>
      <c r="AL56" s="111"/>
      <c r="AM56" s="108">
        <f>AG56*'1. Standard_Cost'!$B$27+'Incremental_Cost Year 4'!AH56*'1. Standard_Cost'!$C$27+'Incremental_Cost Year 4'!AI56*'1. Standard_Cost'!$D$27+'Incremental_Cost Year 4'!AJ56+'Incremental_Cost Year 4'!AL56+AK56</f>
        <v>0</v>
      </c>
      <c r="AN56" s="108">
        <f>AM56*'1. Standard_Cost'!$C$31</f>
        <v>0</v>
      </c>
      <c r="AO56" s="125" t="s">
        <v>304</v>
      </c>
      <c r="AQ56" s="14">
        <f t="shared" si="63"/>
        <v>0</v>
      </c>
      <c r="AR56" s="14">
        <f t="shared" si="64"/>
        <v>0</v>
      </c>
      <c r="AS56" s="14">
        <f t="shared" si="65"/>
        <v>0</v>
      </c>
      <c r="AT56" s="14">
        <f t="shared" si="67"/>
        <v>0</v>
      </c>
      <c r="AU56" s="234"/>
      <c r="AV56" s="234">
        <v>0</v>
      </c>
      <c r="AW56" s="234"/>
      <c r="AX56" s="234"/>
      <c r="AY56" s="234"/>
      <c r="AZ56" s="234"/>
      <c r="BA56" s="234"/>
      <c r="BB56" s="16">
        <f t="shared" si="66"/>
        <v>0</v>
      </c>
    </row>
    <row r="57" spans="1:54" ht="78" outlineLevel="2">
      <c r="A57" s="98"/>
      <c r="B57" s="102"/>
      <c r="C57" s="23"/>
      <c r="D57" s="251"/>
      <c r="E57" s="251"/>
      <c r="F57" s="251"/>
      <c r="G57" s="250"/>
      <c r="H57" s="302" t="s">
        <v>603</v>
      </c>
      <c r="I57" s="258" t="s">
        <v>193</v>
      </c>
      <c r="J57" s="259">
        <v>0.5</v>
      </c>
      <c r="K57" s="259">
        <v>183</v>
      </c>
      <c r="L57" s="106">
        <f>IF(I57&lt;&gt;0,((VLOOKUP(I57,'1. Standard_Cost'!$B$4:$D$11,2)+VLOOKUP(I57,'1. Standard_Cost'!$B$4:$D$11,3))*J57*K57),"0")</f>
        <v>4620750</v>
      </c>
      <c r="M57" s="106">
        <f>L57*'1. Standard_Cost'!$F$4</f>
        <v>771665.25</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62"/>
        <v>0</v>
      </c>
      <c r="AG57" s="107"/>
      <c r="AH57" s="107"/>
      <c r="AI57" s="107"/>
      <c r="AJ57" s="111"/>
      <c r="AK57" s="111"/>
      <c r="AL57" s="111"/>
      <c r="AM57" s="108">
        <f>AG57*'1. Standard_Cost'!$B$27+'Incremental_Cost Year 4'!AH57*'1. Standard_Cost'!$C$27+'Incremental_Cost Year 4'!AI57*'1. Standard_Cost'!$D$27+'Incremental_Cost Year 4'!AJ57+'Incremental_Cost Year 4'!AL57+AK57</f>
        <v>0</v>
      </c>
      <c r="AN57" s="108">
        <f>AM57*'1. Standard_Cost'!$C$31</f>
        <v>0</v>
      </c>
      <c r="AO57" s="125" t="s">
        <v>305</v>
      </c>
      <c r="AQ57" s="14">
        <f t="shared" si="63"/>
        <v>5392415.25</v>
      </c>
      <c r="AR57" s="14">
        <f t="shared" si="64"/>
        <v>0</v>
      </c>
      <c r="AS57" s="14">
        <f t="shared" si="65"/>
        <v>0</v>
      </c>
      <c r="AT57" s="14">
        <f t="shared" si="67"/>
        <v>5392415.25</v>
      </c>
      <c r="AU57" s="234"/>
      <c r="AV57" s="234"/>
      <c r="AW57" s="234"/>
      <c r="AX57" s="234"/>
      <c r="AY57" s="234"/>
      <c r="AZ57" s="234"/>
      <c r="BA57" s="234">
        <v>5712757</v>
      </c>
      <c r="BB57" s="16">
        <f t="shared" si="66"/>
        <v>320341.75</v>
      </c>
    </row>
    <row r="58" spans="1:54" ht="140.4" outlineLevel="2">
      <c r="A58" s="98"/>
      <c r="B58" s="102"/>
      <c r="C58" s="23"/>
      <c r="D58" s="251"/>
      <c r="E58" s="251"/>
      <c r="F58" s="251"/>
      <c r="G58" s="250"/>
      <c r="H58" s="302" t="s">
        <v>604</v>
      </c>
      <c r="I58" s="258" t="s">
        <v>5</v>
      </c>
      <c r="J58" s="259">
        <v>1</v>
      </c>
      <c r="K58" s="259">
        <v>1</v>
      </c>
      <c r="L58" s="106">
        <f>IF(I58&lt;&gt;0,((VLOOKUP(I58,'1. Standard_Cost'!$B$4:$D$11,2)+VLOOKUP(I58,'1. Standard_Cost'!$B$4:$D$11,3))*J58*K58),"0")</f>
        <v>70700</v>
      </c>
      <c r="M58" s="106">
        <f>L58*'1. Standard_Cost'!$F$4</f>
        <v>11806.900000000001</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260"/>
      <c r="AA58" s="260">
        <v>17</v>
      </c>
      <c r="AB58" s="108">
        <f>+Z58*'1. Standard_Cost'!$B$23+AA58*'1. Standard_Cost'!$C$23</f>
        <v>323000</v>
      </c>
      <c r="AC58" s="261">
        <f>225*400</f>
        <v>90000</v>
      </c>
      <c r="AD58" s="262"/>
      <c r="AE58" s="108">
        <f>SUM(AD58,AC58,AB58,Y58,U58,T58,S58,R58)*'1. Standard_Cost'!$B$31</f>
        <v>82600</v>
      </c>
      <c r="AF58" s="108">
        <f t="shared" si="62"/>
        <v>495600</v>
      </c>
      <c r="AG58" s="107"/>
      <c r="AH58" s="107"/>
      <c r="AI58" s="107"/>
      <c r="AJ58" s="111"/>
      <c r="AK58" s="111"/>
      <c r="AL58" s="111"/>
      <c r="AM58" s="108">
        <f>AG58*'1. Standard_Cost'!$B$27+'Incremental_Cost Year 4'!AH58*'1. Standard_Cost'!$C$27+'Incremental_Cost Year 4'!AI58*'1. Standard_Cost'!$D$27+'Incremental_Cost Year 4'!AJ58+'Incremental_Cost Year 4'!AL58+AK58</f>
        <v>0</v>
      </c>
      <c r="AN58" s="108">
        <f>AM58*'1. Standard_Cost'!$C$31</f>
        <v>0</v>
      </c>
      <c r="AO58" s="125" t="s">
        <v>306</v>
      </c>
      <c r="AQ58" s="14">
        <f t="shared" si="63"/>
        <v>82506.899999999994</v>
      </c>
      <c r="AR58" s="14">
        <f t="shared" si="64"/>
        <v>495600</v>
      </c>
      <c r="AS58" s="14">
        <f t="shared" si="65"/>
        <v>0</v>
      </c>
      <c r="AT58" s="14">
        <f>SUM(AQ58,AR58,AS58)</f>
        <v>578106.9</v>
      </c>
      <c r="AU58" s="234">
        <v>82507</v>
      </c>
      <c r="AV58" s="234"/>
      <c r="AW58" s="234"/>
      <c r="AX58" s="234"/>
      <c r="AY58" s="234"/>
      <c r="AZ58" s="234"/>
      <c r="BA58" s="234"/>
      <c r="BB58" s="16">
        <f t="shared" si="66"/>
        <v>-495599.9</v>
      </c>
    </row>
    <row r="59" spans="1:54" ht="345" outlineLevel="1">
      <c r="A59" s="98"/>
      <c r="B59" s="102"/>
      <c r="C59" s="23"/>
      <c r="D59" s="31" t="s">
        <v>629</v>
      </c>
      <c r="E59" s="56" t="s">
        <v>213</v>
      </c>
      <c r="F59" s="253">
        <v>2021</v>
      </c>
      <c r="G59" s="254">
        <v>2026</v>
      </c>
      <c r="H59" s="277" t="s">
        <v>183</v>
      </c>
      <c r="I59" s="112"/>
      <c r="J59" s="112"/>
      <c r="K59" s="112"/>
      <c r="L59" s="113">
        <f>SUM(L41:L58)</f>
        <v>10555580</v>
      </c>
      <c r="M59" s="113">
        <f>SUM(M41:M58)</f>
        <v>1762781.8599999999</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1083000</v>
      </c>
      <c r="AC59" s="113">
        <f>SUM(AC41:AC58)</f>
        <v>876296.32</v>
      </c>
      <c r="AD59" s="113">
        <f>SUM(AD41:AD58)</f>
        <v>0</v>
      </c>
      <c r="AE59" s="113">
        <f>SUM(AE41:AE58)</f>
        <v>391859.26400000002</v>
      </c>
      <c r="AF59" s="113">
        <f>SUM(AF41:AF58)</f>
        <v>2351155.5839999998</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12318361.860000001</v>
      </c>
      <c r="AR59" s="113">
        <f t="shared" si="68"/>
        <v>2351155.5839999998</v>
      </c>
      <c r="AS59" s="113">
        <f t="shared" si="68"/>
        <v>0</v>
      </c>
      <c r="AT59" s="113">
        <f t="shared" si="68"/>
        <v>14669517.444</v>
      </c>
      <c r="AU59" s="113">
        <f t="shared" si="68"/>
        <v>7828849</v>
      </c>
      <c r="AV59" s="113">
        <f t="shared" si="68"/>
        <v>0</v>
      </c>
      <c r="AW59" s="113">
        <f t="shared" si="68"/>
        <v>0</v>
      </c>
      <c r="AX59" s="113">
        <f t="shared" si="68"/>
        <v>0</v>
      </c>
      <c r="AY59" s="113">
        <f t="shared" si="68"/>
        <v>0</v>
      </c>
      <c r="AZ59" s="113">
        <f t="shared" si="68"/>
        <v>0</v>
      </c>
      <c r="BA59" s="113">
        <f t="shared" si="68"/>
        <v>5712757</v>
      </c>
      <c r="BB59" s="113">
        <f t="shared" si="68"/>
        <v>-1127911.4440000001</v>
      </c>
    </row>
    <row r="60" spans="1:54" ht="93.6" outlineLevel="2">
      <c r="A60" s="98"/>
      <c r="B60" s="102"/>
      <c r="C60" s="23"/>
      <c r="D60" s="257"/>
      <c r="E60" s="257"/>
      <c r="F60" s="251"/>
      <c r="G60" s="250"/>
      <c r="H60" s="302" t="s">
        <v>605</v>
      </c>
      <c r="I60" s="258" t="s">
        <v>4</v>
      </c>
      <c r="J60" s="259">
        <v>0.5</v>
      </c>
      <c r="K60" s="259">
        <v>3</v>
      </c>
      <c r="L60" s="106">
        <f>IF(I60&lt;&gt;0,((VLOOKUP(I60,'1. Standard_Cost'!$B$4:$D$11,2)+VLOOKUP(I60,'1. Standard_Cost'!$B$4:$D$11,3))*J60*K60),"0")</f>
        <v>121125</v>
      </c>
      <c r="M60" s="106">
        <f>L60*'1. Standard_Cost'!$F$4</f>
        <v>20227.875</v>
      </c>
      <c r="N60" s="260"/>
      <c r="O60" s="260"/>
      <c r="P60" s="260"/>
      <c r="Q60" s="26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60"/>
      <c r="AA60" s="260"/>
      <c r="AB60" s="108">
        <f>+Z60*'1. Standard_Cost'!$B$23+AA60*'1. Standard_Cost'!$C$23</f>
        <v>0</v>
      </c>
      <c r="AC60" s="261">
        <f>100*3000+110000</f>
        <v>410000</v>
      </c>
      <c r="AD60" s="262"/>
      <c r="AE60" s="108">
        <f>SUM(AD60,AC60,AB60,Y60,U60,T60,S60,R60)*'1. Standard_Cost'!$B$31</f>
        <v>82000</v>
      </c>
      <c r="AF60" s="108">
        <f t="shared" ref="AF60:AF78" si="69">SUM(AE60,AD60,AC60,AB60,Y60,U60,T60,S60,R60)</f>
        <v>492000</v>
      </c>
      <c r="AG60" s="107"/>
      <c r="AH60" s="107"/>
      <c r="AI60" s="107"/>
      <c r="AJ60" s="111"/>
      <c r="AK60" s="111"/>
      <c r="AL60" s="111"/>
      <c r="AM60" s="108">
        <f>AG60*'1. Standard_Cost'!$B$27+'Incremental_Cost Year 4'!AH60*'1. Standard_Cost'!$C$27+'Incremental_Cost Year 4'!AI60*'1. Standard_Cost'!$D$27+'Incremental_Cost Year 4'!AJ60+'Incremental_Cost Year 4'!AL60+AK60</f>
        <v>0</v>
      </c>
      <c r="AN60" s="108">
        <f>AM60*'1. Standard_Cost'!$C$31</f>
        <v>0</v>
      </c>
      <c r="AO60" s="125" t="s">
        <v>307</v>
      </c>
      <c r="AQ60" s="14">
        <f t="shared" ref="AQ60:AQ78" si="70">L60+M60</f>
        <v>141352.875</v>
      </c>
      <c r="AR60" s="14">
        <f t="shared" ref="AR60:AR78" si="71">AF60</f>
        <v>492000</v>
      </c>
      <c r="AS60" s="14">
        <f t="shared" ref="AS60:AS78" si="72">AM60+AN60</f>
        <v>0</v>
      </c>
      <c r="AT60" s="14">
        <f>SUM(AQ60,AR60,AS60)</f>
        <v>633352.875</v>
      </c>
      <c r="AU60" s="234">
        <v>141353</v>
      </c>
      <c r="AV60" s="234"/>
      <c r="AW60" s="234"/>
      <c r="AX60" s="234"/>
      <c r="AY60" s="234"/>
      <c r="AZ60" s="234"/>
      <c r="BA60" s="234"/>
      <c r="BB60" s="16">
        <f t="shared" ref="BB60:BB78" si="73">SUM(AU60:BA60)-AT60</f>
        <v>-491999.875</v>
      </c>
    </row>
    <row r="61" spans="1:54" ht="109.2" outlineLevel="2">
      <c r="A61" s="98"/>
      <c r="B61" s="102"/>
      <c r="C61" s="23"/>
      <c r="D61" s="269"/>
      <c r="E61" s="269"/>
      <c r="F61" s="251"/>
      <c r="G61" s="250"/>
      <c r="H61" s="302" t="s">
        <v>606</v>
      </c>
      <c r="I61" s="258" t="s">
        <v>5</v>
      </c>
      <c r="J61" s="259">
        <v>3</v>
      </c>
      <c r="K61" s="259">
        <v>1</v>
      </c>
      <c r="L61" s="106">
        <f>IF(I61&lt;&gt;0,((VLOOKUP(I61,'1. Standard_Cost'!$B$4:$D$11,2)+VLOOKUP(I61,'1. Standard_Cost'!$B$4:$D$11,3))*J61*K61),"0")</f>
        <v>212100</v>
      </c>
      <c r="M61" s="106">
        <f>L61*'1. Standard_Cost'!$F$4</f>
        <v>35420.700000000004</v>
      </c>
      <c r="N61" s="260"/>
      <c r="O61" s="260"/>
      <c r="P61" s="260"/>
      <c r="Q61" s="26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69"/>
        <v>0</v>
      </c>
      <c r="AG61" s="107"/>
      <c r="AH61" s="107"/>
      <c r="AI61" s="107"/>
      <c r="AJ61" s="111"/>
      <c r="AK61" s="111"/>
      <c r="AL61" s="111"/>
      <c r="AM61" s="108">
        <f>AG61*'1. Standard_Cost'!$B$27+'Incremental_Cost Year 4'!AH61*'1. Standard_Cost'!$C$27+'Incremental_Cost Year 4'!AI61*'1. Standard_Cost'!$D$27+'Incremental_Cost Year 4'!AJ61+'Incremental_Cost Year 4'!AL61+AK61</f>
        <v>0</v>
      </c>
      <c r="AN61" s="108">
        <f>AM61*'1. Standard_Cost'!$C$31</f>
        <v>0</v>
      </c>
      <c r="AO61" s="125" t="s">
        <v>308</v>
      </c>
      <c r="AQ61" s="14">
        <f t="shared" si="70"/>
        <v>247520.7</v>
      </c>
      <c r="AR61" s="14">
        <f t="shared" si="71"/>
        <v>0</v>
      </c>
      <c r="AS61" s="14">
        <f t="shared" si="72"/>
        <v>0</v>
      </c>
      <c r="AT61" s="14">
        <f t="shared" ref="AT61:AT78" si="74">SUM(AQ61,AR61,AS61)</f>
        <v>247520.7</v>
      </c>
      <c r="AU61" s="234">
        <v>247521</v>
      </c>
      <c r="AV61" s="234"/>
      <c r="AW61" s="234"/>
      <c r="AX61" s="234"/>
      <c r="AY61" s="234"/>
      <c r="AZ61" s="234"/>
      <c r="BA61" s="234"/>
      <c r="BB61" s="16">
        <f t="shared" si="73"/>
        <v>0.29999999998835847</v>
      </c>
    </row>
    <row r="62" spans="1:54" ht="140.4" outlineLevel="2">
      <c r="A62" s="98"/>
      <c r="B62" s="102"/>
      <c r="C62" s="23"/>
      <c r="D62" s="269"/>
      <c r="E62" s="269"/>
      <c r="F62" s="251"/>
      <c r="G62" s="250"/>
      <c r="H62" s="302" t="s">
        <v>607</v>
      </c>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69"/>
        <v>0</v>
      </c>
      <c r="AG62" s="107"/>
      <c r="AH62" s="107"/>
      <c r="AI62" s="107"/>
      <c r="AJ62" s="111"/>
      <c r="AK62" s="111"/>
      <c r="AL62" s="111"/>
      <c r="AM62" s="108">
        <f>AG62*'1. Standard_Cost'!$B$27+'Incremental_Cost Year 4'!AH62*'1. Standard_Cost'!$C$27+'Incremental_Cost Year 4'!AI62*'1. Standard_Cost'!$D$27+'Incremental_Cost Year 4'!AJ62+'Incremental_Cost Year 4'!AL62+AK62</f>
        <v>0</v>
      </c>
      <c r="AN62" s="108">
        <f>AM62*'1. Standard_Cost'!$C$31</f>
        <v>0</v>
      </c>
      <c r="AO62" s="125" t="s">
        <v>309</v>
      </c>
      <c r="AQ62" s="14">
        <f t="shared" si="70"/>
        <v>0</v>
      </c>
      <c r="AR62" s="14">
        <f t="shared" si="71"/>
        <v>0</v>
      </c>
      <c r="AS62" s="14">
        <f t="shared" si="72"/>
        <v>0</v>
      </c>
      <c r="AT62" s="14">
        <f t="shared" si="74"/>
        <v>0</v>
      </c>
      <c r="AU62" s="234"/>
      <c r="AV62" s="234"/>
      <c r="AW62" s="234"/>
      <c r="AX62" s="234"/>
      <c r="AY62" s="234"/>
      <c r="AZ62" s="234"/>
      <c r="BA62" s="234"/>
      <c r="BB62" s="16">
        <f t="shared" si="73"/>
        <v>0</v>
      </c>
    </row>
    <row r="63" spans="1:54" ht="140.4" outlineLevel="2">
      <c r="A63" s="98"/>
      <c r="B63" s="102"/>
      <c r="C63" s="23"/>
      <c r="D63" s="269"/>
      <c r="E63" s="269"/>
      <c r="F63" s="251"/>
      <c r="G63" s="250"/>
      <c r="H63" s="302" t="s">
        <v>608</v>
      </c>
      <c r="I63" s="258" t="s">
        <v>5</v>
      </c>
      <c r="J63" s="259">
        <v>0.5</v>
      </c>
      <c r="K63" s="259">
        <v>2</v>
      </c>
      <c r="L63" s="106">
        <f>IF(I63&lt;&gt;0,((VLOOKUP(I63,'1. Standard_Cost'!$B$4:$D$11,2)+VLOOKUP(I63,'1. Standard_Cost'!$B$4:$D$11,3))*J63*K63),"0")</f>
        <v>70700</v>
      </c>
      <c r="M63" s="106">
        <f>L63*'1. Standard_Cost'!$F$4</f>
        <v>11806.900000000001</v>
      </c>
      <c r="N63" s="260">
        <v>3</v>
      </c>
      <c r="O63" s="260">
        <v>1</v>
      </c>
      <c r="P63" s="260">
        <v>15</v>
      </c>
      <c r="Q63" s="26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60"/>
      <c r="AA63" s="260">
        <v>14</v>
      </c>
      <c r="AB63" s="108">
        <f>+Z63*'1. Standard_Cost'!$B$23+AA63*'1. Standard_Cost'!$C$23</f>
        <v>266000</v>
      </c>
      <c r="AC63" s="261">
        <f>45*500</f>
        <v>22500</v>
      </c>
      <c r="AD63" s="262"/>
      <c r="AE63" s="108">
        <f>SUM(AD63,AC63,AB63,Y63,U63,T63,S63,R63)*'1. Standard_Cost'!$B$31</f>
        <v>113200</v>
      </c>
      <c r="AF63" s="108">
        <f t="shared" si="69"/>
        <v>679200</v>
      </c>
      <c r="AG63" s="107"/>
      <c r="AH63" s="107"/>
      <c r="AI63" s="107"/>
      <c r="AJ63" s="111"/>
      <c r="AK63" s="111"/>
      <c r="AL63" s="111"/>
      <c r="AM63" s="108">
        <f>AG63*'1. Standard_Cost'!$B$27+'Incremental_Cost Year 4'!AH63*'1. Standard_Cost'!$C$27+'Incremental_Cost Year 4'!AI63*'1. Standard_Cost'!$D$27+'Incremental_Cost Year 4'!AJ63+'Incremental_Cost Year 4'!AL63+AK63</f>
        <v>0</v>
      </c>
      <c r="AN63" s="108">
        <f>AM63*'1. Standard_Cost'!$C$31</f>
        <v>0</v>
      </c>
      <c r="AO63" s="125" t="s">
        <v>310</v>
      </c>
      <c r="AQ63" s="14">
        <f t="shared" si="70"/>
        <v>82506.899999999994</v>
      </c>
      <c r="AR63" s="14">
        <f t="shared" si="71"/>
        <v>679200</v>
      </c>
      <c r="AS63" s="14">
        <f t="shared" si="72"/>
        <v>0</v>
      </c>
      <c r="AT63" s="14">
        <f t="shared" si="74"/>
        <v>761706.9</v>
      </c>
      <c r="AU63" s="234">
        <v>82507</v>
      </c>
      <c r="AV63" s="234"/>
      <c r="AW63" s="234"/>
      <c r="AX63" s="234"/>
      <c r="AY63" s="234"/>
      <c r="AZ63" s="234">
        <v>228000</v>
      </c>
      <c r="BA63" s="234"/>
      <c r="BB63" s="16">
        <f t="shared" si="73"/>
        <v>-451199.9</v>
      </c>
    </row>
    <row r="64" spans="1:54" ht="171.6" outlineLevel="2">
      <c r="A64" s="98"/>
      <c r="B64" s="102"/>
      <c r="C64" s="23"/>
      <c r="D64" s="269"/>
      <c r="E64" s="269"/>
      <c r="F64" s="251"/>
      <c r="G64" s="250"/>
      <c r="H64" s="302" t="s">
        <v>609</v>
      </c>
      <c r="I64" s="258" t="s">
        <v>5</v>
      </c>
      <c r="J64" s="259">
        <v>0.5</v>
      </c>
      <c r="K64" s="259">
        <v>2</v>
      </c>
      <c r="L64" s="106">
        <f>IF(I64&lt;&gt;0,((VLOOKUP(I64,'1. Standard_Cost'!$B$4:$D$11,2)+VLOOKUP(I64,'1. Standard_Cost'!$B$4:$D$11,3))*J64*K64),"0")</f>
        <v>70700</v>
      </c>
      <c r="M64" s="106">
        <f>L64*'1. Standard_Cost'!$F$4</f>
        <v>11806.900000000001</v>
      </c>
      <c r="N64" s="260">
        <v>3</v>
      </c>
      <c r="O64" s="260">
        <v>1</v>
      </c>
      <c r="P64" s="260">
        <v>15</v>
      </c>
      <c r="Q64" s="26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60"/>
      <c r="AA64" s="260">
        <v>14</v>
      </c>
      <c r="AB64" s="108">
        <f>+Z64*'1. Standard_Cost'!$B$23+AA64*'1. Standard_Cost'!$C$23</f>
        <v>266000</v>
      </c>
      <c r="AC64" s="261">
        <f>45*500</f>
        <v>22500</v>
      </c>
      <c r="AD64" s="262"/>
      <c r="AE64" s="108">
        <f>SUM(AD64,AC64,AB64,Y64,U64,T64,S64,R64)*'1. Standard_Cost'!$B$31</f>
        <v>113200</v>
      </c>
      <c r="AF64" s="108">
        <f t="shared" si="69"/>
        <v>679200</v>
      </c>
      <c r="AG64" s="107"/>
      <c r="AH64" s="107"/>
      <c r="AI64" s="107"/>
      <c r="AJ64" s="111"/>
      <c r="AK64" s="111"/>
      <c r="AL64" s="111"/>
      <c r="AM64" s="108">
        <f>AG64*'1. Standard_Cost'!$B$27+'Incremental_Cost Year 4'!AH64*'1. Standard_Cost'!$C$27+'Incremental_Cost Year 4'!AI64*'1. Standard_Cost'!$D$27+'Incremental_Cost Year 4'!AJ64+'Incremental_Cost Year 4'!AL64+AK64</f>
        <v>0</v>
      </c>
      <c r="AN64" s="108">
        <f>AM64*'1. Standard_Cost'!$C$31</f>
        <v>0</v>
      </c>
      <c r="AO64" s="125" t="s">
        <v>311</v>
      </c>
      <c r="AQ64" s="14">
        <f t="shared" si="70"/>
        <v>82506.899999999994</v>
      </c>
      <c r="AR64" s="14">
        <f t="shared" si="71"/>
        <v>679200</v>
      </c>
      <c r="AS64" s="14">
        <f t="shared" si="72"/>
        <v>0</v>
      </c>
      <c r="AT64" s="14">
        <f t="shared" si="74"/>
        <v>761706.9</v>
      </c>
      <c r="AU64" s="234">
        <v>82507</v>
      </c>
      <c r="AV64" s="234"/>
      <c r="AW64" s="234"/>
      <c r="AX64" s="234"/>
      <c r="AY64" s="234"/>
      <c r="AZ64" s="234">
        <v>228000</v>
      </c>
      <c r="BA64" s="234"/>
      <c r="BB64" s="16">
        <f t="shared" si="73"/>
        <v>-451199.9</v>
      </c>
    </row>
    <row r="65" spans="1:54" ht="62.4" outlineLevel="2">
      <c r="A65" s="98"/>
      <c r="B65" s="102"/>
      <c r="C65" s="23"/>
      <c r="D65" s="269"/>
      <c r="E65" s="269"/>
      <c r="F65" s="251"/>
      <c r="G65" s="250"/>
      <c r="H65" s="302" t="s">
        <v>676</v>
      </c>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69"/>
        <v>0</v>
      </c>
      <c r="AG65" s="107"/>
      <c r="AH65" s="107"/>
      <c r="AI65" s="107"/>
      <c r="AJ65" s="111"/>
      <c r="AK65" s="111"/>
      <c r="AL65" s="111"/>
      <c r="AM65" s="108">
        <f>AG65*'1. Standard_Cost'!$B$27+'Incremental_Cost Year 4'!AH65*'1. Standard_Cost'!$C$27+'Incremental_Cost Year 4'!AI65*'1. Standard_Cost'!$D$27+'Incremental_Cost Year 4'!AJ65+'Incremental_Cost Year 4'!AL65+AK65</f>
        <v>0</v>
      </c>
      <c r="AN65" s="108">
        <f>AM65*'1. Standard_Cost'!$C$31</f>
        <v>0</v>
      </c>
      <c r="AO65" s="125" t="s">
        <v>312</v>
      </c>
      <c r="AQ65" s="14">
        <f t="shared" si="70"/>
        <v>0</v>
      </c>
      <c r="AR65" s="14">
        <f t="shared" si="71"/>
        <v>0</v>
      </c>
      <c r="AS65" s="14">
        <f t="shared" si="72"/>
        <v>0</v>
      </c>
      <c r="AT65" s="14">
        <f t="shared" si="74"/>
        <v>0</v>
      </c>
      <c r="AU65" s="234"/>
      <c r="AV65" s="234"/>
      <c r="AW65" s="234"/>
      <c r="AX65" s="234"/>
      <c r="AY65" s="234"/>
      <c r="AZ65" s="234"/>
      <c r="BA65" s="234"/>
      <c r="BB65" s="16">
        <f t="shared" si="73"/>
        <v>0</v>
      </c>
    </row>
    <row r="66" spans="1:54" ht="78" outlineLevel="2">
      <c r="A66" s="98"/>
      <c r="B66" s="102"/>
      <c r="C66" s="23"/>
      <c r="D66" s="269"/>
      <c r="E66" s="269"/>
      <c r="F66" s="251"/>
      <c r="G66" s="250"/>
      <c r="H66" s="302" t="s">
        <v>677</v>
      </c>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69"/>
        <v>0</v>
      </c>
      <c r="AG66" s="107"/>
      <c r="AH66" s="107"/>
      <c r="AI66" s="107"/>
      <c r="AJ66" s="111"/>
      <c r="AK66" s="111"/>
      <c r="AL66" s="111"/>
      <c r="AM66" s="108">
        <f>AG66*'1. Standard_Cost'!$B$27+'Incremental_Cost Year 4'!AH66*'1. Standard_Cost'!$C$27+'Incremental_Cost Year 4'!AI66*'1. Standard_Cost'!$D$27+'Incremental_Cost Year 4'!AJ66+'Incremental_Cost Year 4'!AL66+AK66</f>
        <v>0</v>
      </c>
      <c r="AN66" s="108">
        <f>AM66*'1. Standard_Cost'!$C$31</f>
        <v>0</v>
      </c>
      <c r="AO66" s="125" t="s">
        <v>313</v>
      </c>
      <c r="AQ66" s="14">
        <f t="shared" si="70"/>
        <v>0</v>
      </c>
      <c r="AR66" s="14">
        <f t="shared" si="71"/>
        <v>0</v>
      </c>
      <c r="AS66" s="14">
        <f t="shared" si="72"/>
        <v>0</v>
      </c>
      <c r="AT66" s="14">
        <f t="shared" si="74"/>
        <v>0</v>
      </c>
      <c r="AU66" s="234"/>
      <c r="AV66" s="234"/>
      <c r="AW66" s="234"/>
      <c r="AX66" s="234"/>
      <c r="AY66" s="234"/>
      <c r="AZ66" s="234"/>
      <c r="BA66" s="234"/>
      <c r="BB66" s="16">
        <f t="shared" si="73"/>
        <v>0</v>
      </c>
    </row>
    <row r="67" spans="1:54" ht="93.6" outlineLevel="2">
      <c r="A67" s="98"/>
      <c r="B67" s="102"/>
      <c r="C67" s="23"/>
      <c r="D67" s="269"/>
      <c r="E67" s="269"/>
      <c r="F67" s="251"/>
      <c r="G67" s="173"/>
      <c r="H67" s="302" t="s">
        <v>678</v>
      </c>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69"/>
        <v>0</v>
      </c>
      <c r="AG67" s="107"/>
      <c r="AH67" s="107"/>
      <c r="AI67" s="107"/>
      <c r="AJ67" s="111"/>
      <c r="AK67" s="111"/>
      <c r="AL67" s="111"/>
      <c r="AM67" s="108">
        <f>AG67*'1. Standard_Cost'!$B$27+'Incremental_Cost Year 4'!AH67*'1. Standard_Cost'!$C$27+'Incremental_Cost Year 4'!AI67*'1. Standard_Cost'!$D$27+'Incremental_Cost Year 4'!AJ67+'Incremental_Cost Year 4'!AL67+AK67</f>
        <v>0</v>
      </c>
      <c r="AN67" s="108">
        <f>AM67*'1. Standard_Cost'!$C$31</f>
        <v>0</v>
      </c>
      <c r="AO67" s="125" t="s">
        <v>313</v>
      </c>
      <c r="AQ67" s="14">
        <f t="shared" si="70"/>
        <v>0</v>
      </c>
      <c r="AR67" s="14">
        <f t="shared" si="71"/>
        <v>0</v>
      </c>
      <c r="AS67" s="14">
        <f t="shared" si="72"/>
        <v>0</v>
      </c>
      <c r="AT67" s="14">
        <f t="shared" si="74"/>
        <v>0</v>
      </c>
      <c r="AU67" s="234"/>
      <c r="AV67" s="234"/>
      <c r="AW67" s="234"/>
      <c r="AX67" s="234"/>
      <c r="AY67" s="234"/>
      <c r="AZ67" s="234"/>
      <c r="BA67" s="234"/>
      <c r="BB67" s="16">
        <f t="shared" si="73"/>
        <v>0</v>
      </c>
    </row>
    <row r="68" spans="1:54" ht="109.2" outlineLevel="2">
      <c r="A68" s="98"/>
      <c r="B68" s="102"/>
      <c r="C68" s="23"/>
      <c r="D68" s="269"/>
      <c r="E68" s="269"/>
      <c r="F68" s="251"/>
      <c r="G68" s="173"/>
      <c r="H68" s="302" t="s">
        <v>610</v>
      </c>
      <c r="I68" s="258" t="s">
        <v>4</v>
      </c>
      <c r="J68" s="259">
        <v>0.5</v>
      </c>
      <c r="K68" s="259">
        <v>5</v>
      </c>
      <c r="L68" s="106">
        <f>IF(I68&lt;&gt;0,((VLOOKUP(I68,'1. Standard_Cost'!$B$4:$D$11,2)+VLOOKUP(I68,'1. Standard_Cost'!$B$4:$D$11,3))*J68*K68),"0")</f>
        <v>201875</v>
      </c>
      <c r="M68" s="106">
        <f>L68*'1. Standard_Cost'!$F$4</f>
        <v>33713.125</v>
      </c>
      <c r="N68" s="260"/>
      <c r="O68" s="260"/>
      <c r="P68" s="260"/>
      <c r="Q68" s="26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69"/>
        <v>0</v>
      </c>
      <c r="AG68" s="107"/>
      <c r="AH68" s="107"/>
      <c r="AI68" s="107"/>
      <c r="AJ68" s="111"/>
      <c r="AK68" s="111"/>
      <c r="AL68" s="111"/>
      <c r="AM68" s="108">
        <f>AG68*'1. Standard_Cost'!$B$27+'Incremental_Cost Year 4'!AH68*'1. Standard_Cost'!$C$27+'Incremental_Cost Year 4'!AI68*'1. Standard_Cost'!$D$27+'Incremental_Cost Year 4'!AJ68+'Incremental_Cost Year 4'!AL68+AK68</f>
        <v>0</v>
      </c>
      <c r="AN68" s="108">
        <f>AM68*'1. Standard_Cost'!$C$31</f>
        <v>0</v>
      </c>
      <c r="AO68" s="125" t="s">
        <v>314</v>
      </c>
      <c r="AQ68" s="14">
        <f t="shared" si="70"/>
        <v>235588.125</v>
      </c>
      <c r="AR68" s="14">
        <f t="shared" si="71"/>
        <v>0</v>
      </c>
      <c r="AS68" s="14">
        <f t="shared" si="72"/>
        <v>0</v>
      </c>
      <c r="AT68" s="14">
        <f t="shared" si="74"/>
        <v>235588.125</v>
      </c>
      <c r="AU68" s="234">
        <v>235588</v>
      </c>
      <c r="AV68" s="234"/>
      <c r="AW68" s="234"/>
      <c r="AX68" s="234"/>
      <c r="AY68" s="234"/>
      <c r="AZ68" s="234"/>
      <c r="BA68" s="234"/>
      <c r="BB68" s="16">
        <f t="shared" si="73"/>
        <v>-0.125</v>
      </c>
    </row>
    <row r="69" spans="1:54" ht="46.8" outlineLevel="2">
      <c r="A69" s="98"/>
      <c r="B69" s="102"/>
      <c r="C69" s="23"/>
      <c r="D69" s="269"/>
      <c r="E69" s="269"/>
      <c r="F69" s="251"/>
      <c r="G69" s="250"/>
      <c r="H69" s="302" t="s">
        <v>679</v>
      </c>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69"/>
        <v>0</v>
      </c>
      <c r="AG69" s="107"/>
      <c r="AH69" s="107"/>
      <c r="AI69" s="107"/>
      <c r="AJ69" s="111"/>
      <c r="AK69" s="111"/>
      <c r="AL69" s="111"/>
      <c r="AM69" s="108">
        <f>AG69*'1. Standard_Cost'!$B$27+'Incremental_Cost Year 4'!AH69*'1. Standard_Cost'!$C$27+'Incremental_Cost Year 4'!AI69*'1. Standard_Cost'!$D$27+'Incremental_Cost Year 4'!AJ69+'Incremental_Cost Year 4'!AL69+AK69</f>
        <v>0</v>
      </c>
      <c r="AN69" s="108">
        <f>AM69*'1. Standard_Cost'!$C$31</f>
        <v>0</v>
      </c>
      <c r="AO69" s="125" t="s">
        <v>315</v>
      </c>
      <c r="AQ69" s="14">
        <f t="shared" si="70"/>
        <v>0</v>
      </c>
      <c r="AR69" s="14">
        <f t="shared" si="71"/>
        <v>0</v>
      </c>
      <c r="AS69" s="14">
        <f t="shared" si="72"/>
        <v>0</v>
      </c>
      <c r="AT69" s="14">
        <f t="shared" si="74"/>
        <v>0</v>
      </c>
      <c r="AU69" s="234"/>
      <c r="AV69" s="234"/>
      <c r="AW69" s="234"/>
      <c r="AX69" s="234"/>
      <c r="AY69" s="234"/>
      <c r="AZ69" s="234"/>
      <c r="BA69" s="234"/>
      <c r="BB69" s="16">
        <f t="shared" si="73"/>
        <v>0</v>
      </c>
    </row>
    <row r="70" spans="1:54" ht="31.2" outlineLevel="2">
      <c r="A70" s="98"/>
      <c r="B70" s="102"/>
      <c r="C70" s="23"/>
      <c r="D70" s="269"/>
      <c r="E70" s="269"/>
      <c r="F70" s="251"/>
      <c r="G70" s="250"/>
      <c r="H70" s="302" t="s">
        <v>680</v>
      </c>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69"/>
        <v>0</v>
      </c>
      <c r="AG70" s="107"/>
      <c r="AH70" s="107"/>
      <c r="AI70" s="107"/>
      <c r="AJ70" s="111"/>
      <c r="AK70" s="111"/>
      <c r="AL70" s="111"/>
      <c r="AM70" s="108">
        <f>AG70*'1. Standard_Cost'!$B$27+'Incremental_Cost Year 4'!AH70*'1. Standard_Cost'!$C$27+'Incremental_Cost Year 4'!AI70*'1. Standard_Cost'!$D$27+'Incremental_Cost Year 4'!AJ70+'Incremental_Cost Year 4'!AL70+AK70</f>
        <v>0</v>
      </c>
      <c r="AN70" s="108">
        <f>AM70*'1. Standard_Cost'!$C$31</f>
        <v>0</v>
      </c>
      <c r="AO70" s="125" t="s">
        <v>315</v>
      </c>
      <c r="AQ70" s="14">
        <f t="shared" si="70"/>
        <v>0</v>
      </c>
      <c r="AR70" s="14">
        <f t="shared" si="71"/>
        <v>0</v>
      </c>
      <c r="AS70" s="14">
        <f t="shared" si="72"/>
        <v>0</v>
      </c>
      <c r="AT70" s="14">
        <f t="shared" si="74"/>
        <v>0</v>
      </c>
      <c r="AU70" s="234"/>
      <c r="AV70" s="234"/>
      <c r="AW70" s="234"/>
      <c r="AX70" s="234"/>
      <c r="AY70" s="234"/>
      <c r="AZ70" s="234"/>
      <c r="BA70" s="234"/>
      <c r="BB70" s="16">
        <f t="shared" si="73"/>
        <v>0</v>
      </c>
    </row>
    <row r="71" spans="1:54" ht="31.2" outlineLevel="2">
      <c r="A71" s="98"/>
      <c r="B71" s="102"/>
      <c r="C71" s="23"/>
      <c r="D71" s="269"/>
      <c r="E71" s="269"/>
      <c r="F71" s="251"/>
      <c r="G71" s="250"/>
      <c r="H71" s="302" t="s">
        <v>681</v>
      </c>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69"/>
        <v>0</v>
      </c>
      <c r="AG71" s="107"/>
      <c r="AH71" s="107"/>
      <c r="AI71" s="107"/>
      <c r="AJ71" s="111"/>
      <c r="AK71" s="111"/>
      <c r="AL71" s="111"/>
      <c r="AM71" s="108">
        <f>AG71*'1. Standard_Cost'!$B$27+'Incremental_Cost Year 4'!AH71*'1. Standard_Cost'!$C$27+'Incremental_Cost Year 4'!AI71*'1. Standard_Cost'!$D$27+'Incremental_Cost Year 4'!AJ71+'Incremental_Cost Year 4'!AL71+AK71</f>
        <v>0</v>
      </c>
      <c r="AN71" s="108">
        <f>AM71*'1. Standard_Cost'!$C$31</f>
        <v>0</v>
      </c>
      <c r="AO71" s="125" t="s">
        <v>316</v>
      </c>
      <c r="AQ71" s="14">
        <f t="shared" si="70"/>
        <v>0</v>
      </c>
      <c r="AR71" s="14">
        <f t="shared" si="71"/>
        <v>0</v>
      </c>
      <c r="AS71" s="14">
        <f t="shared" si="72"/>
        <v>0</v>
      </c>
      <c r="AT71" s="14">
        <f t="shared" si="74"/>
        <v>0</v>
      </c>
      <c r="AU71" s="234"/>
      <c r="AV71" s="234"/>
      <c r="AW71" s="234"/>
      <c r="AX71" s="234"/>
      <c r="AY71" s="234"/>
      <c r="AZ71" s="234"/>
      <c r="BA71" s="234"/>
      <c r="BB71" s="16">
        <f t="shared" si="73"/>
        <v>0</v>
      </c>
    </row>
    <row r="72" spans="1:54" ht="140.4" outlineLevel="2">
      <c r="A72" s="98"/>
      <c r="B72" s="102"/>
      <c r="C72" s="23"/>
      <c r="D72" s="269"/>
      <c r="E72" s="269"/>
      <c r="F72" s="251"/>
      <c r="G72" s="250"/>
      <c r="H72" s="302" t="s">
        <v>611</v>
      </c>
      <c r="I72" s="258" t="s">
        <v>5</v>
      </c>
      <c r="J72" s="259">
        <v>0.5</v>
      </c>
      <c r="K72" s="259">
        <v>2</v>
      </c>
      <c r="L72" s="106">
        <f>IF(I72&lt;&gt;0,((VLOOKUP(I72,'1. Standard_Cost'!$B$4:$D$11,2)+VLOOKUP(I72,'1. Standard_Cost'!$B$4:$D$11,3))*J72*K72),"0")</f>
        <v>70700</v>
      </c>
      <c r="M72" s="106">
        <f>L72*'1. Standard_Cost'!$F$4</f>
        <v>11806.900000000001</v>
      </c>
      <c r="N72" s="260">
        <v>6</v>
      </c>
      <c r="O72" s="260">
        <v>1</v>
      </c>
      <c r="P72" s="260">
        <v>15</v>
      </c>
      <c r="Q72" s="260"/>
      <c r="R72" s="108">
        <f>'1. Standard_Cost'!$B$15*N72*P72</f>
        <v>180000</v>
      </c>
      <c r="S72" s="108">
        <f>N72*O72*P72*'1. Standard_Cost'!$C$15</f>
        <v>135000</v>
      </c>
      <c r="T72" s="108">
        <f>N72*P72*Q72*'1. Standard_Cost'!$D$15</f>
        <v>0</v>
      </c>
      <c r="U72" s="108">
        <f>N72*O72*'1. Standard_Cost'!$E$15</f>
        <v>240000</v>
      </c>
      <c r="V72" s="107"/>
      <c r="W72" s="107"/>
      <c r="X72" s="107"/>
      <c r="Y72" s="108">
        <f>+V72*((X72*'1. Standard_Cost'!$B$19)+(W72*X72*'1. Standard_Cost'!$C$19))</f>
        <v>0</v>
      </c>
      <c r="Z72" s="260"/>
      <c r="AA72" s="260">
        <v>7</v>
      </c>
      <c r="AB72" s="108">
        <f>+Z72*'1. Standard_Cost'!$B$23+AA72*'1. Standard_Cost'!$C$23</f>
        <v>133000</v>
      </c>
      <c r="AC72" s="261">
        <f>90*500</f>
        <v>45000</v>
      </c>
      <c r="AD72" s="262"/>
      <c r="AE72" s="108">
        <f>SUM(AD72,AC72,AB72,Y72,U72,T72,S72,R72)*'1. Standard_Cost'!$B$31</f>
        <v>146600</v>
      </c>
      <c r="AF72" s="108">
        <f t="shared" si="69"/>
        <v>879600</v>
      </c>
      <c r="AG72" s="107"/>
      <c r="AH72" s="107"/>
      <c r="AI72" s="107"/>
      <c r="AJ72" s="111"/>
      <c r="AK72" s="111"/>
      <c r="AL72" s="111"/>
      <c r="AM72" s="108">
        <f>AG72*'1. Standard_Cost'!$B$27+'Incremental_Cost Year 4'!AH72*'1. Standard_Cost'!$C$27+'Incremental_Cost Year 4'!AI72*'1. Standard_Cost'!$D$27+'Incremental_Cost Year 4'!AJ72+'Incremental_Cost Year 4'!AL72+AK72</f>
        <v>0</v>
      </c>
      <c r="AN72" s="108">
        <f>AM72*'1. Standard_Cost'!$C$31</f>
        <v>0</v>
      </c>
      <c r="AO72" s="125" t="s">
        <v>317</v>
      </c>
      <c r="AQ72" s="14">
        <f t="shared" si="70"/>
        <v>82506.899999999994</v>
      </c>
      <c r="AR72" s="14">
        <f t="shared" si="71"/>
        <v>879600</v>
      </c>
      <c r="AS72" s="14">
        <f t="shared" si="72"/>
        <v>0</v>
      </c>
      <c r="AT72" s="14">
        <f t="shared" si="74"/>
        <v>962106.9</v>
      </c>
      <c r="AU72" s="234">
        <v>82507</v>
      </c>
      <c r="AV72" s="234"/>
      <c r="AW72" s="234"/>
      <c r="AX72" s="234"/>
      <c r="AY72" s="234"/>
      <c r="AZ72" s="234"/>
      <c r="BA72" s="234"/>
      <c r="BB72" s="16">
        <f t="shared" si="73"/>
        <v>-879599.9</v>
      </c>
    </row>
    <row r="73" spans="1:54" ht="109.2" outlineLevel="2">
      <c r="A73" s="98"/>
      <c r="B73" s="102"/>
      <c r="C73" s="23"/>
      <c r="D73" s="251"/>
      <c r="E73" s="251"/>
      <c r="F73" s="251"/>
      <c r="G73" s="173"/>
      <c r="H73" s="302" t="s">
        <v>612</v>
      </c>
      <c r="I73" s="258" t="s">
        <v>4</v>
      </c>
      <c r="J73" s="259">
        <v>0.5</v>
      </c>
      <c r="K73" s="259">
        <v>5</v>
      </c>
      <c r="L73" s="106">
        <f>IF(I73&lt;&gt;0,((VLOOKUP(I73,'1. Standard_Cost'!$B$4:$D$11,2)+VLOOKUP(I73,'1. Standard_Cost'!$B$4:$D$11,3))*J73*K73),"0")</f>
        <v>201875</v>
      </c>
      <c r="M73" s="106">
        <f>L73*'1. Standard_Cost'!$F$4</f>
        <v>33713.125</v>
      </c>
      <c r="N73" s="260"/>
      <c r="O73" s="260"/>
      <c r="P73" s="260"/>
      <c r="Q73" s="26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69"/>
        <v>0</v>
      </c>
      <c r="AG73" s="107"/>
      <c r="AH73" s="107"/>
      <c r="AI73" s="107"/>
      <c r="AJ73" s="111"/>
      <c r="AK73" s="111"/>
      <c r="AL73" s="111"/>
      <c r="AM73" s="108">
        <f>AG73*'1. Standard_Cost'!$B$27+'Incremental_Cost Year 4'!AH73*'1. Standard_Cost'!$C$27+'Incremental_Cost Year 4'!AI73*'1. Standard_Cost'!$D$27+'Incremental_Cost Year 4'!AJ73+'Incremental_Cost Year 4'!AL73+AK73</f>
        <v>0</v>
      </c>
      <c r="AN73" s="108">
        <f>AM73*'1. Standard_Cost'!$C$31</f>
        <v>0</v>
      </c>
      <c r="AO73" s="125" t="s">
        <v>318</v>
      </c>
      <c r="AQ73" s="14">
        <f t="shared" si="70"/>
        <v>235588.125</v>
      </c>
      <c r="AR73" s="14">
        <f t="shared" si="71"/>
        <v>0</v>
      </c>
      <c r="AS73" s="14">
        <f t="shared" si="72"/>
        <v>0</v>
      </c>
      <c r="AT73" s="14">
        <f t="shared" si="74"/>
        <v>235588.125</v>
      </c>
      <c r="AU73" s="234">
        <v>235588</v>
      </c>
      <c r="AV73" s="234"/>
      <c r="AW73" s="234"/>
      <c r="AX73" s="234"/>
      <c r="AY73" s="234"/>
      <c r="AZ73" s="234"/>
      <c r="BA73" s="234"/>
      <c r="BB73" s="16">
        <f t="shared" si="73"/>
        <v>-0.125</v>
      </c>
    </row>
    <row r="74" spans="1:54" ht="74.400000000000006" outlineLevel="2">
      <c r="A74" s="98"/>
      <c r="B74" s="102"/>
      <c r="C74" s="23"/>
      <c r="D74" s="251"/>
      <c r="E74" s="251"/>
      <c r="F74" s="251"/>
      <c r="G74" s="250"/>
      <c r="H74" s="302" t="s">
        <v>682</v>
      </c>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69"/>
        <v>0</v>
      </c>
      <c r="AG74" s="107"/>
      <c r="AH74" s="107"/>
      <c r="AI74" s="107"/>
      <c r="AJ74" s="111"/>
      <c r="AK74" s="111"/>
      <c r="AL74" s="111"/>
      <c r="AM74" s="108">
        <f>AG74*'1. Standard_Cost'!$B$27+'Incremental_Cost Year 4'!AH74*'1. Standard_Cost'!$C$27+'Incremental_Cost Year 4'!AI74*'1. Standard_Cost'!$D$27+'Incremental_Cost Year 4'!AJ74+'Incremental_Cost Year 4'!AL74+AK74</f>
        <v>0</v>
      </c>
      <c r="AN74" s="108">
        <f>AM74*'1. Standard_Cost'!$C$31</f>
        <v>0</v>
      </c>
      <c r="AO74" s="125" t="s">
        <v>319</v>
      </c>
      <c r="AQ74" s="14">
        <f t="shared" si="70"/>
        <v>0</v>
      </c>
      <c r="AR74" s="14">
        <f t="shared" si="71"/>
        <v>0</v>
      </c>
      <c r="AS74" s="14">
        <f t="shared" si="72"/>
        <v>0</v>
      </c>
      <c r="AT74" s="14">
        <f t="shared" si="74"/>
        <v>0</v>
      </c>
      <c r="AU74" s="234"/>
      <c r="AV74" s="234"/>
      <c r="AW74" s="234"/>
      <c r="AX74" s="234"/>
      <c r="AY74" s="234"/>
      <c r="AZ74" s="234"/>
      <c r="BA74" s="234"/>
      <c r="BB74" s="16">
        <f t="shared" si="73"/>
        <v>0</v>
      </c>
    </row>
    <row r="75" spans="1:54" ht="60.6" outlineLevel="2">
      <c r="A75" s="98"/>
      <c r="B75" s="102"/>
      <c r="C75" s="23"/>
      <c r="D75" s="251"/>
      <c r="E75" s="251"/>
      <c r="F75" s="251"/>
      <c r="G75" s="250"/>
      <c r="H75" s="302" t="s">
        <v>683</v>
      </c>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69"/>
        <v>0</v>
      </c>
      <c r="AG75" s="107"/>
      <c r="AH75" s="107"/>
      <c r="AI75" s="107"/>
      <c r="AJ75" s="111"/>
      <c r="AK75" s="111"/>
      <c r="AL75" s="111"/>
      <c r="AM75" s="108">
        <f>AG75*'1. Standard_Cost'!$B$27+'Incremental_Cost Year 4'!AH75*'1. Standard_Cost'!$C$27+'Incremental_Cost Year 4'!AI75*'1. Standard_Cost'!$D$27+'Incremental_Cost Year 4'!AJ75+'Incremental_Cost Year 4'!AL75+AK75</f>
        <v>0</v>
      </c>
      <c r="AN75" s="108">
        <f>AM75*'1. Standard_Cost'!$C$31</f>
        <v>0</v>
      </c>
      <c r="AO75" s="125" t="s">
        <v>320</v>
      </c>
      <c r="AQ75" s="14">
        <f t="shared" si="70"/>
        <v>0</v>
      </c>
      <c r="AR75" s="14">
        <f t="shared" si="71"/>
        <v>0</v>
      </c>
      <c r="AS75" s="14">
        <f t="shared" si="72"/>
        <v>0</v>
      </c>
      <c r="AT75" s="14">
        <f t="shared" si="74"/>
        <v>0</v>
      </c>
      <c r="AU75" s="234"/>
      <c r="AV75" s="234"/>
      <c r="AW75" s="234"/>
      <c r="AX75" s="234"/>
      <c r="AY75" s="234"/>
      <c r="AZ75" s="234"/>
      <c r="BA75" s="234"/>
      <c r="BB75" s="16">
        <f t="shared" si="73"/>
        <v>0</v>
      </c>
    </row>
    <row r="76" spans="1:54" ht="187.2" outlineLevel="2">
      <c r="A76" s="98"/>
      <c r="B76" s="102"/>
      <c r="C76" s="23"/>
      <c r="D76" s="251"/>
      <c r="E76" s="251"/>
      <c r="F76" s="251"/>
      <c r="G76" s="250"/>
      <c r="H76" s="302" t="s">
        <v>613</v>
      </c>
      <c r="I76" s="258"/>
      <c r="J76" s="259"/>
      <c r="K76" s="259"/>
      <c r="L76" s="106" t="str">
        <f>IF(I76&lt;&gt;0,((VLOOKUP(I76,'1. Standard_Cost'!$B$4:$D$11,2)+VLOOKUP(I76,'1. Standard_Cost'!$B$4:$D$11,3))*J76*K76),"0")</f>
        <v>0</v>
      </c>
      <c r="M76" s="106">
        <f>L76*'1. Standard_Cost'!$F$4</f>
        <v>0</v>
      </c>
      <c r="N76" s="260">
        <v>1</v>
      </c>
      <c r="O76" s="260">
        <v>2</v>
      </c>
      <c r="P76" s="260">
        <v>15</v>
      </c>
      <c r="Q76" s="260"/>
      <c r="R76" s="108">
        <f>'1. Standard_Cost'!$B$15*N76*P76</f>
        <v>30000</v>
      </c>
      <c r="S76" s="108">
        <f>N76*O76*P76*'1. Standard_Cost'!$C$15</f>
        <v>45000</v>
      </c>
      <c r="T76" s="108">
        <f>N76*P76*Q76*'1. Standard_Cost'!$D$15</f>
        <v>0</v>
      </c>
      <c r="U76" s="108">
        <f>N76*O76*'1. Standard_Cost'!$E$15</f>
        <v>80000</v>
      </c>
      <c r="V76" s="107"/>
      <c r="W76" s="107"/>
      <c r="X76" s="107"/>
      <c r="Y76" s="108">
        <f>+V76*((X76*'1. Standard_Cost'!$B$19)+(W76*X76*'1. Standard_Cost'!$C$19))</f>
        <v>0</v>
      </c>
      <c r="Z76" s="260"/>
      <c r="AA76" s="260">
        <v>3</v>
      </c>
      <c r="AB76" s="108">
        <f>+Z76*'1. Standard_Cost'!$B$23+AA76*'1. Standard_Cost'!$C$23</f>
        <v>57000</v>
      </c>
      <c r="AC76" s="261">
        <v>2000000</v>
      </c>
      <c r="AD76" s="262"/>
      <c r="AE76" s="108">
        <f>SUM(AD76,AC76,AB76,Y76,U76,T76,S76,R76)*'1. Standard_Cost'!$B$31</f>
        <v>442400</v>
      </c>
      <c r="AF76" s="108">
        <f t="shared" si="69"/>
        <v>2654400</v>
      </c>
      <c r="AG76" s="107"/>
      <c r="AH76" s="107"/>
      <c r="AI76" s="107"/>
      <c r="AJ76" s="111"/>
      <c r="AK76" s="111"/>
      <c r="AL76" s="111"/>
      <c r="AM76" s="108">
        <f>AG76*'1. Standard_Cost'!$B$27+'Incremental_Cost Year 4'!AH76*'1. Standard_Cost'!$C$27+'Incremental_Cost Year 4'!AI76*'1. Standard_Cost'!$D$27+'Incremental_Cost Year 4'!AJ76+'Incremental_Cost Year 4'!AL76+AK76</f>
        <v>0</v>
      </c>
      <c r="AN76" s="108">
        <f>AM76*'1. Standard_Cost'!$C$31</f>
        <v>0</v>
      </c>
      <c r="AO76" s="125" t="s">
        <v>321</v>
      </c>
      <c r="AQ76" s="14">
        <f t="shared" si="70"/>
        <v>0</v>
      </c>
      <c r="AR76" s="14">
        <f t="shared" si="71"/>
        <v>2654400</v>
      </c>
      <c r="AS76" s="14">
        <f t="shared" si="72"/>
        <v>0</v>
      </c>
      <c r="AT76" s="14">
        <f t="shared" si="74"/>
        <v>2654400</v>
      </c>
      <c r="AU76" s="234"/>
      <c r="AV76" s="234"/>
      <c r="AW76" s="234"/>
      <c r="AX76" s="234"/>
      <c r="AY76" s="234"/>
      <c r="AZ76" s="234"/>
      <c r="BA76" s="234"/>
      <c r="BB76" s="16">
        <f t="shared" si="73"/>
        <v>-2654400</v>
      </c>
    </row>
    <row r="77" spans="1:54" ht="202.8" outlineLevel="2">
      <c r="A77" s="98"/>
      <c r="B77" s="102"/>
      <c r="C77" s="23"/>
      <c r="D77" s="251"/>
      <c r="E77" s="251"/>
      <c r="F77" s="251"/>
      <c r="G77" s="250"/>
      <c r="H77" s="302" t="s">
        <v>614</v>
      </c>
      <c r="I77" s="258" t="s">
        <v>193</v>
      </c>
      <c r="J77" s="259">
        <v>1</v>
      </c>
      <c r="K77" s="259">
        <v>2</v>
      </c>
      <c r="L77" s="106">
        <f>IF(I77&lt;&gt;0,((VLOOKUP(I77,'1. Standard_Cost'!$B$4:$D$11,2)+VLOOKUP(I77,'1. Standard_Cost'!$B$4:$D$11,3))*J77*K77),"0")</f>
        <v>101000</v>
      </c>
      <c r="M77" s="106">
        <f>L77*'1. Standard_Cost'!$F$4</f>
        <v>16867</v>
      </c>
      <c r="N77" s="260">
        <v>1</v>
      </c>
      <c r="O77" s="260">
        <v>2</v>
      </c>
      <c r="P77" s="260">
        <v>15</v>
      </c>
      <c r="Q77" s="260"/>
      <c r="R77" s="108">
        <f>'1. Standard_Cost'!$B$15*N77*P77</f>
        <v>30000</v>
      </c>
      <c r="S77" s="108">
        <f>N77*O77*P77*'1. Standard_Cost'!$C$15</f>
        <v>45000</v>
      </c>
      <c r="T77" s="108">
        <f>N77*P77*Q77*'1. Standard_Cost'!$D$15</f>
        <v>0</v>
      </c>
      <c r="U77" s="108">
        <f>N77*O77*'1. Standard_Cost'!$E$15</f>
        <v>80000</v>
      </c>
      <c r="V77" s="107"/>
      <c r="W77" s="107"/>
      <c r="X77" s="107"/>
      <c r="Y77" s="108">
        <f>+V77*((X77*'1. Standard_Cost'!$B$19)+(W77*X77*'1. Standard_Cost'!$C$19))</f>
        <v>0</v>
      </c>
      <c r="Z77" s="260"/>
      <c r="AA77" s="260">
        <v>3</v>
      </c>
      <c r="AB77" s="108">
        <f>+Z77*'1. Standard_Cost'!$B$23+AA77*'1. Standard_Cost'!$C$23</f>
        <v>57000</v>
      </c>
      <c r="AC77" s="261"/>
      <c r="AD77" s="262"/>
      <c r="AE77" s="108">
        <f>SUM(AD77,AC77,AB77,Y77,U77,T77,S77,R77)*'1. Standard_Cost'!$B$31</f>
        <v>42400</v>
      </c>
      <c r="AF77" s="108">
        <f t="shared" si="69"/>
        <v>254400</v>
      </c>
      <c r="AG77" s="107"/>
      <c r="AH77" s="107"/>
      <c r="AI77" s="107"/>
      <c r="AJ77" s="111"/>
      <c r="AK77" s="111"/>
      <c r="AL77" s="111"/>
      <c r="AM77" s="108">
        <f>AG77*'1. Standard_Cost'!$B$27+'Incremental_Cost Year 4'!AH77*'1. Standard_Cost'!$C$27+'Incremental_Cost Year 4'!AI77*'1. Standard_Cost'!$D$27+'Incremental_Cost Year 4'!AJ77+'Incremental_Cost Year 4'!AL77+AK77</f>
        <v>0</v>
      </c>
      <c r="AN77" s="108">
        <f>AM77*'1. Standard_Cost'!$C$31</f>
        <v>0</v>
      </c>
      <c r="AO77" s="125" t="s">
        <v>322</v>
      </c>
      <c r="AQ77" s="14">
        <f t="shared" si="70"/>
        <v>117867</v>
      </c>
      <c r="AR77" s="14">
        <f t="shared" si="71"/>
        <v>254400</v>
      </c>
      <c r="AS77" s="14">
        <f t="shared" si="72"/>
        <v>0</v>
      </c>
      <c r="AT77" s="14">
        <f t="shared" si="74"/>
        <v>372267</v>
      </c>
      <c r="AU77" s="234">
        <v>124869</v>
      </c>
      <c r="AV77" s="234"/>
      <c r="AW77" s="234"/>
      <c r="AX77" s="234"/>
      <c r="AY77" s="234"/>
      <c r="AZ77" s="234"/>
      <c r="BA77" s="234"/>
      <c r="BB77" s="16">
        <f t="shared" si="73"/>
        <v>-247398</v>
      </c>
    </row>
    <row r="78" spans="1:54" ht="93.6" outlineLevel="2">
      <c r="A78" s="98"/>
      <c r="B78" s="102"/>
      <c r="C78" s="23"/>
      <c r="D78" s="251"/>
      <c r="E78" s="251"/>
      <c r="F78" s="251"/>
      <c r="G78" s="250"/>
      <c r="H78" s="302" t="s">
        <v>615</v>
      </c>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60"/>
      <c r="AA78" s="260"/>
      <c r="AB78" s="108">
        <f>+Z78*'1. Standard_Cost'!$B$23+AA78*'1. Standard_Cost'!$C$23</f>
        <v>0</v>
      </c>
      <c r="AC78" s="261">
        <f>120*90000</f>
        <v>10800000</v>
      </c>
      <c r="AD78" s="262"/>
      <c r="AE78" s="108">
        <f>SUM(AD78,AC78,AB78,Y78,U78,T78,S78,R78)*'1. Standard_Cost'!$B$31</f>
        <v>2160000</v>
      </c>
      <c r="AF78" s="108">
        <f t="shared" si="69"/>
        <v>12960000</v>
      </c>
      <c r="AG78" s="107"/>
      <c r="AH78" s="107"/>
      <c r="AI78" s="107"/>
      <c r="AJ78" s="111"/>
      <c r="AK78" s="111"/>
      <c r="AL78" s="111"/>
      <c r="AM78" s="108">
        <f>AG78*'1. Standard_Cost'!$B$27+'Incremental_Cost Year 4'!AH78*'1. Standard_Cost'!$C$27+'Incremental_Cost Year 4'!AI78*'1. Standard_Cost'!$D$27+'Incremental_Cost Year 4'!AJ78+'Incremental_Cost Year 4'!AL78+AK78</f>
        <v>0</v>
      </c>
      <c r="AN78" s="108">
        <f>AM78*'1. Standard_Cost'!$C$31</f>
        <v>0</v>
      </c>
      <c r="AO78" s="125" t="s">
        <v>323</v>
      </c>
      <c r="AQ78" s="14">
        <f t="shared" si="70"/>
        <v>0</v>
      </c>
      <c r="AR78" s="14">
        <f t="shared" si="71"/>
        <v>12960000</v>
      </c>
      <c r="AS78" s="14">
        <f t="shared" si="72"/>
        <v>0</v>
      </c>
      <c r="AT78" s="14">
        <f t="shared" si="74"/>
        <v>12960000</v>
      </c>
      <c r="AU78" s="234">
        <v>12960000</v>
      </c>
      <c r="AV78" s="234"/>
      <c r="AW78" s="234"/>
      <c r="AX78" s="234"/>
      <c r="AY78" s="234"/>
      <c r="AZ78" s="234"/>
      <c r="BA78" s="234"/>
      <c r="BB78" s="16">
        <f t="shared" si="73"/>
        <v>0</v>
      </c>
    </row>
    <row r="79" spans="1:54" ht="262.2" outlineLevel="1">
      <c r="A79" s="98"/>
      <c r="B79" s="102"/>
      <c r="C79" s="23"/>
      <c r="D79" s="31" t="s">
        <v>630</v>
      </c>
      <c r="E79" s="56" t="s">
        <v>215</v>
      </c>
      <c r="F79" s="253"/>
      <c r="G79" s="254"/>
      <c r="H79" s="277" t="s">
        <v>182</v>
      </c>
      <c r="I79" s="112"/>
      <c r="J79" s="112"/>
      <c r="K79" s="112"/>
      <c r="L79" s="113">
        <f>SUM(L60:L78)</f>
        <v>1050075</v>
      </c>
      <c r="M79" s="113">
        <f>SUM(M60:M78)</f>
        <v>175362.52499999999</v>
      </c>
      <c r="N79" s="112"/>
      <c r="O79" s="112"/>
      <c r="P79" s="112"/>
      <c r="Q79" s="112"/>
      <c r="R79" s="113">
        <f t="shared" ref="R79:U79" si="75">SUM(R60:R78)</f>
        <v>420000</v>
      </c>
      <c r="S79" s="113">
        <f t="shared" si="75"/>
        <v>360000</v>
      </c>
      <c r="T79" s="113">
        <f t="shared" si="75"/>
        <v>0</v>
      </c>
      <c r="U79" s="113">
        <f t="shared" si="75"/>
        <v>640000</v>
      </c>
      <c r="V79" s="112"/>
      <c r="W79" s="112"/>
      <c r="X79" s="112"/>
      <c r="Y79" s="113">
        <f>SUM(Y60:Y78)</f>
        <v>0</v>
      </c>
      <c r="Z79" s="112"/>
      <c r="AA79" s="112"/>
      <c r="AB79" s="113">
        <f t="shared" ref="AB79:AF79" si="76">SUM(AB60:AB78)</f>
        <v>779000</v>
      </c>
      <c r="AC79" s="113">
        <f t="shared" si="76"/>
        <v>13300000</v>
      </c>
      <c r="AD79" s="113">
        <f t="shared" si="76"/>
        <v>0</v>
      </c>
      <c r="AE79" s="113">
        <f t="shared" si="76"/>
        <v>3099800</v>
      </c>
      <c r="AF79" s="113">
        <f t="shared" si="76"/>
        <v>18598800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1225437.5249999999</v>
      </c>
      <c r="AR79" s="113">
        <f t="shared" ref="AR79:BB79" si="78">SUM(AR60:AR78)</f>
        <v>18598800</v>
      </c>
      <c r="AS79" s="113">
        <f t="shared" si="78"/>
        <v>0</v>
      </c>
      <c r="AT79" s="113">
        <f t="shared" si="78"/>
        <v>19824237.524999999</v>
      </c>
      <c r="AU79" s="113">
        <f t="shared" si="78"/>
        <v>14192440</v>
      </c>
      <c r="AV79" s="113">
        <f t="shared" si="78"/>
        <v>0</v>
      </c>
      <c r="AW79" s="113">
        <f t="shared" si="78"/>
        <v>0</v>
      </c>
      <c r="AX79" s="113">
        <f t="shared" si="78"/>
        <v>0</v>
      </c>
      <c r="AY79" s="113">
        <f t="shared" si="78"/>
        <v>0</v>
      </c>
      <c r="AZ79" s="113">
        <f t="shared" si="78"/>
        <v>456000</v>
      </c>
      <c r="BA79" s="113">
        <f t="shared" si="78"/>
        <v>0</v>
      </c>
      <c r="BB79" s="113">
        <f t="shared" si="78"/>
        <v>-5175797.5250000004</v>
      </c>
    </row>
    <row r="80" spans="1:54" s="24" customFormat="1" ht="13.8" customHeight="1">
      <c r="A80" s="114"/>
      <c r="B80" s="115"/>
      <c r="C80" s="314" t="s">
        <v>216</v>
      </c>
      <c r="D80" s="314"/>
      <c r="E80" s="315"/>
      <c r="F80" s="246"/>
      <c r="G80" s="246"/>
      <c r="H80" s="278" t="s">
        <v>219</v>
      </c>
      <c r="I80" s="116"/>
      <c r="J80" s="116"/>
      <c r="K80" s="116"/>
      <c r="L80" s="117">
        <f>L91</f>
        <v>680775</v>
      </c>
      <c r="M80" s="117">
        <f>M91</f>
        <v>113689.425</v>
      </c>
      <c r="N80" s="116"/>
      <c r="O80" s="116"/>
      <c r="P80" s="116"/>
      <c r="Q80" s="116"/>
      <c r="R80" s="117">
        <f t="shared" ref="R80:U80" si="79">R91</f>
        <v>190000</v>
      </c>
      <c r="S80" s="117">
        <f t="shared" si="79"/>
        <v>285000</v>
      </c>
      <c r="T80" s="117">
        <f t="shared" si="79"/>
        <v>0</v>
      </c>
      <c r="U80" s="117">
        <f t="shared" si="79"/>
        <v>400000</v>
      </c>
      <c r="V80" s="116"/>
      <c r="W80" s="116"/>
      <c r="X80" s="116"/>
      <c r="Y80" s="117">
        <f>Y91</f>
        <v>0</v>
      </c>
      <c r="Z80" s="116"/>
      <c r="AA80" s="116"/>
      <c r="AB80" s="117">
        <f t="shared" ref="AB80:AF80" si="80">AB91</f>
        <v>1254000</v>
      </c>
      <c r="AC80" s="117">
        <f t="shared" si="80"/>
        <v>4508000</v>
      </c>
      <c r="AD80" s="117">
        <f t="shared" si="80"/>
        <v>0</v>
      </c>
      <c r="AE80" s="117">
        <f t="shared" si="80"/>
        <v>1327400</v>
      </c>
      <c r="AF80" s="117">
        <f t="shared" si="80"/>
        <v>7964400</v>
      </c>
      <c r="AG80" s="116"/>
      <c r="AH80" s="116"/>
      <c r="AI80" s="116"/>
      <c r="AJ80" s="117">
        <f t="shared" ref="AJ80:AN80" si="81">AJ91</f>
        <v>2000000</v>
      </c>
      <c r="AK80" s="117">
        <f t="shared" si="81"/>
        <v>0</v>
      </c>
      <c r="AL80" s="117">
        <f t="shared" si="81"/>
        <v>1700000</v>
      </c>
      <c r="AM80" s="117">
        <f t="shared" si="81"/>
        <v>3700000</v>
      </c>
      <c r="AN80" s="117">
        <f t="shared" si="81"/>
        <v>555000</v>
      </c>
      <c r="AO80" s="132"/>
      <c r="AP80" s="25"/>
      <c r="AQ80" s="117">
        <f t="shared" ref="AQ80:BB80" si="82">AQ91</f>
        <v>794464.42499999993</v>
      </c>
      <c r="AR80" s="117">
        <f t="shared" si="82"/>
        <v>7964400</v>
      </c>
      <c r="AS80" s="117">
        <f t="shared" si="82"/>
        <v>4255000</v>
      </c>
      <c r="AT80" s="117">
        <f t="shared" si="82"/>
        <v>13013864.425000001</v>
      </c>
      <c r="AU80" s="117">
        <f t="shared" si="82"/>
        <v>7689464</v>
      </c>
      <c r="AV80" s="117">
        <f t="shared" si="82"/>
        <v>0</v>
      </c>
      <c r="AW80" s="117">
        <f t="shared" si="82"/>
        <v>0</v>
      </c>
      <c r="AX80" s="117">
        <f t="shared" si="82"/>
        <v>0</v>
      </c>
      <c r="AY80" s="117">
        <f t="shared" si="82"/>
        <v>0</v>
      </c>
      <c r="AZ80" s="117">
        <f t="shared" si="82"/>
        <v>0</v>
      </c>
      <c r="BA80" s="117">
        <f t="shared" si="82"/>
        <v>0</v>
      </c>
      <c r="BB80" s="117">
        <f t="shared" si="82"/>
        <v>-5324400.4249999998</v>
      </c>
    </row>
    <row r="81" spans="1:54" ht="140.4" outlineLevel="2">
      <c r="A81" s="98"/>
      <c r="B81" s="102"/>
      <c r="C81" s="23"/>
      <c r="D81" s="257"/>
      <c r="E81" s="257"/>
      <c r="F81" s="252"/>
      <c r="G81" s="249"/>
      <c r="H81" s="302" t="s">
        <v>684</v>
      </c>
      <c r="I81" s="282" t="s">
        <v>4</v>
      </c>
      <c r="J81" s="259">
        <v>0.5</v>
      </c>
      <c r="K81" s="259">
        <v>2</v>
      </c>
      <c r="L81" s="106">
        <f>IF(I81&lt;&gt;0,((VLOOKUP(I81,'1. Standard_Cost'!$B$4:$D$11,2)+VLOOKUP(I81,'1. Standard_Cost'!$B$4:$D$11,3))*J81*K81),"0")</f>
        <v>80750</v>
      </c>
      <c r="M81" s="106">
        <f>L81*'1. Standard_Cost'!$F$4</f>
        <v>13485.25</v>
      </c>
      <c r="N81" s="260"/>
      <c r="O81" s="260"/>
      <c r="P81" s="260"/>
      <c r="Q81" s="260"/>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83">SUM(AE81,AD81,AC81,AB81,Y81,U81,T81,S81,R81)</f>
        <v>0</v>
      </c>
      <c r="AG81" s="260"/>
      <c r="AH81" s="260"/>
      <c r="AI81" s="260"/>
      <c r="AJ81" s="263"/>
      <c r="AK81" s="263"/>
      <c r="AL81" s="263"/>
      <c r="AM81" s="108">
        <f>AG81*'1. Standard_Cost'!$B$27+'Incremental_Cost Year 4'!AH81*'1. Standard_Cost'!$C$27+'Incremental_Cost Year 4'!AI81*'1. Standard_Cost'!$D$27+'Incremental_Cost Year 4'!AJ81+'Incremental_Cost Year 4'!AL81+AK81</f>
        <v>0</v>
      </c>
      <c r="AN81" s="108">
        <f>AM81*'1. Standard_Cost'!$C$31</f>
        <v>0</v>
      </c>
      <c r="AO81" s="125" t="s">
        <v>300</v>
      </c>
      <c r="AQ81" s="14">
        <f t="shared" ref="AQ81:AQ90" si="84">L81+M81</f>
        <v>94235.25</v>
      </c>
      <c r="AR81" s="14">
        <f t="shared" ref="AR81:AR90" si="85">AF81</f>
        <v>0</v>
      </c>
      <c r="AS81" s="14">
        <f t="shared" ref="AS81:AS90" si="86">AM81+AN81</f>
        <v>0</v>
      </c>
      <c r="AT81" s="14">
        <f>SUM(AQ81,AR81,AS81)</f>
        <v>94235.25</v>
      </c>
      <c r="AU81" s="234">
        <v>94235</v>
      </c>
      <c r="AV81" s="234"/>
      <c r="AW81" s="234"/>
      <c r="AX81" s="234"/>
      <c r="AY81" s="234"/>
      <c r="AZ81" s="234"/>
      <c r="BA81" s="234"/>
      <c r="BB81" s="16">
        <f t="shared" ref="BB81:BB90" si="87">SUM(AU81:BA81)-AT81</f>
        <v>-0.25</v>
      </c>
    </row>
    <row r="82" spans="1:54" ht="93.6" outlineLevel="2">
      <c r="A82" s="98"/>
      <c r="B82" s="102"/>
      <c r="C82" s="23"/>
      <c r="D82" s="269"/>
      <c r="E82" s="269"/>
      <c r="F82" s="251"/>
      <c r="G82" s="250"/>
      <c r="H82" s="302" t="s">
        <v>616</v>
      </c>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60"/>
      <c r="AA82" s="260"/>
      <c r="AB82" s="108">
        <f>+Z82*'1. Standard_Cost'!$B$23+AA82*'1. Standard_Cost'!$C$23</f>
        <v>0</v>
      </c>
      <c r="AC82" s="261">
        <f>2*2200000</f>
        <v>4400000</v>
      </c>
      <c r="AD82" s="262"/>
      <c r="AE82" s="108">
        <f>SUM(AD82,AC82,AB82,Y82,U82,T82,S82,R82)*'1. Standard_Cost'!$B$31</f>
        <v>880000</v>
      </c>
      <c r="AF82" s="108">
        <f t="shared" si="83"/>
        <v>5280000</v>
      </c>
      <c r="AG82" s="260"/>
      <c r="AH82" s="260"/>
      <c r="AI82" s="260"/>
      <c r="AJ82" s="263"/>
      <c r="AK82" s="263"/>
      <c r="AL82" s="263"/>
      <c r="AM82" s="108">
        <f>AG82*'1. Standard_Cost'!$B$27+'Incremental_Cost Year 4'!AH82*'1. Standard_Cost'!$C$27+'Incremental_Cost Year 4'!AI82*'1. Standard_Cost'!$D$27+'Incremental_Cost Year 4'!AJ82+'Incremental_Cost Year 4'!AL82+AK82</f>
        <v>0</v>
      </c>
      <c r="AN82" s="108">
        <f>AM82*'1. Standard_Cost'!$C$31</f>
        <v>0</v>
      </c>
      <c r="AO82" s="125" t="s">
        <v>324</v>
      </c>
      <c r="AQ82" s="14">
        <f t="shared" si="84"/>
        <v>0</v>
      </c>
      <c r="AR82" s="14">
        <f t="shared" si="85"/>
        <v>5280000</v>
      </c>
      <c r="AS82" s="14">
        <f t="shared" si="86"/>
        <v>0</v>
      </c>
      <c r="AT82" s="14">
        <f t="shared" ref="AT82:AT90" si="88">SUM(AQ82,AR82,AS82)</f>
        <v>5280000</v>
      </c>
      <c r="AU82" s="234">
        <v>2640000</v>
      </c>
      <c r="AV82" s="234"/>
      <c r="AW82" s="234"/>
      <c r="AX82" s="234"/>
      <c r="AY82" s="234"/>
      <c r="AZ82" s="234"/>
      <c r="BA82" s="234"/>
      <c r="BB82" s="16">
        <f t="shared" si="87"/>
        <v>-2640000</v>
      </c>
    </row>
    <row r="83" spans="1:54" ht="124.8" outlineLevel="2">
      <c r="A83" s="98"/>
      <c r="B83" s="102"/>
      <c r="C83" s="23"/>
      <c r="D83" s="269"/>
      <c r="E83" s="269"/>
      <c r="F83" s="251"/>
      <c r="G83" s="250"/>
      <c r="H83" s="302" t="s">
        <v>617</v>
      </c>
      <c r="I83" s="282" t="s">
        <v>5</v>
      </c>
      <c r="J83" s="259">
        <v>0.5</v>
      </c>
      <c r="K83" s="259">
        <v>2</v>
      </c>
      <c r="L83" s="106">
        <f>IF(I83&lt;&gt;0,((VLOOKUP(I83,'1. Standard_Cost'!$B$4:$D$11,2)+VLOOKUP(I83,'1. Standard_Cost'!$B$4:$D$11,3))*J83*K83),"0")</f>
        <v>70700</v>
      </c>
      <c r="M83" s="106">
        <f>L83*'1. Standard_Cost'!$F$4</f>
        <v>11806.900000000001</v>
      </c>
      <c r="N83" s="260"/>
      <c r="O83" s="260"/>
      <c r="P83" s="260"/>
      <c r="Q83" s="260"/>
      <c r="R83" s="108">
        <f>'1. Standard_Cost'!$B$15*N83*P83</f>
        <v>0</v>
      </c>
      <c r="S83" s="108">
        <f>N83*O83*P83*'1. Standard_Cost'!$C$15</f>
        <v>0</v>
      </c>
      <c r="T83" s="108">
        <f>N83*P83*Q83*'1. Standard_Cost'!$D$15</f>
        <v>0</v>
      </c>
      <c r="U83" s="108">
        <f>N83*O83*'1. Standard_Cost'!$E$15</f>
        <v>0</v>
      </c>
      <c r="V83" s="107"/>
      <c r="W83" s="107"/>
      <c r="X83" s="107"/>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83"/>
        <v>0</v>
      </c>
      <c r="AG83" s="260"/>
      <c r="AH83" s="260"/>
      <c r="AI83" s="260"/>
      <c r="AJ83" s="263"/>
      <c r="AK83" s="263"/>
      <c r="AL83" s="263"/>
      <c r="AM83" s="108">
        <f>AG83*'1. Standard_Cost'!$B$27+'Incremental_Cost Year 4'!AH83*'1. Standard_Cost'!$C$27+'Incremental_Cost Year 4'!AI83*'1. Standard_Cost'!$D$27+'Incremental_Cost Year 4'!AJ83+'Incremental_Cost Year 4'!AL83+AK83</f>
        <v>0</v>
      </c>
      <c r="AN83" s="108">
        <f>AM83*'1. Standard_Cost'!$C$31</f>
        <v>0</v>
      </c>
      <c r="AO83" s="125" t="s">
        <v>325</v>
      </c>
      <c r="AQ83" s="14">
        <f t="shared" si="84"/>
        <v>82506.899999999994</v>
      </c>
      <c r="AR83" s="14">
        <f t="shared" si="85"/>
        <v>0</v>
      </c>
      <c r="AS83" s="14">
        <f t="shared" si="86"/>
        <v>0</v>
      </c>
      <c r="AT83" s="14">
        <f t="shared" si="88"/>
        <v>82506.899999999994</v>
      </c>
      <c r="AU83" s="234">
        <v>82507</v>
      </c>
      <c r="AV83" s="234"/>
      <c r="AW83" s="234"/>
      <c r="AX83" s="234"/>
      <c r="AY83" s="234"/>
      <c r="AZ83" s="234"/>
      <c r="BA83" s="234"/>
      <c r="BB83" s="16">
        <f t="shared" si="87"/>
        <v>0.10000000000582077</v>
      </c>
    </row>
    <row r="84" spans="1:54" ht="140.4" outlineLevel="2">
      <c r="A84" s="98"/>
      <c r="B84" s="102"/>
      <c r="C84" s="23"/>
      <c r="D84" s="269"/>
      <c r="E84" s="269"/>
      <c r="F84" s="251"/>
      <c r="G84" s="250"/>
      <c r="H84" s="302" t="s">
        <v>618</v>
      </c>
      <c r="I84" s="258" t="s">
        <v>5</v>
      </c>
      <c r="J84" s="259">
        <v>0.5</v>
      </c>
      <c r="K84" s="259">
        <v>1</v>
      </c>
      <c r="L84" s="106">
        <f>IF(I84&lt;&gt;0,((VLOOKUP(I84,'1. Standard_Cost'!$B$4:$D$11,2)+VLOOKUP(I84,'1. Standard_Cost'!$B$4:$D$11,3))*J84*K84),"0")</f>
        <v>35350</v>
      </c>
      <c r="M84" s="106">
        <f>L84*'1. Standard_Cost'!$F$4</f>
        <v>5903.4500000000007</v>
      </c>
      <c r="N84" s="260">
        <v>4</v>
      </c>
      <c r="O84" s="260">
        <v>2</v>
      </c>
      <c r="P84" s="260">
        <v>20</v>
      </c>
      <c r="Q84" s="260"/>
      <c r="R84" s="108">
        <f>'1. Standard_Cost'!$B$15*N84*P84</f>
        <v>160000</v>
      </c>
      <c r="S84" s="108">
        <f>N84*O84*P84*'1. Standard_Cost'!$C$15</f>
        <v>240000</v>
      </c>
      <c r="T84" s="108">
        <f>N84*P84*Q84*'1. Standard_Cost'!$D$15</f>
        <v>0</v>
      </c>
      <c r="U84" s="108">
        <f>N84*O84*'1. Standard_Cost'!$E$15</f>
        <v>320000</v>
      </c>
      <c r="V84" s="107"/>
      <c r="W84" s="107"/>
      <c r="X84" s="107"/>
      <c r="Y84" s="108">
        <f>+V84*((X84*'1. Standard_Cost'!$B$19)+(W84*X84*'1. Standard_Cost'!$C$19))</f>
        <v>0</v>
      </c>
      <c r="Z84" s="260"/>
      <c r="AA84" s="260">
        <v>20</v>
      </c>
      <c r="AB84" s="108">
        <f>+Z84*'1. Standard_Cost'!$B$23+AA84*'1. Standard_Cost'!$C$23</f>
        <v>380000</v>
      </c>
      <c r="AC84" s="261">
        <f>80*500</f>
        <v>40000</v>
      </c>
      <c r="AD84" s="262"/>
      <c r="AE84" s="108">
        <f>SUM(AD84,AC84,AB84,Y84,U84,T84,S84,R84)*'1. Standard_Cost'!$B$31</f>
        <v>228000</v>
      </c>
      <c r="AF84" s="108">
        <f t="shared" si="83"/>
        <v>1368000</v>
      </c>
      <c r="AG84" s="260"/>
      <c r="AH84" s="260"/>
      <c r="AI84" s="260"/>
      <c r="AJ84" s="263"/>
      <c r="AK84" s="263"/>
      <c r="AL84" s="263"/>
      <c r="AM84" s="108">
        <f>AG84*'1. Standard_Cost'!$B$27+'Incremental_Cost Year 4'!AH84*'1. Standard_Cost'!$C$27+'Incremental_Cost Year 4'!AI84*'1. Standard_Cost'!$D$27+'Incremental_Cost Year 4'!AJ84+'Incremental_Cost Year 4'!AL84+AK84</f>
        <v>0</v>
      </c>
      <c r="AN84" s="108">
        <f>AM84*'1. Standard_Cost'!$C$31</f>
        <v>0</v>
      </c>
      <c r="AO84" s="125" t="s">
        <v>326</v>
      </c>
      <c r="AQ84" s="14">
        <f t="shared" si="84"/>
        <v>41253.449999999997</v>
      </c>
      <c r="AR84" s="14">
        <f t="shared" si="85"/>
        <v>1368000</v>
      </c>
      <c r="AS84" s="14">
        <f t="shared" si="86"/>
        <v>0</v>
      </c>
      <c r="AT84" s="14">
        <f t="shared" si="88"/>
        <v>1409253.45</v>
      </c>
      <c r="AU84" s="234">
        <v>41253</v>
      </c>
      <c r="AV84" s="234"/>
      <c r="AW84" s="234"/>
      <c r="AX84" s="234"/>
      <c r="AY84" s="234"/>
      <c r="AZ84" s="234"/>
      <c r="BA84" s="234"/>
      <c r="BB84" s="16">
        <f t="shared" si="87"/>
        <v>-1368000.45</v>
      </c>
    </row>
    <row r="85" spans="1:54" ht="109.2" outlineLevel="2">
      <c r="A85" s="98"/>
      <c r="B85" s="102"/>
      <c r="C85" s="23"/>
      <c r="D85" s="269"/>
      <c r="E85" s="269"/>
      <c r="F85" s="251"/>
      <c r="G85" s="250"/>
      <c r="H85" s="302" t="s">
        <v>619</v>
      </c>
      <c r="I85" s="282" t="s">
        <v>3</v>
      </c>
      <c r="J85" s="259">
        <v>0.5</v>
      </c>
      <c r="K85" s="259">
        <v>9</v>
      </c>
      <c r="L85" s="106">
        <f>IF(I85&lt;&gt;0,((VLOOKUP(I85,'1. Standard_Cost'!$B$4:$D$11,2)+VLOOKUP(I85,'1. Standard_Cost'!$B$4:$D$11,3))*J85*K85),"0")</f>
        <v>453600</v>
      </c>
      <c r="M85" s="106">
        <f>L85*'1. Standard_Cost'!$F$4</f>
        <v>75751.199999999997</v>
      </c>
      <c r="N85" s="260"/>
      <c r="O85" s="260"/>
      <c r="P85" s="260"/>
      <c r="Q85" s="260"/>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60"/>
      <c r="AA85" s="260">
        <v>10</v>
      </c>
      <c r="AB85" s="108">
        <f>+Z85*'1. Standard_Cost'!$B$23+AA85*'1. Standard_Cost'!$C$23</f>
        <v>190000</v>
      </c>
      <c r="AC85" s="261">
        <v>53000</v>
      </c>
      <c r="AD85" s="262"/>
      <c r="AE85" s="108">
        <f>SUM(AD85,AC85,AB85,Y85,U85,T85,S85,R85)*'1. Standard_Cost'!$B$31</f>
        <v>48600</v>
      </c>
      <c r="AF85" s="108">
        <f t="shared" si="83"/>
        <v>291600</v>
      </c>
      <c r="AG85" s="260"/>
      <c r="AH85" s="260"/>
      <c r="AI85" s="260"/>
      <c r="AJ85" s="263"/>
      <c r="AK85" s="263"/>
      <c r="AL85" s="263"/>
      <c r="AM85" s="108">
        <f>AG85*'1. Standard_Cost'!$B$27+'Incremental_Cost Year 4'!AH85*'1. Standard_Cost'!$C$27+'Incremental_Cost Year 4'!AI85*'1. Standard_Cost'!$D$27+'Incremental_Cost Year 4'!AJ85+'Incremental_Cost Year 4'!AL85+AK85</f>
        <v>0</v>
      </c>
      <c r="AN85" s="108">
        <f>AM85*'1. Standard_Cost'!$C$31</f>
        <v>0</v>
      </c>
      <c r="AO85" s="125" t="s">
        <v>327</v>
      </c>
      <c r="AQ85" s="14">
        <f t="shared" si="84"/>
        <v>529351.19999999995</v>
      </c>
      <c r="AR85" s="14">
        <f t="shared" si="85"/>
        <v>291600</v>
      </c>
      <c r="AS85" s="14">
        <f t="shared" si="86"/>
        <v>0</v>
      </c>
      <c r="AT85" s="14">
        <f t="shared" si="88"/>
        <v>820951.2</v>
      </c>
      <c r="AU85" s="234">
        <v>529351</v>
      </c>
      <c r="AV85" s="234"/>
      <c r="AW85" s="234"/>
      <c r="AX85" s="234"/>
      <c r="AY85" s="234"/>
      <c r="AZ85" s="234"/>
      <c r="BA85" s="234"/>
      <c r="BB85" s="16">
        <f t="shared" si="87"/>
        <v>-291600.19999999995</v>
      </c>
    </row>
    <row r="86" spans="1:54" ht="171.6" outlineLevel="2">
      <c r="A86" s="98"/>
      <c r="B86" s="102"/>
      <c r="C86" s="23"/>
      <c r="D86" s="269"/>
      <c r="E86" s="269"/>
      <c r="F86" s="251"/>
      <c r="G86" s="250"/>
      <c r="H86" s="302" t="s">
        <v>620</v>
      </c>
      <c r="I86" s="258" t="s">
        <v>4</v>
      </c>
      <c r="J86" s="259">
        <v>0.5</v>
      </c>
      <c r="K86" s="259">
        <v>1</v>
      </c>
      <c r="L86" s="106">
        <f>IF(I86&lt;&gt;0,((VLOOKUP(I86,'1. Standard_Cost'!$B$4:$D$11,2)+VLOOKUP(I86,'1. Standard_Cost'!$B$4:$D$11,3))*J86*K86),"0")</f>
        <v>40375</v>
      </c>
      <c r="M86" s="106">
        <f>L86*'1. Standard_Cost'!$F$4</f>
        <v>6742.625</v>
      </c>
      <c r="N86" s="260"/>
      <c r="O86" s="260"/>
      <c r="P86" s="260"/>
      <c r="Q86" s="260"/>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60"/>
      <c r="AA86" s="260">
        <v>30</v>
      </c>
      <c r="AB86" s="108">
        <f>+Z86*'1. Standard_Cost'!$B$23+AA86*'1. Standard_Cost'!$C$23</f>
        <v>570000</v>
      </c>
      <c r="AC86" s="261"/>
      <c r="AD86" s="262"/>
      <c r="AE86" s="108">
        <f>SUM(AD86,AC86,AB86,Y86,U86,T86,S86,R86)*'1. Standard_Cost'!$B$31</f>
        <v>114000</v>
      </c>
      <c r="AF86" s="108">
        <f t="shared" si="83"/>
        <v>684000</v>
      </c>
      <c r="AG86" s="260"/>
      <c r="AH86" s="260"/>
      <c r="AI86" s="260"/>
      <c r="AJ86" s="263"/>
      <c r="AK86" s="263"/>
      <c r="AL86" s="263"/>
      <c r="AM86" s="108">
        <f>AG86*'1. Standard_Cost'!$B$27+'Incremental_Cost Year 4'!AH86*'1. Standard_Cost'!$C$27+'Incremental_Cost Year 4'!AI86*'1. Standard_Cost'!$D$27+'Incremental_Cost Year 4'!AJ86+'Incremental_Cost Year 4'!AL86+AK86</f>
        <v>0</v>
      </c>
      <c r="AN86" s="108">
        <f>AM86*'1. Standard_Cost'!$C$31</f>
        <v>0</v>
      </c>
      <c r="AO86" s="125" t="s">
        <v>328</v>
      </c>
      <c r="AQ86" s="14">
        <f t="shared" si="84"/>
        <v>47117.625</v>
      </c>
      <c r="AR86" s="14">
        <f t="shared" si="85"/>
        <v>684000</v>
      </c>
      <c r="AS86" s="14">
        <f t="shared" si="86"/>
        <v>0</v>
      </c>
      <c r="AT86" s="14">
        <f t="shared" si="88"/>
        <v>731117.625</v>
      </c>
      <c r="AU86" s="234">
        <v>47118</v>
      </c>
      <c r="AV86" s="234"/>
      <c r="AW86" s="234"/>
      <c r="AX86" s="234"/>
      <c r="AY86" s="234"/>
      <c r="AZ86" s="234"/>
      <c r="BA86" s="234"/>
      <c r="BB86" s="16">
        <f t="shared" si="87"/>
        <v>-683999.625</v>
      </c>
    </row>
    <row r="87" spans="1:54" ht="140.4" outlineLevel="2">
      <c r="A87" s="98"/>
      <c r="B87" s="102"/>
      <c r="C87" s="23"/>
      <c r="D87" s="269"/>
      <c r="E87" s="269"/>
      <c r="F87" s="251"/>
      <c r="G87" s="250"/>
      <c r="H87" s="302" t="s">
        <v>621</v>
      </c>
      <c r="I87" s="258"/>
      <c r="J87" s="259"/>
      <c r="K87" s="259"/>
      <c r="L87" s="106" t="str">
        <f>IF(I87&lt;&gt;0,((VLOOKUP(I87,'1. Standard_Cost'!$B$4:$D$11,2)+VLOOKUP(I87,'1. Standard_Cost'!$B$4:$D$11,3))*J87*K87),"0")</f>
        <v>0</v>
      </c>
      <c r="M87" s="106">
        <f>L87*'1. Standard_Cost'!$F$4</f>
        <v>0</v>
      </c>
      <c r="N87" s="260">
        <v>1</v>
      </c>
      <c r="O87" s="260">
        <v>2</v>
      </c>
      <c r="P87" s="260">
        <v>15</v>
      </c>
      <c r="Q87" s="260"/>
      <c r="R87" s="108">
        <f>'1. Standard_Cost'!$B$15*N87*P87</f>
        <v>30000</v>
      </c>
      <c r="S87" s="108">
        <f>N87*O87*P87*'1. Standard_Cost'!$C$15</f>
        <v>45000</v>
      </c>
      <c r="T87" s="108">
        <f>N87*P87*Q87*'1. Standard_Cost'!$D$15</f>
        <v>0</v>
      </c>
      <c r="U87" s="108">
        <f>N87*O87*'1. Standard_Cost'!$E$15</f>
        <v>80000</v>
      </c>
      <c r="V87" s="107"/>
      <c r="W87" s="107"/>
      <c r="X87" s="107"/>
      <c r="Y87" s="108">
        <f>+V87*((X87*'1. Standard_Cost'!$B$19)+(W87*X87*'1. Standard_Cost'!$C$19))</f>
        <v>0</v>
      </c>
      <c r="Z87" s="260"/>
      <c r="AA87" s="260">
        <v>6</v>
      </c>
      <c r="AB87" s="108">
        <f>+Z87*'1. Standard_Cost'!$B$23+AA87*'1. Standard_Cost'!$C$23</f>
        <v>114000</v>
      </c>
      <c r="AC87" s="261">
        <f>30*500</f>
        <v>15000</v>
      </c>
      <c r="AD87" s="262"/>
      <c r="AE87" s="108">
        <f>SUM(AD87,AC87,AB87,Y87,U87,T87,S87,R87)*'1. Standard_Cost'!$B$31</f>
        <v>56800</v>
      </c>
      <c r="AF87" s="108">
        <f t="shared" si="83"/>
        <v>340800</v>
      </c>
      <c r="AG87" s="260"/>
      <c r="AH87" s="260"/>
      <c r="AI87" s="260"/>
      <c r="AJ87" s="263"/>
      <c r="AK87" s="263"/>
      <c r="AL87" s="263"/>
      <c r="AM87" s="108">
        <f>AG87*'1. Standard_Cost'!$B$27+'Incremental_Cost Year 4'!AH87*'1. Standard_Cost'!$C$27+'Incremental_Cost Year 4'!AI87*'1. Standard_Cost'!$D$27+'Incremental_Cost Year 4'!AJ87+'Incremental_Cost Year 4'!AL87+AK87</f>
        <v>0</v>
      </c>
      <c r="AN87" s="108">
        <f>AM87*'1. Standard_Cost'!$C$31</f>
        <v>0</v>
      </c>
      <c r="AO87" s="125" t="s">
        <v>329</v>
      </c>
      <c r="AQ87" s="14">
        <f t="shared" si="84"/>
        <v>0</v>
      </c>
      <c r="AR87" s="14">
        <f t="shared" si="85"/>
        <v>340800</v>
      </c>
      <c r="AS87" s="14">
        <f t="shared" si="86"/>
        <v>0</v>
      </c>
      <c r="AT87" s="14">
        <f t="shared" si="88"/>
        <v>340800</v>
      </c>
      <c r="AU87" s="234"/>
      <c r="AV87" s="234"/>
      <c r="AW87" s="234"/>
      <c r="AX87" s="234"/>
      <c r="AY87" s="234"/>
      <c r="AZ87" s="234"/>
      <c r="BA87" s="234"/>
      <c r="BB87" s="16">
        <f t="shared" si="87"/>
        <v>-340800</v>
      </c>
    </row>
    <row r="88" spans="1:54" ht="93.6" outlineLevel="2">
      <c r="A88" s="98"/>
      <c r="B88" s="102"/>
      <c r="C88" s="23"/>
      <c r="D88" s="269"/>
      <c r="E88" s="269"/>
      <c r="F88" s="251"/>
      <c r="G88" s="250"/>
      <c r="H88" s="302" t="s">
        <v>622</v>
      </c>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83"/>
        <v>0</v>
      </c>
      <c r="AG88" s="260"/>
      <c r="AH88" s="260"/>
      <c r="AI88" s="260"/>
      <c r="AJ88" s="263"/>
      <c r="AK88" s="263"/>
      <c r="AL88" s="263">
        <v>1700000</v>
      </c>
      <c r="AM88" s="108">
        <f>AG88*'1. Standard_Cost'!$B$27+'Incremental_Cost Year 4'!AH88*'1. Standard_Cost'!$C$27+'Incremental_Cost Year 4'!AI88*'1. Standard_Cost'!$D$27+'Incremental_Cost Year 4'!AJ88+'Incremental_Cost Year 4'!AL88+AK88</f>
        <v>1700000</v>
      </c>
      <c r="AN88" s="108">
        <f>AM88*'1. Standard_Cost'!$C$31</f>
        <v>255000</v>
      </c>
      <c r="AO88" s="125" t="s">
        <v>330</v>
      </c>
      <c r="AQ88" s="14">
        <f t="shared" si="84"/>
        <v>0</v>
      </c>
      <c r="AR88" s="14">
        <f t="shared" si="85"/>
        <v>0</v>
      </c>
      <c r="AS88" s="14">
        <f t="shared" si="86"/>
        <v>1955000</v>
      </c>
      <c r="AT88" s="14">
        <f t="shared" si="88"/>
        <v>1955000</v>
      </c>
      <c r="AU88" s="234">
        <v>1955000</v>
      </c>
      <c r="AV88" s="234"/>
      <c r="AW88" s="234"/>
      <c r="AX88" s="234"/>
      <c r="AY88" s="234"/>
      <c r="AZ88" s="234"/>
      <c r="BA88" s="234"/>
      <c r="BB88" s="16">
        <f t="shared" si="87"/>
        <v>0</v>
      </c>
    </row>
    <row r="89" spans="1:54" ht="124.8" outlineLevel="2">
      <c r="A89" s="98"/>
      <c r="B89" s="102"/>
      <c r="C89" s="23"/>
      <c r="D89" s="269"/>
      <c r="E89" s="269"/>
      <c r="F89" s="251"/>
      <c r="G89" s="250"/>
      <c r="H89" s="302" t="s">
        <v>623</v>
      </c>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83"/>
        <v>0</v>
      </c>
      <c r="AG89" s="260"/>
      <c r="AH89" s="260"/>
      <c r="AI89" s="260"/>
      <c r="AJ89" s="263">
        <v>2000000</v>
      </c>
      <c r="AK89" s="263"/>
      <c r="AL89" s="263"/>
      <c r="AM89" s="108">
        <f>AG89*'1. Standard_Cost'!$B$27+'Incremental_Cost Year 4'!AH89*'1. Standard_Cost'!$C$27+'Incremental_Cost Year 4'!AI89*'1. Standard_Cost'!$D$27+'Incremental_Cost Year 4'!AJ89+'Incremental_Cost Year 4'!AL89+AK89</f>
        <v>2000000</v>
      </c>
      <c r="AN89" s="108">
        <f>AM89*'1. Standard_Cost'!$C$31</f>
        <v>300000</v>
      </c>
      <c r="AO89" s="125" t="s">
        <v>331</v>
      </c>
      <c r="AQ89" s="14">
        <f t="shared" si="84"/>
        <v>0</v>
      </c>
      <c r="AR89" s="14">
        <f t="shared" si="85"/>
        <v>0</v>
      </c>
      <c r="AS89" s="14">
        <f t="shared" si="86"/>
        <v>2300000</v>
      </c>
      <c r="AT89" s="14">
        <f t="shared" si="88"/>
        <v>2300000</v>
      </c>
      <c r="AU89" s="234">
        <v>2300000</v>
      </c>
      <c r="AV89" s="234"/>
      <c r="AW89" s="234"/>
      <c r="AX89" s="234"/>
      <c r="AY89" s="234"/>
      <c r="AZ89" s="234"/>
      <c r="BA89" s="234"/>
      <c r="BB89" s="16">
        <f t="shared" si="87"/>
        <v>0</v>
      </c>
    </row>
    <row r="90" spans="1:54" ht="107.4" outlineLevel="2">
      <c r="A90" s="98"/>
      <c r="B90" s="102"/>
      <c r="C90" s="23"/>
      <c r="D90" s="251"/>
      <c r="E90" s="251"/>
      <c r="F90" s="251"/>
      <c r="G90" s="250"/>
      <c r="H90" s="302" t="s">
        <v>685</v>
      </c>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83"/>
        <v>0</v>
      </c>
      <c r="AG90" s="260"/>
      <c r="AH90" s="260"/>
      <c r="AI90" s="260"/>
      <c r="AJ90" s="263"/>
      <c r="AK90" s="263"/>
      <c r="AL90" s="263"/>
      <c r="AM90" s="108">
        <f>AG90*'1. Standard_Cost'!$B$27+'Incremental_Cost Year 4'!AH90*'1. Standard_Cost'!$C$27+'Incremental_Cost Year 4'!AI90*'1. Standard_Cost'!$D$27+'Incremental_Cost Year 4'!AJ90+'Incremental_Cost Year 4'!AL90+AK90</f>
        <v>0</v>
      </c>
      <c r="AN90" s="108">
        <f>AM90*'1. Standard_Cost'!$C$31</f>
        <v>0</v>
      </c>
      <c r="AO90" s="125" t="s">
        <v>332</v>
      </c>
      <c r="AQ90" s="14">
        <f t="shared" si="84"/>
        <v>0</v>
      </c>
      <c r="AR90" s="14">
        <f t="shared" si="85"/>
        <v>0</v>
      </c>
      <c r="AS90" s="14">
        <f t="shared" si="86"/>
        <v>0</v>
      </c>
      <c r="AT90" s="14">
        <f t="shared" si="88"/>
        <v>0</v>
      </c>
      <c r="AU90" s="234"/>
      <c r="AV90" s="234"/>
      <c r="AW90" s="234"/>
      <c r="AX90" s="234"/>
      <c r="AY90" s="234"/>
      <c r="AZ90" s="234"/>
      <c r="BA90" s="234"/>
      <c r="BB90" s="16">
        <f t="shared" si="87"/>
        <v>0</v>
      </c>
    </row>
    <row r="91" spans="1:54" ht="82.8" outlineLevel="1">
      <c r="A91" s="98"/>
      <c r="B91" s="102"/>
      <c r="C91" s="23"/>
      <c r="D91" s="345" t="s">
        <v>632</v>
      </c>
      <c r="E91" s="56" t="s">
        <v>217</v>
      </c>
      <c r="F91" s="253">
        <v>2021</v>
      </c>
      <c r="G91" s="254">
        <v>2026</v>
      </c>
      <c r="H91" s="277" t="s">
        <v>218</v>
      </c>
      <c r="I91" s="112"/>
      <c r="J91" s="112"/>
      <c r="K91" s="112"/>
      <c r="L91" s="113">
        <f>SUM(L81:L90)</f>
        <v>680775</v>
      </c>
      <c r="M91" s="113">
        <f>SUM(M81:M90)</f>
        <v>113689.425</v>
      </c>
      <c r="N91" s="113"/>
      <c r="O91" s="112"/>
      <c r="P91" s="112"/>
      <c r="Q91" s="112"/>
      <c r="R91" s="113">
        <f t="shared" ref="R91:U91" si="89">SUM(R81:R90)</f>
        <v>190000</v>
      </c>
      <c r="S91" s="113">
        <f t="shared" si="89"/>
        <v>285000</v>
      </c>
      <c r="T91" s="113">
        <f t="shared" si="89"/>
        <v>0</v>
      </c>
      <c r="U91" s="113">
        <f t="shared" si="89"/>
        <v>400000</v>
      </c>
      <c r="V91" s="112"/>
      <c r="W91" s="112"/>
      <c r="X91" s="112"/>
      <c r="Y91" s="113">
        <f>SUM(Y81:Y90)</f>
        <v>0</v>
      </c>
      <c r="Z91" s="112"/>
      <c r="AA91" s="112"/>
      <c r="AB91" s="113">
        <f t="shared" ref="AB91:AF91" si="90">SUM(AB81:AB90)</f>
        <v>1254000</v>
      </c>
      <c r="AC91" s="113">
        <f t="shared" si="90"/>
        <v>4508000</v>
      </c>
      <c r="AD91" s="113">
        <f t="shared" si="90"/>
        <v>0</v>
      </c>
      <c r="AE91" s="113">
        <f t="shared" si="90"/>
        <v>1327400</v>
      </c>
      <c r="AF91" s="113">
        <f t="shared" si="90"/>
        <v>7964400</v>
      </c>
      <c r="AG91" s="112"/>
      <c r="AH91" s="112"/>
      <c r="AI91" s="112"/>
      <c r="AJ91" s="113">
        <f t="shared" ref="AJ91:AN91" si="91">SUM(AJ81:AJ90)</f>
        <v>2000000</v>
      </c>
      <c r="AK91" s="113">
        <f t="shared" si="91"/>
        <v>0</v>
      </c>
      <c r="AL91" s="113">
        <f t="shared" si="91"/>
        <v>1700000</v>
      </c>
      <c r="AM91" s="113">
        <f t="shared" si="91"/>
        <v>3700000</v>
      </c>
      <c r="AN91" s="113">
        <f t="shared" si="91"/>
        <v>555000</v>
      </c>
      <c r="AO91" s="131"/>
      <c r="AP91" s="17"/>
      <c r="AQ91" s="113">
        <f t="shared" ref="AQ91:BB91" si="92">SUM(AQ81:AQ90)</f>
        <v>794464.42499999993</v>
      </c>
      <c r="AR91" s="113">
        <f t="shared" si="92"/>
        <v>7964400</v>
      </c>
      <c r="AS91" s="113">
        <f t="shared" si="92"/>
        <v>4255000</v>
      </c>
      <c r="AT91" s="113">
        <f t="shared" si="92"/>
        <v>13013864.425000001</v>
      </c>
      <c r="AU91" s="113">
        <f t="shared" si="92"/>
        <v>7689464</v>
      </c>
      <c r="AV91" s="113">
        <f t="shared" si="92"/>
        <v>0</v>
      </c>
      <c r="AW91" s="113">
        <f t="shared" si="92"/>
        <v>0</v>
      </c>
      <c r="AX91" s="113">
        <f t="shared" si="92"/>
        <v>0</v>
      </c>
      <c r="AY91" s="113">
        <f t="shared" si="92"/>
        <v>0</v>
      </c>
      <c r="AZ91" s="113">
        <f t="shared" si="92"/>
        <v>0</v>
      </c>
      <c r="BA91" s="113">
        <f t="shared" si="92"/>
        <v>0</v>
      </c>
      <c r="BB91" s="113">
        <f t="shared" si="92"/>
        <v>-5324400.4249999998</v>
      </c>
    </row>
    <row r="92" spans="1:54" s="13" customFormat="1" ht="13.8" customHeight="1">
      <c r="A92" s="101"/>
      <c r="B92" s="316" t="s">
        <v>220</v>
      </c>
      <c r="C92" s="317"/>
      <c r="D92" s="317"/>
      <c r="E92" s="318"/>
      <c r="F92" s="241"/>
      <c r="G92" s="241"/>
      <c r="H92" s="241" t="s">
        <v>185</v>
      </c>
      <c r="I92" s="40"/>
      <c r="J92" s="40"/>
      <c r="K92" s="40"/>
      <c r="L92" s="41">
        <f>SUM(L93,L143,L179,L202)</f>
        <v>37049520</v>
      </c>
      <c r="M92" s="41">
        <f>SUM(M93,M143,M179,M202)</f>
        <v>6187269.8400000008</v>
      </c>
      <c r="N92" s="40"/>
      <c r="O92" s="40"/>
      <c r="P92" s="40"/>
      <c r="Q92" s="40"/>
      <c r="R92" s="41">
        <f t="shared" ref="R92:U92" si="93">SUM(R93,R143,R179,R202)</f>
        <v>1106000</v>
      </c>
      <c r="S92" s="41">
        <f t="shared" si="93"/>
        <v>2211000</v>
      </c>
      <c r="T92" s="41">
        <f t="shared" si="93"/>
        <v>1975000</v>
      </c>
      <c r="U92" s="41">
        <f t="shared" si="93"/>
        <v>160000</v>
      </c>
      <c r="V92" s="40"/>
      <c r="W92" s="40"/>
      <c r="X92" s="40"/>
      <c r="Y92" s="41">
        <f>SUM(Y93,Y143,Y179,Y202)</f>
        <v>0</v>
      </c>
      <c r="Z92" s="41">
        <f>SUM(Z93,Z143,Z179,Z202)</f>
        <v>0</v>
      </c>
      <c r="AA92" s="40"/>
      <c r="AB92" s="41">
        <f>SUM(AB93,AB143,AB179,AB202)</f>
        <v>14046000</v>
      </c>
      <c r="AC92" s="41">
        <f>SUM(AC93,AC143,AC179,AC202)</f>
        <v>93225800</v>
      </c>
      <c r="AD92" s="41">
        <f>SUM(AD93,AD143)</f>
        <v>0</v>
      </c>
      <c r="AE92" s="41">
        <f>SUM(AE93,AE143)</f>
        <v>15759000</v>
      </c>
      <c r="AF92" s="41">
        <f>SUM(AF93,AF143)</f>
        <v>116856500</v>
      </c>
      <c r="AG92" s="40"/>
      <c r="AH92" s="40"/>
      <c r="AI92" s="40"/>
      <c r="AJ92" s="41">
        <f>SUM(AJ93,AJ143,AJ179,AJ202)</f>
        <v>1000000</v>
      </c>
      <c r="AK92" s="41">
        <f>SUM(AK93,AK143,AK179,AK202)</f>
        <v>0</v>
      </c>
      <c r="AL92" s="41">
        <f>SUM(AL93,AL143)</f>
        <v>0</v>
      </c>
      <c r="AM92" s="41">
        <f>SUM(AM93,AM143)</f>
        <v>1000000</v>
      </c>
      <c r="AN92" s="41">
        <f>SUM(AN93,AN143)</f>
        <v>150000</v>
      </c>
      <c r="AO92" s="129"/>
      <c r="AQ92" s="41">
        <f t="shared" ref="AQ92" si="94">SUM(AQ93,AQ143,AQ179,AQ202)</f>
        <v>43236789.839999996</v>
      </c>
      <c r="AR92" s="41">
        <f t="shared" ref="AR92:BB92" si="95">SUM(AR93,AR143,AR179,AR202)</f>
        <v>128807000</v>
      </c>
      <c r="AS92" s="41">
        <f t="shared" si="95"/>
        <v>1150000</v>
      </c>
      <c r="AT92" s="41">
        <f t="shared" si="95"/>
        <v>173193789.84</v>
      </c>
      <c r="AU92" s="41">
        <f t="shared" si="95"/>
        <v>133625690.34</v>
      </c>
      <c r="AV92" s="41">
        <f t="shared" si="95"/>
        <v>0</v>
      </c>
      <c r="AW92" s="41">
        <f t="shared" si="95"/>
        <v>0</v>
      </c>
      <c r="AX92" s="41">
        <f t="shared" si="95"/>
        <v>955900</v>
      </c>
      <c r="AY92" s="41">
        <f t="shared" si="95"/>
        <v>0</v>
      </c>
      <c r="AZ92" s="41">
        <f t="shared" si="95"/>
        <v>19197176.25</v>
      </c>
      <c r="BA92" s="41">
        <f t="shared" si="95"/>
        <v>0</v>
      </c>
      <c r="BB92" s="41">
        <f t="shared" si="95"/>
        <v>-19415023.25</v>
      </c>
    </row>
    <row r="93" spans="1:54" s="24" customFormat="1" ht="13.8" customHeight="1">
      <c r="A93" s="114"/>
      <c r="B93" s="115"/>
      <c r="C93" s="314" t="s">
        <v>221</v>
      </c>
      <c r="D93" s="314"/>
      <c r="E93" s="315"/>
      <c r="F93" s="246"/>
      <c r="G93" s="246"/>
      <c r="H93" s="278" t="s">
        <v>186</v>
      </c>
      <c r="I93" s="116"/>
      <c r="J93" s="116"/>
      <c r="K93" s="116"/>
      <c r="L93" s="117">
        <f>SUM(L101,L113,L136,L139,L142)</f>
        <v>5262220</v>
      </c>
      <c r="M93" s="117">
        <f>SUM(M101,M113,M136,M139,M142)</f>
        <v>878790.74000000011</v>
      </c>
      <c r="N93" s="116"/>
      <c r="O93" s="116"/>
      <c r="P93" s="116"/>
      <c r="Q93" s="116"/>
      <c r="R93" s="117">
        <f t="shared" ref="R93:U93" si="96">SUM(R101,R113,R136,R139,R142)</f>
        <v>240000</v>
      </c>
      <c r="S93" s="117">
        <f t="shared" si="96"/>
        <v>742500</v>
      </c>
      <c r="T93" s="117">
        <f t="shared" si="96"/>
        <v>0</v>
      </c>
      <c r="U93" s="117">
        <f t="shared" si="96"/>
        <v>0</v>
      </c>
      <c r="V93" s="116"/>
      <c r="W93" s="116"/>
      <c r="X93" s="116"/>
      <c r="Y93" s="117">
        <f>SUM(Y101,Y113,Y136,Y139,Y142)</f>
        <v>0</v>
      </c>
      <c r="Z93" s="116"/>
      <c r="AA93" s="116"/>
      <c r="AB93" s="117">
        <f t="shared" ref="AB93:AF93" si="97">SUM(AB101,AB113,AB136,AB139,AB142)</f>
        <v>8992000</v>
      </c>
      <c r="AC93" s="117">
        <f t="shared" si="97"/>
        <v>18329000</v>
      </c>
      <c r="AD93" s="117">
        <f t="shared" si="97"/>
        <v>0</v>
      </c>
      <c r="AE93" s="117">
        <f t="shared" si="97"/>
        <v>2067000</v>
      </c>
      <c r="AF93" s="117">
        <f t="shared" si="97"/>
        <v>30370500</v>
      </c>
      <c r="AG93" s="116"/>
      <c r="AH93" s="116"/>
      <c r="AI93" s="116"/>
      <c r="AJ93" s="117">
        <f t="shared" ref="AJ93:AN93" si="98">SUM(AJ101,AJ113,AJ136,AJ139,AJ142)</f>
        <v>1000000</v>
      </c>
      <c r="AK93" s="117">
        <f t="shared" si="98"/>
        <v>0</v>
      </c>
      <c r="AL93" s="117">
        <f t="shared" si="98"/>
        <v>0</v>
      </c>
      <c r="AM93" s="117">
        <f t="shared" si="98"/>
        <v>1000000</v>
      </c>
      <c r="AN93" s="117">
        <f t="shared" si="98"/>
        <v>150000</v>
      </c>
      <c r="AO93" s="132"/>
      <c r="AP93" s="25"/>
      <c r="AQ93" s="117">
        <f t="shared" ref="AQ93" si="99">SUM(AQ101,AQ113,AQ136,AQ139,AQ142)</f>
        <v>6141010.7400000002</v>
      </c>
      <c r="AR93" s="117">
        <f t="shared" ref="AR93:BB93" si="100">SUM(AR101,AR113,AR136,AR139,AR142)</f>
        <v>30370500</v>
      </c>
      <c r="AS93" s="117">
        <f t="shared" si="100"/>
        <v>1150000</v>
      </c>
      <c r="AT93" s="117">
        <f t="shared" si="100"/>
        <v>37661510.739999995</v>
      </c>
      <c r="AU93" s="117">
        <f t="shared" si="100"/>
        <v>16703511.240000002</v>
      </c>
      <c r="AV93" s="117">
        <f t="shared" si="100"/>
        <v>0</v>
      </c>
      <c r="AW93" s="117">
        <f t="shared" si="100"/>
        <v>0</v>
      </c>
      <c r="AX93" s="117">
        <f t="shared" si="100"/>
        <v>0</v>
      </c>
      <c r="AY93" s="117">
        <f>SUM(AY101,AY113,AY136,AY139,AY142)</f>
        <v>0</v>
      </c>
      <c r="AZ93" s="117">
        <f t="shared" si="100"/>
        <v>15868000</v>
      </c>
      <c r="BA93" s="117">
        <f t="shared" si="100"/>
        <v>0</v>
      </c>
      <c r="BB93" s="117">
        <f t="shared" si="100"/>
        <v>-5089999.5</v>
      </c>
    </row>
    <row r="94" spans="1:54" ht="140.4" outlineLevel="2">
      <c r="A94" s="98"/>
      <c r="B94" s="102"/>
      <c r="C94" s="23"/>
      <c r="D94" s="257"/>
      <c r="E94" s="257"/>
      <c r="F94" s="257"/>
      <c r="G94" s="257"/>
      <c r="H94" s="302" t="s">
        <v>444</v>
      </c>
      <c r="I94" s="104"/>
      <c r="J94" s="105"/>
      <c r="K94" s="105"/>
      <c r="L94" s="106" t="str">
        <f>IF(I94&lt;&gt;0,((VLOOKUP(I94,'1. Standard_Cost'!$B$4:$D$11,2)+VLOOKUP(I94,'1. Standard_Cost'!$B$4:$D$11,3))*J94*K94),"0")</f>
        <v>0</v>
      </c>
      <c r="M94" s="106">
        <f>L94*'1. Standard_Cost'!$F$4</f>
        <v>0</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c r="AA94" s="107"/>
      <c r="AB94" s="108">
        <f>+Z94*'1. Standard_Cost'!$B$23+AA94*'1. Standard_Cost'!$C$23</f>
        <v>0</v>
      </c>
      <c r="AC94" s="109"/>
      <c r="AD94" s="110"/>
      <c r="AE94" s="108">
        <f>SUM(AD94,AC94,AB94,Y94,U94,T94,S94,R94)*'1. Standard_Cost'!$B$31</f>
        <v>0</v>
      </c>
      <c r="AF94" s="108">
        <f t="shared" ref="AF94:AF100" si="101">SUM(AE94,AD94,AC94,AB94,Y94,U94,T94,S94,R94)</f>
        <v>0</v>
      </c>
      <c r="AG94" s="107"/>
      <c r="AH94" s="107"/>
      <c r="AI94" s="107"/>
      <c r="AJ94" s="111"/>
      <c r="AK94" s="111"/>
      <c r="AL94" s="111"/>
      <c r="AM94" s="108">
        <f>AG94*'1. Standard_Cost'!$B$27+'Incremental_Cost Year 4'!AH94*'1. Standard_Cost'!$C$27+'Incremental_Cost Year 4'!AI94*'1. Standard_Cost'!$D$27+'Incremental_Cost Year 4'!AJ94+'Incremental_Cost Year 4'!AL94+AK94</f>
        <v>0</v>
      </c>
      <c r="AN94" s="108">
        <f>AM94*'1. Standard_Cost'!$C$31</f>
        <v>0</v>
      </c>
      <c r="AO94" s="125" t="s">
        <v>333</v>
      </c>
      <c r="AQ94" s="14">
        <f t="shared" ref="AQ94:AQ100" si="102">L94+M94</f>
        <v>0</v>
      </c>
      <c r="AR94" s="14">
        <f t="shared" ref="AR94:AR100" si="103">AF94</f>
        <v>0</v>
      </c>
      <c r="AS94" s="14">
        <f t="shared" ref="AS94:AS100" si="104">AM94+AN94</f>
        <v>0</v>
      </c>
      <c r="AT94" s="14">
        <f>SUM(AQ94,AR94,AS94)</f>
        <v>0</v>
      </c>
      <c r="AU94" s="15">
        <v>0</v>
      </c>
      <c r="AV94" s="15"/>
      <c r="AW94" s="15"/>
      <c r="AX94" s="15"/>
      <c r="AY94" s="15"/>
      <c r="AZ94" s="15"/>
      <c r="BA94" s="15"/>
      <c r="BB94" s="16">
        <f t="shared" ref="BB94:BB100" si="105">SUM(AU94:BA94)-AT94</f>
        <v>0</v>
      </c>
    </row>
    <row r="95" spans="1:54" ht="109.2" customHeight="1" outlineLevel="2">
      <c r="A95" s="98"/>
      <c r="B95" s="102"/>
      <c r="C95" s="23"/>
      <c r="D95" s="269"/>
      <c r="E95" s="269"/>
      <c r="F95" s="269"/>
      <c r="G95" s="269"/>
      <c r="H95" s="302" t="s">
        <v>445</v>
      </c>
      <c r="I95" s="104"/>
      <c r="J95" s="105"/>
      <c r="K95" s="105"/>
      <c r="L95" s="106" t="str">
        <f>IF(I95&lt;&gt;0,((VLOOKUP(I95,'1. Standard_Cost'!$B$4:$D$11,2)+VLOOKUP(I95,'1. Standard_Cost'!$B$4:$D$11,3))*J95*K95),"0")</f>
        <v>0</v>
      </c>
      <c r="M95" s="106">
        <f>L95*'1. Standard_Cost'!$F$4</f>
        <v>0</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c r="AB95" s="108">
        <f>+Z95*'1. Standard_Cost'!$B$23+AA95*'1. Standard_Cost'!$C$23</f>
        <v>0</v>
      </c>
      <c r="AC95" s="109"/>
      <c r="AD95" s="110"/>
      <c r="AE95" s="108">
        <f>SUM(AD95,AC95,AB95,Y95,U95,T95,S95,R95)*'1. Standard_Cost'!$B$31</f>
        <v>0</v>
      </c>
      <c r="AF95" s="108">
        <f t="shared" si="101"/>
        <v>0</v>
      </c>
      <c r="AG95" s="107"/>
      <c r="AH95" s="107"/>
      <c r="AI95" s="107"/>
      <c r="AJ95" s="111"/>
      <c r="AK95" s="111"/>
      <c r="AL95" s="111"/>
      <c r="AM95" s="108">
        <f>AG95*'1. Standard_Cost'!$B$27+'Incremental_Cost Year 4'!AH95*'1. Standard_Cost'!$C$27+'Incremental_Cost Year 4'!AI95*'1. Standard_Cost'!$D$27+'Incremental_Cost Year 4'!AJ95+'Incremental_Cost Year 4'!AL95+AK95</f>
        <v>0</v>
      </c>
      <c r="AN95" s="108">
        <f>AM95*'1. Standard_Cost'!$C$31</f>
        <v>0</v>
      </c>
      <c r="AO95" s="125" t="s">
        <v>334</v>
      </c>
      <c r="AQ95" s="14">
        <f t="shared" si="102"/>
        <v>0</v>
      </c>
      <c r="AR95" s="14">
        <f t="shared" si="103"/>
        <v>0</v>
      </c>
      <c r="AS95" s="14">
        <f t="shared" si="104"/>
        <v>0</v>
      </c>
      <c r="AT95" s="14">
        <f t="shared" ref="AT95:AT100" si="106">SUM(AQ95,AR95,AS95)</f>
        <v>0</v>
      </c>
      <c r="AU95" s="15">
        <v>0</v>
      </c>
      <c r="AV95" s="15"/>
      <c r="AW95" s="15"/>
      <c r="AX95" s="15"/>
      <c r="AY95" s="15"/>
      <c r="AZ95" s="15"/>
      <c r="BA95" s="15"/>
      <c r="BB95" s="16">
        <f t="shared" si="105"/>
        <v>0</v>
      </c>
    </row>
    <row r="96" spans="1:54" ht="78" outlineLevel="2">
      <c r="A96" s="98"/>
      <c r="B96" s="102"/>
      <c r="C96" s="23"/>
      <c r="D96" s="269"/>
      <c r="E96" s="269"/>
      <c r="F96" s="269"/>
      <c r="G96" s="174"/>
      <c r="H96" s="302" t="s">
        <v>446</v>
      </c>
      <c r="I96" s="104" t="s">
        <v>4</v>
      </c>
      <c r="J96" s="105">
        <v>0.4</v>
      </c>
      <c r="K96" s="105">
        <v>2</v>
      </c>
      <c r="L96" s="106">
        <f>IF(I96&lt;&gt;0,((VLOOKUP(I96,'1. Standard_Cost'!$B$4:$D$11,2)+VLOOKUP(I96,'1. Standard_Cost'!$B$4:$D$11,3))*J96*K96),"0")</f>
        <v>64600</v>
      </c>
      <c r="M96" s="106">
        <f>L96*'1. Standard_Cost'!$F$4</f>
        <v>10788.2</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f>100000*10+2*300000+2*50000</f>
        <v>1700000</v>
      </c>
      <c r="AD96" s="110"/>
      <c r="AE96" s="108">
        <f>SUM(AD96,AC96,AB96,Y96,U96,T96,S96,R96)*'1. Standard_Cost'!$B$31</f>
        <v>340000</v>
      </c>
      <c r="AF96" s="108">
        <f t="shared" si="101"/>
        <v>2040000</v>
      </c>
      <c r="AG96" s="107"/>
      <c r="AH96" s="107"/>
      <c r="AI96" s="107"/>
      <c r="AJ96" s="111"/>
      <c r="AK96" s="111"/>
      <c r="AL96" s="111"/>
      <c r="AM96" s="108">
        <f>AG96*'1. Standard_Cost'!$B$27+'Incremental_Cost Year 4'!AH96*'1. Standard_Cost'!$C$27+'Incremental_Cost Year 4'!AI96*'1. Standard_Cost'!$D$27+'Incremental_Cost Year 4'!AJ96+'Incremental_Cost Year 4'!AL96+AK96</f>
        <v>0</v>
      </c>
      <c r="AN96" s="108">
        <f>AM96*'1. Standard_Cost'!$C$31</f>
        <v>0</v>
      </c>
      <c r="AO96" s="125" t="s">
        <v>335</v>
      </c>
      <c r="AQ96" s="14">
        <f t="shared" si="102"/>
        <v>75388.2</v>
      </c>
      <c r="AR96" s="14">
        <f t="shared" si="103"/>
        <v>2040000</v>
      </c>
      <c r="AS96" s="14">
        <f t="shared" si="104"/>
        <v>0</v>
      </c>
      <c r="AT96" s="14">
        <f t="shared" si="106"/>
        <v>2115388.2000000002</v>
      </c>
      <c r="AU96" s="15">
        <v>75388.2</v>
      </c>
      <c r="AV96" s="15"/>
      <c r="AW96" s="15"/>
      <c r="AX96" s="15"/>
      <c r="AY96" s="15"/>
      <c r="AZ96" s="15"/>
      <c r="BA96" s="15"/>
      <c r="BB96" s="16">
        <f t="shared" si="105"/>
        <v>-2040000.0000000002</v>
      </c>
    </row>
    <row r="97" spans="1:54" ht="46.8" outlineLevel="2">
      <c r="A97" s="98"/>
      <c r="B97" s="102"/>
      <c r="C97" s="23"/>
      <c r="D97" s="269"/>
      <c r="E97" s="269"/>
      <c r="F97" s="269"/>
      <c r="G97" s="26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101"/>
        <v>0</v>
      </c>
      <c r="AG97" s="107"/>
      <c r="AH97" s="107"/>
      <c r="AI97" s="107"/>
      <c r="AJ97" s="111"/>
      <c r="AK97" s="111"/>
      <c r="AL97" s="111"/>
      <c r="AM97" s="108">
        <f>AG97*'1. Standard_Cost'!$B$27+'Incremental_Cost Year 4'!AH97*'1. Standard_Cost'!$C$27+'Incremental_Cost Year 4'!AI97*'1. Standard_Cost'!$D$27+'Incremental_Cost Year 4'!AJ97+'Incremental_Cost Year 4'!AL97+AK97</f>
        <v>0</v>
      </c>
      <c r="AN97" s="108">
        <f>AM97*'1. Standard_Cost'!$C$31</f>
        <v>0</v>
      </c>
      <c r="AO97" s="125" t="s">
        <v>336</v>
      </c>
      <c r="AQ97" s="14">
        <f t="shared" si="102"/>
        <v>0</v>
      </c>
      <c r="AR97" s="14">
        <f t="shared" si="103"/>
        <v>0</v>
      </c>
      <c r="AS97" s="14">
        <f t="shared" si="104"/>
        <v>0</v>
      </c>
      <c r="AT97" s="14">
        <f t="shared" si="106"/>
        <v>0</v>
      </c>
      <c r="AU97" s="15"/>
      <c r="AV97" s="15"/>
      <c r="AW97" s="15"/>
      <c r="AX97" s="15"/>
      <c r="AY97" s="15"/>
      <c r="AZ97" s="15"/>
      <c r="BA97" s="15"/>
      <c r="BB97" s="16">
        <f t="shared" si="105"/>
        <v>0</v>
      </c>
    </row>
    <row r="98" spans="1:54" ht="109.2" outlineLevel="2">
      <c r="A98" s="98"/>
      <c r="B98" s="102"/>
      <c r="C98" s="23"/>
      <c r="D98" s="269"/>
      <c r="E98" s="269"/>
      <c r="F98" s="269"/>
      <c r="G98" s="269"/>
      <c r="H98" s="302" t="s">
        <v>448</v>
      </c>
      <c r="I98" s="104"/>
      <c r="J98" s="105"/>
      <c r="K98" s="105"/>
      <c r="L98" s="106" t="str">
        <f>IF(I98&lt;&gt;0,((VLOOKUP(I98,'1. Standard_Cost'!$B$4:$D$11,2)+VLOOKUP(I98,'1. Standard_Cost'!$B$4:$D$11,3))*J98*K98),"0")</f>
        <v>0</v>
      </c>
      <c r="M98" s="106">
        <f>L98*'1. Standard_Cost'!$F$4</f>
        <v>0</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c r="AB98" s="108">
        <f>+Z98*'1. Standard_Cost'!$B$23+AA98*'1. Standard_Cost'!$C$23</f>
        <v>0</v>
      </c>
      <c r="AC98" s="109"/>
      <c r="AD98" s="110"/>
      <c r="AE98" s="108">
        <f>SUM(AD98,AC98,AB98,Y98,U98,T98,S98,R98)*'1. Standard_Cost'!$B$31</f>
        <v>0</v>
      </c>
      <c r="AF98" s="108">
        <f t="shared" si="101"/>
        <v>0</v>
      </c>
      <c r="AG98" s="107"/>
      <c r="AH98" s="107"/>
      <c r="AI98" s="107"/>
      <c r="AJ98" s="111"/>
      <c r="AK98" s="111"/>
      <c r="AL98" s="111"/>
      <c r="AM98" s="108">
        <f>AG98*'1. Standard_Cost'!$B$27+'Incremental_Cost Year 4'!AH98*'1. Standard_Cost'!$C$27+'Incremental_Cost Year 4'!AI98*'1. Standard_Cost'!$D$27+'Incremental_Cost Year 4'!AJ98+'Incremental_Cost Year 4'!AL98+AK98</f>
        <v>0</v>
      </c>
      <c r="AN98" s="108">
        <f>AM98*'1. Standard_Cost'!$C$31</f>
        <v>0</v>
      </c>
      <c r="AO98" s="125" t="s">
        <v>337</v>
      </c>
      <c r="AQ98" s="14">
        <f t="shared" si="102"/>
        <v>0</v>
      </c>
      <c r="AR98" s="14">
        <f t="shared" si="103"/>
        <v>0</v>
      </c>
      <c r="AS98" s="14">
        <f t="shared" si="104"/>
        <v>0</v>
      </c>
      <c r="AT98" s="14">
        <f t="shared" si="106"/>
        <v>0</v>
      </c>
      <c r="AU98" s="15">
        <v>0</v>
      </c>
      <c r="AV98" s="15"/>
      <c r="AW98" s="15"/>
      <c r="AX98" s="15"/>
      <c r="AY98" s="15"/>
      <c r="AZ98" s="15"/>
      <c r="BA98" s="15"/>
      <c r="BB98" s="16">
        <f t="shared" si="105"/>
        <v>0</v>
      </c>
    </row>
    <row r="99" spans="1:54" ht="109.2" outlineLevel="2">
      <c r="A99" s="98"/>
      <c r="B99" s="102"/>
      <c r="C99" s="23"/>
      <c r="D99" s="269"/>
      <c r="E99" s="269"/>
      <c r="F99" s="269"/>
      <c r="G99" s="269"/>
      <c r="H99" s="302" t="s">
        <v>449</v>
      </c>
      <c r="I99" s="104"/>
      <c r="J99" s="105"/>
      <c r="K99" s="105"/>
      <c r="L99" s="106" t="str">
        <f>IF(I99&lt;&gt;0,((VLOOKUP(I99,'1. Standard_Cost'!$B$4:$D$11,2)+VLOOKUP(I99,'1. Standard_Cost'!$B$4:$D$11,3))*J99*K99),"0")</f>
        <v>0</v>
      </c>
      <c r="M99" s="106">
        <f>L99*'1. Standard_Cost'!$F$4</f>
        <v>0</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c r="AB99" s="108">
        <f>+Z99*'1. Standard_Cost'!$B$23+AA99*'1. Standard_Cost'!$C$23</f>
        <v>0</v>
      </c>
      <c r="AC99" s="109"/>
      <c r="AD99" s="110"/>
      <c r="AE99" s="108">
        <f>SUM(AD99,AC99,AB99,Y99,U99,T99,S99,R99)*'1. Standard_Cost'!$B$31</f>
        <v>0</v>
      </c>
      <c r="AF99" s="108">
        <f t="shared" si="101"/>
        <v>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02"/>
        <v>0</v>
      </c>
      <c r="AR99" s="14">
        <f t="shared" si="103"/>
        <v>0</v>
      </c>
      <c r="AS99" s="14">
        <f t="shared" si="104"/>
        <v>0</v>
      </c>
      <c r="AT99" s="14">
        <f t="shared" si="106"/>
        <v>0</v>
      </c>
      <c r="AU99" s="15">
        <v>0</v>
      </c>
      <c r="AV99" s="15"/>
      <c r="AW99" s="15"/>
      <c r="AX99" s="15"/>
      <c r="AY99" s="15"/>
      <c r="AZ99" s="15"/>
      <c r="BA99" s="15"/>
      <c r="BB99" s="16">
        <f t="shared" si="105"/>
        <v>0</v>
      </c>
    </row>
    <row r="100" spans="1:54" ht="62.4" outlineLevel="2">
      <c r="A100" s="98"/>
      <c r="B100" s="102"/>
      <c r="C100" s="23"/>
      <c r="D100" s="269"/>
      <c r="E100" s="269"/>
      <c r="F100" s="251"/>
      <c r="G100" s="254"/>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f>500*10000</f>
        <v>5000000</v>
      </c>
      <c r="AD100" s="110"/>
      <c r="AE100" s="108">
        <f>SUM(AD100,AC100,AB100,Y100,U100,T100,S100,R100)*'1. Standard_Cost'!$B$31</f>
        <v>1000000</v>
      </c>
      <c r="AF100" s="108">
        <f t="shared" si="101"/>
        <v>6000000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02"/>
        <v>0</v>
      </c>
      <c r="AR100" s="14">
        <f t="shared" si="103"/>
        <v>6000000</v>
      </c>
      <c r="AS100" s="14">
        <f t="shared" si="104"/>
        <v>0</v>
      </c>
      <c r="AT100" s="14">
        <f t="shared" si="106"/>
        <v>6000000</v>
      </c>
      <c r="AU100" s="15">
        <v>5000000</v>
      </c>
      <c r="AV100" s="15"/>
      <c r="AW100" s="15"/>
      <c r="AX100" s="15"/>
      <c r="AY100" s="15"/>
      <c r="AZ100" s="15"/>
      <c r="BA100" s="15"/>
      <c r="BB100" s="16">
        <f t="shared" si="105"/>
        <v>-1000000</v>
      </c>
    </row>
    <row r="101" spans="1:54" ht="82.8" outlineLevel="1">
      <c r="A101" s="98"/>
      <c r="B101" s="102"/>
      <c r="C101" s="23"/>
      <c r="D101" s="56" t="s">
        <v>632</v>
      </c>
      <c r="E101" s="56" t="s">
        <v>222</v>
      </c>
      <c r="F101" s="253">
        <v>2021</v>
      </c>
      <c r="G101" s="254">
        <v>2026</v>
      </c>
      <c r="H101" s="277" t="s">
        <v>187</v>
      </c>
      <c r="I101" s="112"/>
      <c r="J101" s="112"/>
      <c r="K101" s="112"/>
      <c r="L101" s="113">
        <f>SUM(L94:L100)</f>
        <v>64600</v>
      </c>
      <c r="M101" s="113">
        <f>SUM(M94:M100)</f>
        <v>10788.2</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0</v>
      </c>
      <c r="AC101" s="113">
        <f>SUM(AC94:AC100)</f>
        <v>6700000</v>
      </c>
      <c r="AD101" s="113">
        <f>SUM(AD94:AD100)</f>
        <v>0</v>
      </c>
      <c r="AE101" s="113">
        <f>SUM(AE94:AE100)</f>
        <v>1340000</v>
      </c>
      <c r="AF101" s="113">
        <f>SUM(AF94:AF100)</f>
        <v>8040000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7">SUM(AQ94:AQ100)</f>
        <v>75388.2</v>
      </c>
      <c r="AR101" s="113">
        <f t="shared" si="107"/>
        <v>8040000</v>
      </c>
      <c r="AS101" s="113">
        <f t="shared" si="107"/>
        <v>0</v>
      </c>
      <c r="AT101" s="113">
        <f t="shared" si="107"/>
        <v>8115388.2000000002</v>
      </c>
      <c r="AU101" s="113">
        <f t="shared" si="107"/>
        <v>5075388.2</v>
      </c>
      <c r="AV101" s="113">
        <f t="shared" si="107"/>
        <v>0</v>
      </c>
      <c r="AW101" s="113">
        <f t="shared" si="107"/>
        <v>0</v>
      </c>
      <c r="AX101" s="113">
        <f t="shared" si="107"/>
        <v>0</v>
      </c>
      <c r="AY101" s="113">
        <f t="shared" si="107"/>
        <v>0</v>
      </c>
      <c r="AZ101" s="113">
        <f t="shared" si="107"/>
        <v>0</v>
      </c>
      <c r="BA101" s="113">
        <f t="shared" si="107"/>
        <v>0</v>
      </c>
      <c r="BB101" s="113">
        <f t="shared" si="107"/>
        <v>-3040000</v>
      </c>
    </row>
    <row r="102" spans="1:54" ht="93.6" outlineLevel="2">
      <c r="A102" s="98"/>
      <c r="B102" s="102"/>
      <c r="C102" s="23"/>
      <c r="D102" s="257"/>
      <c r="E102" s="257"/>
      <c r="F102" s="175"/>
      <c r="G102" s="175"/>
      <c r="H102" s="302" t="s">
        <v>451</v>
      </c>
      <c r="I102" s="104"/>
      <c r="J102" s="105"/>
      <c r="K102" s="105"/>
      <c r="L102" s="106" t="str">
        <f>IF(I102&lt;&gt;0,((VLOOKUP(I102,'1. Standard_Cost'!$B$4:$D$11,2)+VLOOKUP(I102,'1. Standard_Cost'!$B$4:$D$11,3))*J102*K102),"0")</f>
        <v>0</v>
      </c>
      <c r="M102" s="106">
        <f>L102*'1. Standard_Cost'!$F$4</f>
        <v>0</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c r="AD102" s="110"/>
      <c r="AE102" s="108">
        <f>SUM(AD102,AC102,AB102,Y102,U102,T102,S102,R102)*'1. Standard_Cost'!$B$31</f>
        <v>0</v>
      </c>
      <c r="AF102" s="108">
        <f t="shared" ref="AF102:AF112" si="108">SUM(AE102,AD102,AC102,AB102,Y102,U102,T102,S102,R102)</f>
        <v>0</v>
      </c>
      <c r="AG102" s="107"/>
      <c r="AH102" s="107"/>
      <c r="AI102" s="107"/>
      <c r="AJ102" s="111"/>
      <c r="AK102" s="111"/>
      <c r="AL102" s="111"/>
      <c r="AM102" s="108">
        <f>AG102*'1. Standard_Cost'!$B$27+'Incremental_Cost Year 4'!AH102*'1. Standard_Cost'!$C$27+'Incremental_Cost Year 4'!AI102*'1. Standard_Cost'!$D$27+'Incremental_Cost Year 4'!AJ102+'Incremental_Cost Year 4'!AL102+AK102</f>
        <v>0</v>
      </c>
      <c r="AN102" s="108">
        <f>AM102*'1. Standard_Cost'!$C$31</f>
        <v>0</v>
      </c>
      <c r="AO102" s="125" t="s">
        <v>340</v>
      </c>
      <c r="AQ102" s="14">
        <f t="shared" ref="AQ102:AQ112" si="109">L102+M102</f>
        <v>0</v>
      </c>
      <c r="AR102" s="14">
        <f t="shared" ref="AR102:AR112" si="110">AF102</f>
        <v>0</v>
      </c>
      <c r="AS102" s="14">
        <f t="shared" ref="AS102:AS112" si="111">AM102+AN102</f>
        <v>0</v>
      </c>
      <c r="AT102" s="14">
        <f>SUM(AQ102,AR102,AS102)</f>
        <v>0</v>
      </c>
      <c r="AU102" s="15">
        <v>0</v>
      </c>
      <c r="AV102" s="15"/>
      <c r="AW102" s="15"/>
      <c r="AX102" s="15">
        <v>0</v>
      </c>
      <c r="AY102" s="15">
        <v>0</v>
      </c>
      <c r="AZ102" s="15"/>
      <c r="BA102" s="15"/>
      <c r="BB102" s="16">
        <f t="shared" ref="BB102:BB112" si="112">SUM(AU102:BA102)-AT102</f>
        <v>0</v>
      </c>
    </row>
    <row r="103" spans="1:54" ht="93.6" outlineLevel="2">
      <c r="A103" s="98"/>
      <c r="B103" s="102"/>
      <c r="C103" s="23"/>
      <c r="D103" s="269"/>
      <c r="E103" s="269"/>
      <c r="F103" s="174"/>
      <c r="G103" s="269"/>
      <c r="H103" s="302" t="s">
        <v>452</v>
      </c>
      <c r="I103" s="104"/>
      <c r="J103" s="105"/>
      <c r="K103" s="105"/>
      <c r="L103" s="106" t="str">
        <f>IF(I103&lt;&gt;0,((VLOOKUP(I103,'1. Standard_Cost'!$B$4:$D$11,2)+VLOOKUP(I103,'1. Standard_Cost'!$B$4:$D$11,3))*J103*K103),"0")</f>
        <v>0</v>
      </c>
      <c r="M103" s="106">
        <f>L103*'1. Standard_Cost'!$F$4</f>
        <v>0</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c r="AB103" s="108">
        <f>+Z103*'1. Standard_Cost'!$B$23+AA103*'1. Standard_Cost'!$C$23</f>
        <v>0</v>
      </c>
      <c r="AC103" s="109"/>
      <c r="AD103" s="110"/>
      <c r="AE103" s="108">
        <f>SUM(AD103,AC103,AB103,Y103,U103,T103,S103,R103)*'1. Standard_Cost'!$B$31</f>
        <v>0</v>
      </c>
      <c r="AF103" s="108">
        <f t="shared" si="108"/>
        <v>0</v>
      </c>
      <c r="AG103" s="107"/>
      <c r="AH103" s="107"/>
      <c r="AI103" s="107"/>
      <c r="AJ103" s="111"/>
      <c r="AK103" s="111"/>
      <c r="AL103" s="111"/>
      <c r="AM103" s="108">
        <f>AG103*'1. Standard_Cost'!$B$27+'Incremental_Cost Year 4'!AH103*'1. Standard_Cost'!$C$27+'Incremental_Cost Year 4'!AI103*'1. Standard_Cost'!$D$27+'Incremental_Cost Year 4'!AJ103+'Incremental_Cost Year 4'!AL103+AK103</f>
        <v>0</v>
      </c>
      <c r="AN103" s="108">
        <f>AM103*'1. Standard_Cost'!$C$31</f>
        <v>0</v>
      </c>
      <c r="AO103" s="125" t="s">
        <v>341</v>
      </c>
      <c r="AQ103" s="14">
        <f t="shared" si="109"/>
        <v>0</v>
      </c>
      <c r="AR103" s="14">
        <f t="shared" si="110"/>
        <v>0</v>
      </c>
      <c r="AS103" s="14">
        <f t="shared" si="111"/>
        <v>0</v>
      </c>
      <c r="AT103" s="14">
        <f t="shared" ref="AT103:AT112" si="113">SUM(AQ103,AR103,AS103)</f>
        <v>0</v>
      </c>
      <c r="AU103" s="15">
        <v>0</v>
      </c>
      <c r="AV103" s="15"/>
      <c r="AW103" s="15"/>
      <c r="AX103" s="15"/>
      <c r="AY103" s="15"/>
      <c r="AZ103" s="15"/>
      <c r="BA103" s="15"/>
      <c r="BB103" s="16">
        <f t="shared" si="112"/>
        <v>0</v>
      </c>
    </row>
    <row r="104" spans="1:54" ht="62.4" outlineLevel="2">
      <c r="A104" s="98"/>
      <c r="B104" s="102"/>
      <c r="C104" s="23"/>
      <c r="D104" s="269"/>
      <c r="E104" s="26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f>500*10000</f>
        <v>5000000</v>
      </c>
      <c r="AD104" s="110"/>
      <c r="AE104" s="108">
        <v>0</v>
      </c>
      <c r="AF104" s="108">
        <f t="shared" si="108"/>
        <v>5000000</v>
      </c>
      <c r="AG104" s="107"/>
      <c r="AH104" s="107"/>
      <c r="AI104" s="107"/>
      <c r="AJ104" s="111"/>
      <c r="AK104" s="111"/>
      <c r="AL104" s="111"/>
      <c r="AM104" s="108">
        <f>AG104*'1. Standard_Cost'!$B$27+'Incremental_Cost Year 4'!AH104*'1. Standard_Cost'!$C$27+'Incremental_Cost Year 4'!AI104*'1. Standard_Cost'!$D$27+'Incremental_Cost Year 4'!AJ104+'Incremental_Cost Year 4'!AL104+AK104</f>
        <v>0</v>
      </c>
      <c r="AN104" s="108">
        <f>AM104*'1. Standard_Cost'!$C$31</f>
        <v>0</v>
      </c>
      <c r="AO104" s="125" t="s">
        <v>342</v>
      </c>
      <c r="AQ104" s="14">
        <f t="shared" si="109"/>
        <v>0</v>
      </c>
      <c r="AR104" s="14">
        <f t="shared" si="110"/>
        <v>5000000</v>
      </c>
      <c r="AS104" s="14">
        <f t="shared" si="111"/>
        <v>0</v>
      </c>
      <c r="AT104" s="14">
        <f t="shared" si="113"/>
        <v>5000000</v>
      </c>
      <c r="AU104" s="15">
        <v>5000000</v>
      </c>
      <c r="AV104" s="15"/>
      <c r="AW104" s="15"/>
      <c r="AX104" s="15"/>
      <c r="AY104" s="15"/>
      <c r="AZ104" s="15"/>
      <c r="BA104" s="15"/>
      <c r="BB104" s="16">
        <f t="shared" si="112"/>
        <v>0</v>
      </c>
    </row>
    <row r="105" spans="1:54" ht="46.8" outlineLevel="2">
      <c r="A105" s="98"/>
      <c r="B105" s="102"/>
      <c r="C105" s="23"/>
      <c r="D105" s="269"/>
      <c r="E105" s="26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8"/>
        <v>0</v>
      </c>
      <c r="AG105" s="107"/>
      <c r="AH105" s="107"/>
      <c r="AI105" s="107"/>
      <c r="AJ105" s="111"/>
      <c r="AK105" s="111"/>
      <c r="AL105" s="111"/>
      <c r="AM105" s="108">
        <f>AG105*'1. Standard_Cost'!$B$27+'Incremental_Cost Year 4'!AH105*'1. Standard_Cost'!$C$27+'Incremental_Cost Year 4'!AI105*'1. Standard_Cost'!$D$27+'Incremental_Cost Year 4'!AJ105+'Incremental_Cost Year 4'!AL105+AK105</f>
        <v>0</v>
      </c>
      <c r="AN105" s="108">
        <f>AM105*'1. Standard_Cost'!$C$31</f>
        <v>0</v>
      </c>
      <c r="AO105" s="125" t="s">
        <v>343</v>
      </c>
      <c r="AQ105" s="14">
        <f t="shared" si="109"/>
        <v>0</v>
      </c>
      <c r="AR105" s="14">
        <f t="shared" si="110"/>
        <v>0</v>
      </c>
      <c r="AS105" s="14">
        <f t="shared" si="111"/>
        <v>0</v>
      </c>
      <c r="AT105" s="14">
        <f t="shared" si="113"/>
        <v>0</v>
      </c>
      <c r="AU105" s="15"/>
      <c r="AV105" s="15"/>
      <c r="AW105" s="15"/>
      <c r="AX105" s="15"/>
      <c r="AY105" s="15"/>
      <c r="AZ105" s="15"/>
      <c r="BA105" s="15"/>
      <c r="BB105" s="16">
        <f t="shared" si="112"/>
        <v>0</v>
      </c>
    </row>
    <row r="106" spans="1:54" ht="62.4" outlineLevel="2">
      <c r="A106" s="98"/>
      <c r="B106" s="102"/>
      <c r="C106" s="23"/>
      <c r="D106" s="269"/>
      <c r="E106" s="269"/>
      <c r="F106" s="174"/>
      <c r="G106" s="26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8"/>
        <v>0</v>
      </c>
      <c r="AG106" s="107"/>
      <c r="AH106" s="107"/>
      <c r="AI106" s="107"/>
      <c r="AJ106" s="111"/>
      <c r="AK106" s="111"/>
      <c r="AL106" s="111"/>
      <c r="AM106" s="108">
        <f>AG106*'1. Standard_Cost'!$B$27+'Incremental_Cost Year 4'!AH106*'1. Standard_Cost'!$C$27+'Incremental_Cost Year 4'!AI106*'1. Standard_Cost'!$D$27+'Incremental_Cost Year 4'!AJ106+'Incremental_Cost Year 4'!AL106+AK106</f>
        <v>0</v>
      </c>
      <c r="AN106" s="108">
        <f>AM106*'1. Standard_Cost'!$C$31</f>
        <v>0</v>
      </c>
      <c r="AO106" s="125" t="s">
        <v>344</v>
      </c>
      <c r="AQ106" s="14">
        <f t="shared" si="109"/>
        <v>0</v>
      </c>
      <c r="AR106" s="14">
        <f t="shared" si="110"/>
        <v>0</v>
      </c>
      <c r="AS106" s="14">
        <f t="shared" si="111"/>
        <v>0</v>
      </c>
      <c r="AT106" s="14">
        <f t="shared" si="113"/>
        <v>0</v>
      </c>
      <c r="AU106" s="15"/>
      <c r="AV106" s="15"/>
      <c r="AW106" s="15"/>
      <c r="AX106" s="15"/>
      <c r="AY106" s="15"/>
      <c r="AZ106" s="15"/>
      <c r="BA106" s="15"/>
      <c r="BB106" s="16">
        <f t="shared" si="112"/>
        <v>0</v>
      </c>
    </row>
    <row r="107" spans="1:54" ht="187.2" outlineLevel="2">
      <c r="A107" s="98"/>
      <c r="B107" s="102"/>
      <c r="C107" s="23"/>
      <c r="D107" s="269"/>
      <c r="E107" s="269"/>
      <c r="F107" s="269"/>
      <c r="G107" s="269"/>
      <c r="H107" s="302" t="s">
        <v>455</v>
      </c>
      <c r="I107" s="104"/>
      <c r="J107" s="105"/>
      <c r="K107" s="105"/>
      <c r="L107" s="106" t="str">
        <f>IF(I107&lt;&gt;0,((VLOOKUP(I107,'1. Standard_Cost'!$B$4:$D$11,2)+VLOOKUP(I107,'1. Standard_Cost'!$B$4:$D$11,3))*J107*K107),"0")</f>
        <v>0</v>
      </c>
      <c r="M107" s="106">
        <f>L107*'1. Standard_Cost'!$F$4</f>
        <v>0</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c r="AB107" s="108">
        <f>+Z107*'1. Standard_Cost'!$B$23+AA107*'1. Standard_Cost'!$C$23</f>
        <v>0</v>
      </c>
      <c r="AC107" s="109"/>
      <c r="AD107" s="110"/>
      <c r="AE107" s="108">
        <f>SUM(AD107,AC107,AB107,Y107,U107,T107,S107,R107)*'1. Standard_Cost'!$B$31</f>
        <v>0</v>
      </c>
      <c r="AF107" s="108">
        <f t="shared" si="108"/>
        <v>0</v>
      </c>
      <c r="AG107" s="107"/>
      <c r="AH107" s="107"/>
      <c r="AI107" s="107"/>
      <c r="AJ107" s="111"/>
      <c r="AK107" s="111"/>
      <c r="AL107" s="111"/>
      <c r="AM107" s="108">
        <f>AG107*'1. Standard_Cost'!$B$27+'Incremental_Cost Year 4'!AH107*'1. Standard_Cost'!$C$27+'Incremental_Cost Year 4'!AI107*'1. Standard_Cost'!$D$27+'Incremental_Cost Year 4'!AJ107+'Incremental_Cost Year 4'!AL107+AK107</f>
        <v>0</v>
      </c>
      <c r="AN107" s="108">
        <f>AM107*'1. Standard_Cost'!$C$31</f>
        <v>0</v>
      </c>
      <c r="AO107" s="125" t="s">
        <v>345</v>
      </c>
      <c r="AQ107" s="14">
        <f t="shared" si="109"/>
        <v>0</v>
      </c>
      <c r="AR107" s="14">
        <f t="shared" si="110"/>
        <v>0</v>
      </c>
      <c r="AS107" s="14">
        <f t="shared" si="111"/>
        <v>0</v>
      </c>
      <c r="AT107" s="14">
        <f t="shared" si="113"/>
        <v>0</v>
      </c>
      <c r="AU107" s="15">
        <v>0</v>
      </c>
      <c r="AV107" s="15"/>
      <c r="AW107" s="15"/>
      <c r="AX107" s="15"/>
      <c r="AY107" s="15"/>
      <c r="AZ107" s="15"/>
      <c r="BA107" s="15"/>
      <c r="BB107" s="16">
        <f t="shared" si="112"/>
        <v>0</v>
      </c>
    </row>
    <row r="108" spans="1:54" ht="93.6" outlineLevel="2">
      <c r="A108" s="98"/>
      <c r="B108" s="102"/>
      <c r="C108" s="23"/>
      <c r="D108" s="269"/>
      <c r="E108" s="269"/>
      <c r="F108" s="269"/>
      <c r="G108" s="269"/>
      <c r="H108" s="302" t="s">
        <v>456</v>
      </c>
      <c r="I108" s="104" t="s">
        <v>5</v>
      </c>
      <c r="J108" s="105">
        <v>0.1</v>
      </c>
      <c r="K108" s="105">
        <v>1</v>
      </c>
      <c r="L108" s="106">
        <f>IF(I108&lt;&gt;0,((VLOOKUP(I108,'1. Standard_Cost'!$B$4:$D$11,2)+VLOOKUP(I108,'1. Standard_Cost'!$B$4:$D$11,3))*J108*K108),"0")</f>
        <v>7070</v>
      </c>
      <c r="M108" s="106">
        <f>L108*'1. Standard_Cost'!$F$4</f>
        <v>1180.69</v>
      </c>
      <c r="N108" s="107">
        <v>8</v>
      </c>
      <c r="O108" s="107">
        <v>1</v>
      </c>
      <c r="P108" s="107">
        <v>15</v>
      </c>
      <c r="Q108" s="107"/>
      <c r="R108" s="108">
        <f>'1. Standard_Cost'!$B$15*N108*P108</f>
        <v>240000</v>
      </c>
      <c r="S108" s="108">
        <f>N108*O108*P108*'1. Standard_Cost'!$C$15</f>
        <v>180000</v>
      </c>
      <c r="T108" s="108">
        <f>N108*P108*Q108*'1. Standard_Cost'!$D$15</f>
        <v>0</v>
      </c>
      <c r="U108" s="108">
        <v>0</v>
      </c>
      <c r="V108" s="107"/>
      <c r="W108" s="107"/>
      <c r="X108" s="107"/>
      <c r="Y108" s="108">
        <f>+V108*((X108*'1. Standard_Cost'!$B$19)+(W108*X108*'1. Standard_Cost'!$C$19))</f>
        <v>0</v>
      </c>
      <c r="Z108" s="107"/>
      <c r="AA108" s="107">
        <v>8</v>
      </c>
      <c r="AB108" s="108">
        <f>+Z108*'1. Standard_Cost'!$B$23+AA108*'1. Standard_Cost'!$C$23</f>
        <v>152000</v>
      </c>
      <c r="AC108" s="109">
        <f>120*200</f>
        <v>24000</v>
      </c>
      <c r="AD108" s="110"/>
      <c r="AE108" s="108">
        <v>0</v>
      </c>
      <c r="AF108" s="108">
        <f t="shared" si="108"/>
        <v>596000</v>
      </c>
      <c r="AG108" s="107"/>
      <c r="AH108" s="107"/>
      <c r="AI108" s="107"/>
      <c r="AJ108" s="111"/>
      <c r="AK108" s="111"/>
      <c r="AL108" s="111"/>
      <c r="AM108" s="108">
        <f>AG108*'1. Standard_Cost'!$B$27+'Incremental_Cost Year 4'!AH108*'1. Standard_Cost'!$C$27+'Incremental_Cost Year 4'!AI108*'1. Standard_Cost'!$D$27+'Incremental_Cost Year 4'!AJ108+'Incremental_Cost Year 4'!AL108+AK108</f>
        <v>0</v>
      </c>
      <c r="AN108" s="108">
        <f>AM108*'1. Standard_Cost'!$C$31</f>
        <v>0</v>
      </c>
      <c r="AO108" s="125" t="s">
        <v>346</v>
      </c>
      <c r="AQ108" s="14">
        <f t="shared" si="109"/>
        <v>8250.69</v>
      </c>
      <c r="AR108" s="14">
        <f t="shared" si="110"/>
        <v>596000</v>
      </c>
      <c r="AS108" s="14">
        <f t="shared" si="111"/>
        <v>0</v>
      </c>
      <c r="AT108" s="14">
        <f t="shared" si="113"/>
        <v>604250.68999999994</v>
      </c>
      <c r="AU108" s="15">
        <v>8250.69</v>
      </c>
      <c r="AV108" s="15"/>
      <c r="AW108" s="15"/>
      <c r="AX108" s="15"/>
      <c r="AY108" s="15"/>
      <c r="AZ108" s="15"/>
      <c r="BA108" s="15"/>
      <c r="BB108" s="16">
        <f t="shared" si="112"/>
        <v>-596000</v>
      </c>
    </row>
    <row r="109" spans="1:54" ht="31.2" outlineLevel="2">
      <c r="A109" s="98"/>
      <c r="B109" s="102"/>
      <c r="C109" s="23"/>
      <c r="D109" s="269"/>
      <c r="E109" s="269"/>
      <c r="F109" s="26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8"/>
        <v>0</v>
      </c>
      <c r="AG109" s="107"/>
      <c r="AH109" s="107"/>
      <c r="AI109" s="107"/>
      <c r="AJ109" s="111"/>
      <c r="AK109" s="111"/>
      <c r="AL109" s="111"/>
      <c r="AM109" s="108">
        <f>AG109*'1. Standard_Cost'!$B$27+'Incremental_Cost Year 4'!AH109*'1. Standard_Cost'!$C$27+'Incremental_Cost Year 4'!AI109*'1. Standard_Cost'!$D$27+'Incremental_Cost Year 4'!AJ109+'Incremental_Cost Year 4'!AL109+AK109</f>
        <v>0</v>
      </c>
      <c r="AN109" s="108">
        <f>AM109*'1. Standard_Cost'!$C$31</f>
        <v>0</v>
      </c>
      <c r="AO109" s="125" t="s">
        <v>347</v>
      </c>
      <c r="AQ109" s="14">
        <f t="shared" si="109"/>
        <v>0</v>
      </c>
      <c r="AR109" s="14">
        <f t="shared" si="110"/>
        <v>0</v>
      </c>
      <c r="AS109" s="14">
        <f t="shared" si="111"/>
        <v>0</v>
      </c>
      <c r="AT109" s="14">
        <f t="shared" si="113"/>
        <v>0</v>
      </c>
      <c r="AU109" s="15"/>
      <c r="AV109" s="15"/>
      <c r="AW109" s="15"/>
      <c r="AX109" s="15"/>
      <c r="AY109" s="15"/>
      <c r="AZ109" s="15"/>
      <c r="BA109" s="15"/>
      <c r="BB109" s="16">
        <f t="shared" si="112"/>
        <v>0</v>
      </c>
    </row>
    <row r="110" spans="1:54" ht="171.6" outlineLevel="2">
      <c r="A110" s="98"/>
      <c r="B110" s="102"/>
      <c r="C110" s="23"/>
      <c r="D110" s="269"/>
      <c r="E110" s="269"/>
      <c r="F110" s="269"/>
      <c r="G110" s="174"/>
      <c r="H110" s="302" t="s">
        <v>457</v>
      </c>
      <c r="I110" s="104" t="s">
        <v>4</v>
      </c>
      <c r="J110" s="105">
        <v>1</v>
      </c>
      <c r="K110" s="105">
        <v>2</v>
      </c>
      <c r="L110" s="106">
        <f>IF(I110&lt;&gt;0,((VLOOKUP(I110,'1. Standard_Cost'!$B$4:$D$11,2)+VLOOKUP(I110,'1. Standard_Cost'!$B$4:$D$11,3))*J110*K110),"0")</f>
        <v>161500</v>
      </c>
      <c r="M110" s="106">
        <f>L110*'1. Standard_Cost'!$F$4</f>
        <v>26970.5</v>
      </c>
      <c r="N110" s="107">
        <v>10</v>
      </c>
      <c r="O110" s="107">
        <v>1</v>
      </c>
      <c r="P110" s="107">
        <v>15</v>
      </c>
      <c r="Q110" s="107"/>
      <c r="R110" s="108">
        <v>0</v>
      </c>
      <c r="S110" s="108">
        <v>0</v>
      </c>
      <c r="T110" s="108">
        <f>N110*P110*Q110*'1. Standard_Cost'!$D$15</f>
        <v>0</v>
      </c>
      <c r="U110" s="108">
        <v>0</v>
      </c>
      <c r="V110" s="107"/>
      <c r="W110" s="107"/>
      <c r="X110" s="107"/>
      <c r="Y110" s="108">
        <f>+V110*((X110*'1. Standard_Cost'!$B$19)+(W110*X110*'1. Standard_Cost'!$C$19))</f>
        <v>0</v>
      </c>
      <c r="Z110" s="107"/>
      <c r="AA110" s="107">
        <v>11</v>
      </c>
      <c r="AB110" s="108">
        <f>+Z110*'1. Standard_Cost'!$B$23+AA110*'1. Standard_Cost'!$C$23</f>
        <v>209000</v>
      </c>
      <c r="AC110" s="109">
        <f>150*200+152*3500</f>
        <v>562000</v>
      </c>
      <c r="AD110" s="110"/>
      <c r="AE110" s="108">
        <f>SUM(AD110,AC110,AB110,Y110,U110,T110,S110,R110)*'1. Standard_Cost'!$B$31</f>
        <v>154200</v>
      </c>
      <c r="AF110" s="108">
        <f t="shared" si="108"/>
        <v>925200</v>
      </c>
      <c r="AG110" s="107"/>
      <c r="AH110" s="107"/>
      <c r="AI110" s="107"/>
      <c r="AJ110" s="111"/>
      <c r="AK110" s="111"/>
      <c r="AL110" s="111"/>
      <c r="AM110" s="108">
        <f>AG110*'1. Standard_Cost'!$B$27+'Incremental_Cost Year 4'!AH110*'1. Standard_Cost'!$C$27+'Incremental_Cost Year 4'!AI110*'1. Standard_Cost'!$D$27+'Incremental_Cost Year 4'!AJ110+'Incremental_Cost Year 4'!AL110+AK110</f>
        <v>0</v>
      </c>
      <c r="AN110" s="108">
        <f>AM110*'1. Standard_Cost'!$C$31</f>
        <v>0</v>
      </c>
      <c r="AO110" s="125" t="s">
        <v>348</v>
      </c>
      <c r="AQ110" s="14">
        <f t="shared" si="109"/>
        <v>188470.5</v>
      </c>
      <c r="AR110" s="14">
        <f t="shared" si="110"/>
        <v>925200</v>
      </c>
      <c r="AS110" s="14">
        <f t="shared" si="111"/>
        <v>0</v>
      </c>
      <c r="AT110" s="14">
        <f t="shared" si="113"/>
        <v>1113670.5</v>
      </c>
      <c r="AU110" s="15">
        <v>188470.5</v>
      </c>
      <c r="AV110" s="15"/>
      <c r="AW110" s="15"/>
      <c r="AX110" s="15"/>
      <c r="AY110" s="15"/>
      <c r="AZ110" s="15">
        <v>925200</v>
      </c>
      <c r="BA110" s="15"/>
      <c r="BB110" s="16">
        <f t="shared" si="112"/>
        <v>0</v>
      </c>
    </row>
    <row r="111" spans="1:54" ht="202.8" outlineLevel="2">
      <c r="A111" s="98"/>
      <c r="B111" s="102"/>
      <c r="C111" s="23"/>
      <c r="D111" s="269"/>
      <c r="E111" s="269"/>
      <c r="F111" s="269"/>
      <c r="G111" s="174"/>
      <c r="H111" s="302" t="s">
        <v>458</v>
      </c>
      <c r="I111" s="104" t="s">
        <v>5</v>
      </c>
      <c r="J111" s="105">
        <v>2</v>
      </c>
      <c r="K111" s="105">
        <v>3</v>
      </c>
      <c r="L111" s="106">
        <f>IF(I111&lt;&gt;0,((VLOOKUP(I111,'1. Standard_Cost'!$B$4:$D$11,2)+VLOOKUP(I111,'1. Standard_Cost'!$B$4:$D$11,3))*J111*K111),"0")</f>
        <v>424200</v>
      </c>
      <c r="M111" s="106">
        <f>L111*'1. Standard_Cost'!$F$4</f>
        <v>70841.400000000009</v>
      </c>
      <c r="N111" s="107">
        <v>18</v>
      </c>
      <c r="O111" s="107">
        <v>2</v>
      </c>
      <c r="P111" s="107">
        <v>15</v>
      </c>
      <c r="Q111" s="107"/>
      <c r="R111" s="108">
        <v>0</v>
      </c>
      <c r="S111" s="108">
        <v>0</v>
      </c>
      <c r="T111" s="108">
        <f>N111*P111*Q111*'1. Standard_Cost'!$D$15</f>
        <v>0</v>
      </c>
      <c r="U111" s="108">
        <v>0</v>
      </c>
      <c r="V111" s="107"/>
      <c r="W111" s="107"/>
      <c r="X111" s="107"/>
      <c r="Y111" s="108">
        <f>+V111*((X111*'1. Standard_Cost'!$B$19)+(W111*X111*'1. Standard_Cost'!$C$19))</f>
        <v>0</v>
      </c>
      <c r="Z111" s="107"/>
      <c r="AA111" s="107">
        <v>36</v>
      </c>
      <c r="AB111" s="108">
        <f>+Z111*'1. Standard_Cost'!$B$23+AA111*'1. Standard_Cost'!$C$23</f>
        <v>684000</v>
      </c>
      <c r="AC111" s="109">
        <f>545*3500+545*500</f>
        <v>2180000</v>
      </c>
      <c r="AD111" s="110"/>
      <c r="AE111" s="108">
        <f>SUM(AD111,AC111,AB111,Y111,U111,T111,S111,R111)*'1. Standard_Cost'!$B$31</f>
        <v>572800</v>
      </c>
      <c r="AF111" s="108">
        <f t="shared" si="108"/>
        <v>3436800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09"/>
        <v>495041.4</v>
      </c>
      <c r="AR111" s="14">
        <f t="shared" si="110"/>
        <v>3436800</v>
      </c>
      <c r="AS111" s="14">
        <f t="shared" si="111"/>
        <v>0</v>
      </c>
      <c r="AT111" s="14">
        <f t="shared" si="113"/>
        <v>3931841.4</v>
      </c>
      <c r="AU111" s="15">
        <v>495041.4</v>
      </c>
      <c r="AV111" s="15"/>
      <c r="AW111" s="15"/>
      <c r="AX111" s="15"/>
      <c r="AY111" s="15"/>
      <c r="AZ111" s="15">
        <v>3436800</v>
      </c>
      <c r="BA111" s="15"/>
      <c r="BB111" s="16">
        <f t="shared" si="112"/>
        <v>0</v>
      </c>
    </row>
    <row r="112" spans="1:54" ht="124.8" outlineLevel="2">
      <c r="A112" s="98"/>
      <c r="B112" s="102"/>
      <c r="C112" s="23"/>
      <c r="D112" s="269"/>
      <c r="E112" s="269"/>
      <c r="F112" s="251"/>
      <c r="G112" s="250"/>
      <c r="H112" s="302" t="s">
        <v>459</v>
      </c>
      <c r="I112" s="104" t="s">
        <v>4</v>
      </c>
      <c r="J112" s="105">
        <v>3</v>
      </c>
      <c r="K112" s="105">
        <v>3</v>
      </c>
      <c r="L112" s="106">
        <f>IF(I112&lt;&gt;0,((VLOOKUP(I112,'1. Standard_Cost'!$B$4:$D$11,2)+VLOOKUP(I112,'1. Standard_Cost'!$B$4:$D$11,3))*J112*K112),"0")</f>
        <v>726750</v>
      </c>
      <c r="M112" s="106">
        <f>L112*'1. Standard_Cost'!$F$4</f>
        <v>121367.25</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v>10</v>
      </c>
      <c r="AB112" s="108">
        <f>+Z112*'1. Standard_Cost'!$B$23+AA112*'1. Standard_Cost'!$C$23</f>
        <v>190000</v>
      </c>
      <c r="AC112" s="109">
        <f>2*15*300+1000*300</f>
        <v>309000</v>
      </c>
      <c r="AD112" s="110"/>
      <c r="AE112" s="108">
        <v>0</v>
      </c>
      <c r="AF112" s="108">
        <f t="shared" si="108"/>
        <v>499000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09"/>
        <v>848117.25</v>
      </c>
      <c r="AR112" s="14">
        <f t="shared" si="110"/>
        <v>499000</v>
      </c>
      <c r="AS112" s="14">
        <f t="shared" si="111"/>
        <v>0</v>
      </c>
      <c r="AT112" s="14">
        <f t="shared" si="113"/>
        <v>1347117.25</v>
      </c>
      <c r="AU112" s="15">
        <v>848117.25</v>
      </c>
      <c r="AV112" s="15"/>
      <c r="AW112" s="15"/>
      <c r="AX112" s="15"/>
      <c r="AY112" s="15"/>
      <c r="AZ112" s="15">
        <v>499000</v>
      </c>
      <c r="BA112" s="15"/>
      <c r="BB112" s="16">
        <f t="shared" si="112"/>
        <v>0</v>
      </c>
    </row>
    <row r="113" spans="1:54" ht="55.2" outlineLevel="1">
      <c r="A113" s="98"/>
      <c r="B113" s="102"/>
      <c r="C113" s="23"/>
      <c r="D113" s="31" t="s">
        <v>633</v>
      </c>
      <c r="E113" s="56" t="s">
        <v>223</v>
      </c>
      <c r="F113" s="253">
        <v>2021</v>
      </c>
      <c r="G113" s="254">
        <v>2026</v>
      </c>
      <c r="H113" s="277" t="s">
        <v>226</v>
      </c>
      <c r="I113" s="112"/>
      <c r="J113" s="112"/>
      <c r="K113" s="112"/>
      <c r="L113" s="113">
        <f>SUM(L102:L112)</f>
        <v>1319520</v>
      </c>
      <c r="M113" s="113">
        <f>SUM(M102:M112)</f>
        <v>220359.84000000003</v>
      </c>
      <c r="N113" s="112"/>
      <c r="O113" s="112"/>
      <c r="P113" s="112"/>
      <c r="Q113" s="112"/>
      <c r="R113" s="113">
        <f>SUM(R102:R112)</f>
        <v>240000</v>
      </c>
      <c r="S113" s="113">
        <f>SUM(S102:S112)</f>
        <v>180000</v>
      </c>
      <c r="T113" s="113">
        <f>SUM(T102:T112)</f>
        <v>0</v>
      </c>
      <c r="U113" s="113">
        <f>SUM(U102:U112)</f>
        <v>0</v>
      </c>
      <c r="V113" s="112"/>
      <c r="W113" s="112"/>
      <c r="X113" s="112"/>
      <c r="Y113" s="113">
        <f>SUM(Y102:Y112)</f>
        <v>0</v>
      </c>
      <c r="Z113" s="112"/>
      <c r="AA113" s="112"/>
      <c r="AB113" s="113">
        <f>SUM(AB102:AB112)</f>
        <v>1235000</v>
      </c>
      <c r="AC113" s="113">
        <f>SUM(AC102:AC112)</f>
        <v>8075000</v>
      </c>
      <c r="AD113" s="113">
        <f>SUM(AD102:AD112)</f>
        <v>0</v>
      </c>
      <c r="AE113" s="113">
        <f>SUM(AE102:AE112)</f>
        <v>727000</v>
      </c>
      <c r="AF113" s="113">
        <f>SUM(AF102:AF112)</f>
        <v>10457000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4">SUM(AQ102:AQ112)</f>
        <v>1539879.84</v>
      </c>
      <c r="AR113" s="113">
        <f t="shared" si="114"/>
        <v>10457000</v>
      </c>
      <c r="AS113" s="113">
        <f t="shared" si="114"/>
        <v>0</v>
      </c>
      <c r="AT113" s="113">
        <f t="shared" si="114"/>
        <v>11996879.84</v>
      </c>
      <c r="AU113" s="113">
        <f t="shared" si="114"/>
        <v>6539879.8400000008</v>
      </c>
      <c r="AV113" s="113">
        <f t="shared" si="114"/>
        <v>0</v>
      </c>
      <c r="AW113" s="113">
        <f t="shared" si="114"/>
        <v>0</v>
      </c>
      <c r="AX113" s="113">
        <f t="shared" si="114"/>
        <v>0</v>
      </c>
      <c r="AY113" s="113">
        <f t="shared" si="114"/>
        <v>0</v>
      </c>
      <c r="AZ113" s="113">
        <f t="shared" si="114"/>
        <v>4861000</v>
      </c>
      <c r="BA113" s="113">
        <f t="shared" si="114"/>
        <v>0</v>
      </c>
      <c r="BB113" s="113">
        <f t="shared" si="114"/>
        <v>-596000</v>
      </c>
    </row>
    <row r="114" spans="1:54" ht="62.4" outlineLevel="2">
      <c r="A114" s="98"/>
      <c r="B114" s="102"/>
      <c r="C114" s="23"/>
      <c r="D114" s="257"/>
      <c r="E114" s="257"/>
      <c r="F114" s="257"/>
      <c r="G114" s="257"/>
      <c r="H114" s="302" t="s">
        <v>460</v>
      </c>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5">SUM(AE114,AD114,AC114,AB114,Y114,U114,T114,S114,R114)</f>
        <v>0</v>
      </c>
      <c r="AG114" s="107"/>
      <c r="AH114" s="107"/>
      <c r="AI114" s="107"/>
      <c r="AJ114" s="111"/>
      <c r="AK114" s="111"/>
      <c r="AL114" s="111"/>
      <c r="AM114" s="108">
        <f>AG114*'1. Standard_Cost'!$B$27+'Incremental_Cost Year 4'!AH114*'1. Standard_Cost'!$C$27+'Incremental_Cost Year 4'!AI114*'1. Standard_Cost'!$D$27+'Incremental_Cost Year 4'!AJ114+'Incremental_Cost Year 4'!AL114+AK114</f>
        <v>0</v>
      </c>
      <c r="AN114" s="108">
        <f>AM114*'1. Standard_Cost'!$C$31</f>
        <v>0</v>
      </c>
      <c r="AO114" s="125" t="s">
        <v>350</v>
      </c>
      <c r="AQ114" s="14">
        <f t="shared" ref="AQ114:AQ135" si="116">L114+M114</f>
        <v>0</v>
      </c>
      <c r="AR114" s="14">
        <f t="shared" ref="AR114:AR135" si="117">AF114</f>
        <v>0</v>
      </c>
      <c r="AS114" s="14">
        <f t="shared" ref="AS114:AS135" si="118">AM114+AN114</f>
        <v>0</v>
      </c>
      <c r="AT114" s="14">
        <f>SUM(AQ114,AR114,AS114)</f>
        <v>0</v>
      </c>
      <c r="AU114" s="15"/>
      <c r="AV114" s="15"/>
      <c r="AW114" s="15"/>
      <c r="AX114" s="15"/>
      <c r="AY114" s="15"/>
      <c r="AZ114" s="15"/>
      <c r="BA114" s="15"/>
      <c r="BB114" s="16">
        <f t="shared" ref="BB114:BB135" si="119">SUM(AU114:BA114)-AT114</f>
        <v>0</v>
      </c>
    </row>
    <row r="115" spans="1:54" ht="234" outlineLevel="2">
      <c r="A115" s="98"/>
      <c r="B115" s="102"/>
      <c r="C115" s="23"/>
      <c r="D115" s="269"/>
      <c r="E115" s="269"/>
      <c r="F115" s="269"/>
      <c r="G115" s="174"/>
      <c r="H115" s="302" t="s">
        <v>461</v>
      </c>
      <c r="I115" s="104" t="s">
        <v>4</v>
      </c>
      <c r="J115" s="105">
        <v>2</v>
      </c>
      <c r="K115" s="105">
        <v>1</v>
      </c>
      <c r="L115" s="106">
        <f>IF(I115&lt;&gt;0,((VLOOKUP(I115,'1. Standard_Cost'!$B$4:$D$11,2)+VLOOKUP(I115,'1. Standard_Cost'!$B$4:$D$11,3))*J115*K115),"0")</f>
        <v>161500</v>
      </c>
      <c r="M115" s="106">
        <f>L115*'1. Standard_Cost'!$F$4</f>
        <v>26970.5</v>
      </c>
      <c r="N115" s="107">
        <v>30</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32</v>
      </c>
      <c r="AB115" s="108">
        <f>+Z115*'1. Standard_Cost'!$B$23+AA115*'1. Standard_Cost'!$C$23</f>
        <v>608000</v>
      </c>
      <c r="AC115" s="109">
        <f>450*3500+450*500</f>
        <v>1800000</v>
      </c>
      <c r="AD115" s="110"/>
      <c r="AE115" s="108">
        <v>0</v>
      </c>
      <c r="AF115" s="108">
        <f t="shared" si="115"/>
        <v>2408000</v>
      </c>
      <c r="AG115" s="107"/>
      <c r="AH115" s="107"/>
      <c r="AI115" s="107"/>
      <c r="AJ115" s="111"/>
      <c r="AK115" s="111"/>
      <c r="AL115" s="111"/>
      <c r="AM115" s="108">
        <f>AG115*'1. Standard_Cost'!$B$27+'Incremental_Cost Year 4'!AH115*'1. Standard_Cost'!$C$27+'Incremental_Cost Year 4'!AI115*'1. Standard_Cost'!$D$27+'Incremental_Cost Year 4'!AJ115+'Incremental_Cost Year 4'!AL115+AK115</f>
        <v>0</v>
      </c>
      <c r="AN115" s="108">
        <f>AM115*'1. Standard_Cost'!$C$31</f>
        <v>0</v>
      </c>
      <c r="AO115" s="125" t="s">
        <v>349</v>
      </c>
      <c r="AQ115" s="14">
        <f t="shared" si="116"/>
        <v>188470.5</v>
      </c>
      <c r="AR115" s="14">
        <f t="shared" si="117"/>
        <v>2408000</v>
      </c>
      <c r="AS115" s="14">
        <f t="shared" si="118"/>
        <v>0</v>
      </c>
      <c r="AT115" s="14">
        <f t="shared" ref="AT115:AT135" si="120">SUM(AQ115,AR115,AS115)</f>
        <v>2596470.5</v>
      </c>
      <c r="AU115" s="15">
        <v>188470.5</v>
      </c>
      <c r="AV115" s="15"/>
      <c r="AW115" s="15"/>
      <c r="AX115" s="15"/>
      <c r="AY115" s="15"/>
      <c r="AZ115" s="15">
        <v>2408000</v>
      </c>
      <c r="BA115" s="15"/>
      <c r="BB115" s="16">
        <f t="shared" si="119"/>
        <v>0</v>
      </c>
    </row>
    <row r="116" spans="1:54" ht="156" outlineLevel="2">
      <c r="A116" s="98"/>
      <c r="B116" s="102"/>
      <c r="C116" s="23"/>
      <c r="D116" s="269"/>
      <c r="E116" s="269"/>
      <c r="F116" s="269"/>
      <c r="G116" s="269"/>
      <c r="H116" s="302" t="s">
        <v>462</v>
      </c>
      <c r="I116" s="104"/>
      <c r="J116" s="105"/>
      <c r="K116" s="105"/>
      <c r="L116" s="106" t="str">
        <f>IF(I116&lt;&gt;0,((VLOOKUP(I116,'1. Standard_Cost'!$B$4:$D$11,2)+VLOOKUP(I116,'1. Standard_Cost'!$B$4:$D$11,3))*J116*K116),"0")</f>
        <v>0</v>
      </c>
      <c r="M116" s="106">
        <f>L116*'1. Standard_Cost'!$F$4</f>
        <v>0</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c r="AB116" s="108">
        <f>+Z116*'1. Standard_Cost'!$B$23+AA116*'1. Standard_Cost'!$C$23</f>
        <v>0</v>
      </c>
      <c r="AC116" s="109"/>
      <c r="AD116" s="110"/>
      <c r="AE116" s="108">
        <f>SUM(AD116,AC116,AB116,Y116,U116,T116,S116,R116)*'1. Standard_Cost'!$B$31</f>
        <v>0</v>
      </c>
      <c r="AF116" s="108">
        <f t="shared" si="115"/>
        <v>0</v>
      </c>
      <c r="AG116" s="107"/>
      <c r="AH116" s="107"/>
      <c r="AI116" s="107"/>
      <c r="AJ116" s="111"/>
      <c r="AK116" s="111"/>
      <c r="AL116" s="111"/>
      <c r="AM116" s="108">
        <f>AG116*'1. Standard_Cost'!$B$27+'Incremental_Cost Year 4'!AH116*'1. Standard_Cost'!$C$27+'Incremental_Cost Year 4'!AI116*'1. Standard_Cost'!$D$27+'Incremental_Cost Year 4'!AJ116+'Incremental_Cost Year 4'!AL116+AK116</f>
        <v>0</v>
      </c>
      <c r="AN116" s="108">
        <f>AM116*'1. Standard_Cost'!$C$31</f>
        <v>0</v>
      </c>
      <c r="AO116" s="125" t="s">
        <v>351</v>
      </c>
      <c r="AQ116" s="14">
        <f t="shared" si="116"/>
        <v>0</v>
      </c>
      <c r="AR116" s="14">
        <f t="shared" si="117"/>
        <v>0</v>
      </c>
      <c r="AS116" s="14">
        <f t="shared" si="118"/>
        <v>0</v>
      </c>
      <c r="AT116" s="14">
        <f t="shared" si="120"/>
        <v>0</v>
      </c>
      <c r="AU116" s="15">
        <v>0</v>
      </c>
      <c r="AV116" s="15"/>
      <c r="AW116" s="15"/>
      <c r="AX116" s="15">
        <v>0</v>
      </c>
      <c r="AY116" s="15"/>
      <c r="AZ116" s="15"/>
      <c r="BA116" s="15"/>
      <c r="BB116" s="16">
        <f t="shared" si="119"/>
        <v>0</v>
      </c>
    </row>
    <row r="117" spans="1:54" ht="31.2" outlineLevel="2">
      <c r="A117" s="98"/>
      <c r="B117" s="102"/>
      <c r="C117" s="23"/>
      <c r="D117" s="269"/>
      <c r="E117" s="269"/>
      <c r="F117" s="269"/>
      <c r="G117" s="269"/>
      <c r="H117" s="302" t="s">
        <v>463</v>
      </c>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5"/>
        <v>0</v>
      </c>
      <c r="AG117" s="107"/>
      <c r="AH117" s="107"/>
      <c r="AI117" s="107"/>
      <c r="AJ117" s="111"/>
      <c r="AK117" s="111"/>
      <c r="AL117" s="111"/>
      <c r="AM117" s="108">
        <f>AG117*'1. Standard_Cost'!$B$27+'Incremental_Cost Year 4'!AH117*'1. Standard_Cost'!$C$27+'Incremental_Cost Year 4'!AI117*'1. Standard_Cost'!$D$27+'Incremental_Cost Year 4'!AJ117+'Incremental_Cost Year 4'!AL117+AK117</f>
        <v>0</v>
      </c>
      <c r="AN117" s="108">
        <f>AM117*'1. Standard_Cost'!$C$31</f>
        <v>0</v>
      </c>
      <c r="AO117" s="125" t="s">
        <v>349</v>
      </c>
      <c r="AQ117" s="14">
        <f t="shared" si="116"/>
        <v>0</v>
      </c>
      <c r="AR117" s="14">
        <f t="shared" si="117"/>
        <v>0</v>
      </c>
      <c r="AS117" s="14">
        <f t="shared" si="118"/>
        <v>0</v>
      </c>
      <c r="AT117" s="14">
        <f t="shared" si="120"/>
        <v>0</v>
      </c>
      <c r="AU117" s="15"/>
      <c r="AV117" s="15"/>
      <c r="AW117" s="15"/>
      <c r="AX117" s="15"/>
      <c r="AY117" s="15"/>
      <c r="AZ117" s="15"/>
      <c r="BA117" s="15"/>
      <c r="BB117" s="16">
        <f t="shared" si="119"/>
        <v>0</v>
      </c>
    </row>
    <row r="118" spans="1:54" ht="62.4" outlineLevel="2">
      <c r="A118" s="98"/>
      <c r="B118" s="102"/>
      <c r="C118" s="23"/>
      <c r="D118" s="269"/>
      <c r="E118" s="269"/>
      <c r="F118" s="269"/>
      <c r="G118" s="269"/>
      <c r="H118" s="302" t="s">
        <v>464</v>
      </c>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5"/>
        <v>0</v>
      </c>
      <c r="AG118" s="107"/>
      <c r="AH118" s="107"/>
      <c r="AI118" s="107"/>
      <c r="AJ118" s="111"/>
      <c r="AK118" s="111"/>
      <c r="AL118" s="111"/>
      <c r="AM118" s="108">
        <f>AG118*'1. Standard_Cost'!$B$27+'Incremental_Cost Year 4'!AH118*'1. Standard_Cost'!$C$27+'Incremental_Cost Year 4'!AI118*'1. Standard_Cost'!$D$27+'Incremental_Cost Year 4'!AJ118+'Incremental_Cost Year 4'!AL118+AK118</f>
        <v>0</v>
      </c>
      <c r="AN118" s="108">
        <f>AM118*'1. Standard_Cost'!$C$31</f>
        <v>0</v>
      </c>
      <c r="AO118" s="125" t="s">
        <v>352</v>
      </c>
      <c r="AQ118" s="14">
        <f t="shared" si="116"/>
        <v>0</v>
      </c>
      <c r="AR118" s="14">
        <f t="shared" si="117"/>
        <v>0</v>
      </c>
      <c r="AS118" s="14">
        <f t="shared" si="118"/>
        <v>0</v>
      </c>
      <c r="AT118" s="14">
        <f t="shared" si="120"/>
        <v>0</v>
      </c>
      <c r="AU118" s="15"/>
      <c r="AV118" s="15"/>
      <c r="AW118" s="15"/>
      <c r="AX118" s="15"/>
      <c r="AY118" s="15"/>
      <c r="AZ118" s="15"/>
      <c r="BA118" s="15"/>
      <c r="BB118" s="16">
        <f t="shared" si="119"/>
        <v>0</v>
      </c>
    </row>
    <row r="119" spans="1:54" ht="62.4" outlineLevel="2">
      <c r="A119" s="98"/>
      <c r="B119" s="102"/>
      <c r="C119" s="23"/>
      <c r="D119" s="269"/>
      <c r="E119" s="269"/>
      <c r="F119" s="269"/>
      <c r="G119" s="269"/>
      <c r="H119" s="302" t="s">
        <v>465</v>
      </c>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15"/>
        <v>0</v>
      </c>
      <c r="AG119" s="107"/>
      <c r="AH119" s="107"/>
      <c r="AI119" s="107"/>
      <c r="AJ119" s="111"/>
      <c r="AK119" s="111"/>
      <c r="AL119" s="111"/>
      <c r="AM119" s="108">
        <f>AG119*'1. Standard_Cost'!$B$27+'Incremental_Cost Year 4'!AH119*'1. Standard_Cost'!$C$27+'Incremental_Cost Year 4'!AI119*'1. Standard_Cost'!$D$27+'Incremental_Cost Year 4'!AJ119+'Incremental_Cost Year 4'!AL119+AK119</f>
        <v>0</v>
      </c>
      <c r="AN119" s="108">
        <f>AM119*'1. Standard_Cost'!$C$31</f>
        <v>0</v>
      </c>
      <c r="AO119" s="125" t="s">
        <v>353</v>
      </c>
      <c r="AQ119" s="14">
        <f t="shared" si="116"/>
        <v>0</v>
      </c>
      <c r="AR119" s="14">
        <f t="shared" si="117"/>
        <v>0</v>
      </c>
      <c r="AS119" s="14">
        <f t="shared" si="118"/>
        <v>0</v>
      </c>
      <c r="AT119" s="14">
        <f t="shared" si="120"/>
        <v>0</v>
      </c>
      <c r="AU119" s="15"/>
      <c r="AV119" s="15"/>
      <c r="AW119" s="15"/>
      <c r="AX119" s="15"/>
      <c r="AY119" s="15">
        <v>0</v>
      </c>
      <c r="AZ119" s="15">
        <v>0</v>
      </c>
      <c r="BA119" s="15"/>
      <c r="BB119" s="16">
        <f t="shared" si="119"/>
        <v>0</v>
      </c>
    </row>
    <row r="120" spans="1:54" ht="31.2" outlineLevel="2">
      <c r="A120" s="98"/>
      <c r="B120" s="102"/>
      <c r="C120" s="23"/>
      <c r="D120" s="269"/>
      <c r="E120" s="269"/>
      <c r="F120" s="269"/>
      <c r="G120" s="269"/>
      <c r="H120" s="302" t="s">
        <v>466</v>
      </c>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5"/>
        <v>0</v>
      </c>
      <c r="AG120" s="107"/>
      <c r="AH120" s="107"/>
      <c r="AI120" s="107"/>
      <c r="AJ120" s="111"/>
      <c r="AK120" s="111"/>
      <c r="AL120" s="111"/>
      <c r="AM120" s="108">
        <f>AG120*'1. Standard_Cost'!$B$27+'Incremental_Cost Year 4'!AH120*'1. Standard_Cost'!$C$27+'Incremental_Cost Year 4'!AI120*'1. Standard_Cost'!$D$27+'Incremental_Cost Year 4'!AJ120+'Incremental_Cost Year 4'!AL120+AK120</f>
        <v>0</v>
      </c>
      <c r="AN120" s="108">
        <f>AM120*'1. Standard_Cost'!$C$31</f>
        <v>0</v>
      </c>
      <c r="AO120" s="125" t="s">
        <v>354</v>
      </c>
      <c r="AQ120" s="14">
        <f t="shared" si="116"/>
        <v>0</v>
      </c>
      <c r="AR120" s="14">
        <f t="shared" si="117"/>
        <v>0</v>
      </c>
      <c r="AS120" s="14">
        <f t="shared" si="118"/>
        <v>0</v>
      </c>
      <c r="AT120" s="14">
        <f t="shared" si="120"/>
        <v>0</v>
      </c>
      <c r="AU120" s="15"/>
      <c r="AV120" s="15"/>
      <c r="AW120" s="15"/>
      <c r="AX120" s="15"/>
      <c r="AY120" s="15"/>
      <c r="AZ120" s="15"/>
      <c r="BA120" s="15"/>
      <c r="BB120" s="16">
        <f t="shared" si="119"/>
        <v>0</v>
      </c>
    </row>
    <row r="121" spans="1:54" ht="78" outlineLevel="2">
      <c r="A121" s="98"/>
      <c r="B121" s="102"/>
      <c r="C121" s="23"/>
      <c r="D121" s="269"/>
      <c r="E121" s="269"/>
      <c r="F121" s="174"/>
      <c r="G121" s="174"/>
      <c r="H121" s="302" t="s">
        <v>467</v>
      </c>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f>3*500000</f>
        <v>1500000</v>
      </c>
      <c r="AD121" s="110"/>
      <c r="AE121" s="108">
        <v>0</v>
      </c>
      <c r="AF121" s="108">
        <f t="shared" si="115"/>
        <v>1500000</v>
      </c>
      <c r="AG121" s="107"/>
      <c r="AH121" s="107"/>
      <c r="AI121" s="107"/>
      <c r="AJ121" s="111"/>
      <c r="AK121" s="111"/>
      <c r="AL121" s="111"/>
      <c r="AM121" s="108">
        <f>AG121*'1. Standard_Cost'!$B$27+'Incremental_Cost Year 4'!AH121*'1. Standard_Cost'!$C$27+'Incremental_Cost Year 4'!AI121*'1. Standard_Cost'!$D$27+'Incremental_Cost Year 4'!AJ121+'Incremental_Cost Year 4'!AL121+AK121</f>
        <v>0</v>
      </c>
      <c r="AN121" s="108">
        <f>AM121*'1. Standard_Cost'!$C$31</f>
        <v>0</v>
      </c>
      <c r="AO121" s="125" t="s">
        <v>335</v>
      </c>
      <c r="AQ121" s="14">
        <f t="shared" si="116"/>
        <v>0</v>
      </c>
      <c r="AR121" s="14">
        <f t="shared" si="117"/>
        <v>1500000</v>
      </c>
      <c r="AS121" s="14">
        <f t="shared" si="118"/>
        <v>0</v>
      </c>
      <c r="AT121" s="14">
        <f t="shared" si="120"/>
        <v>1500000</v>
      </c>
      <c r="AU121" s="15"/>
      <c r="AV121" s="15"/>
      <c r="AW121" s="15"/>
      <c r="AX121" s="15"/>
      <c r="AY121" s="15"/>
      <c r="AZ121" s="15">
        <v>1500000</v>
      </c>
      <c r="BA121" s="15"/>
      <c r="BB121" s="16">
        <f t="shared" si="119"/>
        <v>0</v>
      </c>
    </row>
    <row r="122" spans="1:54" ht="62.4" outlineLevel="2">
      <c r="A122" s="98"/>
      <c r="B122" s="102"/>
      <c r="C122" s="23"/>
      <c r="D122" s="269"/>
      <c r="E122" s="269"/>
      <c r="F122" s="269"/>
      <c r="G122" s="269"/>
      <c r="H122" s="302" t="s">
        <v>468</v>
      </c>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5"/>
        <v>0</v>
      </c>
      <c r="AG122" s="107"/>
      <c r="AH122" s="107"/>
      <c r="AI122" s="107"/>
      <c r="AJ122" s="111"/>
      <c r="AK122" s="111"/>
      <c r="AL122" s="111"/>
      <c r="AM122" s="108">
        <f>AG122*'1. Standard_Cost'!$B$27+'Incremental_Cost Year 4'!AH122*'1. Standard_Cost'!$C$27+'Incremental_Cost Year 4'!AI122*'1. Standard_Cost'!$D$27+'Incremental_Cost Year 4'!AJ122+'Incremental_Cost Year 4'!AL122+AK122</f>
        <v>0</v>
      </c>
      <c r="AN122" s="108">
        <f>AM122*'1. Standard_Cost'!$C$31</f>
        <v>0</v>
      </c>
      <c r="AO122" s="125" t="s">
        <v>355</v>
      </c>
      <c r="AQ122" s="14">
        <f t="shared" si="116"/>
        <v>0</v>
      </c>
      <c r="AR122" s="14">
        <f t="shared" si="117"/>
        <v>0</v>
      </c>
      <c r="AS122" s="14">
        <f t="shared" si="118"/>
        <v>0</v>
      </c>
      <c r="AT122" s="14">
        <f t="shared" si="120"/>
        <v>0</v>
      </c>
      <c r="AU122" s="15"/>
      <c r="AV122" s="15"/>
      <c r="AW122" s="15"/>
      <c r="AX122" s="15"/>
      <c r="AY122" s="15"/>
      <c r="AZ122" s="15"/>
      <c r="BA122" s="15"/>
      <c r="BB122" s="16">
        <f t="shared" si="119"/>
        <v>0</v>
      </c>
    </row>
    <row r="123" spans="1:54" ht="31.2" outlineLevel="2">
      <c r="A123" s="98"/>
      <c r="B123" s="102"/>
      <c r="C123" s="23"/>
      <c r="D123" s="269"/>
      <c r="E123" s="269"/>
      <c r="F123" s="269"/>
      <c r="G123" s="174"/>
      <c r="H123" s="302" t="s">
        <v>229</v>
      </c>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5"/>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16"/>
        <v>0</v>
      </c>
      <c r="AR123" s="14">
        <f t="shared" si="117"/>
        <v>0</v>
      </c>
      <c r="AS123" s="14">
        <f t="shared" si="118"/>
        <v>0</v>
      </c>
      <c r="AT123" s="14">
        <f t="shared" si="120"/>
        <v>0</v>
      </c>
      <c r="AU123" s="15"/>
      <c r="AV123" s="15"/>
      <c r="AW123" s="15"/>
      <c r="AX123" s="15"/>
      <c r="AY123" s="15"/>
      <c r="AZ123" s="15"/>
      <c r="BA123" s="15"/>
      <c r="BB123" s="16">
        <f t="shared" si="119"/>
        <v>0</v>
      </c>
    </row>
    <row r="124" spans="1:54" ht="93.6" outlineLevel="2">
      <c r="A124" s="98"/>
      <c r="B124" s="102"/>
      <c r="C124" s="23"/>
      <c r="D124" s="269"/>
      <c r="E124" s="269"/>
      <c r="F124" s="251"/>
      <c r="G124" s="250"/>
      <c r="H124" s="302" t="s">
        <v>469</v>
      </c>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c r="AD124" s="110"/>
      <c r="AE124" s="108">
        <f>SUM(AD124,AC124,AB124,Y124,U124,T124,S124,R124)*'1. Standard_Cost'!$B$31</f>
        <v>0</v>
      </c>
      <c r="AF124" s="108">
        <f t="shared" si="115"/>
        <v>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16"/>
        <v>0</v>
      </c>
      <c r="AR124" s="14">
        <f t="shared" si="117"/>
        <v>0</v>
      </c>
      <c r="AS124" s="14">
        <f t="shared" si="118"/>
        <v>0</v>
      </c>
      <c r="AT124" s="14">
        <f t="shared" si="120"/>
        <v>0</v>
      </c>
      <c r="AU124" s="15"/>
      <c r="AV124" s="15"/>
      <c r="AW124" s="15"/>
      <c r="AX124" s="15"/>
      <c r="AY124" s="15">
        <v>0</v>
      </c>
      <c r="AZ124" s="15">
        <v>0</v>
      </c>
      <c r="BA124" s="15"/>
      <c r="BB124" s="16">
        <f t="shared" si="119"/>
        <v>0</v>
      </c>
    </row>
    <row r="125" spans="1:54" ht="62.4" outlineLevel="2">
      <c r="A125" s="98"/>
      <c r="B125" s="102"/>
      <c r="C125" s="23"/>
      <c r="D125" s="269"/>
      <c r="E125" s="269"/>
      <c r="F125" s="269"/>
      <c r="G125" s="269"/>
      <c r="H125" s="302" t="s">
        <v>470</v>
      </c>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5"/>
        <v>0</v>
      </c>
      <c r="AG125" s="107"/>
      <c r="AH125" s="107"/>
      <c r="AI125" s="107"/>
      <c r="AJ125" s="111"/>
      <c r="AK125" s="111"/>
      <c r="AL125" s="111"/>
      <c r="AM125" s="108">
        <f>AG125*'1. Standard_Cost'!$B$27+'Incremental_Cost Year 4'!AH125*'1. Standard_Cost'!$C$27+'Incremental_Cost Year 4'!AI125*'1. Standard_Cost'!$D$27+'Incremental_Cost Year 4'!AJ125+'Incremental_Cost Year 4'!AL125+AK125</f>
        <v>0</v>
      </c>
      <c r="AN125" s="108">
        <f>AM125*'1. Standard_Cost'!$C$31</f>
        <v>0</v>
      </c>
      <c r="AO125" s="125" t="s">
        <v>358</v>
      </c>
      <c r="AQ125" s="14">
        <f t="shared" si="116"/>
        <v>0</v>
      </c>
      <c r="AR125" s="14">
        <f t="shared" si="117"/>
        <v>0</v>
      </c>
      <c r="AS125" s="14">
        <f t="shared" si="118"/>
        <v>0</v>
      </c>
      <c r="AT125" s="14">
        <f t="shared" si="120"/>
        <v>0</v>
      </c>
      <c r="AU125" s="15"/>
      <c r="AV125" s="15"/>
      <c r="AW125" s="15"/>
      <c r="AX125" s="15"/>
      <c r="AY125" s="15"/>
      <c r="AZ125" s="15"/>
      <c r="BA125" s="15"/>
      <c r="BB125" s="16">
        <f t="shared" si="119"/>
        <v>0</v>
      </c>
    </row>
    <row r="126" spans="1:54" ht="62.4" outlineLevel="2">
      <c r="A126" s="98"/>
      <c r="B126" s="102"/>
      <c r="C126" s="23"/>
      <c r="D126" s="269"/>
      <c r="E126" s="269"/>
      <c r="F126" s="269"/>
      <c r="G126" s="269"/>
      <c r="H126" s="302" t="s">
        <v>471</v>
      </c>
      <c r="I126" s="104"/>
      <c r="J126" s="105"/>
      <c r="K126" s="105"/>
      <c r="L126" s="106" t="str">
        <f>IF(I126&lt;&gt;0,((VLOOKUP(I126,'1. Standard_Cost'!$B$4:$D$11,2)+VLOOKUP(I126,'1. Standard_Cost'!$B$4:$D$11,3))*J126*K126),"0")</f>
        <v>0</v>
      </c>
      <c r="M126" s="106">
        <f>L126*'1. Standard_Cost'!$F$4</f>
        <v>0</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5"/>
        <v>0</v>
      </c>
      <c r="AG126" s="107"/>
      <c r="AH126" s="107"/>
      <c r="AI126" s="107"/>
      <c r="AJ126" s="111"/>
      <c r="AK126" s="111"/>
      <c r="AL126" s="111"/>
      <c r="AM126" s="108">
        <f>AG126*'1. Standard_Cost'!$B$27+'Incremental_Cost Year 4'!AH126*'1. Standard_Cost'!$C$27+'Incremental_Cost Year 4'!AI126*'1. Standard_Cost'!$D$27+'Incremental_Cost Year 4'!AJ126+'Incremental_Cost Year 4'!AL126+AK126</f>
        <v>0</v>
      </c>
      <c r="AN126" s="108">
        <f>AM126*'1. Standard_Cost'!$C$31</f>
        <v>0</v>
      </c>
      <c r="AO126" s="125" t="s">
        <v>359</v>
      </c>
      <c r="AQ126" s="14">
        <f t="shared" si="116"/>
        <v>0</v>
      </c>
      <c r="AR126" s="14">
        <f t="shared" si="117"/>
        <v>0</v>
      </c>
      <c r="AS126" s="14">
        <f t="shared" si="118"/>
        <v>0</v>
      </c>
      <c r="AT126" s="14">
        <f t="shared" si="120"/>
        <v>0</v>
      </c>
      <c r="AU126" s="15">
        <v>0</v>
      </c>
      <c r="AV126" s="15"/>
      <c r="AW126" s="15"/>
      <c r="AX126" s="15"/>
      <c r="AY126" s="15"/>
      <c r="AZ126" s="15"/>
      <c r="BA126" s="15"/>
      <c r="BB126" s="16">
        <f t="shared" si="119"/>
        <v>0</v>
      </c>
    </row>
    <row r="127" spans="1:54" ht="46.8" outlineLevel="2">
      <c r="A127" s="98"/>
      <c r="B127" s="102"/>
      <c r="C127" s="23"/>
      <c r="D127" s="269"/>
      <c r="E127" s="269"/>
      <c r="F127" s="174"/>
      <c r="G127" s="269"/>
      <c r="H127" s="302" t="s">
        <v>472</v>
      </c>
      <c r="I127" s="104"/>
      <c r="J127" s="105"/>
      <c r="K127" s="105"/>
      <c r="L127" s="106" t="str">
        <f>IF(I127&lt;&gt;0,((VLOOKUP(I127,'1. Standard_Cost'!$B$4:$D$11,2)+VLOOKUP(I127,'1. Standard_Cost'!$B$4:$D$11,3))*J127*K127),"0")</f>
        <v>0</v>
      </c>
      <c r="M127" s="106">
        <f>L127*'1. Standard_Cost'!$F$4</f>
        <v>0</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5"/>
        <v>0</v>
      </c>
      <c r="AG127" s="107"/>
      <c r="AH127" s="107"/>
      <c r="AI127" s="107"/>
      <c r="AJ127" s="111"/>
      <c r="AK127" s="111"/>
      <c r="AL127" s="111"/>
      <c r="AM127" s="108">
        <f>AG127*'1. Standard_Cost'!$B$27+'Incremental_Cost Year 4'!AH127*'1. Standard_Cost'!$C$27+'Incremental_Cost Year 4'!AI127*'1. Standard_Cost'!$D$27+'Incremental_Cost Year 4'!AJ127+'Incremental_Cost Year 4'!AL127+AK127</f>
        <v>0</v>
      </c>
      <c r="AN127" s="108">
        <f>AM127*'1. Standard_Cost'!$C$31</f>
        <v>0</v>
      </c>
      <c r="AO127" s="125" t="s">
        <v>349</v>
      </c>
      <c r="AQ127" s="14">
        <f t="shared" si="116"/>
        <v>0</v>
      </c>
      <c r="AR127" s="14">
        <f t="shared" si="117"/>
        <v>0</v>
      </c>
      <c r="AS127" s="14">
        <f t="shared" si="118"/>
        <v>0</v>
      </c>
      <c r="AT127" s="14">
        <f t="shared" si="120"/>
        <v>0</v>
      </c>
      <c r="AU127" s="15"/>
      <c r="AV127" s="15"/>
      <c r="AW127" s="15"/>
      <c r="AX127" s="15"/>
      <c r="AY127" s="15"/>
      <c r="AZ127" s="15"/>
      <c r="BA127" s="15"/>
      <c r="BB127" s="16">
        <f t="shared" si="119"/>
        <v>0</v>
      </c>
    </row>
    <row r="128" spans="1:54" ht="46.8" outlineLevel="2">
      <c r="A128" s="98"/>
      <c r="B128" s="102"/>
      <c r="C128" s="23"/>
      <c r="D128" s="269"/>
      <c r="E128" s="269"/>
      <c r="F128" s="174"/>
      <c r="G128" s="174"/>
      <c r="H128" s="302" t="s">
        <v>473</v>
      </c>
      <c r="I128" s="104"/>
      <c r="J128" s="105"/>
      <c r="K128" s="105"/>
      <c r="L128" s="106" t="str">
        <f>IF(I128&lt;&gt;0,((VLOOKUP(I128,'1. Standard_Cost'!$B$4:$D$11,2)+VLOOKUP(I128,'1. Standard_Cost'!$B$4:$D$11,3))*J128*K128),"0")</f>
        <v>0</v>
      </c>
      <c r="M128" s="106">
        <f>L128*'1. Standard_Cost'!$F$4</f>
        <v>0</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5"/>
        <v>0</v>
      </c>
      <c r="AG128" s="107"/>
      <c r="AH128" s="107"/>
      <c r="AI128" s="107"/>
      <c r="AJ128" s="111"/>
      <c r="AK128" s="111"/>
      <c r="AL128" s="111"/>
      <c r="AM128" s="108">
        <f>AG128*'1. Standard_Cost'!$B$27+'Incremental_Cost Year 4'!AH128*'1. Standard_Cost'!$C$27+'Incremental_Cost Year 4'!AI128*'1. Standard_Cost'!$D$27+'Incremental_Cost Year 4'!AJ128+'Incremental_Cost Year 4'!AL128+AK128</f>
        <v>0</v>
      </c>
      <c r="AN128" s="108">
        <f>AM128*'1. Standard_Cost'!$C$31</f>
        <v>0</v>
      </c>
      <c r="AO128" s="125" t="s">
        <v>360</v>
      </c>
      <c r="AQ128" s="14">
        <f t="shared" si="116"/>
        <v>0</v>
      </c>
      <c r="AR128" s="14">
        <f t="shared" si="117"/>
        <v>0</v>
      </c>
      <c r="AS128" s="14">
        <f t="shared" si="118"/>
        <v>0</v>
      </c>
      <c r="AT128" s="14">
        <f t="shared" si="120"/>
        <v>0</v>
      </c>
      <c r="AU128" s="15"/>
      <c r="AV128" s="15"/>
      <c r="AW128" s="15"/>
      <c r="AX128" s="15"/>
      <c r="AY128" s="15"/>
      <c r="AZ128" s="15"/>
      <c r="BA128" s="15"/>
      <c r="BB128" s="16">
        <f t="shared" si="119"/>
        <v>0</v>
      </c>
    </row>
    <row r="129" spans="1:54" ht="78" customHeight="1" outlineLevel="2">
      <c r="A129" s="98"/>
      <c r="B129" s="102"/>
      <c r="C129" s="23"/>
      <c r="D129" s="269"/>
      <c r="E129" s="269"/>
      <c r="F129" s="269"/>
      <c r="G129" s="269"/>
      <c r="H129" s="302" t="s">
        <v>474</v>
      </c>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5"/>
        <v>0</v>
      </c>
      <c r="AG129" s="107"/>
      <c r="AH129" s="107"/>
      <c r="AI129" s="107"/>
      <c r="AJ129" s="111"/>
      <c r="AK129" s="111"/>
      <c r="AL129" s="111"/>
      <c r="AM129" s="108">
        <f>AG129*'1. Standard_Cost'!$B$27+'Incremental_Cost Year 4'!AH129*'1. Standard_Cost'!$C$27+'Incremental_Cost Year 4'!AI129*'1. Standard_Cost'!$D$27+'Incremental_Cost Year 4'!AJ129+'Incremental_Cost Year 4'!AL129+AK129</f>
        <v>0</v>
      </c>
      <c r="AN129" s="108">
        <f>AM129*'1. Standard_Cost'!$C$31</f>
        <v>0</v>
      </c>
      <c r="AO129" s="125" t="s">
        <v>361</v>
      </c>
      <c r="AQ129" s="14">
        <f t="shared" si="116"/>
        <v>0</v>
      </c>
      <c r="AR129" s="14">
        <f t="shared" si="117"/>
        <v>0</v>
      </c>
      <c r="AS129" s="14">
        <f t="shared" si="118"/>
        <v>0</v>
      </c>
      <c r="AT129" s="14">
        <f t="shared" si="120"/>
        <v>0</v>
      </c>
      <c r="AU129" s="15"/>
      <c r="AV129" s="15"/>
      <c r="AW129" s="15"/>
      <c r="AX129" s="15"/>
      <c r="AY129" s="15"/>
      <c r="AZ129" s="15"/>
      <c r="BA129" s="15"/>
      <c r="BB129" s="16">
        <f t="shared" si="119"/>
        <v>0</v>
      </c>
    </row>
    <row r="130" spans="1:54" ht="202.8" outlineLevel="2">
      <c r="A130" s="98"/>
      <c r="B130" s="102"/>
      <c r="C130" s="23"/>
      <c r="D130" s="269"/>
      <c r="E130" s="269"/>
      <c r="F130" s="174"/>
      <c r="G130" s="174"/>
      <c r="H130" s="302" t="s">
        <v>475</v>
      </c>
      <c r="I130" s="104"/>
      <c r="J130" s="105"/>
      <c r="K130" s="105"/>
      <c r="L130" s="106" t="str">
        <f>IF(I130&lt;&gt;0,((VLOOKUP(I130,'1. Standard_Cost'!$B$4:$D$11,2)+VLOOKUP(I130,'1. Standard_Cost'!$B$4:$D$11,3))*J130*K130),"0")</f>
        <v>0</v>
      </c>
      <c r="M130" s="106">
        <f>L130*'1. Standard_Cost'!$F$4</f>
        <v>0</v>
      </c>
      <c r="N130" s="107"/>
      <c r="O130" s="107"/>
      <c r="P130" s="107"/>
      <c r="Q130" s="107"/>
      <c r="R130" s="108">
        <f>'1. Standard_Cost'!$B$15*N130*P130</f>
        <v>0</v>
      </c>
      <c r="S130" s="108">
        <f>N130*O130*P130*'1. Standard_Cost'!$C$15</f>
        <v>0</v>
      </c>
      <c r="T130" s="108">
        <f>N130*P130*Q130*'1. Standard_Cost'!$D$15</f>
        <v>0</v>
      </c>
      <c r="U130" s="108">
        <f>N130*O130*'1. Standard_Cost'!$E$15</f>
        <v>0</v>
      </c>
      <c r="V130" s="107"/>
      <c r="W130" s="107"/>
      <c r="X130" s="107"/>
      <c r="Y130" s="108">
        <f>+V130*((X130*'1. Standard_Cost'!$B$19)+(W130*X130*'1. Standard_Cost'!$C$19))</f>
        <v>0</v>
      </c>
      <c r="Z130" s="107"/>
      <c r="AA130" s="107"/>
      <c r="AB130" s="108">
        <f>+Z130*'1. Standard_Cost'!$B$23+AA130*'1. Standard_Cost'!$C$23</f>
        <v>0</v>
      </c>
      <c r="AC130" s="109"/>
      <c r="AD130" s="110"/>
      <c r="AE130" s="108">
        <f>SUM(AD130,AC130,AB130,Y130,U130,T130,S130,R130)*'1. Standard_Cost'!$B$31</f>
        <v>0</v>
      </c>
      <c r="AF130" s="108">
        <f t="shared" si="115"/>
        <v>0</v>
      </c>
      <c r="AG130" s="107"/>
      <c r="AH130" s="107"/>
      <c r="AI130" s="107"/>
      <c r="AJ130" s="111"/>
      <c r="AK130" s="111"/>
      <c r="AL130" s="111"/>
      <c r="AM130" s="108">
        <f>AG130*'1. Standard_Cost'!$B$27+'Incremental_Cost Year 4'!AH130*'1. Standard_Cost'!$C$27+'Incremental_Cost Year 4'!AI130*'1. Standard_Cost'!$D$27+'Incremental_Cost Year 4'!AJ130+'Incremental_Cost Year 4'!AL130+AK130</f>
        <v>0</v>
      </c>
      <c r="AN130" s="108">
        <f>AM130*'1. Standard_Cost'!$C$31</f>
        <v>0</v>
      </c>
      <c r="AO130" s="125" t="s">
        <v>362</v>
      </c>
      <c r="AQ130" s="14">
        <f t="shared" si="116"/>
        <v>0</v>
      </c>
      <c r="AR130" s="14">
        <f t="shared" si="117"/>
        <v>0</v>
      </c>
      <c r="AS130" s="14">
        <f t="shared" si="118"/>
        <v>0</v>
      </c>
      <c r="AT130" s="14">
        <f t="shared" si="120"/>
        <v>0</v>
      </c>
      <c r="AU130" s="15"/>
      <c r="AV130" s="15"/>
      <c r="AW130" s="15"/>
      <c r="AX130" s="15"/>
      <c r="AY130" s="15"/>
      <c r="AZ130" s="15"/>
      <c r="BA130" s="15"/>
      <c r="BB130" s="16">
        <f t="shared" si="119"/>
        <v>0</v>
      </c>
    </row>
    <row r="131" spans="1:54" ht="113.4" customHeight="1" outlineLevel="2">
      <c r="A131" s="98"/>
      <c r="B131" s="102"/>
      <c r="C131" s="23"/>
      <c r="D131" s="269"/>
      <c r="E131" s="269"/>
      <c r="F131" s="269"/>
      <c r="G131" s="269"/>
      <c r="H131" s="305" t="s">
        <v>442</v>
      </c>
      <c r="I131" s="104"/>
      <c r="J131" s="105"/>
      <c r="K131" s="105"/>
      <c r="L131" s="106" t="str">
        <f>IF(I131&lt;&gt;0,((VLOOKUP(I131,'[1]1. Standard_Cost'!$B$4:$D$11,2)+VLOOKUP(I131,'[1]1. Standard_Cost'!$B$4:$D$11,3))*J131*K131),"0")</f>
        <v>0</v>
      </c>
      <c r="M131" s="106">
        <f>L131*'[1]1. Standard_Cost'!$F$4</f>
        <v>0</v>
      </c>
      <c r="N131" s="107">
        <v>750</v>
      </c>
      <c r="O131" s="107">
        <v>1</v>
      </c>
      <c r="P131" s="107">
        <v>15</v>
      </c>
      <c r="Q131" s="107"/>
      <c r="R131" s="108">
        <v>0</v>
      </c>
      <c r="S131" s="108">
        <v>0</v>
      </c>
      <c r="T131" s="108">
        <f>N131*P131*Q131*'[1]1. Standard_Cost'!$D$15</f>
        <v>0</v>
      </c>
      <c r="U131" s="108">
        <v>0</v>
      </c>
      <c r="V131" s="107"/>
      <c r="W131" s="107"/>
      <c r="X131" s="107"/>
      <c r="Y131" s="108">
        <f>+V131*((X131*'[1]1. Standard_Cost'!$B$19)+(W131*X131*'[1]1. Standard_Cost'!$C$19))</f>
        <v>0</v>
      </c>
      <c r="Z131" s="107"/>
      <c r="AA131" s="107">
        <v>750</v>
      </c>
      <c r="AB131" s="108">
        <f>+Z131*'1. Standard_Cost'!$B$23+AA131*'1. Standard_Cost'!$F$23</f>
        <v>6750000</v>
      </c>
      <c r="AC131" s="109">
        <f>750*300</f>
        <v>225000</v>
      </c>
      <c r="AD131" s="110"/>
      <c r="AE131" s="108">
        <v>0</v>
      </c>
      <c r="AF131" s="108">
        <f t="shared" si="115"/>
        <v>6975000</v>
      </c>
      <c r="AG131" s="107"/>
      <c r="AH131" s="107"/>
      <c r="AI131" s="107"/>
      <c r="AJ131" s="111"/>
      <c r="AK131" s="111"/>
      <c r="AL131" s="111"/>
      <c r="AM131" s="108">
        <f>AG131*'[1]1. Standard_Cost'!$B$27+'[1]Incremental_Cost Year 4'!AH130*'[1]1. Standard_Cost'!$C$27+'[1]Incremental_Cost Year 4'!AI130*'[1]1. Standard_Cost'!$D$27+'[1]Incremental_Cost Year 4'!AJ130+'[1]Incremental_Cost Year 4'!AL130+AK131</f>
        <v>0</v>
      </c>
      <c r="AN131" s="108">
        <f>AM131*'[1]1. Standard_Cost'!$C$31</f>
        <v>0</v>
      </c>
      <c r="AO131" s="125" t="s">
        <v>656</v>
      </c>
      <c r="AQ131" s="14">
        <f t="shared" si="116"/>
        <v>0</v>
      </c>
      <c r="AR131" s="14">
        <f t="shared" si="117"/>
        <v>6975000</v>
      </c>
      <c r="AS131" s="14">
        <f t="shared" si="118"/>
        <v>0</v>
      </c>
      <c r="AT131" s="14">
        <f t="shared" si="120"/>
        <v>6975000</v>
      </c>
      <c r="AU131" s="15"/>
      <c r="AV131" s="15"/>
      <c r="AW131" s="15"/>
      <c r="AX131" s="15"/>
      <c r="AY131" s="15"/>
      <c r="AZ131" s="15">
        <v>6975000</v>
      </c>
      <c r="BA131" s="15"/>
      <c r="BB131" s="16">
        <f t="shared" si="119"/>
        <v>0</v>
      </c>
    </row>
    <row r="132" spans="1:54" ht="156" outlineLevel="2">
      <c r="A132" s="98"/>
      <c r="B132" s="102"/>
      <c r="C132" s="23"/>
      <c r="D132" s="269"/>
      <c r="E132" s="269"/>
      <c r="F132" s="174"/>
      <c r="G132" s="174"/>
      <c r="H132" s="302" t="s">
        <v>476</v>
      </c>
      <c r="I132" s="104" t="s">
        <v>4</v>
      </c>
      <c r="J132" s="105">
        <v>1</v>
      </c>
      <c r="K132" s="105">
        <v>2</v>
      </c>
      <c r="L132" s="106">
        <f>IF(I132&lt;&gt;0,((VLOOKUP(I132,'1. Standard_Cost'!$B$4:$D$11,2)+VLOOKUP(I132,'1. Standard_Cost'!$B$4:$D$11,3))*J132*K132),"0")</f>
        <v>161500</v>
      </c>
      <c r="M132" s="106">
        <f>L132*'1. Standard_Cost'!$F$4</f>
        <v>26970.5</v>
      </c>
      <c r="N132" s="107">
        <v>2</v>
      </c>
      <c r="O132" s="107">
        <v>2</v>
      </c>
      <c r="P132" s="107">
        <v>70</v>
      </c>
      <c r="Q132" s="107"/>
      <c r="R132" s="108">
        <v>0</v>
      </c>
      <c r="S132" s="108">
        <v>0</v>
      </c>
      <c r="T132" s="108">
        <f>N132*P132*Q132*'1. Standard_Cost'!$D$15</f>
        <v>0</v>
      </c>
      <c r="U132" s="108">
        <v>0</v>
      </c>
      <c r="V132" s="107"/>
      <c r="W132" s="107"/>
      <c r="X132" s="107"/>
      <c r="Y132" s="108">
        <f>+V132*((X132*'1. Standard_Cost'!$B$19)+(W132*X132*'1. Standard_Cost'!$C$19))</f>
        <v>0</v>
      </c>
      <c r="Z132" s="107"/>
      <c r="AA132" s="107">
        <v>5</v>
      </c>
      <c r="AB132" s="108">
        <f>+Z132*'1. Standard_Cost'!$B$23+AA132*'1. Standard_Cost'!$C$23</f>
        <v>95000</v>
      </c>
      <c r="AC132" s="109">
        <f>145*200</f>
        <v>29000</v>
      </c>
      <c r="AD132" s="110"/>
      <c r="AE132" s="108">
        <v>0</v>
      </c>
      <c r="AF132" s="108">
        <f t="shared" si="115"/>
        <v>124000</v>
      </c>
      <c r="AG132" s="107"/>
      <c r="AH132" s="107"/>
      <c r="AI132" s="107"/>
      <c r="AJ132" s="111"/>
      <c r="AK132" s="111"/>
      <c r="AL132" s="111"/>
      <c r="AM132" s="108">
        <f>AG132*'1. Standard_Cost'!$B$27+'Incremental_Cost Year 4'!AH132*'1. Standard_Cost'!$C$27+'Incremental_Cost Year 4'!AI132*'1. Standard_Cost'!$D$27+'Incremental_Cost Year 4'!AJ132+'Incremental_Cost Year 4'!AL132+AK132</f>
        <v>0</v>
      </c>
      <c r="AN132" s="108">
        <f>AM132*'1. Standard_Cost'!$C$31</f>
        <v>0</v>
      </c>
      <c r="AO132" s="125" t="s">
        <v>363</v>
      </c>
      <c r="AQ132" s="14">
        <f t="shared" si="116"/>
        <v>188470.5</v>
      </c>
      <c r="AR132" s="14">
        <f t="shared" si="117"/>
        <v>124000</v>
      </c>
      <c r="AS132" s="14">
        <f t="shared" si="118"/>
        <v>0</v>
      </c>
      <c r="AT132" s="14">
        <f t="shared" si="120"/>
        <v>312470.5</v>
      </c>
      <c r="AU132" s="15">
        <v>188470.5</v>
      </c>
      <c r="AV132" s="15"/>
      <c r="AW132" s="15"/>
      <c r="AX132" s="15"/>
      <c r="AY132" s="15"/>
      <c r="AZ132" s="15">
        <v>124000</v>
      </c>
      <c r="BA132" s="15"/>
      <c r="BB132" s="16">
        <f t="shared" si="119"/>
        <v>0</v>
      </c>
    </row>
    <row r="133" spans="1:54" ht="46.8" outlineLevel="2">
      <c r="A133" s="98"/>
      <c r="B133" s="102"/>
      <c r="C133" s="23"/>
      <c r="D133" s="269"/>
      <c r="E133" s="269"/>
      <c r="F133" s="174"/>
      <c r="G133" s="174"/>
      <c r="H133" s="302" t="s">
        <v>477</v>
      </c>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5"/>
        <v>0</v>
      </c>
      <c r="AG133" s="107"/>
      <c r="AH133" s="107"/>
      <c r="AI133" s="107"/>
      <c r="AJ133" s="111"/>
      <c r="AK133" s="111"/>
      <c r="AL133" s="111"/>
      <c r="AM133" s="108">
        <f>AG133*'1. Standard_Cost'!$B$27+'Incremental_Cost Year 4'!AH133*'1. Standard_Cost'!$C$27+'Incremental_Cost Year 4'!AI133*'1. Standard_Cost'!$D$27+'Incremental_Cost Year 4'!AJ133+'Incremental_Cost Year 4'!AL133+AK133</f>
        <v>0</v>
      </c>
      <c r="AN133" s="108">
        <f>AM133*'1. Standard_Cost'!$C$31</f>
        <v>0</v>
      </c>
      <c r="AO133" s="125" t="s">
        <v>364</v>
      </c>
      <c r="AQ133" s="14">
        <f t="shared" si="116"/>
        <v>0</v>
      </c>
      <c r="AR133" s="14">
        <f t="shared" si="117"/>
        <v>0</v>
      </c>
      <c r="AS133" s="14">
        <f t="shared" si="118"/>
        <v>0</v>
      </c>
      <c r="AT133" s="14">
        <f t="shared" si="120"/>
        <v>0</v>
      </c>
      <c r="AU133" s="15"/>
      <c r="AV133" s="15"/>
      <c r="AW133" s="15"/>
      <c r="AX133" s="15"/>
      <c r="AY133" s="15"/>
      <c r="AZ133" s="15"/>
      <c r="BA133" s="15"/>
      <c r="BB133" s="16">
        <f t="shared" si="119"/>
        <v>0</v>
      </c>
    </row>
    <row r="134" spans="1:54" ht="62.4" outlineLevel="2">
      <c r="A134" s="98"/>
      <c r="B134" s="102"/>
      <c r="C134" s="23"/>
      <c r="D134" s="269"/>
      <c r="E134" s="269"/>
      <c r="F134" s="174"/>
      <c r="G134" s="174"/>
      <c r="H134" s="302" t="s">
        <v>478</v>
      </c>
      <c r="I134" s="104" t="s">
        <v>5</v>
      </c>
      <c r="J134" s="105">
        <v>12</v>
      </c>
      <c r="K134" s="105">
        <v>4</v>
      </c>
      <c r="L134" s="106">
        <f>IF(I134&lt;&gt;0,((VLOOKUP(I134,'1. Standard_Cost'!$B$4:$D$11,2)+VLOOKUP(I134,'1. Standard_Cost'!$B$4:$D$11,3))*J134*K134),"0")</f>
        <v>3393600</v>
      </c>
      <c r="M134" s="106">
        <f>L134*'1. Standard_Cost'!$F$4</f>
        <v>566731.20000000007</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5"/>
        <v>0</v>
      </c>
      <c r="AG134" s="107"/>
      <c r="AH134" s="107"/>
      <c r="AI134" s="107"/>
      <c r="AJ134" s="111">
        <v>1000000</v>
      </c>
      <c r="AK134" s="111"/>
      <c r="AL134" s="111"/>
      <c r="AM134" s="108">
        <f>AG134*'1. Standard_Cost'!$B$27+'Incremental_Cost Year 4'!AH134*'1. Standard_Cost'!$C$27+'Incremental_Cost Year 4'!AI134*'1. Standard_Cost'!$D$27+'Incremental_Cost Year 4'!AJ134+'Incremental_Cost Year 4'!AL134+AK134</f>
        <v>1000000</v>
      </c>
      <c r="AN134" s="108">
        <f>AM134*'1. Standard_Cost'!$C$31</f>
        <v>150000</v>
      </c>
      <c r="AO134" s="125" t="s">
        <v>365</v>
      </c>
      <c r="AQ134" s="14">
        <f t="shared" si="116"/>
        <v>3960331.2</v>
      </c>
      <c r="AR134" s="14">
        <f t="shared" si="117"/>
        <v>0</v>
      </c>
      <c r="AS134" s="14">
        <f t="shared" si="118"/>
        <v>1150000</v>
      </c>
      <c r="AT134" s="14">
        <f t="shared" si="120"/>
        <v>5110331.2</v>
      </c>
      <c r="AU134" s="15">
        <v>3960331.2</v>
      </c>
      <c r="AV134" s="15"/>
      <c r="AW134" s="15"/>
      <c r="AX134" s="15"/>
      <c r="AY134" s="15"/>
      <c r="AZ134" s="15"/>
      <c r="BA134" s="15"/>
      <c r="BB134" s="16">
        <f t="shared" si="119"/>
        <v>-1150000</v>
      </c>
    </row>
    <row r="135" spans="1:54" ht="15.6" outlineLevel="2">
      <c r="A135" s="98"/>
      <c r="B135" s="102"/>
      <c r="C135" s="23"/>
      <c r="D135" s="269"/>
      <c r="E135" s="269"/>
      <c r="F135" s="251"/>
      <c r="G135" s="250"/>
      <c r="H135" s="302"/>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107"/>
      <c r="AB135" s="108">
        <f>+Z135*'1. Standard_Cost'!$B$23+AA135*'1. Standard_Cost'!$C$23</f>
        <v>0</v>
      </c>
      <c r="AC135" s="109"/>
      <c r="AD135" s="110"/>
      <c r="AE135" s="108">
        <f>SUM(AD135,AC135,AB135,Y135,U135,T135,S135,R135)*'1. Standard_Cost'!$B$31</f>
        <v>0</v>
      </c>
      <c r="AF135" s="108">
        <f t="shared" si="115"/>
        <v>0</v>
      </c>
      <c r="AG135" s="107"/>
      <c r="AH135" s="107"/>
      <c r="AI135" s="107"/>
      <c r="AJ135" s="111"/>
      <c r="AK135" s="111"/>
      <c r="AL135" s="111"/>
      <c r="AM135" s="108">
        <f>AG135*'1. Standard_Cost'!$B$27+'Incremental_Cost Year 4'!AH135*'1. Standard_Cost'!$C$27+'Incremental_Cost Year 4'!AI135*'1. Standard_Cost'!$D$27+'Incremental_Cost Year 4'!AJ135+'Incremental_Cost Year 4'!AL135+AK135</f>
        <v>0</v>
      </c>
      <c r="AN135" s="108">
        <f>AM135*'1. Standard_Cost'!$C$31</f>
        <v>0</v>
      </c>
      <c r="AO135" s="125" t="s">
        <v>366</v>
      </c>
      <c r="AQ135" s="14">
        <f t="shared" si="116"/>
        <v>0</v>
      </c>
      <c r="AR135" s="14">
        <f t="shared" si="117"/>
        <v>0</v>
      </c>
      <c r="AS135" s="14">
        <f t="shared" si="118"/>
        <v>0</v>
      </c>
      <c r="AT135" s="14">
        <f t="shared" si="120"/>
        <v>0</v>
      </c>
      <c r="AU135" s="15"/>
      <c r="AV135" s="15"/>
      <c r="AW135" s="15"/>
      <c r="AX135" s="15"/>
      <c r="AY135" s="15"/>
      <c r="AZ135" s="15"/>
      <c r="BA135" s="15"/>
      <c r="BB135" s="16">
        <f t="shared" si="119"/>
        <v>0</v>
      </c>
    </row>
    <row r="136" spans="1:54" ht="138" outlineLevel="1">
      <c r="A136" s="98"/>
      <c r="B136" s="102"/>
      <c r="C136" s="23"/>
      <c r="D136" s="346" t="s">
        <v>634</v>
      </c>
      <c r="E136" s="56" t="s">
        <v>228</v>
      </c>
      <c r="F136" s="253">
        <v>2021</v>
      </c>
      <c r="G136" s="254">
        <v>2026</v>
      </c>
      <c r="H136" s="277" t="s">
        <v>227</v>
      </c>
      <c r="I136" s="112"/>
      <c r="J136" s="112"/>
      <c r="K136" s="112"/>
      <c r="L136" s="113">
        <f>SUM(L114:L135)</f>
        <v>3716600</v>
      </c>
      <c r="M136" s="113">
        <f>SUM(M114:M135)</f>
        <v>620672.20000000007</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7453000</v>
      </c>
      <c r="AC136" s="113">
        <f>SUM(AC114:AC135)</f>
        <v>3554000</v>
      </c>
      <c r="AD136" s="113">
        <f>SUM(AD114:AD135)</f>
        <v>0</v>
      </c>
      <c r="AE136" s="113">
        <f>SUM(AE114:AE135)</f>
        <v>0</v>
      </c>
      <c r="AF136" s="113">
        <f>SUM(AF114:AF135)</f>
        <v>11007000</v>
      </c>
      <c r="AG136" s="112"/>
      <c r="AH136" s="112"/>
      <c r="AI136" s="112"/>
      <c r="AJ136" s="113">
        <f>SUM(AJ114:AJ135)</f>
        <v>1000000</v>
      </c>
      <c r="AK136" s="113">
        <f>SUM(AK114:AK135)</f>
        <v>0</v>
      </c>
      <c r="AL136" s="113">
        <f>SUM(AL114:AL135)</f>
        <v>0</v>
      </c>
      <c r="AM136" s="113">
        <f>SUM(AM114:AM135)</f>
        <v>1000000</v>
      </c>
      <c r="AN136" s="113">
        <f>SUM(AN114:AN135)</f>
        <v>150000</v>
      </c>
      <c r="AO136" s="131"/>
      <c r="AP136" s="17"/>
      <c r="AQ136" s="113">
        <f t="shared" ref="AQ136:BB136" si="121">SUM(AQ114:AQ135)</f>
        <v>4337272.2</v>
      </c>
      <c r="AR136" s="113">
        <f t="shared" si="121"/>
        <v>11007000</v>
      </c>
      <c r="AS136" s="113">
        <f t="shared" si="121"/>
        <v>1150000</v>
      </c>
      <c r="AT136" s="113">
        <f t="shared" si="121"/>
        <v>16494272.199999999</v>
      </c>
      <c r="AU136" s="113">
        <f t="shared" si="121"/>
        <v>4337272.2</v>
      </c>
      <c r="AV136" s="113">
        <f t="shared" si="121"/>
        <v>0</v>
      </c>
      <c r="AW136" s="113">
        <f t="shared" si="121"/>
        <v>0</v>
      </c>
      <c r="AX136" s="113">
        <f t="shared" si="121"/>
        <v>0</v>
      </c>
      <c r="AY136" s="113">
        <f t="shared" si="121"/>
        <v>0</v>
      </c>
      <c r="AZ136" s="113">
        <f t="shared" si="121"/>
        <v>11007000</v>
      </c>
      <c r="BA136" s="113">
        <f t="shared" si="121"/>
        <v>0</v>
      </c>
      <c r="BB136" s="113">
        <f t="shared" si="121"/>
        <v>-1150000</v>
      </c>
    </row>
    <row r="137" spans="1:54" ht="78" outlineLevel="2">
      <c r="A137" s="98"/>
      <c r="B137" s="102"/>
      <c r="C137" s="23"/>
      <c r="D137" s="269"/>
      <c r="E137" s="269"/>
      <c r="F137" s="174"/>
      <c r="G137" s="26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2">SUM(AE137,AD137,AC137,AB137,Y137,U137,T137,S137,R137)</f>
        <v>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23">L137+M137</f>
        <v>0</v>
      </c>
      <c r="AR137" s="14">
        <f t="shared" ref="AR137:AR138" si="124">AF137</f>
        <v>0</v>
      </c>
      <c r="AS137" s="14">
        <f t="shared" ref="AS137:AS138" si="125">AM137+AN137</f>
        <v>0</v>
      </c>
      <c r="AT137" s="14">
        <f t="shared" ref="AT137:AT138" si="126">SUM(AQ137,AR137,AS137)</f>
        <v>0</v>
      </c>
      <c r="AU137" s="15"/>
      <c r="AV137" s="15"/>
      <c r="AW137" s="15"/>
      <c r="AX137" s="15"/>
      <c r="AY137" s="15"/>
      <c r="AZ137" s="15"/>
      <c r="BA137" s="15"/>
      <c r="BB137" s="16">
        <f t="shared" ref="BB137:BB138" si="127">SUM(AU137:BA137)-AT137</f>
        <v>0</v>
      </c>
    </row>
    <row r="138" spans="1:54" ht="62.4" outlineLevel="2">
      <c r="A138" s="98"/>
      <c r="B138" s="102"/>
      <c r="C138" s="23"/>
      <c r="D138" s="269"/>
      <c r="E138" s="26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2"/>
        <v>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23"/>
        <v>0</v>
      </c>
      <c r="AR138" s="14">
        <f t="shared" si="124"/>
        <v>0</v>
      </c>
      <c r="AS138" s="14">
        <f t="shared" si="125"/>
        <v>0</v>
      </c>
      <c r="AT138" s="14">
        <f t="shared" si="126"/>
        <v>0</v>
      </c>
      <c r="AU138" s="15"/>
      <c r="AV138" s="15"/>
      <c r="AW138" s="15"/>
      <c r="AX138" s="15"/>
      <c r="AY138" s="15"/>
      <c r="AZ138" s="15"/>
      <c r="BA138" s="15"/>
      <c r="BB138" s="16">
        <f t="shared" si="127"/>
        <v>0</v>
      </c>
    </row>
    <row r="139" spans="1:54" ht="110.4" outlineLevel="1">
      <c r="A139" s="98"/>
      <c r="B139" s="102"/>
      <c r="C139" s="23"/>
      <c r="D139" s="56" t="s">
        <v>635</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8">SUM(R137:R138)</f>
        <v>0</v>
      </c>
      <c r="S139" s="113">
        <f t="shared" si="128"/>
        <v>0</v>
      </c>
      <c r="T139" s="113">
        <f t="shared" si="128"/>
        <v>0</v>
      </c>
      <c r="U139" s="113">
        <f t="shared" si="128"/>
        <v>0</v>
      </c>
      <c r="V139" s="112"/>
      <c r="W139" s="112"/>
      <c r="X139" s="112"/>
      <c r="Y139" s="113">
        <f>SUM(Y137:Y138)</f>
        <v>0</v>
      </c>
      <c r="Z139" s="112"/>
      <c r="AA139" s="112"/>
      <c r="AB139" s="113">
        <f t="shared" ref="AB139:AF139" si="129">SUM(AB137:AB138)</f>
        <v>0</v>
      </c>
      <c r="AC139" s="113">
        <f t="shared" ref="AC139:AD139" si="130">SUM(AC137:AC138)</f>
        <v>0</v>
      </c>
      <c r="AD139" s="113">
        <f t="shared" si="130"/>
        <v>0</v>
      </c>
      <c r="AE139" s="113">
        <f t="shared" si="129"/>
        <v>0</v>
      </c>
      <c r="AF139" s="113">
        <f t="shared" si="129"/>
        <v>0</v>
      </c>
      <c r="AG139" s="112"/>
      <c r="AH139" s="112"/>
      <c r="AI139" s="112"/>
      <c r="AJ139" s="113">
        <f t="shared" ref="AJ139:AL139" si="131">SUM(AJ137:AJ138)</f>
        <v>0</v>
      </c>
      <c r="AK139" s="113">
        <f t="shared" si="131"/>
        <v>0</v>
      </c>
      <c r="AL139" s="113">
        <f t="shared" si="131"/>
        <v>0</v>
      </c>
      <c r="AM139" s="113">
        <f t="shared" ref="AM139:AN139" si="132">SUM(AM137:AM138)</f>
        <v>0</v>
      </c>
      <c r="AN139" s="113">
        <f t="shared" si="132"/>
        <v>0</v>
      </c>
      <c r="AO139" s="131"/>
      <c r="AP139" s="17"/>
      <c r="AQ139" s="113">
        <f t="shared" ref="AQ139:BB139" si="133">SUM(AQ137:AQ138)</f>
        <v>0</v>
      </c>
      <c r="AR139" s="113">
        <f t="shared" si="133"/>
        <v>0</v>
      </c>
      <c r="AS139" s="113">
        <f t="shared" si="133"/>
        <v>0</v>
      </c>
      <c r="AT139" s="113">
        <f t="shared" si="133"/>
        <v>0</v>
      </c>
      <c r="AU139" s="113">
        <v>0</v>
      </c>
      <c r="AV139" s="113">
        <v>0</v>
      </c>
      <c r="AW139" s="113">
        <v>0</v>
      </c>
      <c r="AX139" s="113">
        <v>0</v>
      </c>
      <c r="AY139" s="113">
        <v>0</v>
      </c>
      <c r="AZ139" s="113">
        <f t="shared" si="133"/>
        <v>0</v>
      </c>
      <c r="BA139" s="113">
        <f t="shared" si="133"/>
        <v>0</v>
      </c>
      <c r="BB139" s="113">
        <f t="shared" si="133"/>
        <v>0</v>
      </c>
    </row>
    <row r="140" spans="1:54" ht="93.6" outlineLevel="2">
      <c r="A140" s="98"/>
      <c r="B140" s="102"/>
      <c r="C140" s="23"/>
      <c r="D140" s="269"/>
      <c r="E140" s="269"/>
      <c r="F140" s="269"/>
      <c r="G140" s="269"/>
      <c r="H140" s="302" t="s">
        <v>481</v>
      </c>
      <c r="I140" s="104"/>
      <c r="J140" s="105"/>
      <c r="K140" s="105"/>
      <c r="L140" s="106" t="str">
        <f>IF(I140&lt;&gt;0,((VLOOKUP(I140,'1. Standard_Cost'!$B$4:$D$11,2)+VLOOKUP(I140,'1. Standard_Cost'!$B$4:$D$11,3))*J140*K140),"0")</f>
        <v>0</v>
      </c>
      <c r="M140" s="106">
        <f>L140*'1. Standard_Cost'!$F$4</f>
        <v>0</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c r="AB140" s="108">
        <f>+Z140*'1. Standard_Cost'!$B$23+AA140*'1. Standard_Cost'!$C$23</f>
        <v>0</v>
      </c>
      <c r="AC140" s="109"/>
      <c r="AD140" s="110"/>
      <c r="AE140" s="108">
        <f>SUM(AD140,AC140,AB140,Y140,U140,T140,S140,R140)*'1. Standard_Cost'!$B$31</f>
        <v>0</v>
      </c>
      <c r="AF140" s="108">
        <f t="shared" ref="AF140:AF141" si="134">SUM(AE140,AD140,AC140,AB140,Y140,U140,T140,S140,R140)</f>
        <v>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35">L140+M140</f>
        <v>0</v>
      </c>
      <c r="AR140" s="14">
        <f t="shared" ref="AR140:AR141" si="136">AF140</f>
        <v>0</v>
      </c>
      <c r="AS140" s="14">
        <f t="shared" ref="AS140:AS141" si="137">AM140+AN140</f>
        <v>0</v>
      </c>
      <c r="AT140" s="14">
        <f t="shared" ref="AT140:AT141" si="138">SUM(AQ140,AR140,AS140)</f>
        <v>0</v>
      </c>
      <c r="AU140" s="15">
        <v>0</v>
      </c>
      <c r="AV140" s="15"/>
      <c r="AW140" s="15"/>
      <c r="AX140" s="15"/>
      <c r="AY140" s="15">
        <v>0</v>
      </c>
      <c r="AZ140" s="15"/>
      <c r="BA140" s="15"/>
      <c r="BB140" s="16">
        <f t="shared" ref="BB140:BB141" si="139">SUM(AU140:BA140)-AT140</f>
        <v>0</v>
      </c>
    </row>
    <row r="141" spans="1:54" ht="109.2" outlineLevel="2">
      <c r="A141" s="98"/>
      <c r="B141" s="102"/>
      <c r="C141" s="23"/>
      <c r="D141" s="269"/>
      <c r="E141" s="269"/>
      <c r="F141" s="172"/>
      <c r="G141" s="173"/>
      <c r="H141" s="302" t="s">
        <v>482</v>
      </c>
      <c r="I141" s="104" t="s">
        <v>4</v>
      </c>
      <c r="J141" s="105">
        <v>1</v>
      </c>
      <c r="K141" s="105">
        <v>2</v>
      </c>
      <c r="L141" s="106">
        <f>IF(I141&lt;&gt;0,((VLOOKUP(I141,'1. Standard_Cost'!$B$4:$D$11,2)+VLOOKUP(I141,'1. Standard_Cost'!$B$4:$D$11,3))*J141*K141),"0")</f>
        <v>161500</v>
      </c>
      <c r="M141" s="106">
        <f>L141*'1. Standard_Cost'!$F$4</f>
        <v>26970.5</v>
      </c>
      <c r="N141" s="107">
        <v>5</v>
      </c>
      <c r="O141" s="107">
        <v>3</v>
      </c>
      <c r="P141" s="107">
        <v>25</v>
      </c>
      <c r="Q141" s="107"/>
      <c r="R141" s="108">
        <v>0</v>
      </c>
      <c r="S141" s="108">
        <f>N141*O141*P141*'1. Standard_Cost'!$C$15</f>
        <v>562500</v>
      </c>
      <c r="T141" s="108">
        <f>N141*P141*Q141*'1. Standard_Cost'!$D$15</f>
        <v>0</v>
      </c>
      <c r="U141" s="108">
        <v>0</v>
      </c>
      <c r="V141" s="107"/>
      <c r="W141" s="107"/>
      <c r="X141" s="107"/>
      <c r="Y141" s="108">
        <f>+V141*((X141*'1. Standard_Cost'!$B$19)+(W141*X141*'1. Standard_Cost'!$C$19))</f>
        <v>0</v>
      </c>
      <c r="Z141" s="107"/>
      <c r="AA141" s="107">
        <v>16</v>
      </c>
      <c r="AB141" s="108">
        <f>+Z141*'1. Standard_Cost'!$B$23+AA141*'1. Standard_Cost'!$C$23</f>
        <v>304000</v>
      </c>
      <c r="AC141" s="109"/>
      <c r="AD141" s="110"/>
      <c r="AE141" s="108">
        <v>0</v>
      </c>
      <c r="AF141" s="108">
        <f t="shared" si="134"/>
        <v>866500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35"/>
        <v>188470.5</v>
      </c>
      <c r="AR141" s="14">
        <f t="shared" si="136"/>
        <v>866500</v>
      </c>
      <c r="AS141" s="14">
        <f t="shared" si="137"/>
        <v>0</v>
      </c>
      <c r="AT141" s="14">
        <f t="shared" si="138"/>
        <v>1054970.5</v>
      </c>
      <c r="AU141" s="15">
        <v>750971</v>
      </c>
      <c r="AV141" s="15"/>
      <c r="AW141" s="15"/>
      <c r="AX141" s="15"/>
      <c r="AY141" s="15"/>
      <c r="AZ141" s="15"/>
      <c r="BA141" s="15"/>
      <c r="BB141" s="16">
        <f t="shared" si="139"/>
        <v>-303999.5</v>
      </c>
    </row>
    <row r="142" spans="1:54" ht="28.5" customHeight="1" outlineLevel="1">
      <c r="A142" s="98"/>
      <c r="B142" s="102"/>
      <c r="C142" s="23"/>
      <c r="D142" s="56" t="s">
        <v>636</v>
      </c>
      <c r="E142" s="56" t="s">
        <v>232</v>
      </c>
      <c r="F142" s="253">
        <v>2022</v>
      </c>
      <c r="G142" s="254">
        <v>2023</v>
      </c>
      <c r="H142" s="277" t="s">
        <v>230</v>
      </c>
      <c r="I142" s="112"/>
      <c r="J142" s="112"/>
      <c r="K142" s="112"/>
      <c r="L142" s="113">
        <f>SUM(L140:L141)</f>
        <v>161500</v>
      </c>
      <c r="M142" s="113">
        <f>SUM(M140:M141)</f>
        <v>26970.5</v>
      </c>
      <c r="N142" s="112"/>
      <c r="O142" s="112"/>
      <c r="P142" s="112"/>
      <c r="Q142" s="112"/>
      <c r="R142" s="113">
        <f t="shared" ref="R142:U142" si="140">SUM(R140:R141)</f>
        <v>0</v>
      </c>
      <c r="S142" s="113">
        <f t="shared" si="140"/>
        <v>562500</v>
      </c>
      <c r="T142" s="113">
        <f t="shared" si="140"/>
        <v>0</v>
      </c>
      <c r="U142" s="113">
        <f t="shared" si="140"/>
        <v>0</v>
      </c>
      <c r="V142" s="112"/>
      <c r="W142" s="112"/>
      <c r="X142" s="112"/>
      <c r="Y142" s="113">
        <f>SUM(Y140:Y141)</f>
        <v>0</v>
      </c>
      <c r="Z142" s="112"/>
      <c r="AA142" s="112"/>
      <c r="AB142" s="113">
        <f t="shared" ref="AB142:AF142" si="141">SUM(AB140:AB141)</f>
        <v>304000</v>
      </c>
      <c r="AC142" s="113">
        <f t="shared" ref="AC142:AD142" si="142">SUM(AC140:AC141)</f>
        <v>0</v>
      </c>
      <c r="AD142" s="113">
        <f t="shared" si="142"/>
        <v>0</v>
      </c>
      <c r="AE142" s="113">
        <f t="shared" si="141"/>
        <v>0</v>
      </c>
      <c r="AF142" s="113">
        <f t="shared" si="141"/>
        <v>866500</v>
      </c>
      <c r="AG142" s="112"/>
      <c r="AH142" s="112"/>
      <c r="AI142" s="112"/>
      <c r="AJ142" s="113">
        <f t="shared" ref="AJ142:AL142" si="143">SUM(AJ140:AJ141)</f>
        <v>0</v>
      </c>
      <c r="AK142" s="113">
        <f t="shared" si="143"/>
        <v>0</v>
      </c>
      <c r="AL142" s="113">
        <f t="shared" si="143"/>
        <v>0</v>
      </c>
      <c r="AM142" s="113">
        <f t="shared" ref="AM142:AN142" si="144">SUM(AM140:AM141)</f>
        <v>0</v>
      </c>
      <c r="AN142" s="113">
        <f t="shared" si="144"/>
        <v>0</v>
      </c>
      <c r="AO142" s="131"/>
      <c r="AP142" s="17"/>
      <c r="AQ142" s="113">
        <f t="shared" ref="AQ142:BB142" si="145">SUM(AQ140:AQ141)</f>
        <v>188470.5</v>
      </c>
      <c r="AR142" s="113">
        <f t="shared" si="145"/>
        <v>866500</v>
      </c>
      <c r="AS142" s="113">
        <f t="shared" si="145"/>
        <v>0</v>
      </c>
      <c r="AT142" s="113">
        <f t="shared" si="145"/>
        <v>1054970.5</v>
      </c>
      <c r="AU142" s="113">
        <v>750971</v>
      </c>
      <c r="AV142" s="113">
        <v>0</v>
      </c>
      <c r="AW142" s="113">
        <v>0</v>
      </c>
      <c r="AX142" s="113">
        <v>0</v>
      </c>
      <c r="AY142" s="113">
        <v>0</v>
      </c>
      <c r="AZ142" s="113">
        <f t="shared" si="145"/>
        <v>0</v>
      </c>
      <c r="BA142" s="113">
        <f t="shared" si="145"/>
        <v>0</v>
      </c>
      <c r="BB142" s="113">
        <f t="shared" si="145"/>
        <v>-303999.5</v>
      </c>
    </row>
    <row r="143" spans="1:54" s="24" customFormat="1" ht="13.8" customHeight="1">
      <c r="A143" s="114"/>
      <c r="B143" s="115"/>
      <c r="C143" s="314" t="s">
        <v>233</v>
      </c>
      <c r="D143" s="314"/>
      <c r="E143" s="315"/>
      <c r="F143" s="246"/>
      <c r="G143" s="246"/>
      <c r="H143" s="278" t="s">
        <v>188</v>
      </c>
      <c r="I143" s="116"/>
      <c r="J143" s="116"/>
      <c r="K143" s="116"/>
      <c r="L143" s="117">
        <f>SUM(L168,L178)</f>
        <v>9302350</v>
      </c>
      <c r="M143" s="117">
        <f>SUM(M168,M178)</f>
        <v>1553492.4500000002</v>
      </c>
      <c r="N143" s="116"/>
      <c r="O143" s="116"/>
      <c r="P143" s="116"/>
      <c r="Q143" s="116"/>
      <c r="R143" s="117">
        <f t="shared" ref="R143:U143" si="146">SUM(R168,R178)</f>
        <v>400000</v>
      </c>
      <c r="S143" s="117">
        <f t="shared" si="146"/>
        <v>750000</v>
      </c>
      <c r="T143" s="117">
        <f t="shared" si="146"/>
        <v>875000</v>
      </c>
      <c r="U143" s="117">
        <f t="shared" si="146"/>
        <v>160000</v>
      </c>
      <c r="V143" s="116"/>
      <c r="W143" s="116"/>
      <c r="X143" s="116"/>
      <c r="Y143" s="117">
        <f>SUM(Y168,Y178)</f>
        <v>0</v>
      </c>
      <c r="Z143" s="117"/>
      <c r="AA143" s="117"/>
      <c r="AB143" s="117">
        <f t="shared" ref="AB143:AF143" si="147">SUM(AB168,AB178)</f>
        <v>1254000</v>
      </c>
      <c r="AC143" s="117">
        <f>SUM(AC168,AC178)</f>
        <v>69355000</v>
      </c>
      <c r="AD143" s="117">
        <f>SUM(AD168,AD178)</f>
        <v>0</v>
      </c>
      <c r="AE143" s="117">
        <f t="shared" si="147"/>
        <v>13692000</v>
      </c>
      <c r="AF143" s="117">
        <f t="shared" si="147"/>
        <v>86486000</v>
      </c>
      <c r="AG143" s="116"/>
      <c r="AH143" s="116"/>
      <c r="AI143" s="116"/>
      <c r="AJ143" s="117">
        <f>SUM(AJ168,AJ178)</f>
        <v>0</v>
      </c>
      <c r="AK143" s="117">
        <f>SUM(AK168,AK178)</f>
        <v>0</v>
      </c>
      <c r="AL143" s="117">
        <f>SUM(AL168,AL178)</f>
        <v>0</v>
      </c>
      <c r="AM143" s="117">
        <f t="shared" ref="AM143:AN143" si="148">SUM(AM168,AM178)</f>
        <v>0</v>
      </c>
      <c r="AN143" s="117">
        <f t="shared" si="148"/>
        <v>0</v>
      </c>
      <c r="AO143" s="132"/>
      <c r="AP143" s="25"/>
      <c r="AQ143" s="117">
        <f t="shared" ref="AQ143:BB143" si="149">SUM(AQ168,AQ178)</f>
        <v>10855842.449999999</v>
      </c>
      <c r="AR143" s="117">
        <f t="shared" si="149"/>
        <v>86486000</v>
      </c>
      <c r="AS143" s="117">
        <f t="shared" si="149"/>
        <v>0</v>
      </c>
      <c r="AT143" s="117">
        <f t="shared" si="149"/>
        <v>97341842.450000003</v>
      </c>
      <c r="AU143" s="117">
        <f t="shared" si="149"/>
        <v>90382242.450000003</v>
      </c>
      <c r="AV143" s="117">
        <f t="shared" si="149"/>
        <v>0</v>
      </c>
      <c r="AW143" s="117">
        <f t="shared" si="149"/>
        <v>0</v>
      </c>
      <c r="AX143" s="117">
        <f t="shared" si="149"/>
        <v>0</v>
      </c>
      <c r="AY143" s="117">
        <f t="shared" si="149"/>
        <v>0</v>
      </c>
      <c r="AZ143" s="117">
        <f t="shared" si="149"/>
        <v>1668000</v>
      </c>
      <c r="BA143" s="117">
        <f t="shared" si="149"/>
        <v>0</v>
      </c>
      <c r="BB143" s="117">
        <f t="shared" si="149"/>
        <v>-5291600</v>
      </c>
    </row>
    <row r="144" spans="1:54" ht="93.6" outlineLevel="2">
      <c r="A144" s="98"/>
      <c r="B144" s="102"/>
      <c r="C144" s="23"/>
      <c r="D144" s="257"/>
      <c r="E144" s="123"/>
      <c r="F144" s="249"/>
      <c r="G144" s="283"/>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150">SUM(AE144,AD144,AC144,AB144,Y144,U144,T144,S144,R144)</f>
        <v>1734000</v>
      </c>
      <c r="AG144" s="107"/>
      <c r="AH144" s="107"/>
      <c r="AI144" s="107"/>
      <c r="AJ144" s="111"/>
      <c r="AK144" s="111"/>
      <c r="AL144" s="111"/>
      <c r="AM144" s="108">
        <f>AG144*'1. Standard_Cost'!$B$27+'Incremental_Cost Year 4'!AH144*'1. Standard_Cost'!$C$27+'Incremental_Cost Year 4'!AI144*'1. Standard_Cost'!$D$27+'Incremental_Cost Year 4'!AJ144+'Incremental_Cost Year 4'!AL144+AK144</f>
        <v>0</v>
      </c>
      <c r="AN144" s="108">
        <f>AM144*'1. Standard_Cost'!$C$31</f>
        <v>0</v>
      </c>
      <c r="AO144" s="125" t="s">
        <v>370</v>
      </c>
      <c r="AQ144" s="14">
        <f t="shared" ref="AQ144:AQ167" si="151">L144+M144</f>
        <v>8028960</v>
      </c>
      <c r="AR144" s="14">
        <f t="shared" ref="AR144:AR167" si="152">AF144</f>
        <v>1734000</v>
      </c>
      <c r="AS144" s="14">
        <f t="shared" ref="AS144:AS167" si="153">AM144+AN144</f>
        <v>0</v>
      </c>
      <c r="AT144" s="14">
        <f>SUM(AQ144,AR144,AS144)</f>
        <v>9762960</v>
      </c>
      <c r="AU144" s="15">
        <v>9762960</v>
      </c>
      <c r="AV144" s="15"/>
      <c r="AW144" s="15"/>
      <c r="AX144" s="15"/>
      <c r="AY144" s="15"/>
      <c r="AZ144" s="15"/>
      <c r="BA144" s="15"/>
      <c r="BB144" s="16">
        <f t="shared" ref="BB144:BB167" si="154">SUM(AU144:BA144)-AT144</f>
        <v>0</v>
      </c>
    </row>
    <row r="145" spans="1:54" ht="21.6" customHeight="1" outlineLevel="2">
      <c r="A145" s="98"/>
      <c r="B145" s="102"/>
      <c r="C145" s="23"/>
      <c r="D145" s="269"/>
      <c r="E145" s="27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50"/>
        <v>0</v>
      </c>
      <c r="AG145" s="107"/>
      <c r="AH145" s="107"/>
      <c r="AI145" s="107"/>
      <c r="AJ145" s="111"/>
      <c r="AK145" s="111"/>
      <c r="AL145" s="111"/>
      <c r="AM145" s="108">
        <f>AG145*'[1]1. Standard_Cost'!$B$27+'[1]Incremental_Cost Year 4'!AH145*'[1]1. Standard_Cost'!$C$27+'[1]Incremental_Cost Year 4'!AI145*'[1]1. Standard_Cost'!$D$27+'[1]Incremental_Cost Year 4'!AJ145+'[1]Incremental_Cost Year 4'!AL145+AK145</f>
        <v>0</v>
      </c>
      <c r="AN145" s="108">
        <f>AM145*'[1]1. Standard_Cost'!$C$31</f>
        <v>0</v>
      </c>
      <c r="AO145" s="125"/>
      <c r="AQ145" s="14">
        <f t="shared" si="151"/>
        <v>621777.6</v>
      </c>
      <c r="AR145" s="14">
        <f t="shared" si="152"/>
        <v>0</v>
      </c>
      <c r="AS145" s="14">
        <f t="shared" si="153"/>
        <v>0</v>
      </c>
      <c r="AT145" s="14">
        <f>SUM(AQ145,AR145,AS145)</f>
        <v>621777.6</v>
      </c>
      <c r="AU145" s="15">
        <v>621777.6</v>
      </c>
      <c r="AV145" s="15"/>
      <c r="AW145" s="15"/>
      <c r="AX145" s="15"/>
      <c r="AY145" s="15"/>
      <c r="AZ145" s="15"/>
      <c r="BA145" s="15"/>
      <c r="BB145" s="16">
        <f t="shared" si="154"/>
        <v>0</v>
      </c>
    </row>
    <row r="146" spans="1:54" ht="19.95" customHeight="1" outlineLevel="2">
      <c r="A146" s="98"/>
      <c r="B146" s="102"/>
      <c r="C146" s="23"/>
      <c r="D146" s="269"/>
      <c r="E146" s="27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50"/>
        <v>0</v>
      </c>
      <c r="AG146" s="107"/>
      <c r="AH146" s="107"/>
      <c r="AI146" s="107"/>
      <c r="AJ146" s="111"/>
      <c r="AK146" s="111"/>
      <c r="AL146" s="111"/>
      <c r="AM146" s="108">
        <f>AG146*'[1]1. Standard_Cost'!$B$27+'[1]Incremental_Cost Year 4'!AH146*'[1]1. Standard_Cost'!$C$27+'[1]Incremental_Cost Year 4'!AI146*'[1]1. Standard_Cost'!$D$27+'[1]Incremental_Cost Year 4'!AJ146+'[1]Incremental_Cost Year 4'!AL146+AK146</f>
        <v>0</v>
      </c>
      <c r="AN146" s="108">
        <f>AM146*'[1]1. Standard_Cost'!$C$31</f>
        <v>0</v>
      </c>
      <c r="AO146" s="125"/>
      <c r="AQ146" s="14">
        <f t="shared" si="151"/>
        <v>1507764</v>
      </c>
      <c r="AR146" s="14">
        <f t="shared" si="152"/>
        <v>0</v>
      </c>
      <c r="AS146" s="14">
        <f t="shared" si="153"/>
        <v>0</v>
      </c>
      <c r="AT146" s="14">
        <f>SUM(AQ146,AR146,AS146)</f>
        <v>1507764</v>
      </c>
      <c r="AU146" s="15">
        <v>1507764</v>
      </c>
      <c r="AV146" s="15"/>
      <c r="AW146" s="15"/>
      <c r="AX146" s="15"/>
      <c r="AY146" s="15"/>
      <c r="AZ146" s="15"/>
      <c r="BA146" s="15"/>
      <c r="BB146" s="16">
        <f t="shared" si="154"/>
        <v>0</v>
      </c>
    </row>
    <row r="147" spans="1:54" ht="46.8" outlineLevel="2">
      <c r="A147" s="98"/>
      <c r="B147" s="102"/>
      <c r="C147" s="23"/>
      <c r="D147" s="269"/>
      <c r="E147" s="271"/>
      <c r="F147" s="250"/>
      <c r="G147" s="255"/>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50"/>
        <v>0</v>
      </c>
      <c r="AG147" s="107"/>
      <c r="AH147" s="107"/>
      <c r="AI147" s="107"/>
      <c r="AJ147" s="111"/>
      <c r="AK147" s="111"/>
      <c r="AL147" s="111"/>
      <c r="AM147" s="108">
        <f>AG147*'1. Standard_Cost'!$B$27+'Incremental_Cost Year 4'!AH147*'1. Standard_Cost'!$C$27+'Incremental_Cost Year 4'!AI147*'1. Standard_Cost'!$D$27+'Incremental_Cost Year 4'!AJ147+'Incremental_Cost Year 4'!AL147+AK147</f>
        <v>0</v>
      </c>
      <c r="AN147" s="108">
        <f>AM147*'1. Standard_Cost'!$C$31</f>
        <v>0</v>
      </c>
      <c r="AO147" s="125" t="s">
        <v>371</v>
      </c>
      <c r="AQ147" s="14">
        <f t="shared" si="151"/>
        <v>0</v>
      </c>
      <c r="AR147" s="14">
        <f t="shared" si="152"/>
        <v>0</v>
      </c>
      <c r="AS147" s="14">
        <f t="shared" si="153"/>
        <v>0</v>
      </c>
      <c r="AT147" s="14">
        <f t="shared" ref="AT147:AT167" si="155">SUM(AQ147,AR147,AS147)</f>
        <v>0</v>
      </c>
      <c r="AU147" s="15">
        <v>0</v>
      </c>
      <c r="AV147" s="15"/>
      <c r="AW147" s="15"/>
      <c r="AX147" s="15"/>
      <c r="AY147" s="15"/>
      <c r="AZ147" s="15"/>
      <c r="BA147" s="15"/>
      <c r="BB147" s="16">
        <f t="shared" si="154"/>
        <v>0</v>
      </c>
    </row>
    <row r="148" spans="1:54" ht="124.2" customHeight="1" outlineLevel="2">
      <c r="A148" s="98"/>
      <c r="B148" s="102"/>
      <c r="C148" s="23"/>
      <c r="D148" s="269"/>
      <c r="E148" s="27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c r="AD148" s="110"/>
      <c r="AE148" s="108">
        <v>0</v>
      </c>
      <c r="AF148" s="108">
        <f t="shared" si="150"/>
        <v>0</v>
      </c>
      <c r="AG148" s="107"/>
      <c r="AH148" s="107"/>
      <c r="AI148" s="107"/>
      <c r="AJ148" s="111"/>
      <c r="AK148" s="111"/>
      <c r="AL148" s="111"/>
      <c r="AM148" s="108">
        <f>AG148*'[1]1. Standard_Cost'!$B$27+'[1]Incremental_Cost Year 4'!AH148*'[1]1. Standard_Cost'!$C$27+'[1]Incremental_Cost Year 4'!AI148*'[1]1. Standard_Cost'!$D$27+'[1]Incremental_Cost Year 4'!AJ148+'[1]Incremental_Cost Year 4'!AL148+AK148</f>
        <v>0</v>
      </c>
      <c r="AN148" s="108">
        <f>AM148*'[1]1. Standard_Cost'!$C$31</f>
        <v>0</v>
      </c>
      <c r="AO148" s="125" t="s">
        <v>487</v>
      </c>
      <c r="AQ148" s="14">
        <f t="shared" si="151"/>
        <v>0</v>
      </c>
      <c r="AR148" s="14">
        <f t="shared" si="152"/>
        <v>0</v>
      </c>
      <c r="AS148" s="14">
        <f t="shared" si="153"/>
        <v>0</v>
      </c>
      <c r="AT148" s="14">
        <f t="shared" si="155"/>
        <v>0</v>
      </c>
      <c r="AU148" s="15"/>
      <c r="AV148" s="15"/>
      <c r="AW148" s="15"/>
      <c r="AX148" s="15"/>
      <c r="AY148" s="15">
        <v>0</v>
      </c>
      <c r="AZ148" s="15"/>
      <c r="BA148" s="15"/>
      <c r="BB148" s="16">
        <f t="shared" si="154"/>
        <v>0</v>
      </c>
    </row>
    <row r="149" spans="1:54" ht="93.6" outlineLevel="2">
      <c r="A149" s="98"/>
      <c r="B149" s="102"/>
      <c r="C149" s="23"/>
      <c r="D149" s="269"/>
      <c r="E149" s="271"/>
      <c r="F149" s="250"/>
      <c r="G149" s="255"/>
      <c r="H149" s="302" t="s">
        <v>492</v>
      </c>
      <c r="I149" s="104"/>
      <c r="J149" s="105"/>
      <c r="K149" s="105"/>
      <c r="L149" s="106" t="str">
        <f>IF(I149&lt;&gt;0,((VLOOKUP(I149,'1. Standard_Cost'!$B$4:$D$11,2)+VLOOKUP(I149,'1. Standard_Cost'!$B$4:$D$11,3))*J149*K149),"0")</f>
        <v>0</v>
      </c>
      <c r="M149" s="106">
        <f>L149*'1. Standard_Cost'!$F$4</f>
        <v>0</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c r="AB149" s="108">
        <f>+Z149*'1. Standard_Cost'!$B$23+AA149*'1. Standard_Cost'!$C$23</f>
        <v>0</v>
      </c>
      <c r="AC149" s="109"/>
      <c r="AD149" s="110"/>
      <c r="AE149" s="108">
        <f>SUM(AD149,AC149,AB149,Y149,U149,T149,S149,R149)*'1. Standard_Cost'!$B$31</f>
        <v>0</v>
      </c>
      <c r="AF149" s="108">
        <f t="shared" si="150"/>
        <v>0</v>
      </c>
      <c r="AG149" s="107"/>
      <c r="AH149" s="107"/>
      <c r="AI149" s="107"/>
      <c r="AJ149" s="111"/>
      <c r="AK149" s="111"/>
      <c r="AL149" s="111"/>
      <c r="AM149" s="108">
        <f>AG149*'1. Standard_Cost'!$B$27+'Incremental_Cost Year 4'!AH149*'1. Standard_Cost'!$C$27+'Incremental_Cost Year 4'!AI149*'1. Standard_Cost'!$D$27+'Incremental_Cost Year 4'!AJ149+'Incremental_Cost Year 4'!AL149+AK149</f>
        <v>0</v>
      </c>
      <c r="AN149" s="108">
        <f>AM149*'1. Standard_Cost'!$C$31</f>
        <v>0</v>
      </c>
      <c r="AO149" s="125" t="s">
        <v>372</v>
      </c>
      <c r="AQ149" s="14">
        <f t="shared" si="151"/>
        <v>0</v>
      </c>
      <c r="AR149" s="14">
        <f t="shared" si="152"/>
        <v>0</v>
      </c>
      <c r="AS149" s="14">
        <f t="shared" si="153"/>
        <v>0</v>
      </c>
      <c r="AT149" s="14">
        <f t="shared" si="155"/>
        <v>0</v>
      </c>
      <c r="AU149" s="15">
        <v>0</v>
      </c>
      <c r="AV149" s="15"/>
      <c r="AW149" s="15"/>
      <c r="AX149" s="15"/>
      <c r="AY149" s="15"/>
      <c r="AZ149" s="15"/>
      <c r="BA149" s="15"/>
      <c r="BB149" s="16">
        <f t="shared" si="154"/>
        <v>0</v>
      </c>
    </row>
    <row r="150" spans="1:54" ht="124.8" outlineLevel="2">
      <c r="A150" s="98"/>
      <c r="B150" s="102"/>
      <c r="C150" s="23"/>
      <c r="D150" s="269"/>
      <c r="E150" s="271"/>
      <c r="F150" s="250"/>
      <c r="G150" s="255"/>
      <c r="H150" s="302" t="s">
        <v>493</v>
      </c>
      <c r="I150" s="104"/>
      <c r="J150" s="105"/>
      <c r="K150" s="105"/>
      <c r="L150" s="106" t="str">
        <f>IF(I150&lt;&gt;0,((VLOOKUP(I150,'1. Standard_Cost'!$B$4:$D$11,2)+VLOOKUP(I150,'1. Standard_Cost'!$B$4:$D$11,3))*J150*K150),"0")</f>
        <v>0</v>
      </c>
      <c r="M150" s="106">
        <f>L150*'1. Standard_Cost'!$F$4</f>
        <v>0</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c r="AB150" s="108">
        <f>+Z150*'1. Standard_Cost'!$B$23+AA150*'1. Standard_Cost'!$C$23</f>
        <v>0</v>
      </c>
      <c r="AC150" s="109"/>
      <c r="AD150" s="110"/>
      <c r="AE150" s="108"/>
      <c r="AF150" s="108">
        <f t="shared" si="150"/>
        <v>0</v>
      </c>
      <c r="AG150" s="107"/>
      <c r="AH150" s="107"/>
      <c r="AI150" s="107"/>
      <c r="AJ150" s="111"/>
      <c r="AK150" s="111"/>
      <c r="AL150" s="111"/>
      <c r="AM150" s="108">
        <f>AG150*'1. Standard_Cost'!$B$27+'Incremental_Cost Year 4'!AH150*'1. Standard_Cost'!$C$27+'Incremental_Cost Year 4'!AI150*'1. Standard_Cost'!$D$27+'Incremental_Cost Year 4'!AJ150+'Incremental_Cost Year 4'!AL150+AK150</f>
        <v>0</v>
      </c>
      <c r="AN150" s="108">
        <f>AM150*'1. Standard_Cost'!$C$31</f>
        <v>0</v>
      </c>
      <c r="AO150" s="125" t="s">
        <v>373</v>
      </c>
      <c r="AQ150" s="14">
        <f t="shared" si="151"/>
        <v>0</v>
      </c>
      <c r="AR150" s="14">
        <f t="shared" si="152"/>
        <v>0</v>
      </c>
      <c r="AS150" s="14">
        <f t="shared" si="153"/>
        <v>0</v>
      </c>
      <c r="AT150" s="14">
        <f t="shared" si="155"/>
        <v>0</v>
      </c>
      <c r="AU150" s="15">
        <v>0</v>
      </c>
      <c r="AV150" s="15"/>
      <c r="AW150" s="15"/>
      <c r="AX150" s="15">
        <v>0</v>
      </c>
      <c r="AY150" s="15"/>
      <c r="AZ150" s="15"/>
      <c r="BA150" s="15"/>
      <c r="BB150" s="16">
        <f t="shared" si="154"/>
        <v>0</v>
      </c>
    </row>
    <row r="151" spans="1:54" ht="78" outlineLevel="2">
      <c r="A151" s="98"/>
      <c r="B151" s="102"/>
      <c r="C151" s="23"/>
      <c r="D151" s="269"/>
      <c r="E151" s="271"/>
      <c r="F151" s="250"/>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c r="AA151" s="107"/>
      <c r="AB151" s="108">
        <f>+Z151*'1. Standard_Cost'!$B$23+AA151*'1. Standard_Cost'!$C$23</f>
        <v>0</v>
      </c>
      <c r="AC151" s="109"/>
      <c r="AD151" s="110"/>
      <c r="AE151" s="108">
        <f>SUM(AD151,AC151,AB151,Y151,U151,T151,S151,R151)*'1. Standard_Cost'!$B$31</f>
        <v>0</v>
      </c>
      <c r="AF151" s="108">
        <f t="shared" si="150"/>
        <v>0</v>
      </c>
      <c r="AG151" s="107"/>
      <c r="AH151" s="107"/>
      <c r="AI151" s="107"/>
      <c r="AJ151" s="111"/>
      <c r="AK151" s="111"/>
      <c r="AL151" s="111"/>
      <c r="AM151" s="108">
        <f>AG151*'1. Standard_Cost'!$B$27+'Incremental_Cost Year 4'!AH151*'1. Standard_Cost'!$C$27+'Incremental_Cost Year 4'!AI151*'1. Standard_Cost'!$D$27+'Incremental_Cost Year 4'!AJ151+'Incremental_Cost Year 4'!AL151+AK151</f>
        <v>0</v>
      </c>
      <c r="AN151" s="108">
        <f>AM151*'1. Standard_Cost'!$C$31</f>
        <v>0</v>
      </c>
      <c r="AO151" s="125" t="s">
        <v>374</v>
      </c>
      <c r="AQ151" s="14">
        <f t="shared" si="151"/>
        <v>0</v>
      </c>
      <c r="AR151" s="14">
        <f t="shared" si="152"/>
        <v>0</v>
      </c>
      <c r="AS151" s="14">
        <f t="shared" si="153"/>
        <v>0</v>
      </c>
      <c r="AT151" s="14">
        <f t="shared" si="155"/>
        <v>0</v>
      </c>
      <c r="AU151" s="15"/>
      <c r="AV151" s="15"/>
      <c r="AW151" s="15"/>
      <c r="AX151" s="15">
        <v>0</v>
      </c>
      <c r="AY151" s="15"/>
      <c r="AZ151" s="15"/>
      <c r="BA151" s="15"/>
      <c r="BB151" s="16">
        <f t="shared" si="154"/>
        <v>0</v>
      </c>
    </row>
    <row r="152" spans="1:54" ht="41.4" customHeight="1" outlineLevel="2">
      <c r="A152" s="98"/>
      <c r="B152" s="102"/>
      <c r="C152" s="23"/>
      <c r="D152" s="269"/>
      <c r="E152" s="271"/>
      <c r="F152" s="161"/>
      <c r="G152" s="161"/>
      <c r="H152" s="303" t="s">
        <v>488</v>
      </c>
      <c r="I152" s="104"/>
      <c r="J152" s="105"/>
      <c r="K152" s="105"/>
      <c r="L152" s="106" t="str">
        <f>IF(I152&lt;&gt;0,((VLOOKUP(I152,'1. Standard_Cost'!$B$4:$D$11,2)+VLOOKUP(I152,'1. Standard_Cost'!$B$4:$D$11,3))*J152*K152),"0")</f>
        <v>0</v>
      </c>
      <c r="M152" s="106">
        <f>L152*'1. Standard_Cost'!$F$4</f>
        <v>0</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50"/>
        <v>0</v>
      </c>
      <c r="AG152" s="107"/>
      <c r="AH152" s="107"/>
      <c r="AI152" s="107"/>
      <c r="AJ152" s="111"/>
      <c r="AK152" s="111"/>
      <c r="AL152" s="111"/>
      <c r="AM152" s="108">
        <f>AG152*'[1]1. Standard_Cost'!$B$27+'[1]Incremental_Cost Year 4'!AH152*'[1]1. Standard_Cost'!$C$27+'[1]Incremental_Cost Year 4'!AI152*'[1]1. Standard_Cost'!$D$27+'[1]Incremental_Cost Year 4'!AJ152+'[1]Incremental_Cost Year 4'!AL152+AK152</f>
        <v>0</v>
      </c>
      <c r="AN152" s="108">
        <f>AM152*'[1]1. Standard_Cost'!$C$31</f>
        <v>0</v>
      </c>
      <c r="AO152" s="125" t="s">
        <v>374</v>
      </c>
      <c r="AQ152" s="14">
        <f t="shared" si="151"/>
        <v>0</v>
      </c>
      <c r="AR152" s="14">
        <f t="shared" si="152"/>
        <v>0</v>
      </c>
      <c r="AS152" s="14">
        <f t="shared" si="153"/>
        <v>0</v>
      </c>
      <c r="AT152" s="14">
        <f t="shared" si="155"/>
        <v>0</v>
      </c>
      <c r="AU152" s="15">
        <v>0</v>
      </c>
      <c r="AV152" s="15"/>
      <c r="AW152" s="15"/>
      <c r="AX152" s="15"/>
      <c r="AY152" s="15"/>
      <c r="AZ152" s="15"/>
      <c r="BA152" s="15"/>
      <c r="BB152" s="16">
        <f t="shared" si="154"/>
        <v>0</v>
      </c>
    </row>
    <row r="153" spans="1:54" ht="234" outlineLevel="2">
      <c r="A153" s="98"/>
      <c r="B153" s="102"/>
      <c r="C153" s="23"/>
      <c r="D153" s="269"/>
      <c r="E153" s="271"/>
      <c r="F153" s="250"/>
      <c r="G153" s="255"/>
      <c r="H153" s="302" t="s">
        <v>495</v>
      </c>
      <c r="I153" s="104" t="s">
        <v>4</v>
      </c>
      <c r="J153" s="105">
        <v>0.4</v>
      </c>
      <c r="K153" s="105">
        <v>3</v>
      </c>
      <c r="L153" s="106">
        <f>IF(I153&lt;&gt;0,((VLOOKUP(I153,'1. Standard_Cost'!$B$4:$D$11,2)+VLOOKUP(I153,'1. Standard_Cost'!$B$4:$D$11,3))*J153*K153),"0")</f>
        <v>96900</v>
      </c>
      <c r="M153" s="106">
        <f>L153*'1. Standard_Cost'!$F$4</f>
        <v>16182.300000000001</v>
      </c>
      <c r="N153" s="107">
        <v>10</v>
      </c>
      <c r="O153" s="107">
        <v>2</v>
      </c>
      <c r="P153" s="107">
        <v>10</v>
      </c>
      <c r="Q153" s="107"/>
      <c r="R153" s="108">
        <v>0</v>
      </c>
      <c r="S153" s="108">
        <v>0</v>
      </c>
      <c r="T153" s="108">
        <f>N153*P153*Q153*'1. Standard_Cost'!$D$15</f>
        <v>0</v>
      </c>
      <c r="U153" s="108">
        <v>0</v>
      </c>
      <c r="V153" s="107"/>
      <c r="W153" s="107"/>
      <c r="X153" s="107"/>
      <c r="Y153" s="108">
        <f>+V153*((X153*'1. Standard_Cost'!$B$19)+(W153*X153*'1. Standard_Cost'!$C$19))</f>
        <v>0</v>
      </c>
      <c r="Z153" s="107"/>
      <c r="AA153" s="107">
        <f>2*10+2</f>
        <v>22</v>
      </c>
      <c r="AB153" s="108">
        <f>+Z153*'1. Standard_Cost'!$B$23+AA153*'1. Standard_Cost'!$C$23</f>
        <v>418000</v>
      </c>
      <c r="AC153" s="109">
        <f>105*2*3500+105*2*300+700000+500000</f>
        <v>1998000</v>
      </c>
      <c r="AD153" s="110"/>
      <c r="AE153" s="108">
        <v>0</v>
      </c>
      <c r="AF153" s="108">
        <f t="shared" si="150"/>
        <v>2416000</v>
      </c>
      <c r="AG153" s="107"/>
      <c r="AH153" s="107"/>
      <c r="AI153" s="107"/>
      <c r="AJ153" s="111"/>
      <c r="AK153" s="111"/>
      <c r="AL153" s="111"/>
      <c r="AM153" s="108">
        <f>AG153*'1. Standard_Cost'!$B$27+'Incremental_Cost Year 4'!AH153*'1. Standard_Cost'!$C$27+'Incremental_Cost Year 4'!AI153*'1. Standard_Cost'!$D$27+'Incremental_Cost Year 4'!AJ153+'Incremental_Cost Year 4'!AL153+AK153</f>
        <v>0</v>
      </c>
      <c r="AN153" s="108">
        <f>AM153*'1. Standard_Cost'!$C$31</f>
        <v>0</v>
      </c>
      <c r="AO153" s="125" t="s">
        <v>313</v>
      </c>
      <c r="AQ153" s="14">
        <f t="shared" si="151"/>
        <v>113082.3</v>
      </c>
      <c r="AR153" s="14">
        <f t="shared" si="152"/>
        <v>2416000</v>
      </c>
      <c r="AS153" s="14">
        <f t="shared" si="153"/>
        <v>0</v>
      </c>
      <c r="AT153" s="14">
        <f t="shared" si="155"/>
        <v>2529082.2999999998</v>
      </c>
      <c r="AU153" s="15">
        <v>113082.3</v>
      </c>
      <c r="AV153" s="15"/>
      <c r="AW153" s="15"/>
      <c r="AX153" s="15"/>
      <c r="AY153" s="15">
        <v>0</v>
      </c>
      <c r="AZ153" s="15"/>
      <c r="BA153" s="15"/>
      <c r="BB153" s="16">
        <f t="shared" si="154"/>
        <v>-2416000</v>
      </c>
    </row>
    <row r="154" spans="1:54" ht="140.4" outlineLevel="2">
      <c r="A154" s="98"/>
      <c r="B154" s="102"/>
      <c r="C154" s="23"/>
      <c r="D154" s="269"/>
      <c r="E154" s="271"/>
      <c r="F154" s="250"/>
      <c r="G154" s="255"/>
      <c r="H154" s="302" t="s">
        <v>496</v>
      </c>
      <c r="I154" s="104"/>
      <c r="J154" s="105"/>
      <c r="K154" s="105"/>
      <c r="L154" s="106" t="str">
        <f>IF(I154&lt;&gt;0,((VLOOKUP(I154,'1. Standard_Cost'!$B$4:$D$11,2)+VLOOKUP(I154,'1. Standard_Cost'!$B$4:$D$11,3))*J154*K154),"0")</f>
        <v>0</v>
      </c>
      <c r="M154" s="106">
        <f>L154*'1. Standard_Cost'!$F$4</f>
        <v>0</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c r="AB154" s="108">
        <f>+Z154*'1. Standard_Cost'!$B$23+AA154*'1. Standard_Cost'!$C$23</f>
        <v>0</v>
      </c>
      <c r="AC154" s="109"/>
      <c r="AD154" s="110"/>
      <c r="AE154" s="108">
        <f>SUM(AD154,AC154,AB154,Y154,U154,T154,S154,R154)*'1. Standard_Cost'!$B$31</f>
        <v>0</v>
      </c>
      <c r="AF154" s="108">
        <f t="shared" si="150"/>
        <v>0</v>
      </c>
      <c r="AG154" s="107"/>
      <c r="AH154" s="107"/>
      <c r="AI154" s="107"/>
      <c r="AJ154" s="111"/>
      <c r="AK154" s="111"/>
      <c r="AL154" s="111"/>
      <c r="AM154" s="108">
        <f>AG154*'1. Standard_Cost'!$B$27+'Incremental_Cost Year 4'!AH154*'1. Standard_Cost'!$C$27+'Incremental_Cost Year 4'!AI154*'1. Standard_Cost'!$D$27+'Incremental_Cost Year 4'!AJ154+'Incremental_Cost Year 4'!AL154+AK154</f>
        <v>0</v>
      </c>
      <c r="AN154" s="108">
        <f>AM154*'1. Standard_Cost'!$C$31</f>
        <v>0</v>
      </c>
      <c r="AO154" s="125" t="s">
        <v>375</v>
      </c>
      <c r="AQ154" s="14">
        <f t="shared" si="151"/>
        <v>0</v>
      </c>
      <c r="AR154" s="14">
        <f t="shared" si="152"/>
        <v>0</v>
      </c>
      <c r="AS154" s="14">
        <f t="shared" si="153"/>
        <v>0</v>
      </c>
      <c r="AT154" s="14">
        <f t="shared" si="155"/>
        <v>0</v>
      </c>
      <c r="AU154" s="15">
        <v>0</v>
      </c>
      <c r="AV154" s="15"/>
      <c r="AW154" s="15"/>
      <c r="AX154" s="15"/>
      <c r="AY154" s="15"/>
      <c r="AZ154" s="15"/>
      <c r="BA154" s="15"/>
      <c r="BB154" s="16">
        <f t="shared" si="154"/>
        <v>0</v>
      </c>
    </row>
    <row r="155" spans="1:54" ht="31.2" outlineLevel="2">
      <c r="A155" s="98"/>
      <c r="B155" s="102"/>
      <c r="C155" s="23"/>
      <c r="D155" s="269"/>
      <c r="E155" s="271"/>
      <c r="F155" s="250"/>
      <c r="G155" s="255"/>
      <c r="H155" s="304" t="s">
        <v>489</v>
      </c>
      <c r="I155" s="104"/>
      <c r="J155" s="105"/>
      <c r="K155" s="105"/>
      <c r="L155" s="106" t="str">
        <f>IF(I155&lt;&gt;0,((VLOOKUP(I155,'1. Standard_Cost'!$B$4:$D$11,2)+VLOOKUP(I155,'1. Standard_Cost'!$B$4:$D$11,3))*J155*K155),"0")</f>
        <v>0</v>
      </c>
      <c r="M155" s="106">
        <f>L155*'1. Standard_Cost'!$F$4</f>
        <v>0</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c r="AB155" s="108">
        <f>+Z155*'[1]1. Standard_Cost'!$B$23+AA155*'[1]1. Standard_Cost'!$C$23</f>
        <v>0</v>
      </c>
      <c r="AC155" s="109"/>
      <c r="AD155" s="110"/>
      <c r="AE155" s="108">
        <f>SUM(AD155,AC155,AB155,Y155,U155,T155,S155,R155)*'[1]1. Standard_Cost'!$B$31</f>
        <v>0</v>
      </c>
      <c r="AF155" s="108">
        <f t="shared" si="150"/>
        <v>0</v>
      </c>
      <c r="AG155" s="107"/>
      <c r="AH155" s="107"/>
      <c r="AI155" s="107"/>
      <c r="AJ155" s="111"/>
      <c r="AK155" s="111"/>
      <c r="AL155" s="111"/>
      <c r="AM155" s="108">
        <f>AG155*'[1]1. Standard_Cost'!$B$27+'[1]Incremental_Cost Year 4'!AH155*'[1]1. Standard_Cost'!$C$27+'[1]Incremental_Cost Year 4'!AI155*'[1]1. Standard_Cost'!$D$27+'[1]Incremental_Cost Year 4'!AJ155+'[1]Incremental_Cost Year 4'!AL155+AK155</f>
        <v>0</v>
      </c>
      <c r="AN155" s="108">
        <f>AM155*'[1]1. Standard_Cost'!$C$31</f>
        <v>0</v>
      </c>
      <c r="AO155" s="125" t="s">
        <v>376</v>
      </c>
      <c r="AQ155" s="14">
        <f t="shared" si="151"/>
        <v>0</v>
      </c>
      <c r="AR155" s="14">
        <f t="shared" si="152"/>
        <v>0</v>
      </c>
      <c r="AS155" s="14">
        <f t="shared" si="153"/>
        <v>0</v>
      </c>
      <c r="AT155" s="14">
        <f t="shared" si="155"/>
        <v>0</v>
      </c>
      <c r="AU155" s="15">
        <v>0</v>
      </c>
      <c r="AV155" s="15"/>
      <c r="AW155" s="15"/>
      <c r="AX155" s="15"/>
      <c r="AY155" s="15"/>
      <c r="AZ155" s="15"/>
      <c r="BA155" s="15"/>
      <c r="BB155" s="16">
        <f t="shared" si="154"/>
        <v>0</v>
      </c>
    </row>
    <row r="156" spans="1:54" ht="78" outlineLevel="2">
      <c r="A156" s="98"/>
      <c r="B156" s="102"/>
      <c r="C156" s="23"/>
      <c r="D156" s="269"/>
      <c r="E156" s="271"/>
      <c r="F156" s="250"/>
      <c r="G156" s="255"/>
      <c r="H156" s="302" t="s">
        <v>497</v>
      </c>
      <c r="I156" s="104"/>
      <c r="J156" s="105"/>
      <c r="K156" s="105"/>
      <c r="L156" s="106" t="str">
        <f>IF(I156&lt;&gt;0,((VLOOKUP(I156,'1. Standard_Cost'!$B$4:$D$11,2)+VLOOKUP(I156,'1. Standard_Cost'!$B$4:$D$11,3))*J156*K156),"0")</f>
        <v>0</v>
      </c>
      <c r="M156" s="106">
        <f>L156*'1. Standard_Cost'!$F$4</f>
        <v>0</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c r="AB156" s="108">
        <f>+Z156*'1. Standard_Cost'!$B$23+AA156*'1. Standard_Cost'!$C$23</f>
        <v>0</v>
      </c>
      <c r="AC156" s="109"/>
      <c r="AD156" s="110"/>
      <c r="AE156" s="108">
        <f>SUM(AD156,AC156,AB156,Y156,U156,T156,S156,R156)*'1. Standard_Cost'!$B$31</f>
        <v>0</v>
      </c>
      <c r="AF156" s="108">
        <f t="shared" si="150"/>
        <v>0</v>
      </c>
      <c r="AG156" s="107"/>
      <c r="AH156" s="107"/>
      <c r="AI156" s="107"/>
      <c r="AJ156" s="111"/>
      <c r="AK156" s="111"/>
      <c r="AL156" s="111"/>
      <c r="AM156" s="108">
        <f>AG156*'1. Standard_Cost'!$B$27+'Incremental_Cost Year 4'!AH156*'1. Standard_Cost'!$C$27+'Incremental_Cost Year 4'!AI156*'1. Standard_Cost'!$D$27+'Incremental_Cost Year 4'!AJ156+'Incremental_Cost Year 4'!AL156+AK156</f>
        <v>0</v>
      </c>
      <c r="AN156" s="108">
        <f>AM156*'1. Standard_Cost'!$C$31</f>
        <v>0</v>
      </c>
      <c r="AO156" s="125" t="s">
        <v>377</v>
      </c>
      <c r="AQ156" s="14">
        <f t="shared" si="151"/>
        <v>0</v>
      </c>
      <c r="AR156" s="14">
        <f t="shared" si="152"/>
        <v>0</v>
      </c>
      <c r="AS156" s="14">
        <f t="shared" si="153"/>
        <v>0</v>
      </c>
      <c r="AT156" s="14">
        <f t="shared" si="155"/>
        <v>0</v>
      </c>
      <c r="AU156" s="15">
        <v>0</v>
      </c>
      <c r="AV156" s="15"/>
      <c r="AW156" s="15"/>
      <c r="AX156" s="15"/>
      <c r="AY156" s="15">
        <v>0</v>
      </c>
      <c r="AZ156" s="15"/>
      <c r="BA156" s="15"/>
      <c r="BB156" s="16">
        <f t="shared" si="154"/>
        <v>0</v>
      </c>
    </row>
    <row r="157" spans="1:54" ht="93.6" outlineLevel="2">
      <c r="A157" s="98"/>
      <c r="B157" s="102"/>
      <c r="C157" s="23"/>
      <c r="D157" s="269"/>
      <c r="E157" s="271"/>
      <c r="F157" s="250"/>
      <c r="G157" s="255"/>
      <c r="H157" s="302" t="s">
        <v>498</v>
      </c>
      <c r="I157" s="104"/>
      <c r="J157" s="105"/>
      <c r="K157" s="105"/>
      <c r="L157" s="106" t="str">
        <f>IF(I157&lt;&gt;0,((VLOOKUP(I157,'1. Standard_Cost'!$B$4:$D$11,2)+VLOOKUP(I157,'1. Standard_Cost'!$B$4:$D$11,3))*J157*K157),"0")</f>
        <v>0</v>
      </c>
      <c r="M157" s="106">
        <f>L157*'1. Standard_Cost'!$F$4</f>
        <v>0</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150"/>
        <v>0</v>
      </c>
      <c r="AG157" s="107"/>
      <c r="AH157" s="107"/>
      <c r="AI157" s="107"/>
      <c r="AJ157" s="111"/>
      <c r="AK157" s="111"/>
      <c r="AL157" s="111"/>
      <c r="AM157" s="108">
        <f>AG157*'1. Standard_Cost'!$B$27+'Incremental_Cost Year 4'!AH157*'1. Standard_Cost'!$C$27+'Incremental_Cost Year 4'!AI157*'1. Standard_Cost'!$D$27+'Incremental_Cost Year 4'!AJ157+'Incremental_Cost Year 4'!AL157+AK157</f>
        <v>0</v>
      </c>
      <c r="AN157" s="108">
        <f>AM157*'1. Standard_Cost'!$C$31</f>
        <v>0</v>
      </c>
      <c r="AO157" s="125" t="s">
        <v>378</v>
      </c>
      <c r="AQ157" s="14">
        <f t="shared" si="151"/>
        <v>0</v>
      </c>
      <c r="AR157" s="14">
        <f t="shared" si="152"/>
        <v>0</v>
      </c>
      <c r="AS157" s="14">
        <f t="shared" si="153"/>
        <v>0</v>
      </c>
      <c r="AT157" s="14">
        <f t="shared" si="155"/>
        <v>0</v>
      </c>
      <c r="AU157" s="15">
        <v>0</v>
      </c>
      <c r="AV157" s="15"/>
      <c r="AW157" s="15"/>
      <c r="AX157" s="15"/>
      <c r="AY157" s="15"/>
      <c r="AZ157" s="15"/>
      <c r="BA157" s="15"/>
      <c r="BB157" s="16">
        <f t="shared" si="154"/>
        <v>0</v>
      </c>
    </row>
    <row r="158" spans="1:54" ht="109.2" outlineLevel="2">
      <c r="A158" s="98"/>
      <c r="B158" s="102"/>
      <c r="C158" s="23"/>
      <c r="D158" s="269"/>
      <c r="E158" s="271"/>
      <c r="F158" s="250"/>
      <c r="G158" s="255"/>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12</v>
      </c>
      <c r="AB158" s="108">
        <f>+Z158*'1. Standard_Cost'!$B$23+AA158*'1. Standard_Cost'!$C$23</f>
        <v>228000</v>
      </c>
      <c r="AC158" s="109">
        <f>10*15*3500+10*15*300</f>
        <v>570000</v>
      </c>
      <c r="AD158" s="110"/>
      <c r="AE158" s="108">
        <f>SUM(AD158,AC158,AB158,Y158,U158,T158,S158,R158)*'1. Standard_Cost'!$B$31</f>
        <v>159600</v>
      </c>
      <c r="AF158" s="108">
        <f t="shared" si="150"/>
        <v>957600</v>
      </c>
      <c r="AG158" s="107"/>
      <c r="AH158" s="107"/>
      <c r="AI158" s="107"/>
      <c r="AJ158" s="111"/>
      <c r="AK158" s="111"/>
      <c r="AL158" s="111"/>
      <c r="AM158" s="108">
        <f>AG158*'1. Standard_Cost'!$B$27+'Incremental_Cost Year 4'!AH158*'1. Standard_Cost'!$C$27+'Incremental_Cost Year 4'!AI158*'1. Standard_Cost'!$D$27+'Incremental_Cost Year 4'!AJ158+'Incremental_Cost Year 4'!AL158+AK158</f>
        <v>0</v>
      </c>
      <c r="AN158" s="108">
        <f>AM158*'1. Standard_Cost'!$C$31</f>
        <v>0</v>
      </c>
      <c r="AO158" s="125" t="s">
        <v>379</v>
      </c>
      <c r="AQ158" s="14">
        <f t="shared" si="151"/>
        <v>37694.1</v>
      </c>
      <c r="AR158" s="14">
        <f t="shared" si="152"/>
        <v>957600</v>
      </c>
      <c r="AS158" s="14">
        <f t="shared" si="153"/>
        <v>0</v>
      </c>
      <c r="AT158" s="14">
        <f t="shared" si="155"/>
        <v>995294.1</v>
      </c>
      <c r="AU158" s="15">
        <v>37694.1</v>
      </c>
      <c r="AV158" s="15"/>
      <c r="AW158" s="15"/>
      <c r="AX158" s="15"/>
      <c r="AY158" s="15"/>
      <c r="AZ158" s="15"/>
      <c r="BA158" s="15"/>
      <c r="BB158" s="16">
        <f t="shared" si="154"/>
        <v>-957600</v>
      </c>
    </row>
    <row r="159" spans="1:54" ht="124.8" outlineLevel="2">
      <c r="A159" s="98"/>
      <c r="B159" s="102"/>
      <c r="C159" s="23"/>
      <c r="D159" s="269"/>
      <c r="E159" s="271"/>
      <c r="F159" s="250"/>
      <c r="G159" s="255"/>
      <c r="H159" s="302" t="s">
        <v>500</v>
      </c>
      <c r="I159" s="104"/>
      <c r="J159" s="105"/>
      <c r="K159" s="105"/>
      <c r="L159" s="106" t="str">
        <f>IF(I159&lt;&gt;0,((VLOOKUP(I159,'1. Standard_Cost'!$B$4:$D$11,2)+VLOOKUP(I159,'1. Standard_Cost'!$B$4:$D$11,3))*J159*K159),"0")</f>
        <v>0</v>
      </c>
      <c r="M159" s="106">
        <f>L159*'1. Standard_Cost'!$F$4</f>
        <v>0</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c r="AB159" s="108">
        <f>+Z159*'1. Standard_Cost'!$B$23+AA159*'1. Standard_Cost'!$C$23</f>
        <v>0</v>
      </c>
      <c r="AC159" s="109"/>
      <c r="AD159" s="110"/>
      <c r="AE159" s="108">
        <f>SUM(AD159,AC159,AB159,Y159,U159,T159,S159,R159)*'1. Standard_Cost'!$B$31</f>
        <v>0</v>
      </c>
      <c r="AF159" s="108">
        <f t="shared" si="150"/>
        <v>0</v>
      </c>
      <c r="AG159" s="107"/>
      <c r="AH159" s="107"/>
      <c r="AI159" s="107"/>
      <c r="AJ159" s="111"/>
      <c r="AK159" s="111"/>
      <c r="AL159" s="111"/>
      <c r="AM159" s="108">
        <f>AG159*'1. Standard_Cost'!$B$27+'Incremental_Cost Year 4'!AH159*'1. Standard_Cost'!$C$27+'Incremental_Cost Year 4'!AI159*'1. Standard_Cost'!$D$27+'Incremental_Cost Year 4'!AJ159+'Incremental_Cost Year 4'!AL159+AK159</f>
        <v>0</v>
      </c>
      <c r="AN159" s="108">
        <f>AM159*'1. Standard_Cost'!$C$31</f>
        <v>0</v>
      </c>
      <c r="AO159" s="125" t="s">
        <v>380</v>
      </c>
      <c r="AQ159" s="14">
        <f t="shared" si="151"/>
        <v>0</v>
      </c>
      <c r="AR159" s="14">
        <f t="shared" si="152"/>
        <v>0</v>
      </c>
      <c r="AS159" s="14">
        <f t="shared" si="153"/>
        <v>0</v>
      </c>
      <c r="AT159" s="14">
        <f t="shared" si="155"/>
        <v>0</v>
      </c>
      <c r="AU159" s="15">
        <v>0</v>
      </c>
      <c r="AV159" s="15"/>
      <c r="AW159" s="15"/>
      <c r="AX159" s="15"/>
      <c r="AY159" s="15"/>
      <c r="AZ159" s="15"/>
      <c r="BA159" s="15"/>
      <c r="BB159" s="16">
        <f t="shared" si="154"/>
        <v>0</v>
      </c>
    </row>
    <row r="160" spans="1:54" ht="62.4" outlineLevel="2">
      <c r="A160" s="98"/>
      <c r="B160" s="102"/>
      <c r="C160" s="23"/>
      <c r="D160" s="269"/>
      <c r="E160" s="271"/>
      <c r="F160" s="250"/>
      <c r="G160" s="177"/>
      <c r="H160" s="302" t="s">
        <v>501</v>
      </c>
      <c r="I160" s="104"/>
      <c r="J160" s="105"/>
      <c r="K160" s="105"/>
      <c r="L160" s="106" t="str">
        <f>IF(I160&lt;&gt;0,((VLOOKUP(I160,'1. Standard_Cost'!$B$4:$D$11,2)+VLOOKUP(I160,'1. Standard_Cost'!$B$4:$D$11,3))*J160*K160),"0")</f>
        <v>0</v>
      </c>
      <c r="M160" s="106">
        <f>L160*'1. Standard_Cost'!$F$4</f>
        <v>0</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c r="AB160" s="108">
        <f>+Z160*'1. Standard_Cost'!$B$23+AA160*'1. Standard_Cost'!$C$23</f>
        <v>0</v>
      </c>
      <c r="AC160" s="109"/>
      <c r="AD160" s="110"/>
      <c r="AE160" s="108">
        <f>SUM(AD160,AC160,AB160,Y160,U160,T160,S160,R160)*'1. Standard_Cost'!$B$31</f>
        <v>0</v>
      </c>
      <c r="AF160" s="108">
        <f t="shared" si="150"/>
        <v>0</v>
      </c>
      <c r="AG160" s="107"/>
      <c r="AH160" s="107"/>
      <c r="AI160" s="107"/>
      <c r="AJ160" s="111"/>
      <c r="AK160" s="111"/>
      <c r="AL160" s="111"/>
      <c r="AM160" s="108">
        <f>AG160*'1. Standard_Cost'!$B$27+'Incremental_Cost Year 4'!AH160*'1. Standard_Cost'!$C$27+'Incremental_Cost Year 4'!AI160*'1. Standard_Cost'!$D$27+'Incremental_Cost Year 4'!AJ160+'Incremental_Cost Year 4'!AL160+AK160</f>
        <v>0</v>
      </c>
      <c r="AN160" s="108">
        <f>AM160*'1. Standard_Cost'!$C$31</f>
        <v>0</v>
      </c>
      <c r="AO160" s="125" t="s">
        <v>381</v>
      </c>
      <c r="AQ160" s="14">
        <f t="shared" si="151"/>
        <v>0</v>
      </c>
      <c r="AR160" s="14">
        <f t="shared" si="152"/>
        <v>0</v>
      </c>
      <c r="AS160" s="14">
        <f t="shared" si="153"/>
        <v>0</v>
      </c>
      <c r="AT160" s="14">
        <f t="shared" si="155"/>
        <v>0</v>
      </c>
      <c r="AU160" s="15">
        <v>0</v>
      </c>
      <c r="AV160" s="15"/>
      <c r="AW160" s="15"/>
      <c r="AX160" s="15"/>
      <c r="AY160" s="15"/>
      <c r="AZ160" s="15"/>
      <c r="BA160" s="15"/>
      <c r="BB160" s="16">
        <f t="shared" si="154"/>
        <v>0</v>
      </c>
    </row>
    <row r="161" spans="1:54" ht="78" outlineLevel="2">
      <c r="A161" s="98"/>
      <c r="B161" s="102"/>
      <c r="C161" s="23"/>
      <c r="D161" s="269"/>
      <c r="E161" s="271"/>
      <c r="F161" s="250"/>
      <c r="G161" s="255"/>
      <c r="H161" s="302" t="s">
        <v>502</v>
      </c>
      <c r="I161" s="104"/>
      <c r="J161" s="105"/>
      <c r="K161" s="105"/>
      <c r="L161" s="106" t="str">
        <f>IF(I161&lt;&gt;0,((VLOOKUP(I161,'1. Standard_Cost'!$B$4:$D$11,2)+VLOOKUP(I161,'1. Standard_Cost'!$B$4:$D$11,3))*J161*K161),"0")</f>
        <v>0</v>
      </c>
      <c r="M161" s="106">
        <f>L161*'1. Standard_Cost'!$F$4</f>
        <v>0</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c r="AD161" s="110"/>
      <c r="AE161" s="108">
        <f>SUM(AD161,AC161,AB161,Y161,U161,T161,S161,R161)*'1. Standard_Cost'!$B$31</f>
        <v>0</v>
      </c>
      <c r="AF161" s="108">
        <f t="shared" si="150"/>
        <v>0</v>
      </c>
      <c r="AG161" s="107"/>
      <c r="AH161" s="107"/>
      <c r="AI161" s="107"/>
      <c r="AJ161" s="111"/>
      <c r="AK161" s="111"/>
      <c r="AL161" s="111"/>
      <c r="AM161" s="108">
        <f>AG161*'1. Standard_Cost'!$B$27+'Incremental_Cost Year 4'!AH161*'1. Standard_Cost'!$C$27+'Incremental_Cost Year 4'!AI161*'1. Standard_Cost'!$D$27+'Incremental_Cost Year 4'!AJ161+'Incremental_Cost Year 4'!AL161+AK161</f>
        <v>0</v>
      </c>
      <c r="AN161" s="108">
        <f>AM161*'1. Standard_Cost'!$C$31</f>
        <v>0</v>
      </c>
      <c r="AO161" s="125" t="s">
        <v>277</v>
      </c>
      <c r="AQ161" s="14">
        <f t="shared" si="151"/>
        <v>0</v>
      </c>
      <c r="AR161" s="14">
        <f t="shared" si="152"/>
        <v>0</v>
      </c>
      <c r="AS161" s="14">
        <f t="shared" si="153"/>
        <v>0</v>
      </c>
      <c r="AT161" s="14">
        <f t="shared" si="155"/>
        <v>0</v>
      </c>
      <c r="AU161" s="15">
        <v>0</v>
      </c>
      <c r="AV161" s="15"/>
      <c r="AW161" s="15"/>
      <c r="AX161" s="15"/>
      <c r="AY161" s="15"/>
      <c r="AZ161" s="15"/>
      <c r="BA161" s="15"/>
      <c r="BB161" s="16">
        <f t="shared" si="154"/>
        <v>0</v>
      </c>
    </row>
    <row r="162" spans="1:54" ht="93.6" outlineLevel="2">
      <c r="A162" s="98"/>
      <c r="B162" s="102"/>
      <c r="C162" s="23"/>
      <c r="D162" s="251"/>
      <c r="E162" s="251"/>
      <c r="F162" s="251"/>
      <c r="G162" s="250"/>
      <c r="H162" s="302" t="s">
        <v>503</v>
      </c>
      <c r="I162" s="104"/>
      <c r="J162" s="105"/>
      <c r="K162" s="105"/>
      <c r="L162" s="106" t="str">
        <f>IF(I162&lt;&gt;0,((VLOOKUP(I162,'1. Standard_Cost'!$B$4:$D$11,2)+VLOOKUP(I162,'1. Standard_Cost'!$B$4:$D$11,3))*J162*K162),"0")</f>
        <v>0</v>
      </c>
      <c r="M162" s="106">
        <f>L162*'1. Standard_Cost'!$F$4</f>
        <v>0</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c r="AB162" s="108">
        <f>+Z162*'1. Standard_Cost'!$B$23+AA162*'1. Standard_Cost'!$C$23</f>
        <v>0</v>
      </c>
      <c r="AC162" s="109"/>
      <c r="AD162" s="110"/>
      <c r="AE162" s="108">
        <f>SUM(AD162,AC162,AB162,Y162,U162,T162,S162,R162)*'1. Standard_Cost'!$B$31</f>
        <v>0</v>
      </c>
      <c r="AF162" s="108">
        <f t="shared" si="150"/>
        <v>0</v>
      </c>
      <c r="AG162" s="107"/>
      <c r="AH162" s="107"/>
      <c r="AI162" s="107"/>
      <c r="AJ162" s="111"/>
      <c r="AK162" s="111"/>
      <c r="AL162" s="111"/>
      <c r="AM162" s="108">
        <f>AG162*'1. Standard_Cost'!$B$27+'Incremental_Cost Year 4'!AH162*'1. Standard_Cost'!$C$27+'Incremental_Cost Year 4'!AI162*'1. Standard_Cost'!$D$27+'Incremental_Cost Year 4'!AJ162+'Incremental_Cost Year 4'!AL162+AK162</f>
        <v>0</v>
      </c>
      <c r="AN162" s="108">
        <f>AM162*'1. Standard_Cost'!$C$31</f>
        <v>0</v>
      </c>
      <c r="AO162" s="125" t="s">
        <v>382</v>
      </c>
      <c r="AQ162" s="14">
        <f t="shared" si="151"/>
        <v>0</v>
      </c>
      <c r="AR162" s="14">
        <f t="shared" si="152"/>
        <v>0</v>
      </c>
      <c r="AS162" s="14">
        <f t="shared" si="153"/>
        <v>0</v>
      </c>
      <c r="AT162" s="14">
        <f t="shared" si="155"/>
        <v>0</v>
      </c>
      <c r="AU162" s="15">
        <v>0</v>
      </c>
      <c r="AV162" s="15"/>
      <c r="AW162" s="15"/>
      <c r="AX162" s="15"/>
      <c r="AY162" s="15"/>
      <c r="AZ162" s="15"/>
      <c r="BA162" s="15"/>
      <c r="BB162" s="16">
        <f t="shared" si="154"/>
        <v>0</v>
      </c>
    </row>
    <row r="163" spans="1:54" ht="32.25" customHeight="1" outlineLevel="2">
      <c r="A163" s="98"/>
      <c r="B163" s="102"/>
      <c r="C163" s="23"/>
      <c r="D163" s="251"/>
      <c r="E163" s="251"/>
      <c r="F163" s="251"/>
      <c r="G163" s="250"/>
      <c r="H163" s="302" t="s">
        <v>504</v>
      </c>
      <c r="I163" s="104"/>
      <c r="J163" s="105"/>
      <c r="K163" s="105"/>
      <c r="L163" s="106" t="str">
        <f>IF(I163&lt;&gt;0,((VLOOKUP(I163,'1. Standard_Cost'!$B$4:$D$11,2)+VLOOKUP(I163,'1. Standard_Cost'!$B$4:$D$11,3))*J163*K163),"0")</f>
        <v>0</v>
      </c>
      <c r="M163" s="106">
        <f>L163*'1. Standard_Cost'!$F$4</f>
        <v>0</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150"/>
        <v>0</v>
      </c>
      <c r="AG163" s="107"/>
      <c r="AH163" s="107"/>
      <c r="AI163" s="107"/>
      <c r="AJ163" s="111"/>
      <c r="AK163" s="111"/>
      <c r="AL163" s="111"/>
      <c r="AM163" s="108">
        <f>AG163*'1. Standard_Cost'!$B$27+'Incremental_Cost Year 4'!AH163*'1. Standard_Cost'!$C$27+'Incremental_Cost Year 4'!AI163*'1. Standard_Cost'!$D$27+'Incremental_Cost Year 4'!AJ163+'Incremental_Cost Year 4'!AL163+AK163</f>
        <v>0</v>
      </c>
      <c r="AN163" s="108">
        <f>AM163*'1. Standard_Cost'!$C$31</f>
        <v>0</v>
      </c>
      <c r="AO163" s="125" t="s">
        <v>383</v>
      </c>
      <c r="AQ163" s="14">
        <f t="shared" si="151"/>
        <v>0</v>
      </c>
      <c r="AR163" s="14">
        <f t="shared" si="152"/>
        <v>0</v>
      </c>
      <c r="AS163" s="14">
        <f t="shared" si="153"/>
        <v>0</v>
      </c>
      <c r="AT163" s="14">
        <f t="shared" si="155"/>
        <v>0</v>
      </c>
      <c r="AU163" s="15">
        <v>0</v>
      </c>
      <c r="AV163" s="15"/>
      <c r="AW163" s="15"/>
      <c r="AX163" s="15"/>
      <c r="AY163" s="15"/>
      <c r="AZ163" s="15"/>
      <c r="BA163" s="15"/>
      <c r="BB163" s="16">
        <f t="shared" si="154"/>
        <v>0</v>
      </c>
    </row>
    <row r="164" spans="1:54" ht="45" customHeight="1" outlineLevel="2">
      <c r="A164" s="98"/>
      <c r="B164" s="102"/>
      <c r="C164" s="23"/>
      <c r="D164" s="251"/>
      <c r="E164" s="251"/>
      <c r="F164" s="251"/>
      <c r="G164" s="250"/>
      <c r="H164" s="302" t="s">
        <v>505</v>
      </c>
      <c r="I164" s="104"/>
      <c r="J164" s="105"/>
      <c r="K164" s="105"/>
      <c r="L164" s="106" t="str">
        <f>IF(I164&lt;&gt;0,((VLOOKUP(I164,'1. Standard_Cost'!$B$4:$D$11,2)+VLOOKUP(I164,'1. Standard_Cost'!$B$4:$D$11,3))*J164*K164),"0")</f>
        <v>0</v>
      </c>
      <c r="M164" s="106">
        <f>L164*'1. Standard_Cost'!$F$4</f>
        <v>0</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c r="AB164" s="108">
        <f>+Z164*'1. Standard_Cost'!$B$23+AA164*'1. Standard_Cost'!$C$23</f>
        <v>0</v>
      </c>
      <c r="AC164" s="109"/>
      <c r="AD164" s="110"/>
      <c r="AE164" s="108">
        <f>SUM(AD164,AC164,AB164,Y164,U164,T164,S164,R164)*'1. Standard_Cost'!$B$31</f>
        <v>0</v>
      </c>
      <c r="AF164" s="108">
        <f t="shared" si="150"/>
        <v>0</v>
      </c>
      <c r="AG164" s="107"/>
      <c r="AH164" s="107"/>
      <c r="AI164" s="107"/>
      <c r="AJ164" s="111"/>
      <c r="AK164" s="111"/>
      <c r="AL164" s="111"/>
      <c r="AM164" s="108">
        <f>AG164*'1. Standard_Cost'!$B$27+'Incremental_Cost Year 4'!AH164*'1. Standard_Cost'!$C$27+'Incremental_Cost Year 4'!AI164*'1. Standard_Cost'!$D$27+'Incremental_Cost Year 4'!AJ164+'Incremental_Cost Year 4'!AL164+AK164</f>
        <v>0</v>
      </c>
      <c r="AN164" s="108">
        <f>AM164*'1. Standard_Cost'!$C$31</f>
        <v>0</v>
      </c>
      <c r="AO164" s="125" t="s">
        <v>384</v>
      </c>
      <c r="AQ164" s="14">
        <f t="shared" si="151"/>
        <v>0</v>
      </c>
      <c r="AR164" s="14">
        <f t="shared" si="152"/>
        <v>0</v>
      </c>
      <c r="AS164" s="14">
        <f t="shared" si="153"/>
        <v>0</v>
      </c>
      <c r="AT164" s="14">
        <f t="shared" si="155"/>
        <v>0</v>
      </c>
      <c r="AU164" s="15">
        <v>0</v>
      </c>
      <c r="AV164" s="15"/>
      <c r="AW164" s="15"/>
      <c r="AX164" s="15"/>
      <c r="AY164" s="15"/>
      <c r="AZ164" s="15"/>
      <c r="BA164" s="15"/>
      <c r="BB164" s="16">
        <f t="shared" si="154"/>
        <v>0</v>
      </c>
    </row>
    <row r="165" spans="1:54" ht="124.8" outlineLevel="2">
      <c r="A165" s="98"/>
      <c r="B165" s="102"/>
      <c r="C165" s="23"/>
      <c r="D165" s="251"/>
      <c r="E165" s="251"/>
      <c r="F165" s="251"/>
      <c r="G165" s="250"/>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f>56000000*1.05*1.05*1.05</f>
        <v>64827000</v>
      </c>
      <c r="AD165" s="110"/>
      <c r="AE165" s="108">
        <f>SUM(AD165,AC165,AB165,Y165,U165,T165,S165,R165)*'1. Standard_Cost'!$B$31</f>
        <v>12965400</v>
      </c>
      <c r="AF165" s="108">
        <f t="shared" si="150"/>
        <v>77792400</v>
      </c>
      <c r="AG165" s="107">
        <v>0</v>
      </c>
      <c r="AH165" s="107"/>
      <c r="AI165" s="107"/>
      <c r="AJ165" s="111"/>
      <c r="AK165" s="111"/>
      <c r="AL165" s="111"/>
      <c r="AM165" s="108">
        <f>AG165*'1. Standard_Cost'!$B$27+'Incremental_Cost Year 4'!AH165*'1. Standard_Cost'!$C$27+'Incremental_Cost Year 4'!AI165*'1. Standard_Cost'!$D$27+'Incremental_Cost Year 4'!AJ165+'Incremental_Cost Year 4'!AL165+AK165</f>
        <v>0</v>
      </c>
      <c r="AN165" s="108">
        <f>AM165*'1. Standard_Cost'!$C$31</f>
        <v>0</v>
      </c>
      <c r="AO165" s="125" t="s">
        <v>385</v>
      </c>
      <c r="AQ165" s="14">
        <f t="shared" si="151"/>
        <v>282705.75</v>
      </c>
      <c r="AR165" s="14">
        <f t="shared" si="152"/>
        <v>77792400</v>
      </c>
      <c r="AS165" s="14">
        <f t="shared" si="153"/>
        <v>0</v>
      </c>
      <c r="AT165" s="14">
        <f t="shared" si="155"/>
        <v>78075105.75</v>
      </c>
      <c r="AU165" s="15">
        <v>78075105.75</v>
      </c>
      <c r="AV165" s="15"/>
      <c r="AW165" s="15"/>
      <c r="AX165" s="15"/>
      <c r="AY165" s="15"/>
      <c r="AZ165" s="15"/>
      <c r="BA165" s="15"/>
      <c r="BB165" s="16">
        <f t="shared" si="154"/>
        <v>0</v>
      </c>
    </row>
    <row r="166" spans="1:54" ht="161.4" customHeight="1" outlineLevel="2">
      <c r="A166" s="98"/>
      <c r="B166" s="102"/>
      <c r="C166" s="23"/>
      <c r="D166" s="251"/>
      <c r="E166" s="251"/>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0</v>
      </c>
      <c r="AD166" s="110"/>
      <c r="AE166" s="108">
        <f>SUM(AD166,AC166,AB166,Y166,U166,T166,S166,R166)*'[1]1. Standard_Cost'!$B$31</f>
        <v>0</v>
      </c>
      <c r="AF166" s="108">
        <f t="shared" si="150"/>
        <v>0</v>
      </c>
      <c r="AG166" s="107"/>
      <c r="AH166" s="107"/>
      <c r="AI166" s="107"/>
      <c r="AJ166" s="111"/>
      <c r="AK166" s="111"/>
      <c r="AL166" s="111"/>
      <c r="AM166" s="108">
        <f>AG166*'[1]1. Standard_Cost'!$B$27+'[1]Incremental_Cost Year 4'!AH166*'[1]1. Standard_Cost'!$C$27+'[1]Incremental_Cost Year 4'!AI166*'[1]1. Standard_Cost'!$D$27+'[1]Incremental_Cost Year 4'!AJ166+'[1]Incremental_Cost Year 4'!AL166+AK166</f>
        <v>0</v>
      </c>
      <c r="AN166" s="108">
        <f>AM166*'[1]1. Standard_Cost'!$C$31</f>
        <v>0</v>
      </c>
      <c r="AO166" s="125" t="s">
        <v>509</v>
      </c>
      <c r="AQ166" s="14">
        <f t="shared" si="151"/>
        <v>0</v>
      </c>
      <c r="AR166" s="14">
        <f t="shared" si="152"/>
        <v>0</v>
      </c>
      <c r="AS166" s="14">
        <f t="shared" si="153"/>
        <v>0</v>
      </c>
      <c r="AT166" s="14">
        <f t="shared" si="155"/>
        <v>0</v>
      </c>
      <c r="AU166" s="15"/>
      <c r="AV166" s="15"/>
      <c r="AW166" s="15"/>
      <c r="AX166" s="15"/>
      <c r="AY166" s="15">
        <v>0</v>
      </c>
      <c r="AZ166" s="15"/>
      <c r="BA166" s="15"/>
      <c r="BB166" s="16">
        <f t="shared" si="154"/>
        <v>0</v>
      </c>
    </row>
    <row r="167" spans="1:54" ht="32.25" customHeight="1" outlineLevel="2">
      <c r="A167" s="98"/>
      <c r="B167" s="102"/>
      <c r="C167" s="23"/>
      <c r="D167" s="251"/>
      <c r="E167" s="251"/>
      <c r="F167" s="251"/>
      <c r="G167" s="250"/>
      <c r="H167" s="302" t="s">
        <v>508</v>
      </c>
      <c r="I167" s="104" t="s">
        <v>4</v>
      </c>
      <c r="J167" s="105">
        <v>1</v>
      </c>
      <c r="K167" s="105">
        <v>2</v>
      </c>
      <c r="L167" s="106">
        <f>IF(I167&lt;&gt;0,((VLOOKUP(I167,'1. Standard_Cost'!$B$4:$D$11,2)+VLOOKUP(I167,'1. Standard_Cost'!$B$4:$D$11,3))*J167*K167),"0")</f>
        <v>161500</v>
      </c>
      <c r="M167" s="106">
        <f>L167*'1. Standard_Cost'!$F$4</f>
        <v>26970.5</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c r="AB167" s="108">
        <f>+Z167*'1. Standard_Cost'!$B$23+AA167*'1. Standard_Cost'!$C$23</f>
        <v>0</v>
      </c>
      <c r="AC167" s="109">
        <v>0</v>
      </c>
      <c r="AD167" s="110"/>
      <c r="AE167" s="108">
        <f>SUM(AD167,AC167,AB167,Y167,U167,T167,S167,R167)*'1. Standard_Cost'!$B$31</f>
        <v>0</v>
      </c>
      <c r="AF167" s="108">
        <f t="shared" si="150"/>
        <v>0</v>
      </c>
      <c r="AG167" s="107"/>
      <c r="AH167" s="107"/>
      <c r="AI167" s="107"/>
      <c r="AJ167" s="111"/>
      <c r="AK167" s="111"/>
      <c r="AL167" s="111"/>
      <c r="AM167" s="108">
        <f>AG167*'1. Standard_Cost'!$B$27+'Incremental_Cost Year 4'!AH167*'1. Standard_Cost'!$C$27+'Incremental_Cost Year 4'!AI167*'1. Standard_Cost'!$D$27+'Incremental_Cost Year 4'!AJ167+'Incremental_Cost Year 4'!AL167+AK167</f>
        <v>0</v>
      </c>
      <c r="AN167" s="108">
        <f>AM167*'1. Standard_Cost'!$C$31</f>
        <v>0</v>
      </c>
      <c r="AO167" s="137" t="s">
        <v>386</v>
      </c>
      <c r="AQ167" s="14">
        <f t="shared" si="151"/>
        <v>188470.5</v>
      </c>
      <c r="AR167" s="14">
        <f t="shared" si="152"/>
        <v>0</v>
      </c>
      <c r="AS167" s="14">
        <f t="shared" si="153"/>
        <v>0</v>
      </c>
      <c r="AT167" s="14">
        <f t="shared" si="155"/>
        <v>188470.5</v>
      </c>
      <c r="AU167" s="15">
        <v>188470.5</v>
      </c>
      <c r="AV167" s="15"/>
      <c r="AW167" s="15"/>
      <c r="AX167" s="15"/>
      <c r="AY167" s="15"/>
      <c r="AZ167" s="15"/>
      <c r="BA167" s="15"/>
      <c r="BB167" s="16">
        <f t="shared" si="154"/>
        <v>0</v>
      </c>
    </row>
    <row r="168" spans="1:54" ht="110.4" outlineLevel="1">
      <c r="A168" s="98"/>
      <c r="B168" s="102"/>
      <c r="C168" s="23"/>
      <c r="D168" s="56" t="s">
        <v>637</v>
      </c>
      <c r="E168" s="56" t="s">
        <v>234</v>
      </c>
      <c r="F168" s="253">
        <v>2021</v>
      </c>
      <c r="G168" s="254">
        <v>2026</v>
      </c>
      <c r="H168" s="279" t="s">
        <v>189</v>
      </c>
      <c r="I168" s="112"/>
      <c r="J168" s="112"/>
      <c r="K168" s="112"/>
      <c r="L168" s="113">
        <f>SUM(L144:L167)</f>
        <v>9237750</v>
      </c>
      <c r="M168" s="113">
        <f>SUM(M144:M167)</f>
        <v>1542704.2500000002</v>
      </c>
      <c r="N168" s="112"/>
      <c r="O168" s="112"/>
      <c r="P168" s="112"/>
      <c r="Q168" s="112"/>
      <c r="R168" s="113">
        <f t="shared" ref="R168:U168" si="156">SUM(R144:R167)</f>
        <v>100000</v>
      </c>
      <c r="S168" s="113">
        <f t="shared" si="156"/>
        <v>300000</v>
      </c>
      <c r="T168" s="113">
        <f t="shared" si="156"/>
        <v>125000</v>
      </c>
      <c r="U168" s="113">
        <f t="shared" si="156"/>
        <v>160000</v>
      </c>
      <c r="V168" s="112"/>
      <c r="W168" s="112"/>
      <c r="X168" s="112"/>
      <c r="Y168" s="113">
        <f>SUM(Y144:Y167)</f>
        <v>0</v>
      </c>
      <c r="Z168" s="113"/>
      <c r="AA168" s="112"/>
      <c r="AB168" s="113">
        <f t="shared" ref="AB168:AF168" si="157">SUM(AB144:AB167)</f>
        <v>646000</v>
      </c>
      <c r="AC168" s="113">
        <f t="shared" si="157"/>
        <v>68155000</v>
      </c>
      <c r="AD168" s="113">
        <f t="shared" si="157"/>
        <v>0</v>
      </c>
      <c r="AE168" s="113">
        <f t="shared" si="157"/>
        <v>13414000</v>
      </c>
      <c r="AF168" s="113">
        <f t="shared" si="157"/>
        <v>82900000</v>
      </c>
      <c r="AG168" s="112"/>
      <c r="AH168" s="112"/>
      <c r="AI168" s="112"/>
      <c r="AJ168" s="113">
        <f t="shared" ref="AJ168:AL168" si="158">SUM(AJ144:AJ167)</f>
        <v>0</v>
      </c>
      <c r="AK168" s="113">
        <f t="shared" si="158"/>
        <v>0</v>
      </c>
      <c r="AL168" s="113">
        <f t="shared" si="158"/>
        <v>0</v>
      </c>
      <c r="AM168" s="113">
        <f t="shared" ref="AM168:AN168" si="159">SUM(AM144:AM167)</f>
        <v>0</v>
      </c>
      <c r="AN168" s="113">
        <f t="shared" si="159"/>
        <v>0</v>
      </c>
      <c r="AO168" s="131"/>
      <c r="AP168" s="17"/>
      <c r="AQ168" s="113">
        <f t="shared" ref="AQ168:BB168" si="160">SUM(AQ144:AQ167)</f>
        <v>10780454.25</v>
      </c>
      <c r="AR168" s="113">
        <f t="shared" si="160"/>
        <v>82900000</v>
      </c>
      <c r="AS168" s="113">
        <f t="shared" si="160"/>
        <v>0</v>
      </c>
      <c r="AT168" s="113">
        <f t="shared" si="160"/>
        <v>93680454.25</v>
      </c>
      <c r="AU168" s="113">
        <f t="shared" si="160"/>
        <v>90306854.25</v>
      </c>
      <c r="AV168" s="113">
        <f t="shared" si="160"/>
        <v>0</v>
      </c>
      <c r="AW168" s="113">
        <f t="shared" si="160"/>
        <v>0</v>
      </c>
      <c r="AX168" s="113">
        <f t="shared" si="160"/>
        <v>0</v>
      </c>
      <c r="AY168" s="113">
        <f t="shared" si="160"/>
        <v>0</v>
      </c>
      <c r="AZ168" s="113">
        <f t="shared" si="160"/>
        <v>0</v>
      </c>
      <c r="BA168" s="113">
        <f t="shared" si="160"/>
        <v>0</v>
      </c>
      <c r="BB168" s="113">
        <f t="shared" si="160"/>
        <v>-3373600</v>
      </c>
    </row>
    <row r="169" spans="1:54" ht="93.6" outlineLevel="2">
      <c r="A169" s="98"/>
      <c r="B169" s="102"/>
      <c r="C169" s="23"/>
      <c r="D169" s="257"/>
      <c r="E169" s="123"/>
      <c r="F169" s="249"/>
      <c r="G169" s="283"/>
      <c r="H169" s="302" t="s">
        <v>511</v>
      </c>
      <c r="I169" s="104"/>
      <c r="J169" s="105"/>
      <c r="K169" s="105"/>
      <c r="L169" s="106" t="str">
        <f>IF(I169&lt;&gt;0,((VLOOKUP(I169,'1. Standard_Cost'!$B$4:$D$11,2)+VLOOKUP(I169,'1. Standard_Cost'!$B$4:$D$11,3))*J169*K169),"0")</f>
        <v>0</v>
      </c>
      <c r="M169" s="106">
        <f>L169*'1. Standard_Cost'!$F$4</f>
        <v>0</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c r="AB169" s="108">
        <f>+Z169*'1. Standard_Cost'!$B$23+AA169*'1. Standard_Cost'!$C$23</f>
        <v>0</v>
      </c>
      <c r="AC169" s="109"/>
      <c r="AD169" s="110"/>
      <c r="AE169" s="108">
        <f>SUM(AD169,AC169,AB169,Y169,U169,T169,S169,R169)*'1. Standard_Cost'!$B$31</f>
        <v>0</v>
      </c>
      <c r="AF169" s="108">
        <f t="shared" ref="AF169:AF177" si="161">SUM(AE169,AD169,AC169,AB169,Y169,U169,T169,S169,R169)</f>
        <v>0</v>
      </c>
      <c r="AG169" s="107"/>
      <c r="AH169" s="107"/>
      <c r="AI169" s="107"/>
      <c r="AJ169" s="111"/>
      <c r="AK169" s="111"/>
      <c r="AL169" s="111"/>
      <c r="AM169" s="108">
        <f>AG169*'1. Standard_Cost'!$B$27+'Incremental_Cost Year 4'!AH169*'1. Standard_Cost'!$C$27+'Incremental_Cost Year 4'!AI169*'1. Standard_Cost'!$D$27+'Incremental_Cost Year 4'!AJ169+'Incremental_Cost Year 4'!AL169+AK169</f>
        <v>0</v>
      </c>
      <c r="AN169" s="108">
        <f>AM169*'1. Standard_Cost'!$C$31</f>
        <v>0</v>
      </c>
      <c r="AO169" s="125" t="s">
        <v>387</v>
      </c>
      <c r="AQ169" s="14">
        <f t="shared" ref="AQ169:AQ177" si="162">L169+M169</f>
        <v>0</v>
      </c>
      <c r="AR169" s="14">
        <f t="shared" ref="AR169:AR177" si="163">AF169</f>
        <v>0</v>
      </c>
      <c r="AS169" s="14">
        <f t="shared" ref="AS169:AS177" si="164">AM169+AN169</f>
        <v>0</v>
      </c>
      <c r="AT169" s="14">
        <f>SUM(AQ169,AR169,AS169)</f>
        <v>0</v>
      </c>
      <c r="AU169" s="15">
        <v>0</v>
      </c>
      <c r="AV169" s="15"/>
      <c r="AW169" s="15"/>
      <c r="AX169" s="15"/>
      <c r="AY169" s="15"/>
      <c r="AZ169" s="15"/>
      <c r="BA169" s="15"/>
      <c r="BB169" s="16">
        <f t="shared" ref="BB169:BB177" si="165">SUM(AU169:BA169)-AT169</f>
        <v>0</v>
      </c>
    </row>
    <row r="170" spans="1:54" ht="46.8" outlineLevel="2">
      <c r="A170" s="98"/>
      <c r="B170" s="102"/>
      <c r="C170" s="23"/>
      <c r="D170" s="269"/>
      <c r="E170" s="271"/>
      <c r="F170" s="250"/>
      <c r="G170" s="255"/>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61"/>
        <v>0</v>
      </c>
      <c r="AG170" s="107"/>
      <c r="AH170" s="107"/>
      <c r="AI170" s="107"/>
      <c r="AJ170" s="111"/>
      <c r="AK170" s="111"/>
      <c r="AL170" s="111"/>
      <c r="AM170" s="108">
        <f>AG170*'1. Standard_Cost'!$B$27+'Incremental_Cost Year 4'!AH170*'1. Standard_Cost'!$C$27+'Incremental_Cost Year 4'!AI170*'1. Standard_Cost'!$D$27+'Incremental_Cost Year 4'!AJ170+'Incremental_Cost Year 4'!AL170+AK170</f>
        <v>0</v>
      </c>
      <c r="AN170" s="108">
        <f>AM170*'1. Standard_Cost'!$C$31</f>
        <v>0</v>
      </c>
      <c r="AO170" s="125" t="s">
        <v>388</v>
      </c>
      <c r="AQ170" s="14">
        <f t="shared" si="162"/>
        <v>0</v>
      </c>
      <c r="AR170" s="14">
        <f t="shared" si="163"/>
        <v>0</v>
      </c>
      <c r="AS170" s="14">
        <f t="shared" si="164"/>
        <v>0</v>
      </c>
      <c r="AT170" s="14">
        <f t="shared" ref="AT170:AT177" si="166">SUM(AQ170,AR170,AS170)</f>
        <v>0</v>
      </c>
      <c r="AU170" s="15"/>
      <c r="AV170" s="15"/>
      <c r="AW170" s="15"/>
      <c r="AX170" s="15"/>
      <c r="AY170" s="15"/>
      <c r="AZ170" s="15"/>
      <c r="BA170" s="15"/>
      <c r="BB170" s="16">
        <f t="shared" si="165"/>
        <v>0</v>
      </c>
    </row>
    <row r="171" spans="1:54" ht="78" outlineLevel="2">
      <c r="A171" s="98"/>
      <c r="B171" s="102"/>
      <c r="C171" s="23"/>
      <c r="D171" s="269"/>
      <c r="E171" s="271"/>
      <c r="F171" s="250"/>
      <c r="G171" s="255"/>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61"/>
        <v>0</v>
      </c>
      <c r="AG171" s="107"/>
      <c r="AH171" s="107"/>
      <c r="AI171" s="107"/>
      <c r="AJ171" s="111"/>
      <c r="AK171" s="111"/>
      <c r="AL171" s="111"/>
      <c r="AM171" s="108">
        <f>AG171*'1. Standard_Cost'!$B$27+'Incremental_Cost Year 4'!AH171*'1. Standard_Cost'!$C$27+'Incremental_Cost Year 4'!AI171*'1. Standard_Cost'!$D$27+'Incremental_Cost Year 4'!AJ171+'Incremental_Cost Year 4'!AL171+AK171</f>
        <v>0</v>
      </c>
      <c r="AN171" s="108">
        <f>AM171*'1. Standard_Cost'!$C$31</f>
        <v>0</v>
      </c>
      <c r="AO171" s="125" t="s">
        <v>389</v>
      </c>
      <c r="AQ171" s="14">
        <f t="shared" si="162"/>
        <v>0</v>
      </c>
      <c r="AR171" s="14">
        <f t="shared" si="163"/>
        <v>0</v>
      </c>
      <c r="AS171" s="14">
        <f t="shared" si="164"/>
        <v>0</v>
      </c>
      <c r="AT171" s="14">
        <f t="shared" si="166"/>
        <v>0</v>
      </c>
      <c r="AU171" s="15"/>
      <c r="AV171" s="15"/>
      <c r="AW171" s="15"/>
      <c r="AX171" s="15"/>
      <c r="AY171" s="15"/>
      <c r="AZ171" s="15"/>
      <c r="BA171" s="15"/>
      <c r="BB171" s="16">
        <f t="shared" si="165"/>
        <v>0</v>
      </c>
    </row>
    <row r="172" spans="1:54" ht="46.8" outlineLevel="2">
      <c r="A172" s="98"/>
      <c r="B172" s="102"/>
      <c r="C172" s="23"/>
      <c r="D172" s="269"/>
      <c r="E172" s="271"/>
      <c r="F172" s="250"/>
      <c r="G172" s="255"/>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61"/>
        <v>0</v>
      </c>
      <c r="AG172" s="107"/>
      <c r="AH172" s="107"/>
      <c r="AI172" s="107"/>
      <c r="AJ172" s="111"/>
      <c r="AK172" s="111"/>
      <c r="AL172" s="111"/>
      <c r="AM172" s="108">
        <f>AG172*'1. Standard_Cost'!$B$27+'Incremental_Cost Year 4'!AH172*'1. Standard_Cost'!$C$27+'Incremental_Cost Year 4'!AI172*'1. Standard_Cost'!$D$27+'Incremental_Cost Year 4'!AJ172+'Incremental_Cost Year 4'!AL172+AK172</f>
        <v>0</v>
      </c>
      <c r="AN172" s="108">
        <f>AM172*'1. Standard_Cost'!$C$31</f>
        <v>0</v>
      </c>
      <c r="AO172" s="125" t="s">
        <v>390</v>
      </c>
      <c r="AQ172" s="14">
        <f t="shared" si="162"/>
        <v>0</v>
      </c>
      <c r="AR172" s="14">
        <f t="shared" si="163"/>
        <v>0</v>
      </c>
      <c r="AS172" s="14">
        <f t="shared" si="164"/>
        <v>0</v>
      </c>
      <c r="AT172" s="14">
        <f t="shared" si="166"/>
        <v>0</v>
      </c>
      <c r="AU172" s="15"/>
      <c r="AV172" s="15"/>
      <c r="AW172" s="15"/>
      <c r="AX172" s="15"/>
      <c r="AY172" s="15"/>
      <c r="AZ172" s="15"/>
      <c r="BA172" s="15"/>
      <c r="BB172" s="16">
        <f t="shared" si="165"/>
        <v>0</v>
      </c>
    </row>
    <row r="173" spans="1:54" ht="46.8" outlineLevel="2">
      <c r="A173" s="98"/>
      <c r="B173" s="102"/>
      <c r="C173" s="23"/>
      <c r="D173" s="269"/>
      <c r="E173" s="271"/>
      <c r="F173" s="250"/>
      <c r="G173" s="255"/>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61"/>
        <v>0</v>
      </c>
      <c r="AG173" s="107"/>
      <c r="AH173" s="107"/>
      <c r="AI173" s="107"/>
      <c r="AJ173" s="111"/>
      <c r="AK173" s="111"/>
      <c r="AL173" s="111"/>
      <c r="AM173" s="108">
        <f>AG173*'1. Standard_Cost'!$B$27+'Incremental_Cost Year 4'!AH173*'1. Standard_Cost'!$C$27+'Incremental_Cost Year 4'!AI173*'1. Standard_Cost'!$D$27+'Incremental_Cost Year 4'!AJ173+'Incremental_Cost Year 4'!AL173+AK173</f>
        <v>0</v>
      </c>
      <c r="AN173" s="108">
        <f>AM173*'1. Standard_Cost'!$C$31</f>
        <v>0</v>
      </c>
      <c r="AO173" s="125" t="s">
        <v>391</v>
      </c>
      <c r="AQ173" s="14">
        <f t="shared" si="162"/>
        <v>0</v>
      </c>
      <c r="AR173" s="14">
        <f t="shared" si="163"/>
        <v>0</v>
      </c>
      <c r="AS173" s="14">
        <f t="shared" si="164"/>
        <v>0</v>
      </c>
      <c r="AT173" s="14">
        <f t="shared" si="166"/>
        <v>0</v>
      </c>
      <c r="AU173" s="15"/>
      <c r="AV173" s="15"/>
      <c r="AW173" s="15"/>
      <c r="AX173" s="15"/>
      <c r="AY173" s="15"/>
      <c r="AZ173" s="15"/>
      <c r="BA173" s="15"/>
      <c r="BB173" s="16">
        <f t="shared" si="165"/>
        <v>0</v>
      </c>
    </row>
    <row r="174" spans="1:54" ht="78" outlineLevel="2">
      <c r="A174" s="98"/>
      <c r="B174" s="102"/>
      <c r="C174" s="23"/>
      <c r="D174" s="269"/>
      <c r="E174" s="271"/>
      <c r="F174" s="250"/>
      <c r="G174" s="255"/>
      <c r="H174" s="302" t="s">
        <v>512</v>
      </c>
      <c r="I174" s="104"/>
      <c r="J174" s="105"/>
      <c r="K174" s="105"/>
      <c r="L174" s="106" t="str">
        <f>IF(I174&lt;&gt;0,((VLOOKUP(I174,'1. Standard_Cost'!$B$4:$D$11,2)+VLOOKUP(I174,'1. Standard_Cost'!$B$4:$D$11,3))*J174*K174),"0")</f>
        <v>0</v>
      </c>
      <c r="M174" s="106">
        <f>L174*'1. Standard_Cost'!$F$4</f>
        <v>0</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c r="AB174" s="108">
        <f>+Z174*'1. Standard_Cost'!$B$23+AA174*'1. Standard_Cost'!$C$23</f>
        <v>0</v>
      </c>
      <c r="AC174" s="109"/>
      <c r="AD174" s="110"/>
      <c r="AE174" s="108">
        <f>SUM(AD174,AC174,AB174,Y174,U174,T174,S174,R174)*'1. Standard_Cost'!$B$31</f>
        <v>0</v>
      </c>
      <c r="AF174" s="108">
        <f t="shared" si="161"/>
        <v>0</v>
      </c>
      <c r="AG174" s="107"/>
      <c r="AH174" s="107"/>
      <c r="AI174" s="107"/>
      <c r="AJ174" s="111"/>
      <c r="AK174" s="111"/>
      <c r="AL174" s="111"/>
      <c r="AM174" s="108">
        <f>AG174*'1. Standard_Cost'!$B$27+'Incremental_Cost Year 4'!AH174*'1. Standard_Cost'!$C$27+'Incremental_Cost Year 4'!AI174*'1. Standard_Cost'!$D$27+'Incremental_Cost Year 4'!AJ174+'Incremental_Cost Year 4'!AL174+AK174</f>
        <v>0</v>
      </c>
      <c r="AN174" s="108">
        <f>AM174*'1. Standard_Cost'!$C$31</f>
        <v>0</v>
      </c>
      <c r="AO174" s="125" t="s">
        <v>392</v>
      </c>
      <c r="AQ174" s="14">
        <f t="shared" si="162"/>
        <v>0</v>
      </c>
      <c r="AR174" s="14">
        <f t="shared" si="163"/>
        <v>0</v>
      </c>
      <c r="AS174" s="14">
        <f t="shared" si="164"/>
        <v>0</v>
      </c>
      <c r="AT174" s="14">
        <f t="shared" si="166"/>
        <v>0</v>
      </c>
      <c r="AU174" s="15">
        <v>0</v>
      </c>
      <c r="AV174" s="15"/>
      <c r="AW174" s="15"/>
      <c r="AX174" s="15"/>
      <c r="AY174" s="15"/>
      <c r="AZ174" s="15"/>
      <c r="BA174" s="15"/>
      <c r="BB174" s="16">
        <f t="shared" si="165"/>
        <v>0</v>
      </c>
    </row>
    <row r="175" spans="1:54" ht="140.4" outlineLevel="2">
      <c r="A175" s="98"/>
      <c r="B175" s="102"/>
      <c r="C175" s="23"/>
      <c r="D175" s="269"/>
      <c r="E175" s="271"/>
      <c r="F175" s="250"/>
      <c r="G175" s="255"/>
      <c r="H175" s="302" t="s">
        <v>513</v>
      </c>
      <c r="I175" s="104" t="s">
        <v>4</v>
      </c>
      <c r="J175" s="105">
        <v>0.4</v>
      </c>
      <c r="K175" s="105">
        <v>1</v>
      </c>
      <c r="L175" s="106">
        <f>IF(I175&lt;&gt;0,((VLOOKUP(I175,'1. Standard_Cost'!$B$4:$D$11,2)+VLOOKUP(I175,'1. Standard_Cost'!$B$4:$D$11,3))*J175*K175),"0")</f>
        <v>32300</v>
      </c>
      <c r="M175" s="106">
        <f>L175*'1. Standard_Cost'!$F$4</f>
        <v>5394.1</v>
      </c>
      <c r="N175" s="107">
        <v>10</v>
      </c>
      <c r="O175" s="107">
        <v>2</v>
      </c>
      <c r="P175" s="107">
        <v>15</v>
      </c>
      <c r="Q175" s="107">
        <v>1</v>
      </c>
      <c r="R175" s="108">
        <f>'1. Standard_Cost'!$B$15*N175*P175</f>
        <v>300000</v>
      </c>
      <c r="S175" s="108">
        <f>N175*O175*P175*'1. Standard_Cost'!$C$15</f>
        <v>450000</v>
      </c>
      <c r="T175" s="108">
        <f>N175*P175*Q175*'1. Standard_Cost'!$D$15</f>
        <v>750000</v>
      </c>
      <c r="U175" s="108">
        <v>0</v>
      </c>
      <c r="V175" s="107"/>
      <c r="W175" s="107"/>
      <c r="X175" s="107"/>
      <c r="Y175" s="108">
        <f>+V175*((X175*'1. Standard_Cost'!$B$19)+(W175*X175*'1. Standard_Cost'!$C$19))</f>
        <v>0</v>
      </c>
      <c r="Z175" s="107"/>
      <c r="AA175" s="107"/>
      <c r="AB175" s="108">
        <f>+Z175*'1. Standard_Cost'!$B$23+AA175*'1. Standard_Cost'!$C$23</f>
        <v>0</v>
      </c>
      <c r="AC175" s="109"/>
      <c r="AD175" s="110"/>
      <c r="AE175" s="108">
        <v>0</v>
      </c>
      <c r="AF175" s="108">
        <f t="shared" si="161"/>
        <v>1500000</v>
      </c>
      <c r="AG175" s="107"/>
      <c r="AH175" s="107"/>
      <c r="AI175" s="107"/>
      <c r="AJ175" s="111"/>
      <c r="AK175" s="111"/>
      <c r="AL175" s="111"/>
      <c r="AM175" s="108">
        <f>AG175*'1. Standard_Cost'!$B$27+'Incremental_Cost Year 4'!AH175*'1. Standard_Cost'!$C$27+'Incremental_Cost Year 4'!AI175*'1. Standard_Cost'!$D$27+'Incremental_Cost Year 4'!AJ175+'Incremental_Cost Year 4'!AL175+AK175</f>
        <v>0</v>
      </c>
      <c r="AN175" s="108">
        <f>AM175*'1. Standard_Cost'!$C$31</f>
        <v>0</v>
      </c>
      <c r="AO175" s="125" t="s">
        <v>393</v>
      </c>
      <c r="AQ175" s="14">
        <f t="shared" si="162"/>
        <v>37694.1</v>
      </c>
      <c r="AR175" s="14">
        <f t="shared" si="163"/>
        <v>1500000</v>
      </c>
      <c r="AS175" s="14">
        <f t="shared" si="164"/>
        <v>0</v>
      </c>
      <c r="AT175" s="14">
        <f t="shared" si="166"/>
        <v>1537694.1</v>
      </c>
      <c r="AU175" s="15">
        <v>37694.1</v>
      </c>
      <c r="AV175" s="15"/>
      <c r="AW175" s="15"/>
      <c r="AX175" s="15"/>
      <c r="AY175" s="15"/>
      <c r="AZ175" s="15"/>
      <c r="BA175" s="15"/>
      <c r="BB175" s="16">
        <f t="shared" si="165"/>
        <v>-1500000</v>
      </c>
    </row>
    <row r="176" spans="1:54" ht="25.2" customHeight="1" outlineLevel="2">
      <c r="A176" s="98"/>
      <c r="B176" s="102"/>
      <c r="C176" s="23"/>
      <c r="D176" s="269"/>
      <c r="E176" s="271"/>
      <c r="F176" s="27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v>22</v>
      </c>
      <c r="AB176" s="108">
        <f>+Z176*'[1]1. Standard_Cost'!$B$23+AA176*'[1]1. Standard_Cost'!$C$23</f>
        <v>418000</v>
      </c>
      <c r="AC176" s="109"/>
      <c r="AD176" s="110"/>
      <c r="AE176" s="108">
        <v>0</v>
      </c>
      <c r="AF176" s="108">
        <f t="shared" si="161"/>
        <v>418000</v>
      </c>
      <c r="AG176" s="107"/>
      <c r="AH176" s="107"/>
      <c r="AI176" s="107"/>
      <c r="AJ176" s="111"/>
      <c r="AK176" s="111"/>
      <c r="AL176" s="111"/>
      <c r="AM176" s="108">
        <f>AG176*'[1]1. Standard_Cost'!$B$27+'[1]Incremental_Cost Year 4'!AH176*'[1]1. Standard_Cost'!$C$27+'[1]Incremental_Cost Year 4'!AI176*'[1]1. Standard_Cost'!$D$27+'[1]Incremental_Cost Year 4'!AJ176+'[1]Incremental_Cost Year 4'!AL176+AK176</f>
        <v>0</v>
      </c>
      <c r="AN176" s="108">
        <f>AM176*'[1]1. Standard_Cost'!$C$31</f>
        <v>0</v>
      </c>
      <c r="AO176" s="125" t="s">
        <v>393</v>
      </c>
      <c r="AQ176" s="14">
        <f t="shared" si="162"/>
        <v>0</v>
      </c>
      <c r="AR176" s="14">
        <f t="shared" si="163"/>
        <v>418000</v>
      </c>
      <c r="AS176" s="14">
        <f t="shared" si="164"/>
        <v>0</v>
      </c>
      <c r="AT176" s="14">
        <f t="shared" si="166"/>
        <v>418000</v>
      </c>
      <c r="AU176" s="15"/>
      <c r="AV176" s="15"/>
      <c r="AW176" s="15"/>
      <c r="AX176" s="15"/>
      <c r="AY176" s="15"/>
      <c r="AZ176" s="15"/>
      <c r="BA176" s="15"/>
      <c r="BB176" s="16">
        <f t="shared" si="165"/>
        <v>-418000</v>
      </c>
    </row>
    <row r="177" spans="1:54" ht="156" outlineLevel="2">
      <c r="A177" s="98"/>
      <c r="B177" s="102"/>
      <c r="C177" s="23"/>
      <c r="D177" s="269"/>
      <c r="E177" s="271"/>
      <c r="F177" s="250"/>
      <c r="G177" s="255"/>
      <c r="H177" s="302" t="s">
        <v>514</v>
      </c>
      <c r="I177" s="104" t="s">
        <v>4</v>
      </c>
      <c r="J177" s="105">
        <v>0.4</v>
      </c>
      <c r="K177" s="105">
        <v>1</v>
      </c>
      <c r="L177" s="106">
        <f>IF(I177&lt;&gt;0,((VLOOKUP(I177,'1. Standard_Cost'!$B$4:$D$11,2)+VLOOKUP(I177,'1. Standard_Cost'!$B$4:$D$11,3))*J177*K177),"0")</f>
        <v>32300</v>
      </c>
      <c r="M177" s="106">
        <f>L177*'1. Standard_Cost'!$F$4</f>
        <v>5394.1</v>
      </c>
      <c r="N177" s="107">
        <v>10</v>
      </c>
      <c r="O177" s="107">
        <v>2</v>
      </c>
      <c r="P177" s="107">
        <v>15</v>
      </c>
      <c r="Q177" s="107">
        <v>1</v>
      </c>
      <c r="R177" s="108">
        <v>0</v>
      </c>
      <c r="S177" s="108">
        <v>0</v>
      </c>
      <c r="T177" s="108">
        <v>0</v>
      </c>
      <c r="U177" s="108">
        <v>0</v>
      </c>
      <c r="V177" s="107"/>
      <c r="W177" s="107"/>
      <c r="X177" s="107"/>
      <c r="Y177" s="108">
        <f>+V177*((X177*'1. Standard_Cost'!$B$19)+(W177*X177*'1. Standard_Cost'!$C$19))</f>
        <v>0</v>
      </c>
      <c r="Z177" s="107"/>
      <c r="AA177" s="107">
        <v>10</v>
      </c>
      <c r="AB177" s="108">
        <f>+Z177*'1. Standard_Cost'!$B$23+AA177*'1. Standard_Cost'!$C$23</f>
        <v>190000</v>
      </c>
      <c r="AC177" s="109">
        <f>150*3500*2+150*500*2</f>
        <v>1200000</v>
      </c>
      <c r="AD177" s="110"/>
      <c r="AE177" s="108">
        <f>SUM(AD177,AC177,AB177,Y177,U177,T177,S177,R177)*'1. Standard_Cost'!$B$31</f>
        <v>278000</v>
      </c>
      <c r="AF177" s="108">
        <f t="shared" si="161"/>
        <v>1668000</v>
      </c>
      <c r="AG177" s="107"/>
      <c r="AH177" s="107"/>
      <c r="AI177" s="107"/>
      <c r="AJ177" s="111"/>
      <c r="AK177" s="111"/>
      <c r="AL177" s="111"/>
      <c r="AM177" s="108">
        <f>AG177*'1. Standard_Cost'!$B$27+'Incremental_Cost Year 4'!AH177*'1. Standard_Cost'!$C$27+'Incremental_Cost Year 4'!AI177*'1. Standard_Cost'!$D$27+'Incremental_Cost Year 4'!AJ177+'Incremental_Cost Year 4'!AL177+AK177</f>
        <v>0</v>
      </c>
      <c r="AN177" s="108">
        <f>AM177*'1. Standard_Cost'!$C$31</f>
        <v>0</v>
      </c>
      <c r="AO177" s="125" t="s">
        <v>394</v>
      </c>
      <c r="AQ177" s="14">
        <f t="shared" si="162"/>
        <v>37694.1</v>
      </c>
      <c r="AR177" s="14">
        <f t="shared" si="163"/>
        <v>1668000</v>
      </c>
      <c r="AS177" s="14">
        <f t="shared" si="164"/>
        <v>0</v>
      </c>
      <c r="AT177" s="14">
        <f t="shared" si="166"/>
        <v>1705694.1</v>
      </c>
      <c r="AU177" s="15">
        <v>37694.1</v>
      </c>
      <c r="AV177" s="15"/>
      <c r="AW177" s="15"/>
      <c r="AX177" s="15"/>
      <c r="AY177" s="15"/>
      <c r="AZ177" s="15">
        <v>1668000</v>
      </c>
      <c r="BA177" s="15"/>
      <c r="BB177" s="16">
        <f t="shared" si="165"/>
        <v>0</v>
      </c>
    </row>
    <row r="178" spans="1:54" ht="27.6" outlineLevel="1">
      <c r="A178" s="98"/>
      <c r="B178" s="102"/>
      <c r="C178" s="23"/>
      <c r="D178" s="31" t="s">
        <v>638</v>
      </c>
      <c r="E178" s="56" t="s">
        <v>239</v>
      </c>
      <c r="F178" s="253">
        <v>2021</v>
      </c>
      <c r="G178" s="254">
        <v>2026</v>
      </c>
      <c r="H178" s="279" t="s">
        <v>240</v>
      </c>
      <c r="I178" s="112"/>
      <c r="J178" s="112"/>
      <c r="K178" s="112"/>
      <c r="L178" s="113">
        <f>SUM(L169:L177)</f>
        <v>64600</v>
      </c>
      <c r="M178" s="113">
        <f>SUM(M169:M177)</f>
        <v>10788.2</v>
      </c>
      <c r="N178" s="112"/>
      <c r="O178" s="112"/>
      <c r="P178" s="112"/>
      <c r="Q178" s="112"/>
      <c r="R178" s="113">
        <f>SUM(R169:R177)</f>
        <v>300000</v>
      </c>
      <c r="S178" s="113">
        <f>SUM(S169:S177)</f>
        <v>450000</v>
      </c>
      <c r="T178" s="113">
        <f>SUM(T169:T177)</f>
        <v>750000</v>
      </c>
      <c r="U178" s="113">
        <f>SUM(U169:U177)</f>
        <v>0</v>
      </c>
      <c r="V178" s="112"/>
      <c r="W178" s="112"/>
      <c r="X178" s="112"/>
      <c r="Y178" s="113">
        <f>SUM(Y169:Y177)</f>
        <v>0</v>
      </c>
      <c r="Z178" s="113"/>
      <c r="AA178" s="112"/>
      <c r="AB178" s="113">
        <f>SUM(AB169:AB177)</f>
        <v>608000</v>
      </c>
      <c r="AC178" s="113">
        <f>SUM(AC169:AC177)</f>
        <v>1200000</v>
      </c>
      <c r="AD178" s="113">
        <f>SUM(AD169:AD177)</f>
        <v>0</v>
      </c>
      <c r="AE178" s="113">
        <f>SUM(AE169:AE177)</f>
        <v>278000</v>
      </c>
      <c r="AF178" s="113">
        <f>SUM(AF169:AF177)</f>
        <v>3586000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BB178" si="167">SUM(AQ169:AQ177)</f>
        <v>75388.2</v>
      </c>
      <c r="AR178" s="113">
        <f t="shared" si="167"/>
        <v>3586000</v>
      </c>
      <c r="AS178" s="113">
        <f t="shared" si="167"/>
        <v>0</v>
      </c>
      <c r="AT178" s="113">
        <f t="shared" si="167"/>
        <v>3661388.2</v>
      </c>
      <c r="AU178" s="113">
        <f t="shared" si="167"/>
        <v>75388.2</v>
      </c>
      <c r="AV178" s="113">
        <f t="shared" si="167"/>
        <v>0</v>
      </c>
      <c r="AW178" s="113">
        <f t="shared" si="167"/>
        <v>0</v>
      </c>
      <c r="AX178" s="113">
        <f t="shared" si="167"/>
        <v>0</v>
      </c>
      <c r="AY178" s="113">
        <f t="shared" si="167"/>
        <v>0</v>
      </c>
      <c r="AZ178" s="113">
        <f t="shared" si="167"/>
        <v>1668000</v>
      </c>
      <c r="BA178" s="113">
        <f t="shared" si="167"/>
        <v>0</v>
      </c>
      <c r="BB178" s="113">
        <f t="shared" si="167"/>
        <v>-1918000</v>
      </c>
    </row>
    <row r="179" spans="1:54" s="24" customFormat="1" ht="13.8" customHeight="1">
      <c r="A179" s="114"/>
      <c r="B179" s="115"/>
      <c r="C179" s="314" t="s">
        <v>241</v>
      </c>
      <c r="D179" s="314"/>
      <c r="E179" s="315"/>
      <c r="F179" s="246"/>
      <c r="G179" s="246"/>
      <c r="H179" s="278" t="s">
        <v>242</v>
      </c>
      <c r="I179" s="116"/>
      <c r="J179" s="116"/>
      <c r="K179" s="116"/>
      <c r="L179" s="117">
        <f>SUM(L201)</f>
        <v>18542250</v>
      </c>
      <c r="M179" s="117">
        <f>SUM(M201)</f>
        <v>3096555.75</v>
      </c>
      <c r="N179" s="116"/>
      <c r="O179" s="116"/>
      <c r="P179" s="116"/>
      <c r="Q179" s="116"/>
      <c r="R179" s="117">
        <f t="shared" ref="R179:U179" si="168">SUM(R201)</f>
        <v>440000</v>
      </c>
      <c r="S179" s="117">
        <f t="shared" si="168"/>
        <v>660000</v>
      </c>
      <c r="T179" s="117">
        <f t="shared" si="168"/>
        <v>1100000</v>
      </c>
      <c r="U179" s="117">
        <f t="shared" si="168"/>
        <v>0</v>
      </c>
      <c r="V179" s="116"/>
      <c r="W179" s="116"/>
      <c r="X179" s="116"/>
      <c r="Y179" s="117">
        <f>SUM(Y201)</f>
        <v>0</v>
      </c>
      <c r="Z179" s="117"/>
      <c r="AA179" s="117"/>
      <c r="AB179" s="117">
        <f t="shared" ref="AB179:AF179" si="169">SUM(AB201)</f>
        <v>3040000</v>
      </c>
      <c r="AC179" s="117">
        <f t="shared" ref="AC179:AD179" si="170">SUM(AC201)</f>
        <v>4776000</v>
      </c>
      <c r="AD179" s="117">
        <f t="shared" si="170"/>
        <v>0</v>
      </c>
      <c r="AE179" s="117">
        <f t="shared" si="169"/>
        <v>281200</v>
      </c>
      <c r="AF179" s="117">
        <f t="shared" si="169"/>
        <v>10297200</v>
      </c>
      <c r="AG179" s="116"/>
      <c r="AH179" s="116"/>
      <c r="AI179" s="116"/>
      <c r="AJ179" s="117">
        <f t="shared" ref="AJ179:AL179" si="171">SUM(AJ201)</f>
        <v>0</v>
      </c>
      <c r="AK179" s="117">
        <f t="shared" si="171"/>
        <v>0</v>
      </c>
      <c r="AL179" s="117">
        <f t="shared" si="171"/>
        <v>0</v>
      </c>
      <c r="AM179" s="117">
        <f t="shared" ref="AM179:AN179" si="172">SUM(AM201)</f>
        <v>0</v>
      </c>
      <c r="AN179" s="117">
        <f t="shared" si="172"/>
        <v>0</v>
      </c>
      <c r="AO179" s="132"/>
      <c r="AP179" s="25"/>
      <c r="AQ179" s="117">
        <f t="shared" ref="AQ179:BB179" si="173">SUM(AQ201)</f>
        <v>21638805.750000004</v>
      </c>
      <c r="AR179" s="117">
        <f t="shared" si="173"/>
        <v>10297200</v>
      </c>
      <c r="AS179" s="117">
        <f t="shared" si="173"/>
        <v>0</v>
      </c>
      <c r="AT179" s="117">
        <f t="shared" si="173"/>
        <v>31936005.750000004</v>
      </c>
      <c r="AU179" s="117">
        <f t="shared" si="173"/>
        <v>21638805.750000004</v>
      </c>
      <c r="AV179" s="117">
        <f t="shared" si="173"/>
        <v>0</v>
      </c>
      <c r="AW179" s="117">
        <f t="shared" si="173"/>
        <v>0</v>
      </c>
      <c r="AX179" s="117">
        <f t="shared" si="173"/>
        <v>0</v>
      </c>
      <c r="AY179" s="117">
        <f t="shared" si="173"/>
        <v>0</v>
      </c>
      <c r="AZ179" s="117">
        <f t="shared" si="173"/>
        <v>1661176.25</v>
      </c>
      <c r="BA179" s="117">
        <f t="shared" si="173"/>
        <v>0</v>
      </c>
      <c r="BB179" s="117">
        <f t="shared" si="173"/>
        <v>-8636023.75</v>
      </c>
    </row>
    <row r="180" spans="1:54" ht="124.8" outlineLevel="2">
      <c r="A180" s="98"/>
      <c r="B180" s="102"/>
      <c r="C180" s="23"/>
      <c r="D180" s="257"/>
      <c r="E180" s="123"/>
      <c r="F180" s="249"/>
      <c r="G180" s="283"/>
      <c r="H180" s="302" t="s">
        <v>516</v>
      </c>
      <c r="I180" s="104"/>
      <c r="J180" s="105"/>
      <c r="K180" s="105"/>
      <c r="L180" s="106" t="str">
        <f>IF(I180&lt;&gt;0,((VLOOKUP(I180,'1. Standard_Cost'!$B$4:$D$11,2)+VLOOKUP(I180,'1. Standard_Cost'!$B$4:$D$11,3))*J180*K180),"0")</f>
        <v>0</v>
      </c>
      <c r="M180" s="106">
        <f>L180*'1. Standard_Cost'!$F$4</f>
        <v>0</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c r="AB180" s="108">
        <f>+Z180*'1. Standard_Cost'!$B$23+AA180*'1. Standard_Cost'!$C$23</f>
        <v>0</v>
      </c>
      <c r="AC180" s="109"/>
      <c r="AD180" s="110"/>
      <c r="AE180" s="108">
        <f>SUM(AD180,AC180,AB180,Y180,U180,T180,S180,R180)*'1. Standard_Cost'!$B$31</f>
        <v>0</v>
      </c>
      <c r="AF180" s="108">
        <f t="shared" ref="AF180:AF200" si="174">SUM(AE180,AD180,AC180,AB180,Y180,U180,T180,S180,R180)</f>
        <v>0</v>
      </c>
      <c r="AG180" s="107"/>
      <c r="AH180" s="107"/>
      <c r="AI180" s="107"/>
      <c r="AJ180" s="111"/>
      <c r="AK180" s="111"/>
      <c r="AL180" s="111"/>
      <c r="AM180" s="108">
        <f>AG180*'1. Standard_Cost'!$B$27+'Incremental_Cost Year 4'!AH180*'1. Standard_Cost'!$C$27+'Incremental_Cost Year 4'!AI180*'1. Standard_Cost'!$D$27+'Incremental_Cost Year 4'!AJ180+'Incremental_Cost Year 4'!AL180+AK180</f>
        <v>0</v>
      </c>
      <c r="AN180" s="108">
        <f>AM180*'1. Standard_Cost'!$C$31</f>
        <v>0</v>
      </c>
      <c r="AO180" s="125" t="s">
        <v>395</v>
      </c>
      <c r="AQ180" s="14">
        <f t="shared" ref="AQ180:AQ200" si="175">L180+M180</f>
        <v>0</v>
      </c>
      <c r="AR180" s="14">
        <f t="shared" ref="AR180:AR200" si="176">AF180</f>
        <v>0</v>
      </c>
      <c r="AS180" s="14">
        <f t="shared" ref="AS180:AS200" si="177">AM180+AN180</f>
        <v>0</v>
      </c>
      <c r="AT180" s="14">
        <f>SUM(AQ180,AR180,AS180)</f>
        <v>0</v>
      </c>
      <c r="AU180" s="15">
        <v>0</v>
      </c>
      <c r="AV180" s="15"/>
      <c r="AW180" s="15"/>
      <c r="AX180" s="15"/>
      <c r="AY180" s="15"/>
      <c r="AZ180" s="15"/>
      <c r="BA180" s="15"/>
      <c r="BB180" s="16">
        <f t="shared" ref="BB180:BB200" si="178">SUM(AU180:BA180)-AT180</f>
        <v>0</v>
      </c>
    </row>
    <row r="181" spans="1:54" ht="187.2" customHeight="1" outlineLevel="2">
      <c r="A181" s="98"/>
      <c r="B181" s="102"/>
      <c r="C181" s="23"/>
      <c r="D181" s="269"/>
      <c r="E181" s="271"/>
      <c r="F181" s="250"/>
      <c r="G181" s="255"/>
      <c r="H181" s="302" t="s">
        <v>517</v>
      </c>
      <c r="I181" s="104"/>
      <c r="J181" s="105"/>
      <c r="K181" s="105"/>
      <c r="L181" s="106" t="str">
        <f>IF(I181&lt;&gt;0,((VLOOKUP(I181,'1. Standard_Cost'!$B$4:$D$11,2)+VLOOKUP(I181,'1. Standard_Cost'!$B$4:$D$11,3))*J181*K181),"0")</f>
        <v>0</v>
      </c>
      <c r="M181" s="106">
        <f>L181*'1. Standard_Cost'!$F$4</f>
        <v>0</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c r="AB181" s="108">
        <f>+Z181*'1. Standard_Cost'!$B$23+AA181*'1. Standard_Cost'!$C$23</f>
        <v>0</v>
      </c>
      <c r="AC181" s="109"/>
      <c r="AD181" s="110"/>
      <c r="AE181" s="108">
        <f>SUM(AD181,AC181,AB181,Y181,U181,T181,S181,R181)*'1. Standard_Cost'!$B$31</f>
        <v>0</v>
      </c>
      <c r="AF181" s="108">
        <f t="shared" si="174"/>
        <v>0</v>
      </c>
      <c r="AG181" s="107"/>
      <c r="AH181" s="107"/>
      <c r="AI181" s="107"/>
      <c r="AJ181" s="111"/>
      <c r="AK181" s="111"/>
      <c r="AL181" s="111"/>
      <c r="AM181" s="108">
        <f>AG181*'1. Standard_Cost'!$B$27+'Incremental_Cost Year 4'!AH181*'1. Standard_Cost'!$C$27+'Incremental_Cost Year 4'!AI181*'1. Standard_Cost'!$D$27+'Incremental_Cost Year 4'!AJ181+'Incremental_Cost Year 4'!AL181+AK181</f>
        <v>0</v>
      </c>
      <c r="AN181" s="108">
        <f>AM181*'1. Standard_Cost'!$C$31</f>
        <v>0</v>
      </c>
      <c r="AO181" s="125" t="s">
        <v>396</v>
      </c>
      <c r="AQ181" s="14">
        <f t="shared" si="175"/>
        <v>0</v>
      </c>
      <c r="AR181" s="14">
        <f t="shared" si="176"/>
        <v>0</v>
      </c>
      <c r="AS181" s="14">
        <f t="shared" si="177"/>
        <v>0</v>
      </c>
      <c r="AT181" s="14">
        <f t="shared" ref="AT181:AT200" si="179">SUM(AQ181,AR181,AS181)</f>
        <v>0</v>
      </c>
      <c r="AU181" s="15">
        <v>0</v>
      </c>
      <c r="AV181" s="15"/>
      <c r="AW181" s="15"/>
      <c r="AX181" s="15"/>
      <c r="AY181" s="15"/>
      <c r="AZ181" s="15"/>
      <c r="BA181" s="15"/>
      <c r="BB181" s="16">
        <f t="shared" si="178"/>
        <v>0</v>
      </c>
    </row>
    <row r="182" spans="1:54" ht="124.8" outlineLevel="2">
      <c r="A182" s="98"/>
      <c r="B182" s="102"/>
      <c r="C182" s="23"/>
      <c r="D182" s="269"/>
      <c r="E182" s="271"/>
      <c r="F182" s="250"/>
      <c r="G182" s="255"/>
      <c r="H182" s="302" t="s">
        <v>518</v>
      </c>
      <c r="I182" s="104"/>
      <c r="J182" s="105"/>
      <c r="K182" s="105"/>
      <c r="L182" s="106" t="str">
        <f>IF(I182&lt;&gt;0,((VLOOKUP(I182,'1. Standard_Cost'!$B$4:$D$11,2)+VLOOKUP(I182,'1. Standard_Cost'!$B$4:$D$11,3))*J182*K182),"0")</f>
        <v>0</v>
      </c>
      <c r="M182" s="106">
        <f>L182*'1. Standard_Cost'!$F$4</f>
        <v>0</v>
      </c>
      <c r="N182" s="107"/>
      <c r="O182" s="107"/>
      <c r="P182" s="107"/>
      <c r="Q182" s="107"/>
      <c r="R182" s="108">
        <f>'1. Standard_Cost'!$B$15*N182*P182</f>
        <v>0</v>
      </c>
      <c r="S182" s="108">
        <f>N182*O182*P182*'1. Standard_Cost'!$C$15</f>
        <v>0</v>
      </c>
      <c r="T182" s="108">
        <f>N182*P182*Q182*'1. Standard_Cost'!$D$15</f>
        <v>0</v>
      </c>
      <c r="U182" s="108">
        <f>N182*O182*'1. Standard_Cost'!$E$15</f>
        <v>0</v>
      </c>
      <c r="V182" s="107"/>
      <c r="W182" s="107"/>
      <c r="X182" s="107"/>
      <c r="Y182" s="108">
        <f>+V182*((X182*'1. Standard_Cost'!$B$19)+(W182*X182*'1. Standard_Cost'!$C$19))</f>
        <v>0</v>
      </c>
      <c r="Z182" s="107"/>
      <c r="AA182" s="107"/>
      <c r="AB182" s="108">
        <f>+Z182*'1. Standard_Cost'!$B$23+AA182*'1. Standard_Cost'!$C$23</f>
        <v>0</v>
      </c>
      <c r="AC182" s="109"/>
      <c r="AD182" s="110"/>
      <c r="AE182" s="108">
        <f>SUM(AD182,AC182,AB182,Y182,U182,T182,S182,R182)*'1. Standard_Cost'!$B$31</f>
        <v>0</v>
      </c>
      <c r="AF182" s="108">
        <f t="shared" si="174"/>
        <v>0</v>
      </c>
      <c r="AG182" s="107"/>
      <c r="AH182" s="107"/>
      <c r="AI182" s="107"/>
      <c r="AJ182" s="111"/>
      <c r="AK182" s="111"/>
      <c r="AL182" s="111"/>
      <c r="AM182" s="108">
        <f>AG182*'1. Standard_Cost'!$B$27+'Incremental_Cost Year 4'!AH182*'1. Standard_Cost'!$C$27+'Incremental_Cost Year 4'!AI182*'1. Standard_Cost'!$D$27+'Incremental_Cost Year 4'!AJ182+'Incremental_Cost Year 4'!AL182+AK182</f>
        <v>0</v>
      </c>
      <c r="AN182" s="108">
        <f>AM182*'1. Standard_Cost'!$C$31</f>
        <v>0</v>
      </c>
      <c r="AO182" s="125" t="s">
        <v>397</v>
      </c>
      <c r="AQ182" s="14">
        <f t="shared" si="175"/>
        <v>0</v>
      </c>
      <c r="AR182" s="14">
        <f t="shared" si="176"/>
        <v>0</v>
      </c>
      <c r="AS182" s="14">
        <f t="shared" si="177"/>
        <v>0</v>
      </c>
      <c r="AT182" s="14">
        <f t="shared" si="179"/>
        <v>0</v>
      </c>
      <c r="AU182" s="15">
        <v>0</v>
      </c>
      <c r="AV182" s="15"/>
      <c r="AW182" s="15"/>
      <c r="AX182" s="15"/>
      <c r="AY182" s="15"/>
      <c r="AZ182" s="15"/>
      <c r="BA182" s="15"/>
      <c r="BB182" s="16">
        <f t="shared" si="178"/>
        <v>0</v>
      </c>
    </row>
    <row r="183" spans="1:54" ht="93.6" outlineLevel="2">
      <c r="A183" s="98"/>
      <c r="B183" s="102"/>
      <c r="C183" s="23"/>
      <c r="D183" s="269"/>
      <c r="E183" s="271"/>
      <c r="F183" s="250"/>
      <c r="G183" s="255"/>
      <c r="H183" s="302" t="s">
        <v>519</v>
      </c>
      <c r="I183" s="104" t="s">
        <v>4</v>
      </c>
      <c r="J183" s="105">
        <v>1</v>
      </c>
      <c r="K183" s="105">
        <v>3</v>
      </c>
      <c r="L183" s="106">
        <f>IF(I183&lt;&gt;0,((VLOOKUP(I183,'1. Standard_Cost'!$B$4:$D$11,2)+VLOOKUP(I183,'1. Standard_Cost'!$B$4:$D$11,3))*J183*K183),"0")</f>
        <v>242250</v>
      </c>
      <c r="M183" s="106">
        <f>L183*'1. Standard_Cost'!$F$4</f>
        <v>40455.75</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f>50000+2*200000+4000*30</f>
        <v>570000</v>
      </c>
      <c r="AD183" s="110"/>
      <c r="AE183" s="108">
        <f>SUM(AD183,AC183,AB183,Y183,U183,T183,S183,R183)*'1. Standard_Cost'!$B$31</f>
        <v>114000</v>
      </c>
      <c r="AF183" s="108">
        <f t="shared" si="174"/>
        <v>684000</v>
      </c>
      <c r="AG183" s="107"/>
      <c r="AH183" s="107"/>
      <c r="AI183" s="107"/>
      <c r="AJ183" s="111"/>
      <c r="AK183" s="111"/>
      <c r="AL183" s="111"/>
      <c r="AM183" s="108">
        <f>AG183*'1. Standard_Cost'!$B$27+'Incremental_Cost Year 4'!AH183*'1. Standard_Cost'!$C$27+'Incremental_Cost Year 4'!AI183*'1. Standard_Cost'!$D$27+'Incremental_Cost Year 4'!AJ183+'Incremental_Cost Year 4'!AL183+AK183</f>
        <v>0</v>
      </c>
      <c r="AN183" s="108">
        <f>AM183*'1. Standard_Cost'!$C$31</f>
        <v>0</v>
      </c>
      <c r="AO183" s="125" t="s">
        <v>398</v>
      </c>
      <c r="AQ183" s="14">
        <f t="shared" si="175"/>
        <v>282705.75</v>
      </c>
      <c r="AR183" s="14">
        <f t="shared" si="176"/>
        <v>684000</v>
      </c>
      <c r="AS183" s="14">
        <f t="shared" si="177"/>
        <v>0</v>
      </c>
      <c r="AT183" s="14">
        <f t="shared" si="179"/>
        <v>966705.75</v>
      </c>
      <c r="AU183" s="15">
        <v>282705.75</v>
      </c>
      <c r="AV183" s="15"/>
      <c r="AW183" s="15"/>
      <c r="AX183" s="15"/>
      <c r="AY183" s="15"/>
      <c r="AZ183" s="15"/>
      <c r="BA183" s="15"/>
      <c r="BB183" s="16">
        <f t="shared" si="178"/>
        <v>-684000</v>
      </c>
    </row>
    <row r="184" spans="1:54" ht="171.6" outlineLevel="2">
      <c r="A184" s="98"/>
      <c r="B184" s="102"/>
      <c r="C184" s="23"/>
      <c r="D184" s="269"/>
      <c r="E184" s="271"/>
      <c r="F184" s="250"/>
      <c r="G184" s="255"/>
      <c r="H184" s="302" t="s">
        <v>520</v>
      </c>
      <c r="I184" s="104" t="s">
        <v>4</v>
      </c>
      <c r="J184" s="105">
        <v>1</v>
      </c>
      <c r="K184" s="105">
        <v>2</v>
      </c>
      <c r="L184" s="106">
        <f>IF(I184&lt;&gt;0,((VLOOKUP(I184,'1. Standard_Cost'!$B$4:$D$11,2)+VLOOKUP(I184,'1. Standard_Cost'!$B$4:$D$11,3))*J184*K184),"0")</f>
        <v>161500</v>
      </c>
      <c r="M184" s="106">
        <f>L184*'1. Standard_Cost'!$F$4</f>
        <v>26970.5</v>
      </c>
      <c r="N184" s="107">
        <v>10</v>
      </c>
      <c r="O184" s="107">
        <v>2</v>
      </c>
      <c r="P184" s="107">
        <v>10</v>
      </c>
      <c r="Q184" s="107">
        <v>1</v>
      </c>
      <c r="R184" s="108">
        <f>'1. Standard_Cost'!$B$15*N184*P184</f>
        <v>200000</v>
      </c>
      <c r="S184" s="108">
        <f>N184*O184*P184*'1. Standard_Cost'!$C$15</f>
        <v>300000</v>
      </c>
      <c r="T184" s="108">
        <f>N184*P184*Q184*'1. Standard_Cost'!$D$15</f>
        <v>500000</v>
      </c>
      <c r="U184" s="108">
        <v>0</v>
      </c>
      <c r="V184" s="107"/>
      <c r="W184" s="107"/>
      <c r="X184" s="107"/>
      <c r="Y184" s="108">
        <f>+V184*((X184*'1. Standard_Cost'!$B$19)+(W184*X184*'1. Standard_Cost'!$C$19))</f>
        <v>0</v>
      </c>
      <c r="Z184" s="107"/>
      <c r="AA184" s="107">
        <v>10</v>
      </c>
      <c r="AB184" s="108">
        <f>+Z184*'1. Standard_Cost'!$B$23+AA184*'1. Standard_Cost'!$C$23</f>
        <v>190000</v>
      </c>
      <c r="AC184" s="109"/>
      <c r="AD184" s="110"/>
      <c r="AE184" s="108">
        <v>0</v>
      </c>
      <c r="AF184" s="108">
        <f t="shared" si="174"/>
        <v>1190000</v>
      </c>
      <c r="AG184" s="107"/>
      <c r="AH184" s="107"/>
      <c r="AI184" s="107"/>
      <c r="AJ184" s="111"/>
      <c r="AK184" s="111"/>
      <c r="AL184" s="111"/>
      <c r="AM184" s="108">
        <f>AG184*'1. Standard_Cost'!$B$27+'Incremental_Cost Year 4'!AH184*'1. Standard_Cost'!$C$27+'Incremental_Cost Year 4'!AI184*'1. Standard_Cost'!$D$27+'Incremental_Cost Year 4'!AJ184+'Incremental_Cost Year 4'!AL184+AK184</f>
        <v>0</v>
      </c>
      <c r="AN184" s="108">
        <f>AM184*'1. Standard_Cost'!$C$31</f>
        <v>0</v>
      </c>
      <c r="AO184" s="125" t="s">
        <v>399</v>
      </c>
      <c r="AQ184" s="14">
        <f t="shared" si="175"/>
        <v>188470.5</v>
      </c>
      <c r="AR184" s="14">
        <f t="shared" si="176"/>
        <v>1190000</v>
      </c>
      <c r="AS184" s="14">
        <f t="shared" si="177"/>
        <v>0</v>
      </c>
      <c r="AT184" s="14">
        <f t="shared" si="179"/>
        <v>1378470.5</v>
      </c>
      <c r="AU184" s="15">
        <v>188470.5</v>
      </c>
      <c r="AV184" s="15"/>
      <c r="AW184" s="15"/>
      <c r="AX184" s="15"/>
      <c r="AY184" s="15"/>
      <c r="AZ184" s="15">
        <v>1190000</v>
      </c>
      <c r="BA184" s="15"/>
      <c r="BB184" s="16">
        <f t="shared" si="178"/>
        <v>0</v>
      </c>
    </row>
    <row r="185" spans="1:54" ht="124.8" outlineLevel="2">
      <c r="A185" s="98"/>
      <c r="B185" s="102"/>
      <c r="C185" s="23"/>
      <c r="D185" s="269"/>
      <c r="E185" s="271"/>
      <c r="F185" s="250"/>
      <c r="G185" s="255"/>
      <c r="H185" s="302" t="s">
        <v>521</v>
      </c>
      <c r="I185" s="104"/>
      <c r="J185" s="105"/>
      <c r="K185" s="105"/>
      <c r="L185" s="106" t="str">
        <f>IF(I185&lt;&gt;0,((VLOOKUP(I185,'1. Standard_Cost'!$B$4:$D$11,2)+VLOOKUP(I185,'1. Standard_Cost'!$B$4:$D$11,3))*J185*K185),"0")</f>
        <v>0</v>
      </c>
      <c r="M185" s="106">
        <f>L185*'1. Standard_Cost'!$F$4</f>
        <v>0</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c r="AD185" s="110"/>
      <c r="AE185" s="108">
        <f>SUM(AD185,AC185,AB185,Y185,U185,T185,S185,R185)*'1. Standard_Cost'!$B$31</f>
        <v>0</v>
      </c>
      <c r="AF185" s="108">
        <f t="shared" si="174"/>
        <v>0</v>
      </c>
      <c r="AG185" s="107"/>
      <c r="AH185" s="107"/>
      <c r="AI185" s="107"/>
      <c r="AJ185" s="111"/>
      <c r="AK185" s="111"/>
      <c r="AL185" s="111"/>
      <c r="AM185" s="108">
        <f>AG185*'1. Standard_Cost'!$B$27+'Incremental_Cost Year 4'!AH185*'1. Standard_Cost'!$C$27+'Incremental_Cost Year 4'!AI185*'1. Standard_Cost'!$D$27+'Incremental_Cost Year 4'!AJ185+'Incremental_Cost Year 4'!AL185+AK185</f>
        <v>0</v>
      </c>
      <c r="AN185" s="108">
        <f>AM185*'1. Standard_Cost'!$C$31</f>
        <v>0</v>
      </c>
      <c r="AO185" s="125" t="s">
        <v>400</v>
      </c>
      <c r="AQ185" s="14">
        <f t="shared" si="175"/>
        <v>0</v>
      </c>
      <c r="AR185" s="14">
        <f t="shared" si="176"/>
        <v>0</v>
      </c>
      <c r="AS185" s="14">
        <f t="shared" si="177"/>
        <v>0</v>
      </c>
      <c r="AT185" s="14">
        <f t="shared" si="179"/>
        <v>0</v>
      </c>
      <c r="AU185" s="15">
        <v>0</v>
      </c>
      <c r="AV185" s="15"/>
      <c r="AW185" s="15"/>
      <c r="AX185" s="15"/>
      <c r="AY185" s="15">
        <v>0</v>
      </c>
      <c r="AZ185" s="15">
        <f>AU185-AV185</f>
        <v>0</v>
      </c>
      <c r="BA185" s="15"/>
      <c r="BB185" s="16">
        <f t="shared" si="178"/>
        <v>0</v>
      </c>
    </row>
    <row r="186" spans="1:54" ht="62.4" outlineLevel="2">
      <c r="A186" s="98"/>
      <c r="B186" s="102"/>
      <c r="C186" s="23"/>
      <c r="D186" s="269"/>
      <c r="E186" s="271"/>
      <c r="F186" s="250"/>
      <c r="G186" s="255"/>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74"/>
        <v>0</v>
      </c>
      <c r="AG186" s="107"/>
      <c r="AH186" s="107"/>
      <c r="AI186" s="107"/>
      <c r="AJ186" s="111"/>
      <c r="AK186" s="111"/>
      <c r="AL186" s="111"/>
      <c r="AM186" s="108">
        <f>AG186*'1. Standard_Cost'!$B$27+'Incremental_Cost Year 4'!AH186*'1. Standard_Cost'!$C$27+'Incremental_Cost Year 4'!AI186*'1. Standard_Cost'!$D$27+'Incremental_Cost Year 4'!AJ186+'Incremental_Cost Year 4'!AL186+AK186</f>
        <v>0</v>
      </c>
      <c r="AN186" s="108">
        <f>AM186*'1. Standard_Cost'!$C$31</f>
        <v>0</v>
      </c>
      <c r="AO186" s="125" t="s">
        <v>401</v>
      </c>
      <c r="AQ186" s="14">
        <f t="shared" si="175"/>
        <v>0</v>
      </c>
      <c r="AR186" s="14">
        <f t="shared" si="176"/>
        <v>0</v>
      </c>
      <c r="AS186" s="14">
        <f t="shared" si="177"/>
        <v>0</v>
      </c>
      <c r="AT186" s="14">
        <f t="shared" si="179"/>
        <v>0</v>
      </c>
      <c r="AU186" s="15">
        <v>0</v>
      </c>
      <c r="AV186" s="15"/>
      <c r="AW186" s="15"/>
      <c r="AX186" s="15"/>
      <c r="AY186" s="15"/>
      <c r="AZ186" s="15"/>
      <c r="BA186" s="15"/>
      <c r="BB186" s="16">
        <f t="shared" si="178"/>
        <v>0</v>
      </c>
    </row>
    <row r="187" spans="1:54" ht="109.2" outlineLevel="2">
      <c r="A187" s="98"/>
      <c r="B187" s="102"/>
      <c r="C187" s="23"/>
      <c r="D187" s="269"/>
      <c r="E187" s="271"/>
      <c r="F187" s="250"/>
      <c r="G187" s="255"/>
      <c r="H187" s="302" t="s">
        <v>523</v>
      </c>
      <c r="I187" s="104" t="s">
        <v>4</v>
      </c>
      <c r="J187" s="105">
        <v>0.4</v>
      </c>
      <c r="K187" s="105">
        <v>2</v>
      </c>
      <c r="L187" s="106">
        <f>IF(I187&lt;&gt;0,((VLOOKUP(I187,'1. Standard_Cost'!$B$4:$D$11,2)+VLOOKUP(I187,'1. Standard_Cost'!$B$4:$D$11,3))*J187*K187),"0")</f>
        <v>64600</v>
      </c>
      <c r="M187" s="106">
        <f>L187*'1. Standard_Cost'!$F$4</f>
        <v>10788.2</v>
      </c>
      <c r="N187" s="107">
        <v>4</v>
      </c>
      <c r="O187" s="107">
        <v>2</v>
      </c>
      <c r="P187" s="107">
        <v>30</v>
      </c>
      <c r="Q187" s="107">
        <v>1</v>
      </c>
      <c r="R187" s="108">
        <f>'1. Standard_Cost'!$B$15*N187*P187</f>
        <v>240000</v>
      </c>
      <c r="S187" s="108">
        <f>N187*O187*P187*'1. Standard_Cost'!$C$15</f>
        <v>360000</v>
      </c>
      <c r="T187" s="108">
        <f>N187*P187*Q187*'1. Standard_Cost'!$D$15</f>
        <v>600000</v>
      </c>
      <c r="U187" s="108">
        <v>0</v>
      </c>
      <c r="V187" s="107"/>
      <c r="W187" s="107"/>
      <c r="X187" s="107"/>
      <c r="Y187" s="108">
        <f>+V187*((X187*'1. Standard_Cost'!$B$19)+(W187*X187*'1. Standard_Cost'!$C$19))</f>
        <v>0</v>
      </c>
      <c r="Z187" s="107"/>
      <c r="AA187" s="107">
        <v>29</v>
      </c>
      <c r="AB187" s="108">
        <f>+Z187*'1. Standard_Cost'!$B$23+AA187*'1. Standard_Cost'!$C$23</f>
        <v>551000</v>
      </c>
      <c r="AC187" s="109">
        <f>120*300</f>
        <v>36000</v>
      </c>
      <c r="AD187" s="110"/>
      <c r="AE187" s="108">
        <v>0</v>
      </c>
      <c r="AF187" s="108">
        <f t="shared" si="174"/>
        <v>1787000</v>
      </c>
      <c r="AG187" s="107"/>
      <c r="AH187" s="107"/>
      <c r="AI187" s="107"/>
      <c r="AJ187" s="111"/>
      <c r="AK187" s="111"/>
      <c r="AL187" s="111"/>
      <c r="AM187" s="108">
        <f>AG187*'1. Standard_Cost'!$B$27+'Incremental_Cost Year 4'!AH187*'1. Standard_Cost'!$C$27+'Incremental_Cost Year 4'!AI187*'1. Standard_Cost'!$D$27+'Incremental_Cost Year 4'!AJ187+'Incremental_Cost Year 4'!AL187+AK187</f>
        <v>0</v>
      </c>
      <c r="AN187" s="108">
        <f>AM187*'1. Standard_Cost'!$C$31</f>
        <v>0</v>
      </c>
      <c r="AO187" s="125" t="s">
        <v>402</v>
      </c>
      <c r="AQ187" s="14">
        <f t="shared" si="175"/>
        <v>75388.2</v>
      </c>
      <c r="AR187" s="14">
        <f t="shared" si="176"/>
        <v>1787000</v>
      </c>
      <c r="AS187" s="14">
        <f t="shared" si="177"/>
        <v>0</v>
      </c>
      <c r="AT187" s="14">
        <f t="shared" si="179"/>
        <v>1862388.2</v>
      </c>
      <c r="AU187" s="15">
        <v>75388.2</v>
      </c>
      <c r="AV187" s="15"/>
      <c r="AW187" s="15"/>
      <c r="AX187" s="15"/>
      <c r="AY187" s="15"/>
      <c r="AZ187" s="15"/>
      <c r="BA187" s="15"/>
      <c r="BB187" s="16">
        <f t="shared" si="178"/>
        <v>-1787000</v>
      </c>
    </row>
    <row r="188" spans="1:54" ht="124.8" outlineLevel="2">
      <c r="A188" s="98"/>
      <c r="B188" s="102"/>
      <c r="C188" s="23"/>
      <c r="D188" s="269"/>
      <c r="E188" s="271"/>
      <c r="F188" s="250"/>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v>0</v>
      </c>
      <c r="AF188" s="108">
        <f t="shared" si="174"/>
        <v>570000</v>
      </c>
      <c r="AG188" s="107"/>
      <c r="AH188" s="107"/>
      <c r="AI188" s="107"/>
      <c r="AJ188" s="111"/>
      <c r="AK188" s="111"/>
      <c r="AL188" s="111"/>
      <c r="AM188" s="108">
        <f>AG188*'1. Standard_Cost'!$B$27+'Incremental_Cost Year 4'!AH188*'1. Standard_Cost'!$C$27+'Incremental_Cost Year 4'!AI188*'1. Standard_Cost'!$D$27+'Incremental_Cost Year 4'!AJ188+'Incremental_Cost Year 4'!AL188+AK188</f>
        <v>0</v>
      </c>
      <c r="AN188" s="108">
        <f>AM188*'1. Standard_Cost'!$C$31</f>
        <v>0</v>
      </c>
      <c r="AO188" s="125" t="s">
        <v>335</v>
      </c>
      <c r="AQ188" s="14">
        <f t="shared" si="175"/>
        <v>282705.75</v>
      </c>
      <c r="AR188" s="14">
        <f t="shared" si="176"/>
        <v>570000</v>
      </c>
      <c r="AS188" s="14">
        <f t="shared" si="177"/>
        <v>0</v>
      </c>
      <c r="AT188" s="14">
        <f t="shared" si="179"/>
        <v>852705.75</v>
      </c>
      <c r="AU188" s="15">
        <v>282705.75</v>
      </c>
      <c r="AV188" s="15"/>
      <c r="AW188" s="15"/>
      <c r="AX188" s="15"/>
      <c r="AY188" s="15"/>
      <c r="AZ188" s="15"/>
      <c r="BA188" s="15"/>
      <c r="BB188" s="16">
        <f t="shared" si="178"/>
        <v>-570000</v>
      </c>
    </row>
    <row r="189" spans="1:54" ht="46.8" outlineLevel="2">
      <c r="A189" s="98"/>
      <c r="B189" s="102"/>
      <c r="C189" s="23"/>
      <c r="D189" s="269"/>
      <c r="E189" s="271"/>
      <c r="F189" s="250"/>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74"/>
        <v>0</v>
      </c>
      <c r="AG189" s="107"/>
      <c r="AH189" s="107"/>
      <c r="AI189" s="107"/>
      <c r="AJ189" s="111"/>
      <c r="AK189" s="111"/>
      <c r="AL189" s="111"/>
      <c r="AM189" s="108">
        <f>AG189*'1. Standard_Cost'!$B$27+'Incremental_Cost Year 4'!AH189*'1. Standard_Cost'!$C$27+'Incremental_Cost Year 4'!AI189*'1. Standard_Cost'!$D$27+'Incremental_Cost Year 4'!AJ189+'Incremental_Cost Year 4'!AL189+AK189</f>
        <v>0</v>
      </c>
      <c r="AN189" s="108">
        <f>AM189*'1. Standard_Cost'!$C$31</f>
        <v>0</v>
      </c>
      <c r="AO189" s="125" t="s">
        <v>403</v>
      </c>
      <c r="AQ189" s="14">
        <f t="shared" si="175"/>
        <v>423621</v>
      </c>
      <c r="AR189" s="14">
        <f t="shared" si="176"/>
        <v>0</v>
      </c>
      <c r="AS189" s="14">
        <f t="shared" si="177"/>
        <v>0</v>
      </c>
      <c r="AT189" s="14">
        <f t="shared" si="179"/>
        <v>423621</v>
      </c>
      <c r="AU189" s="15">
        <v>423621</v>
      </c>
      <c r="AV189" s="15"/>
      <c r="AW189" s="15"/>
      <c r="AX189" s="15"/>
      <c r="AY189" s="15"/>
      <c r="AZ189" s="15"/>
      <c r="BA189" s="15"/>
      <c r="BB189" s="16">
        <f t="shared" si="178"/>
        <v>0</v>
      </c>
    </row>
    <row r="190" spans="1:54" ht="124.8" outlineLevel="2">
      <c r="A190" s="98"/>
      <c r="B190" s="102"/>
      <c r="C190" s="23"/>
      <c r="D190" s="269"/>
      <c r="E190" s="271"/>
      <c r="F190" s="250"/>
      <c r="G190" s="255"/>
      <c r="H190" s="302" t="s">
        <v>526</v>
      </c>
      <c r="I190" s="104" t="s">
        <v>4</v>
      </c>
      <c r="J190" s="105">
        <v>0.4</v>
      </c>
      <c r="K190" s="105">
        <v>1</v>
      </c>
      <c r="L190" s="106">
        <f>IF(I190&lt;&gt;0,((VLOOKUP(I190,'1. Standard_Cost'!$B$4:$D$11,2)+VLOOKUP(I190,'1. Standard_Cost'!$B$4:$D$11,3))*J190*K190),"0")</f>
        <v>32300</v>
      </c>
      <c r="M190" s="106">
        <f>L190*'1. Standard_Cost'!$F$4</f>
        <v>5394.1</v>
      </c>
      <c r="N190" s="107">
        <v>10</v>
      </c>
      <c r="O190" s="107">
        <v>2</v>
      </c>
      <c r="P190" s="107">
        <v>15</v>
      </c>
      <c r="Q190" s="107">
        <v>0</v>
      </c>
      <c r="R190" s="108">
        <v>0</v>
      </c>
      <c r="S190" s="108">
        <v>0</v>
      </c>
      <c r="T190" s="108">
        <f>N190*P190*Q190*'1. Standard_Cost'!$D$15</f>
        <v>0</v>
      </c>
      <c r="U190" s="108">
        <v>0</v>
      </c>
      <c r="V190" s="107"/>
      <c r="W190" s="107"/>
      <c r="X190" s="107"/>
      <c r="Y190" s="108">
        <f>+V190*((X190*'1. Standard_Cost'!$B$19)+(W190*X190*'1. Standard_Cost'!$C$19))</f>
        <v>0</v>
      </c>
      <c r="Z190" s="107"/>
      <c r="AA190" s="107">
        <f>20+22</f>
        <v>42</v>
      </c>
      <c r="AB190" s="108">
        <f>+Z190*'1. Standard_Cost'!$B$23+AA190*'1. Standard_Cost'!$C$23</f>
        <v>798000</v>
      </c>
      <c r="AC190" s="109">
        <f>150*3500*2+150*500*2</f>
        <v>1200000</v>
      </c>
      <c r="AD190" s="110"/>
      <c r="AE190" s="108">
        <v>0</v>
      </c>
      <c r="AF190" s="108">
        <f t="shared" si="174"/>
        <v>1998000</v>
      </c>
      <c r="AG190" s="107"/>
      <c r="AH190" s="107"/>
      <c r="AI190" s="107"/>
      <c r="AJ190" s="111"/>
      <c r="AK190" s="111"/>
      <c r="AL190" s="111"/>
      <c r="AM190" s="108">
        <f>AG190*'1. Standard_Cost'!$B$27+'Incremental_Cost Year 4'!AH190*'1. Standard_Cost'!$C$27+'Incremental_Cost Year 4'!AI190*'1. Standard_Cost'!$D$27+'Incremental_Cost Year 4'!AJ190+'Incremental_Cost Year 4'!AL190+AK190</f>
        <v>0</v>
      </c>
      <c r="AN190" s="108">
        <f>AM190*'1. Standard_Cost'!$C$31</f>
        <v>0</v>
      </c>
      <c r="AO190" s="125" t="s">
        <v>404</v>
      </c>
      <c r="AQ190" s="14">
        <f t="shared" si="175"/>
        <v>37694.1</v>
      </c>
      <c r="AR190" s="14">
        <f t="shared" si="176"/>
        <v>1998000</v>
      </c>
      <c r="AS190" s="14">
        <f t="shared" si="177"/>
        <v>0</v>
      </c>
      <c r="AT190" s="14">
        <f t="shared" si="179"/>
        <v>2035694.1</v>
      </c>
      <c r="AU190" s="15">
        <v>37694.1</v>
      </c>
      <c r="AV190" s="15"/>
      <c r="AW190" s="15"/>
      <c r="AX190" s="15"/>
      <c r="AY190" s="15"/>
      <c r="AZ190" s="15"/>
      <c r="BA190" s="15"/>
      <c r="BB190" s="16">
        <f t="shared" si="178"/>
        <v>-1998000</v>
      </c>
    </row>
    <row r="191" spans="1:54" ht="109.2" outlineLevel="2">
      <c r="A191" s="98"/>
      <c r="B191" s="102"/>
      <c r="C191" s="23"/>
      <c r="D191" s="269"/>
      <c r="E191" s="271"/>
      <c r="F191" s="250"/>
      <c r="G191" s="255"/>
      <c r="H191" s="302" t="s">
        <v>527</v>
      </c>
      <c r="I191" s="104"/>
      <c r="J191" s="105"/>
      <c r="K191" s="105"/>
      <c r="L191" s="106" t="str">
        <f>IF(I191&lt;&gt;0,((VLOOKUP(I191,'1. Standard_Cost'!$B$4:$D$11,2)+VLOOKUP(I191,'1. Standard_Cost'!$B$4:$D$11,3))*J191*K191),"0")</f>
        <v>0</v>
      </c>
      <c r="M191" s="106">
        <f>L191*'1. Standard_Cost'!$F$4</f>
        <v>0</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c r="AB191" s="108">
        <f>+Z191*'1. Standard_Cost'!$B$23+AA191*'1. Standard_Cost'!$C$23</f>
        <v>0</v>
      </c>
      <c r="AC191" s="109"/>
      <c r="AD191" s="110"/>
      <c r="AE191" s="108">
        <f>SUM(AD191,AC191,AB191,Y191,U191,T191,S191,R191)*'1. Standard_Cost'!$B$31</f>
        <v>0</v>
      </c>
      <c r="AF191" s="108">
        <f t="shared" si="174"/>
        <v>0</v>
      </c>
      <c r="AG191" s="107"/>
      <c r="AH191" s="107"/>
      <c r="AI191" s="107"/>
      <c r="AJ191" s="111"/>
      <c r="AK191" s="111"/>
      <c r="AL191" s="111"/>
      <c r="AM191" s="108">
        <f>AG191*'1. Standard_Cost'!$B$27+'Incremental_Cost Year 4'!AH191*'1. Standard_Cost'!$C$27+'Incremental_Cost Year 4'!AI191*'1. Standard_Cost'!$D$27+'Incremental_Cost Year 4'!AJ191+'Incremental_Cost Year 4'!AL191+AK191</f>
        <v>0</v>
      </c>
      <c r="AN191" s="108">
        <f>AM191*'1. Standard_Cost'!$C$31</f>
        <v>0</v>
      </c>
      <c r="AO191" s="125" t="s">
        <v>405</v>
      </c>
      <c r="AQ191" s="14">
        <f t="shared" si="175"/>
        <v>0</v>
      </c>
      <c r="AR191" s="14">
        <f t="shared" si="176"/>
        <v>0</v>
      </c>
      <c r="AS191" s="14">
        <f t="shared" si="177"/>
        <v>0</v>
      </c>
      <c r="AT191" s="14">
        <f t="shared" si="179"/>
        <v>0</v>
      </c>
      <c r="AU191" s="15">
        <v>0</v>
      </c>
      <c r="AV191" s="15"/>
      <c r="AW191" s="15"/>
      <c r="AX191" s="15"/>
      <c r="AY191" s="15"/>
      <c r="AZ191" s="15"/>
      <c r="BA191" s="15"/>
      <c r="BB191" s="16">
        <f t="shared" si="178"/>
        <v>0</v>
      </c>
    </row>
    <row r="192" spans="1:54" ht="62.4" outlineLevel="2">
      <c r="A192" s="98"/>
      <c r="B192" s="102"/>
      <c r="C192" s="23"/>
      <c r="D192" s="269"/>
      <c r="E192" s="271"/>
      <c r="F192" s="250"/>
      <c r="G192" s="255"/>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74"/>
        <v>0</v>
      </c>
      <c r="AG192" s="107"/>
      <c r="AH192" s="107"/>
      <c r="AI192" s="107"/>
      <c r="AJ192" s="111"/>
      <c r="AK192" s="111"/>
      <c r="AL192" s="111"/>
      <c r="AM192" s="108">
        <f>AG192*'1. Standard_Cost'!$B$27+'Incremental_Cost Year 4'!AH192*'1. Standard_Cost'!$C$27+'Incremental_Cost Year 4'!AI192*'1. Standard_Cost'!$D$27+'Incremental_Cost Year 4'!AJ192+'Incremental_Cost Year 4'!AL192+AK192</f>
        <v>0</v>
      </c>
      <c r="AN192" s="108">
        <f>AM192*'1. Standard_Cost'!$C$31</f>
        <v>0</v>
      </c>
      <c r="AO192" s="125" t="s">
        <v>406</v>
      </c>
      <c r="AQ192" s="14">
        <f t="shared" si="175"/>
        <v>19801656</v>
      </c>
      <c r="AR192" s="14">
        <f t="shared" si="176"/>
        <v>0</v>
      </c>
      <c r="AS192" s="14">
        <f t="shared" si="177"/>
        <v>0</v>
      </c>
      <c r="AT192" s="14">
        <f t="shared" si="179"/>
        <v>19801656</v>
      </c>
      <c r="AU192" s="15">
        <v>19801656</v>
      </c>
      <c r="AV192" s="15"/>
      <c r="AW192" s="15"/>
      <c r="AX192" s="15"/>
      <c r="AY192" s="15"/>
      <c r="AZ192" s="15"/>
      <c r="BA192" s="15"/>
      <c r="BB192" s="16">
        <f t="shared" si="178"/>
        <v>0</v>
      </c>
    </row>
    <row r="193" spans="1:54" ht="78" outlineLevel="2">
      <c r="A193" s="98"/>
      <c r="B193" s="102"/>
      <c r="C193" s="23"/>
      <c r="D193" s="269"/>
      <c r="E193" s="271"/>
      <c r="F193" s="250"/>
      <c r="G193" s="255"/>
      <c r="H193" s="302" t="s">
        <v>529</v>
      </c>
      <c r="I193" s="104"/>
      <c r="J193" s="105"/>
      <c r="K193" s="105"/>
      <c r="L193" s="106" t="str">
        <f>IF(I193&lt;&gt;0,((VLOOKUP(I193,'1. Standard_Cost'!$B$4:$D$11,2)+VLOOKUP(I193,'1. Standard_Cost'!$B$4:$D$11,3))*J193*K193),"0")</f>
        <v>0</v>
      </c>
      <c r="M193" s="106">
        <f>L193*'1. Standard_Cost'!$F$4</f>
        <v>0</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c r="AB193" s="108">
        <f>+Z193*'1. Standard_Cost'!$B$23+AA193*'1. Standard_Cost'!$C$23</f>
        <v>0</v>
      </c>
      <c r="AC193" s="109"/>
      <c r="AD193" s="110"/>
      <c r="AE193" s="108">
        <f>SUM(AD193,AC193,AB193,Y193,U193,T193,S193,R193)*'1. Standard_Cost'!$B$31</f>
        <v>0</v>
      </c>
      <c r="AF193" s="108">
        <f t="shared" si="174"/>
        <v>0</v>
      </c>
      <c r="AG193" s="107"/>
      <c r="AH193" s="107"/>
      <c r="AI193" s="107"/>
      <c r="AJ193" s="111"/>
      <c r="AK193" s="111"/>
      <c r="AL193" s="111"/>
      <c r="AM193" s="108">
        <f>AG193*'1. Standard_Cost'!$B$27+'Incremental_Cost Year 4'!AH193*'1. Standard_Cost'!$C$27+'Incremental_Cost Year 4'!AI193*'1. Standard_Cost'!$D$27+'Incremental_Cost Year 4'!AJ193+'Incremental_Cost Year 4'!AL193+AK193</f>
        <v>0</v>
      </c>
      <c r="AN193" s="108">
        <f>AM193*'1. Standard_Cost'!$C$31</f>
        <v>0</v>
      </c>
      <c r="AO193" s="125" t="s">
        <v>407</v>
      </c>
      <c r="AQ193" s="14">
        <f t="shared" si="175"/>
        <v>0</v>
      </c>
      <c r="AR193" s="14">
        <f t="shared" si="176"/>
        <v>0</v>
      </c>
      <c r="AS193" s="14">
        <f t="shared" si="177"/>
        <v>0</v>
      </c>
      <c r="AT193" s="14">
        <f t="shared" si="179"/>
        <v>0</v>
      </c>
      <c r="AU193" s="15">
        <v>0</v>
      </c>
      <c r="AV193" s="15"/>
      <c r="AW193" s="15"/>
      <c r="AX193" s="15"/>
      <c r="AY193" s="15"/>
      <c r="AZ193" s="15"/>
      <c r="BA193" s="15"/>
      <c r="BB193" s="16">
        <f t="shared" si="178"/>
        <v>0</v>
      </c>
    </row>
    <row r="194" spans="1:54" ht="36" customHeight="1" outlineLevel="2">
      <c r="A194" s="98"/>
      <c r="B194" s="102"/>
      <c r="C194" s="23"/>
      <c r="D194" s="251"/>
      <c r="E194" s="251"/>
      <c r="F194" s="251"/>
      <c r="G194" s="250"/>
      <c r="H194" s="302" t="s">
        <v>530</v>
      </c>
      <c r="I194" s="104" t="s">
        <v>4</v>
      </c>
      <c r="J194" s="105">
        <v>0.4</v>
      </c>
      <c r="K194" s="105">
        <v>1</v>
      </c>
      <c r="L194" s="106">
        <f>IF(I194&lt;&gt;0,((VLOOKUP(I194,'1. Standard_Cost'!$B$4:$D$11,2)+VLOOKUP(I194,'1. Standard_Cost'!$B$4:$D$11,3))*J194*K194),"0")</f>
        <v>32300</v>
      </c>
      <c r="M194" s="106">
        <f>L194*'1. Standard_Cost'!$F$4</f>
        <v>5394.1</v>
      </c>
      <c r="N194" s="107">
        <v>10</v>
      </c>
      <c r="O194" s="107">
        <v>2</v>
      </c>
      <c r="P194" s="107">
        <v>15</v>
      </c>
      <c r="Q194" s="107"/>
      <c r="R194" s="108">
        <v>0</v>
      </c>
      <c r="S194" s="108">
        <v>0</v>
      </c>
      <c r="T194" s="108">
        <f>N194*P194*Q194*'1. Standard_Cost'!$D$15</f>
        <v>0</v>
      </c>
      <c r="U194" s="108">
        <v>0</v>
      </c>
      <c r="V194" s="107"/>
      <c r="W194" s="107"/>
      <c r="X194" s="107"/>
      <c r="Y194" s="108">
        <f>+V194*((X194*'1. Standard_Cost'!$B$19)+(W194*X194*'1. Standard_Cost'!$C$19))</f>
        <v>0</v>
      </c>
      <c r="Z194" s="107"/>
      <c r="AA194" s="107">
        <v>15</v>
      </c>
      <c r="AB194" s="108">
        <f>+Z194*'1. Standard_Cost'!$B$23+AA194*'1. Standard_Cost'!$C$23</f>
        <v>285000</v>
      </c>
      <c r="AC194" s="109">
        <f>150*2*3500+150*2*500</f>
        <v>1200000</v>
      </c>
      <c r="AD194" s="110"/>
      <c r="AE194" s="108">
        <v>0</v>
      </c>
      <c r="AF194" s="108">
        <f t="shared" si="174"/>
        <v>1485000</v>
      </c>
      <c r="AG194" s="107"/>
      <c r="AH194" s="107"/>
      <c r="AI194" s="107"/>
      <c r="AJ194" s="111"/>
      <c r="AK194" s="111"/>
      <c r="AL194" s="111"/>
      <c r="AM194" s="108">
        <f>AG194*'1. Standard_Cost'!$B$27+'Incremental_Cost Year 4'!AH194*'1. Standard_Cost'!$C$27+'Incremental_Cost Year 4'!AI194*'1. Standard_Cost'!$D$27+'Incremental_Cost Year 4'!AJ194+'Incremental_Cost Year 4'!AL194+AK194</f>
        <v>0</v>
      </c>
      <c r="AN194" s="108">
        <f>AM194*'1. Standard_Cost'!$C$31</f>
        <v>0</v>
      </c>
      <c r="AO194" s="125" t="s">
        <v>408</v>
      </c>
      <c r="AQ194" s="14">
        <f t="shared" si="175"/>
        <v>37694.1</v>
      </c>
      <c r="AR194" s="14">
        <f t="shared" si="176"/>
        <v>1485000</v>
      </c>
      <c r="AS194" s="14">
        <f t="shared" si="177"/>
        <v>0</v>
      </c>
      <c r="AT194" s="14">
        <f t="shared" si="179"/>
        <v>1522694.1</v>
      </c>
      <c r="AU194" s="15">
        <v>37694.1</v>
      </c>
      <c r="AV194" s="15"/>
      <c r="AW194" s="15"/>
      <c r="AX194" s="15"/>
      <c r="AY194" s="15"/>
      <c r="AZ194" s="15"/>
      <c r="BA194" s="15"/>
      <c r="BB194" s="16">
        <f t="shared" si="178"/>
        <v>-1485000</v>
      </c>
    </row>
    <row r="195" spans="1:54" ht="28.95" customHeight="1" outlineLevel="2">
      <c r="A195" s="98"/>
      <c r="B195" s="102"/>
      <c r="C195" s="23"/>
      <c r="D195" s="251"/>
      <c r="E195" s="251"/>
      <c r="F195" s="269"/>
      <c r="G195" s="27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v>22</v>
      </c>
      <c r="AB195" s="108">
        <f>+Z195*'[1]1. Standard_Cost'!$B$23+AA195*'[1]1. Standard_Cost'!$C$23</f>
        <v>418000</v>
      </c>
      <c r="AC195" s="109"/>
      <c r="AD195" s="110"/>
      <c r="AE195" s="108">
        <f>SUM(AD195,AC195,AB195,Y195,U195,T195,S195,R195)*'[1]1. Standard_Cost'!$B$31</f>
        <v>83600</v>
      </c>
      <c r="AF195" s="108">
        <f t="shared" si="174"/>
        <v>501600</v>
      </c>
      <c r="AG195" s="107"/>
      <c r="AH195" s="107"/>
      <c r="AI195" s="107"/>
      <c r="AJ195" s="111"/>
      <c r="AK195" s="111"/>
      <c r="AL195" s="111"/>
      <c r="AM195" s="108">
        <f>AG195*'[1]1. Standard_Cost'!$B$27+'[1]Incremental_Cost Year 4'!AH195*'[1]1. Standard_Cost'!$C$27+'[1]Incremental_Cost Year 4'!AI195*'[1]1. Standard_Cost'!$D$27+'[1]Incremental_Cost Year 4'!AJ195+'[1]Incremental_Cost Year 4'!AL195+AK195</f>
        <v>0</v>
      </c>
      <c r="AN195" s="108">
        <f>AM195*'[1]1. Standard_Cost'!$C$31</f>
        <v>0</v>
      </c>
      <c r="AO195" s="125" t="s">
        <v>408</v>
      </c>
      <c r="AQ195" s="14">
        <f t="shared" si="175"/>
        <v>0</v>
      </c>
      <c r="AR195" s="14">
        <f t="shared" si="176"/>
        <v>501600</v>
      </c>
      <c r="AS195" s="14">
        <f t="shared" si="177"/>
        <v>0</v>
      </c>
      <c r="AT195" s="14">
        <f t="shared" si="179"/>
        <v>501600</v>
      </c>
      <c r="AU195" s="15"/>
      <c r="AV195" s="15"/>
      <c r="AW195" s="15"/>
      <c r="AX195" s="15"/>
      <c r="AY195" s="15"/>
      <c r="AZ195" s="15"/>
      <c r="BA195" s="15"/>
      <c r="BB195" s="16">
        <f t="shared" si="178"/>
        <v>-501600</v>
      </c>
    </row>
    <row r="196" spans="1:54" ht="32.25" customHeight="1" outlineLevel="2">
      <c r="A196" s="98"/>
      <c r="B196" s="102"/>
      <c r="C196" s="23"/>
      <c r="D196" s="251"/>
      <c r="E196" s="251"/>
      <c r="F196" s="251"/>
      <c r="G196" s="250"/>
      <c r="H196" s="302" t="s">
        <v>531</v>
      </c>
      <c r="I196" s="104"/>
      <c r="J196" s="105"/>
      <c r="K196" s="105"/>
      <c r="L196" s="106" t="str">
        <f>IF(I196&lt;&gt;0,((VLOOKUP(I196,'1. Standard_Cost'!$B$4:$D$11,2)+VLOOKUP(I196,'1. Standard_Cost'!$B$4:$D$11,3))*J196*K196),"0")</f>
        <v>0</v>
      </c>
      <c r="M196" s="106">
        <f>L196*'1. Standard_Cost'!$F$4</f>
        <v>0</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c r="AB196" s="108">
        <f>+Z196*'1. Standard_Cost'!$B$23+AA196*'1. Standard_Cost'!$C$23</f>
        <v>0</v>
      </c>
      <c r="AC196" s="109"/>
      <c r="AD196" s="110"/>
      <c r="AE196" s="108">
        <f>SUM(AD196,AC196,AB196,Y196,U196,T196,S196,R196)*'1. Standard_Cost'!$B$31</f>
        <v>0</v>
      </c>
      <c r="AF196" s="108">
        <f t="shared" si="174"/>
        <v>0</v>
      </c>
      <c r="AG196" s="107"/>
      <c r="AH196" s="107"/>
      <c r="AI196" s="107"/>
      <c r="AJ196" s="111"/>
      <c r="AK196" s="111"/>
      <c r="AL196" s="111"/>
      <c r="AM196" s="108">
        <f>AG196*'1. Standard_Cost'!$B$27+'Incremental_Cost Year 4'!AH196*'1. Standard_Cost'!$C$27+'Incremental_Cost Year 4'!AI196*'1. Standard_Cost'!$D$27+'Incremental_Cost Year 4'!AJ196+'Incremental_Cost Year 4'!AL196+AK196</f>
        <v>0</v>
      </c>
      <c r="AN196" s="108">
        <f>AM196*'1. Standard_Cost'!$C$31</f>
        <v>0</v>
      </c>
      <c r="AO196" s="125" t="s">
        <v>409</v>
      </c>
      <c r="AQ196" s="14">
        <f t="shared" si="175"/>
        <v>0</v>
      </c>
      <c r="AR196" s="14">
        <f t="shared" si="176"/>
        <v>0</v>
      </c>
      <c r="AS196" s="14">
        <f t="shared" si="177"/>
        <v>0</v>
      </c>
      <c r="AT196" s="14">
        <f t="shared" si="179"/>
        <v>0</v>
      </c>
      <c r="AU196" s="15">
        <v>0</v>
      </c>
      <c r="AV196" s="15"/>
      <c r="AW196" s="15"/>
      <c r="AX196" s="15"/>
      <c r="AY196" s="15"/>
      <c r="AZ196" s="15"/>
      <c r="BA196" s="15"/>
      <c r="BB196" s="16">
        <f t="shared" si="178"/>
        <v>0</v>
      </c>
    </row>
    <row r="197" spans="1:54" ht="45" customHeight="1" outlineLevel="2">
      <c r="A197" s="98"/>
      <c r="B197" s="102"/>
      <c r="C197" s="23"/>
      <c r="D197" s="251"/>
      <c r="E197" s="251"/>
      <c r="F197" s="251"/>
      <c r="G197" s="250"/>
      <c r="H197" s="302" t="s">
        <v>532</v>
      </c>
      <c r="I197" s="104" t="s">
        <v>4</v>
      </c>
      <c r="J197" s="105">
        <v>0.4</v>
      </c>
      <c r="K197" s="105">
        <v>1</v>
      </c>
      <c r="L197" s="106">
        <f>IF(I197&lt;&gt;0,((VLOOKUP(I197,'1. Standard_Cost'!$B$4:$D$11,2)+VLOOKUP(I197,'1. Standard_Cost'!$B$4:$D$11,3))*J197*K197),"0")</f>
        <v>32300</v>
      </c>
      <c r="M197" s="106">
        <f>L197*'1. Standard_Cost'!$F$4</f>
        <v>5394.1</v>
      </c>
      <c r="N197" s="107">
        <v>10</v>
      </c>
      <c r="O197" s="107">
        <v>2</v>
      </c>
      <c r="P197" s="107">
        <v>15</v>
      </c>
      <c r="Q197" s="107"/>
      <c r="R197" s="108">
        <v>0</v>
      </c>
      <c r="S197" s="108">
        <v>0</v>
      </c>
      <c r="T197" s="108">
        <f>N197*P197*Q197*'1. Standard_Cost'!$D$15</f>
        <v>0</v>
      </c>
      <c r="U197" s="108">
        <v>0</v>
      </c>
      <c r="V197" s="107"/>
      <c r="W197" s="107"/>
      <c r="X197" s="107"/>
      <c r="Y197" s="108">
        <f>+V197*((X197*'1. Standard_Cost'!$B$19)+(W197*X197*'1. Standard_Cost'!$C$19))</f>
        <v>0</v>
      </c>
      <c r="Z197" s="107"/>
      <c r="AA197" s="107"/>
      <c r="AB197" s="108">
        <f>+Z197*'1. Standard_Cost'!$B$23+AA197*'1. Standard_Cost'!$C$23</f>
        <v>0</v>
      </c>
      <c r="AC197" s="109">
        <f>150*3500*2+150*500*2</f>
        <v>1200000</v>
      </c>
      <c r="AD197" s="110"/>
      <c r="AE197" s="108">
        <v>0</v>
      </c>
      <c r="AF197" s="108">
        <f t="shared" si="174"/>
        <v>1200000</v>
      </c>
      <c r="AG197" s="107"/>
      <c r="AH197" s="107"/>
      <c r="AI197" s="107"/>
      <c r="AJ197" s="111"/>
      <c r="AK197" s="111"/>
      <c r="AL197" s="111"/>
      <c r="AM197" s="108">
        <f>AG197*'1. Standard_Cost'!$B$27+'Incremental_Cost Year 4'!AH197*'1. Standard_Cost'!$C$27+'Incremental_Cost Year 4'!AI197*'1. Standard_Cost'!$D$27+'Incremental_Cost Year 4'!AJ197+'Incremental_Cost Year 4'!AL197+AK197</f>
        <v>0</v>
      </c>
      <c r="AN197" s="108">
        <f>AM197*'1. Standard_Cost'!$C$31</f>
        <v>0</v>
      </c>
      <c r="AO197" s="125" t="s">
        <v>410</v>
      </c>
      <c r="AQ197" s="14">
        <f t="shared" si="175"/>
        <v>37694.1</v>
      </c>
      <c r="AR197" s="14">
        <f t="shared" si="176"/>
        <v>1200000</v>
      </c>
      <c r="AS197" s="14">
        <f t="shared" si="177"/>
        <v>0</v>
      </c>
      <c r="AT197" s="14">
        <f t="shared" si="179"/>
        <v>1237694.1000000001</v>
      </c>
      <c r="AU197" s="15">
        <v>37694.1</v>
      </c>
      <c r="AV197" s="15"/>
      <c r="AW197" s="15"/>
      <c r="AX197" s="15"/>
      <c r="AY197" s="15"/>
      <c r="AZ197" s="15"/>
      <c r="BA197" s="15"/>
      <c r="BB197" s="16">
        <f t="shared" si="178"/>
        <v>-1200000</v>
      </c>
    </row>
    <row r="198" spans="1:54" ht="34.950000000000003" customHeight="1" outlineLevel="2">
      <c r="A198" s="98"/>
      <c r="B198" s="102"/>
      <c r="C198" s="23"/>
      <c r="D198" s="251"/>
      <c r="E198" s="251"/>
      <c r="F198" s="269"/>
      <c r="G198" s="27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v>22</v>
      </c>
      <c r="AB198" s="108">
        <f>+Z198*'[1]1. Standard_Cost'!$B$23+AA198*'[1]1. Standard_Cost'!$C$23</f>
        <v>418000</v>
      </c>
      <c r="AC198" s="109"/>
      <c r="AD198" s="110"/>
      <c r="AE198" s="108">
        <f>SUM(AD198,AC198,AB198,Y198,U198,T198,S198,R198)*'[1]1. Standard_Cost'!$B$31</f>
        <v>83600</v>
      </c>
      <c r="AF198" s="108">
        <f t="shared" si="174"/>
        <v>501600</v>
      </c>
      <c r="AG198" s="107"/>
      <c r="AH198" s="107"/>
      <c r="AI198" s="107"/>
      <c r="AJ198" s="111"/>
      <c r="AK198" s="111"/>
      <c r="AL198" s="111"/>
      <c r="AM198" s="108">
        <f>AG198*'[1]1. Standard_Cost'!$B$27+'[1]Incremental_Cost Year 4'!AH197*'[1]1. Standard_Cost'!$C$27+'[1]Incremental_Cost Year 4'!AI197*'[1]1. Standard_Cost'!$D$27+'[1]Incremental_Cost Year 4'!AJ197+'[1]Incremental_Cost Year 4'!AL197+AK198</f>
        <v>0</v>
      </c>
      <c r="AN198" s="108">
        <f>AM198*'[1]1. Standard_Cost'!$C$31</f>
        <v>0</v>
      </c>
      <c r="AO198" s="125" t="s">
        <v>410</v>
      </c>
      <c r="AQ198" s="14">
        <f t="shared" si="175"/>
        <v>0</v>
      </c>
      <c r="AR198" s="14">
        <f t="shared" si="176"/>
        <v>501600</v>
      </c>
      <c r="AS198" s="14">
        <f t="shared" si="177"/>
        <v>0</v>
      </c>
      <c r="AT198" s="14">
        <f t="shared" si="179"/>
        <v>501600</v>
      </c>
      <c r="AU198" s="15"/>
      <c r="AV198" s="15"/>
      <c r="AW198" s="15"/>
      <c r="AX198" s="15"/>
      <c r="AY198" s="15"/>
      <c r="AZ198" s="15"/>
      <c r="BA198" s="15"/>
      <c r="BB198" s="16">
        <f t="shared" si="178"/>
        <v>-501600</v>
      </c>
    </row>
    <row r="199" spans="1:54" ht="140.4" outlineLevel="2">
      <c r="A199" s="98"/>
      <c r="B199" s="102"/>
      <c r="C199" s="23"/>
      <c r="D199" s="251"/>
      <c r="E199" s="251"/>
      <c r="F199" s="251"/>
      <c r="G199" s="250"/>
      <c r="H199" s="302" t="s">
        <v>533</v>
      </c>
      <c r="I199" s="104"/>
      <c r="J199" s="105"/>
      <c r="K199" s="105"/>
      <c r="L199" s="106" t="str">
        <f>IF(I199&lt;&gt;0,((VLOOKUP(I199,'1. Standard_Cost'!$B$4:$D$11,2)+VLOOKUP(I199,'1. Standard_Cost'!$B$4:$D$11,3))*J199*K199),"0")</f>
        <v>0</v>
      </c>
      <c r="M199" s="106">
        <f>L199*'1. Standard_Cost'!$F$4</f>
        <v>0</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c r="AB199" s="108">
        <f>+Z199*'1. Standard_Cost'!$B$23+AA199*'1. Standard_Cost'!$C$23</f>
        <v>0</v>
      </c>
      <c r="AC199" s="109"/>
      <c r="AD199" s="110"/>
      <c r="AE199" s="108">
        <f>SUM(AD199,AC199,AB199,Y199,U199,T199,S199,R199)*'1. Standard_Cost'!$B$31</f>
        <v>0</v>
      </c>
      <c r="AF199" s="108">
        <f t="shared" si="174"/>
        <v>0</v>
      </c>
      <c r="AG199" s="107"/>
      <c r="AH199" s="107"/>
      <c r="AI199" s="107"/>
      <c r="AJ199" s="111"/>
      <c r="AK199" s="111"/>
      <c r="AL199" s="111"/>
      <c r="AM199" s="108">
        <f>AG199*'1. Standard_Cost'!$B$27+'Incremental_Cost Year 4'!AH199*'1. Standard_Cost'!$C$27+'Incremental_Cost Year 4'!AI199*'1. Standard_Cost'!$D$27+'Incremental_Cost Year 4'!AJ199+'Incremental_Cost Year 4'!AL199+AK199</f>
        <v>0</v>
      </c>
      <c r="AN199" s="108">
        <f>AM199*'1. Standard_Cost'!$C$31</f>
        <v>0</v>
      </c>
      <c r="AO199" s="125" t="s">
        <v>411</v>
      </c>
      <c r="AQ199" s="14">
        <f t="shared" si="175"/>
        <v>0</v>
      </c>
      <c r="AR199" s="14">
        <f t="shared" si="176"/>
        <v>0</v>
      </c>
      <c r="AS199" s="14">
        <f t="shared" si="177"/>
        <v>0</v>
      </c>
      <c r="AT199" s="14">
        <f t="shared" si="179"/>
        <v>0</v>
      </c>
      <c r="AU199" s="15">
        <v>0</v>
      </c>
      <c r="AV199" s="15"/>
      <c r="AW199" s="15"/>
      <c r="AX199" s="15"/>
      <c r="AY199" s="15">
        <v>0</v>
      </c>
      <c r="AZ199" s="15">
        <f>AS199</f>
        <v>0</v>
      </c>
      <c r="BA199" s="15"/>
      <c r="BB199" s="16">
        <f t="shared" si="178"/>
        <v>0</v>
      </c>
    </row>
    <row r="200" spans="1:54" ht="32.25" customHeight="1" outlineLevel="2">
      <c r="A200" s="98"/>
      <c r="B200" s="102"/>
      <c r="C200" s="23"/>
      <c r="D200" s="251"/>
      <c r="E200" s="251"/>
      <c r="F200" s="172"/>
      <c r="G200" s="250"/>
      <c r="H200" s="302" t="s">
        <v>534</v>
      </c>
      <c r="I200" s="104" t="s">
        <v>4</v>
      </c>
      <c r="J200" s="105">
        <v>1</v>
      </c>
      <c r="K200" s="105">
        <v>5</v>
      </c>
      <c r="L200" s="106">
        <f>IF(I200&lt;&gt;0,((VLOOKUP(I200,'1. Standard_Cost'!$B$4:$D$11,2)+VLOOKUP(I200,'1. Standard_Cost'!$B$4:$D$11,3))*J200*K200),"0")</f>
        <v>403750</v>
      </c>
      <c r="M200" s="106">
        <f>L200*'1. Standard_Cost'!$F$4</f>
        <v>67426.25</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v>20</v>
      </c>
      <c r="AB200" s="108">
        <f>+Z200*'1. Standard_Cost'!$B$23+AA200*'1. Standard_Cost'!$C$23</f>
        <v>380000</v>
      </c>
      <c r="AC200" s="109"/>
      <c r="AD200" s="110"/>
      <c r="AE200" s="108">
        <v>0</v>
      </c>
      <c r="AF200" s="108">
        <f t="shared" si="174"/>
        <v>380000</v>
      </c>
      <c r="AG200" s="107"/>
      <c r="AH200" s="107"/>
      <c r="AI200" s="107"/>
      <c r="AJ200" s="111"/>
      <c r="AK200" s="111"/>
      <c r="AL200" s="111"/>
      <c r="AM200" s="108">
        <f>AG200*'1. Standard_Cost'!$B$27+'Incremental_Cost Year 4'!AH200*'1. Standard_Cost'!$C$27+'Incremental_Cost Year 4'!AI200*'1. Standard_Cost'!$D$27+'Incremental_Cost Year 4'!AJ200+'Incremental_Cost Year 4'!AL200+AK200</f>
        <v>0</v>
      </c>
      <c r="AN200" s="108">
        <f>AM200*'1. Standard_Cost'!$C$31</f>
        <v>0</v>
      </c>
      <c r="AO200" s="137" t="s">
        <v>412</v>
      </c>
      <c r="AQ200" s="14">
        <f t="shared" si="175"/>
        <v>471176.25</v>
      </c>
      <c r="AR200" s="14">
        <f t="shared" si="176"/>
        <v>380000</v>
      </c>
      <c r="AS200" s="14">
        <f t="shared" si="177"/>
        <v>0</v>
      </c>
      <c r="AT200" s="14">
        <f t="shared" si="179"/>
        <v>851176.25</v>
      </c>
      <c r="AU200" s="15">
        <v>471176.25</v>
      </c>
      <c r="AV200" s="15"/>
      <c r="AW200" s="15"/>
      <c r="AX200" s="15"/>
      <c r="AY200" s="15"/>
      <c r="AZ200" s="15">
        <v>471176.25</v>
      </c>
      <c r="BA200" s="15"/>
      <c r="BB200" s="16">
        <f t="shared" si="178"/>
        <v>91176.25</v>
      </c>
    </row>
    <row r="201" spans="1:54" ht="193.2" outlineLevel="1">
      <c r="A201" s="98"/>
      <c r="B201" s="102"/>
      <c r="C201" s="23"/>
      <c r="D201" s="31" t="s">
        <v>639</v>
      </c>
      <c r="E201" s="56" t="s">
        <v>243</v>
      </c>
      <c r="F201" s="253"/>
      <c r="G201" s="254"/>
      <c r="H201" s="279" t="s">
        <v>244</v>
      </c>
      <c r="I201" s="112"/>
      <c r="J201" s="112"/>
      <c r="K201" s="112"/>
      <c r="L201" s="113">
        <f>SUM(L180:L200)</f>
        <v>18542250</v>
      </c>
      <c r="M201" s="113">
        <f>SUM(M180:M200)</f>
        <v>3096555.75</v>
      </c>
      <c r="N201" s="112"/>
      <c r="O201" s="112"/>
      <c r="P201" s="112"/>
      <c r="Q201" s="112"/>
      <c r="R201" s="113">
        <f>SUM(R180:R200)</f>
        <v>440000</v>
      </c>
      <c r="S201" s="113">
        <f>SUM(S180:S200)</f>
        <v>660000</v>
      </c>
      <c r="T201" s="113">
        <f>SUM(T180:T200)</f>
        <v>1100000</v>
      </c>
      <c r="U201" s="113">
        <f>SUM(U180:U200)</f>
        <v>0</v>
      </c>
      <c r="V201" s="112"/>
      <c r="W201" s="112"/>
      <c r="X201" s="112"/>
      <c r="Y201" s="113">
        <f>SUM(Y180:Y200)</f>
        <v>0</v>
      </c>
      <c r="Z201" s="113"/>
      <c r="AA201" s="112"/>
      <c r="AB201" s="113">
        <f>SUM(AB180:AB200)</f>
        <v>3040000</v>
      </c>
      <c r="AC201" s="113">
        <f>SUM(AC180:AC200)</f>
        <v>4776000</v>
      </c>
      <c r="AD201" s="113">
        <f>SUM(AD180:AD200)</f>
        <v>0</v>
      </c>
      <c r="AE201" s="113">
        <f>SUM(AE180:AE200)</f>
        <v>281200</v>
      </c>
      <c r="AF201" s="113">
        <f>SUM(AF180:AF200)</f>
        <v>10297200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BB201" si="180">SUM(AQ180:AQ200)</f>
        <v>21638805.750000004</v>
      </c>
      <c r="AR201" s="113">
        <f t="shared" si="180"/>
        <v>10297200</v>
      </c>
      <c r="AS201" s="113">
        <f t="shared" si="180"/>
        <v>0</v>
      </c>
      <c r="AT201" s="113">
        <f t="shared" si="180"/>
        <v>31936005.750000004</v>
      </c>
      <c r="AU201" s="113">
        <f t="shared" si="180"/>
        <v>21638805.750000004</v>
      </c>
      <c r="AV201" s="113">
        <f t="shared" si="180"/>
        <v>0</v>
      </c>
      <c r="AW201" s="113">
        <f t="shared" si="180"/>
        <v>0</v>
      </c>
      <c r="AX201" s="113">
        <f t="shared" si="180"/>
        <v>0</v>
      </c>
      <c r="AY201" s="113">
        <f t="shared" si="180"/>
        <v>0</v>
      </c>
      <c r="AZ201" s="113">
        <f t="shared" si="180"/>
        <v>1661176.25</v>
      </c>
      <c r="BA201" s="113">
        <f t="shared" si="180"/>
        <v>0</v>
      </c>
      <c r="BB201" s="113">
        <f t="shared" si="180"/>
        <v>-8636023.75</v>
      </c>
    </row>
    <row r="202" spans="1:54" s="24" customFormat="1" ht="13.8" customHeight="1">
      <c r="A202" s="114"/>
      <c r="B202" s="115"/>
      <c r="C202" s="314" t="s">
        <v>246</v>
      </c>
      <c r="D202" s="314"/>
      <c r="E202" s="315"/>
      <c r="F202" s="246"/>
      <c r="G202" s="246"/>
      <c r="H202" s="278" t="s">
        <v>245</v>
      </c>
      <c r="I202" s="116"/>
      <c r="J202" s="116"/>
      <c r="K202" s="116"/>
      <c r="L202" s="117">
        <f>SUM(L222)</f>
        <v>3942700</v>
      </c>
      <c r="M202" s="117">
        <f>SUM(M222)</f>
        <v>658430.90000000026</v>
      </c>
      <c r="N202" s="116"/>
      <c r="O202" s="116"/>
      <c r="P202" s="116"/>
      <c r="Q202" s="116"/>
      <c r="R202" s="117">
        <f t="shared" ref="R202:U202" si="181">SUM(R222)</f>
        <v>26000</v>
      </c>
      <c r="S202" s="117">
        <f t="shared" si="181"/>
        <v>58500</v>
      </c>
      <c r="T202" s="117">
        <f t="shared" si="181"/>
        <v>0</v>
      </c>
      <c r="U202" s="117">
        <f t="shared" si="181"/>
        <v>0</v>
      </c>
      <c r="V202" s="116"/>
      <c r="W202" s="116"/>
      <c r="X202" s="116"/>
      <c r="Y202" s="117">
        <f>SUM(Y222)</f>
        <v>0</v>
      </c>
      <c r="Z202" s="117"/>
      <c r="AA202" s="117"/>
      <c r="AB202" s="117">
        <f t="shared" ref="AB202:AF202" si="182">SUM(AB222)</f>
        <v>760000</v>
      </c>
      <c r="AC202" s="117">
        <f t="shared" ref="AC202:AD202" si="183">SUM(AC222)</f>
        <v>765800</v>
      </c>
      <c r="AD202" s="117">
        <f t="shared" si="183"/>
        <v>0</v>
      </c>
      <c r="AE202" s="117">
        <f t="shared" si="182"/>
        <v>43000</v>
      </c>
      <c r="AF202" s="117">
        <f t="shared" si="182"/>
        <v>1653300</v>
      </c>
      <c r="AG202" s="116"/>
      <c r="AH202" s="116"/>
      <c r="AI202" s="116"/>
      <c r="AJ202" s="117">
        <f t="shared" ref="AJ202:AL202" si="184">SUM(AJ222)</f>
        <v>0</v>
      </c>
      <c r="AK202" s="117">
        <f t="shared" si="184"/>
        <v>0</v>
      </c>
      <c r="AL202" s="117">
        <f t="shared" si="184"/>
        <v>0</v>
      </c>
      <c r="AM202" s="117">
        <f t="shared" ref="AM202:AN202" si="185">SUM(AM222)</f>
        <v>0</v>
      </c>
      <c r="AN202" s="117">
        <f t="shared" si="185"/>
        <v>0</v>
      </c>
      <c r="AO202" s="132"/>
      <c r="AP202" s="25"/>
      <c r="AQ202" s="117">
        <f t="shared" ref="AQ202:BB202" si="186">SUM(AQ222)</f>
        <v>4601130.8999999994</v>
      </c>
      <c r="AR202" s="117">
        <f t="shared" si="186"/>
        <v>1653300</v>
      </c>
      <c r="AS202" s="117">
        <f t="shared" si="186"/>
        <v>0</v>
      </c>
      <c r="AT202" s="117">
        <f t="shared" si="186"/>
        <v>6254430.8999999994</v>
      </c>
      <c r="AU202" s="117">
        <f t="shared" si="186"/>
        <v>4901130.8999999994</v>
      </c>
      <c r="AV202" s="117">
        <f t="shared" si="186"/>
        <v>0</v>
      </c>
      <c r="AW202" s="117">
        <f t="shared" si="186"/>
        <v>0</v>
      </c>
      <c r="AX202" s="117">
        <f t="shared" si="186"/>
        <v>955900</v>
      </c>
      <c r="AY202" s="117">
        <f t="shared" si="186"/>
        <v>0</v>
      </c>
      <c r="AZ202" s="117">
        <f t="shared" si="186"/>
        <v>0</v>
      </c>
      <c r="BA202" s="117">
        <f t="shared" si="186"/>
        <v>0</v>
      </c>
      <c r="BB202" s="117">
        <f t="shared" si="186"/>
        <v>-397399.99999999994</v>
      </c>
    </row>
    <row r="203" spans="1:54" ht="78" outlineLevel="2">
      <c r="A203" s="98"/>
      <c r="B203" s="102"/>
      <c r="C203" s="23"/>
      <c r="D203" s="257"/>
      <c r="E203" s="123"/>
      <c r="F203" s="249"/>
      <c r="G203" s="283"/>
      <c r="H203" s="302" t="s">
        <v>538</v>
      </c>
      <c r="I203" s="104"/>
      <c r="J203" s="105"/>
      <c r="K203" s="105"/>
      <c r="L203" s="106" t="str">
        <f>IF(I203&lt;&gt;0,((VLOOKUP(I203,'1. Standard_Cost'!$B$4:$D$11,2)+VLOOKUP(I203,'1. Standard_Cost'!$B$4:$D$11,3))*J203*K203),"0")</f>
        <v>0</v>
      </c>
      <c r="M203" s="106">
        <f>L203*'1. Standard_Cost'!$F$4</f>
        <v>0</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c r="AB203" s="108">
        <f>+Z203*'1. Standard_Cost'!$B$23+AA203*'1. Standard_Cost'!$C$23</f>
        <v>0</v>
      </c>
      <c r="AC203" s="109"/>
      <c r="AD203" s="110"/>
      <c r="AE203" s="108">
        <f>SUM(AD203,AC203,AB203,Y203,U203,T203,S203,R203)*'1. Standard_Cost'!$B$31</f>
        <v>0</v>
      </c>
      <c r="AF203" s="108">
        <f t="shared" ref="AF203:AF221" si="187">SUM(AE203,AD203,AC203,AB203,Y203,U203,T203,S203,R203)</f>
        <v>0</v>
      </c>
      <c r="AG203" s="107"/>
      <c r="AH203" s="107"/>
      <c r="AI203" s="107"/>
      <c r="AJ203" s="111"/>
      <c r="AK203" s="111"/>
      <c r="AL203" s="111"/>
      <c r="AM203" s="108">
        <f>AG203*'1. Standard_Cost'!$B$27+'Incremental_Cost Year 4'!AH203*'1. Standard_Cost'!$C$27+'Incremental_Cost Year 4'!AI203*'1. Standard_Cost'!$D$27+'Incremental_Cost Year 4'!AJ203+'Incremental_Cost Year 4'!AL203+AK203</f>
        <v>0</v>
      </c>
      <c r="AN203" s="108">
        <f>AM203*'1. Standard_Cost'!$C$31</f>
        <v>0</v>
      </c>
      <c r="AO203" s="125" t="s">
        <v>413</v>
      </c>
      <c r="AQ203" s="14">
        <f t="shared" ref="AQ203:AQ221" si="188">L203+M203</f>
        <v>0</v>
      </c>
      <c r="AR203" s="14">
        <f t="shared" ref="AR203:AR221" si="189">AF203</f>
        <v>0</v>
      </c>
      <c r="AS203" s="14">
        <f t="shared" ref="AS203:AS221" si="190">AM203+AN203</f>
        <v>0</v>
      </c>
      <c r="AT203" s="14">
        <f>SUM(AQ203,AR203,AS203)</f>
        <v>0</v>
      </c>
      <c r="AU203" s="15">
        <v>0</v>
      </c>
      <c r="AV203" s="15"/>
      <c r="AW203" s="15"/>
      <c r="AX203" s="15"/>
      <c r="AY203" s="15"/>
      <c r="AZ203" s="15"/>
      <c r="BA203" s="15"/>
      <c r="BB203" s="16">
        <f t="shared" ref="BB203:BB221" si="191">SUM(AU203:BA203)-AT203</f>
        <v>0</v>
      </c>
    </row>
    <row r="204" spans="1:54" ht="140.4" outlineLevel="2">
      <c r="A204" s="98"/>
      <c r="B204" s="102"/>
      <c r="C204" s="23"/>
      <c r="D204" s="269"/>
      <c r="E204" s="271"/>
      <c r="F204" s="250"/>
      <c r="G204" s="255"/>
      <c r="H204" s="302" t="s">
        <v>539</v>
      </c>
      <c r="I204" s="104" t="s">
        <v>5</v>
      </c>
      <c r="J204" s="105">
        <v>4</v>
      </c>
      <c r="K204" s="105">
        <v>12</v>
      </c>
      <c r="L204" s="106">
        <f>IF(I204&lt;&gt;0,((VLOOKUP(I204,'1. Standard_Cost'!$B$4:$D$11,2)+VLOOKUP(I204,'1. Standard_Cost'!$B$4:$D$11,3))*J204*K204),"0")</f>
        <v>3393600</v>
      </c>
      <c r="M204" s="106">
        <f>L204*'1. Standard_Cost'!$F$4</f>
        <v>566731.20000000007</v>
      </c>
      <c r="N204" s="107">
        <v>1</v>
      </c>
      <c r="O204" s="107">
        <v>2</v>
      </c>
      <c r="P204" s="107">
        <v>12</v>
      </c>
      <c r="Q204" s="107"/>
      <c r="R204" s="108">
        <v>0</v>
      </c>
      <c r="S204" s="108">
        <v>0</v>
      </c>
      <c r="T204" s="108">
        <f>N204*P204*Q204*'1. Standard_Cost'!$D$15</f>
        <v>0</v>
      </c>
      <c r="U204" s="108">
        <v>0</v>
      </c>
      <c r="V204" s="107"/>
      <c r="W204" s="107"/>
      <c r="X204" s="107"/>
      <c r="Y204" s="108">
        <f>+V204*((X204*'1. Standard_Cost'!$B$19)+(W204*X204*'1. Standard_Cost'!$C$19))</f>
        <v>0</v>
      </c>
      <c r="Z204" s="107"/>
      <c r="AA204" s="107">
        <v>10</v>
      </c>
      <c r="AB204" s="108">
        <f>+Z204*'1. Standard_Cost'!$B$23+AA204*'1. Standard_Cost'!$C$23</f>
        <v>190000</v>
      </c>
      <c r="AC204" s="109">
        <f>13*3500*2+13*2*500</f>
        <v>104000</v>
      </c>
      <c r="AD204" s="110"/>
      <c r="AE204" s="108">
        <v>0</v>
      </c>
      <c r="AF204" s="108">
        <f t="shared" si="187"/>
        <v>294000</v>
      </c>
      <c r="AG204" s="107"/>
      <c r="AH204" s="107"/>
      <c r="AI204" s="107"/>
      <c r="AJ204" s="111"/>
      <c r="AK204" s="111"/>
      <c r="AL204" s="111"/>
      <c r="AM204" s="108">
        <f>AG204*'1. Standard_Cost'!$B$27+'Incremental_Cost Year 4'!AH204*'1. Standard_Cost'!$C$27+'Incremental_Cost Year 4'!AI204*'1. Standard_Cost'!$D$27+'Incremental_Cost Year 4'!AJ204+'Incremental_Cost Year 4'!AL204+AK204</f>
        <v>0</v>
      </c>
      <c r="AN204" s="108">
        <f>AM204*'1. Standard_Cost'!$C$31</f>
        <v>0</v>
      </c>
      <c r="AO204" s="125" t="s">
        <v>414</v>
      </c>
      <c r="AQ204" s="14">
        <f t="shared" si="188"/>
        <v>3960331.2</v>
      </c>
      <c r="AR204" s="14">
        <f t="shared" si="189"/>
        <v>294000</v>
      </c>
      <c r="AS204" s="14">
        <f t="shared" si="190"/>
        <v>0</v>
      </c>
      <c r="AT204" s="14">
        <f t="shared" ref="AT204:AT221" si="192">SUM(AQ204,AR204,AS204)</f>
        <v>4254331.2</v>
      </c>
      <c r="AU204" s="15">
        <v>3960331.2</v>
      </c>
      <c r="AV204" s="15"/>
      <c r="AW204" s="15"/>
      <c r="AX204" s="15">
        <v>294000</v>
      </c>
      <c r="AY204" s="15"/>
      <c r="AZ204" s="15"/>
      <c r="BA204" s="15"/>
      <c r="BB204" s="16">
        <f t="shared" si="191"/>
        <v>0</v>
      </c>
    </row>
    <row r="205" spans="1:54" ht="31.2" customHeight="1" outlineLevel="2">
      <c r="A205" s="98"/>
      <c r="B205" s="102"/>
      <c r="C205" s="23"/>
      <c r="D205" s="269"/>
      <c r="E205" s="271"/>
      <c r="F205" s="27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v>2</v>
      </c>
      <c r="AB205" s="108">
        <f>+Z205*'[1]1. Standard_Cost'!$B$23+AA205*'[1]1. Standard_Cost'!$C$23</f>
        <v>38000</v>
      </c>
      <c r="AC205" s="109"/>
      <c r="AD205" s="110"/>
      <c r="AE205" s="108">
        <f>SUM(AD205,AC205,AB205,Y205,U205,T205,S205,R205)*'[1]1. Standard_Cost'!$B$31</f>
        <v>7600</v>
      </c>
      <c r="AF205" s="108">
        <f t="shared" si="187"/>
        <v>45600</v>
      </c>
      <c r="AG205" s="107"/>
      <c r="AH205" s="107"/>
      <c r="AI205" s="107"/>
      <c r="AJ205" s="111"/>
      <c r="AK205" s="111"/>
      <c r="AL205" s="111"/>
      <c r="AM205" s="108">
        <f>AG205*'[1]1. Standard_Cost'!$B$27+'[1]Incremental_Cost Year 4'!AH205*'[1]1. Standard_Cost'!$C$27+'[1]Incremental_Cost Year 4'!AI205*'[1]1. Standard_Cost'!$D$27+'[1]Incremental_Cost Year 4'!AJ205+'[1]Incremental_Cost Year 4'!AL205+AK205</f>
        <v>0</v>
      </c>
      <c r="AN205" s="108">
        <f>AM205*'[1]1. Standard_Cost'!$C$31</f>
        <v>0</v>
      </c>
      <c r="AO205" s="125"/>
      <c r="AQ205" s="14">
        <f t="shared" si="188"/>
        <v>0</v>
      </c>
      <c r="AR205" s="14">
        <f t="shared" si="189"/>
        <v>45600</v>
      </c>
      <c r="AS205" s="14">
        <f t="shared" si="190"/>
        <v>0</v>
      </c>
      <c r="AT205" s="14">
        <f t="shared" si="192"/>
        <v>45600</v>
      </c>
      <c r="AU205" s="15"/>
      <c r="AV205" s="15"/>
      <c r="AW205" s="15"/>
      <c r="AX205" s="15">
        <v>45600</v>
      </c>
      <c r="AY205" s="15"/>
      <c r="AZ205" s="15"/>
      <c r="BA205" s="15"/>
      <c r="BB205" s="16">
        <f t="shared" si="191"/>
        <v>0</v>
      </c>
    </row>
    <row r="206" spans="1:54" ht="62.4" outlineLevel="2">
      <c r="A206" s="98"/>
      <c r="B206" s="102"/>
      <c r="C206" s="23"/>
      <c r="D206" s="269"/>
      <c r="E206" s="271"/>
      <c r="F206" s="250"/>
      <c r="G206" s="255"/>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187"/>
        <v>0</v>
      </c>
      <c r="AG206" s="107"/>
      <c r="AH206" s="107"/>
      <c r="AI206" s="107"/>
      <c r="AJ206" s="111"/>
      <c r="AK206" s="111"/>
      <c r="AL206" s="111"/>
      <c r="AM206" s="108">
        <f>AG206*'1. Standard_Cost'!$B$27+'Incremental_Cost Year 4'!AH206*'1. Standard_Cost'!$C$27+'Incremental_Cost Year 4'!AI206*'1. Standard_Cost'!$D$27+'Incremental_Cost Year 4'!AJ206+'Incremental_Cost Year 4'!AL206+AK206</f>
        <v>0</v>
      </c>
      <c r="AN206" s="108">
        <f>AM206*'1. Standard_Cost'!$C$31</f>
        <v>0</v>
      </c>
      <c r="AO206" s="125" t="s">
        <v>415</v>
      </c>
      <c r="AQ206" s="14">
        <f t="shared" si="188"/>
        <v>0</v>
      </c>
      <c r="AR206" s="14">
        <f t="shared" si="189"/>
        <v>0</v>
      </c>
      <c r="AS206" s="14">
        <f t="shared" si="190"/>
        <v>0</v>
      </c>
      <c r="AT206" s="14">
        <f t="shared" si="192"/>
        <v>0</v>
      </c>
      <c r="AU206" s="15"/>
      <c r="AV206" s="15"/>
      <c r="AW206" s="15"/>
      <c r="AX206" s="15"/>
      <c r="AY206" s="15"/>
      <c r="AZ206" s="15"/>
      <c r="BA206" s="15"/>
      <c r="BB206" s="16">
        <f t="shared" si="191"/>
        <v>0</v>
      </c>
    </row>
    <row r="207" spans="1:54" ht="36" customHeight="1" outlineLevel="2">
      <c r="A207" s="98"/>
      <c r="B207" s="102"/>
      <c r="C207" s="23"/>
      <c r="D207" s="269"/>
      <c r="E207" s="271"/>
      <c r="F207" s="250"/>
      <c r="G207" s="255"/>
      <c r="H207" s="302" t="s">
        <v>541</v>
      </c>
      <c r="I207" s="104" t="s">
        <v>4</v>
      </c>
      <c r="J207" s="105">
        <v>0.4</v>
      </c>
      <c r="K207" s="105">
        <v>3</v>
      </c>
      <c r="L207" s="106">
        <f>IF(I207&lt;&gt;0,((VLOOKUP(I207,'1. Standard_Cost'!$B$4:$D$11,2)+VLOOKUP(I207,'1. Standard_Cost'!$B$4:$D$11,3))*J207*K207),"0")</f>
        <v>96900</v>
      </c>
      <c r="M207" s="106">
        <f>L207*'1. Standard_Cost'!$F$4</f>
        <v>16182.300000000001</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v>10</v>
      </c>
      <c r="AB207" s="108">
        <f>+Z207*'1. Standard_Cost'!$B$23+AA207*'1. Standard_Cost'!$C$23</f>
        <v>190000</v>
      </c>
      <c r="AC207" s="109">
        <f>2*10*300</f>
        <v>6000</v>
      </c>
      <c r="AD207" s="110"/>
      <c r="AE207" s="108">
        <v>0</v>
      </c>
      <c r="AF207" s="108">
        <f t="shared" si="187"/>
        <v>196000</v>
      </c>
      <c r="AG207" s="107"/>
      <c r="AH207" s="107"/>
      <c r="AI207" s="107"/>
      <c r="AJ207" s="111"/>
      <c r="AK207" s="111"/>
      <c r="AL207" s="111"/>
      <c r="AM207" s="108">
        <f>AG207*'1. Standard_Cost'!$B$27+'Incremental_Cost Year 4'!AH207*'1. Standard_Cost'!$C$27+'Incremental_Cost Year 4'!AI207*'1. Standard_Cost'!$D$27+'Incremental_Cost Year 4'!AJ207+'Incremental_Cost Year 4'!AL207+AK207</f>
        <v>0</v>
      </c>
      <c r="AN207" s="108">
        <f>AM207*'1. Standard_Cost'!$C$31</f>
        <v>0</v>
      </c>
      <c r="AO207" s="125" t="s">
        <v>416</v>
      </c>
      <c r="AQ207" s="14">
        <f t="shared" si="188"/>
        <v>113082.3</v>
      </c>
      <c r="AR207" s="14">
        <f t="shared" si="189"/>
        <v>196000</v>
      </c>
      <c r="AS207" s="14">
        <f t="shared" si="190"/>
        <v>0</v>
      </c>
      <c r="AT207" s="14">
        <f t="shared" si="192"/>
        <v>309082.3</v>
      </c>
      <c r="AU207" s="15">
        <v>113082.3</v>
      </c>
      <c r="AV207" s="15"/>
      <c r="AW207" s="15"/>
      <c r="AX207" s="15"/>
      <c r="AY207" s="15"/>
      <c r="AZ207" s="15"/>
      <c r="BA207" s="15"/>
      <c r="BB207" s="16">
        <f t="shared" si="191"/>
        <v>-196000</v>
      </c>
    </row>
    <row r="208" spans="1:54" ht="109.2" outlineLevel="2">
      <c r="A208" s="98"/>
      <c r="B208" s="102"/>
      <c r="C208" s="23"/>
      <c r="D208" s="269"/>
      <c r="E208" s="271"/>
      <c r="F208" s="250"/>
      <c r="G208" s="255"/>
      <c r="H208" s="302" t="s">
        <v>542</v>
      </c>
      <c r="I208" s="104"/>
      <c r="J208" s="105"/>
      <c r="K208" s="105"/>
      <c r="L208" s="106" t="str">
        <f>IF(I208&lt;&gt;0,((VLOOKUP(I208,'1. Standard_Cost'!$B$4:$D$11,2)+VLOOKUP(I208,'1. Standard_Cost'!$B$4:$D$11,3))*J208*K208),"0")</f>
        <v>0</v>
      </c>
      <c r="M208" s="106">
        <f>L208*'1. Standard_Cost'!$F$4</f>
        <v>0</v>
      </c>
      <c r="N208" s="107">
        <v>3</v>
      </c>
      <c r="O208" s="107">
        <v>1</v>
      </c>
      <c r="P208" s="107">
        <v>13</v>
      </c>
      <c r="Q208" s="107"/>
      <c r="R208" s="108">
        <v>0</v>
      </c>
      <c r="S208" s="108">
        <v>0</v>
      </c>
      <c r="T208" s="108">
        <f>N208*P208*Q208*'1. Standard_Cost'!$D$15</f>
        <v>0</v>
      </c>
      <c r="U208" s="108">
        <v>0</v>
      </c>
      <c r="V208" s="107"/>
      <c r="W208" s="107"/>
      <c r="X208" s="107"/>
      <c r="Y208" s="108">
        <f>+V208*((X208*'1. Standard_Cost'!$B$19)+(W208*X208*'1. Standard_Cost'!$C$19))</f>
        <v>0</v>
      </c>
      <c r="Z208" s="107"/>
      <c r="AA208" s="107"/>
      <c r="AB208" s="108">
        <f>+Z208*'1. Standard_Cost'!$B$23+AA208*'1. Standard_Cost'!$C$23</f>
        <v>0</v>
      </c>
      <c r="AC208" s="109">
        <f>13*3500*3+13*500*3</f>
        <v>156000</v>
      </c>
      <c r="AD208" s="110"/>
      <c r="AE208" s="108">
        <v>0</v>
      </c>
      <c r="AF208" s="108">
        <f t="shared" si="187"/>
        <v>156000</v>
      </c>
      <c r="AG208" s="107"/>
      <c r="AH208" s="107"/>
      <c r="AI208" s="107"/>
      <c r="AJ208" s="111"/>
      <c r="AK208" s="111"/>
      <c r="AL208" s="111"/>
      <c r="AM208" s="108">
        <f>AG208*'1. Standard_Cost'!$B$27+'Incremental_Cost Year 4'!AH208*'1. Standard_Cost'!$C$27+'Incremental_Cost Year 4'!AI208*'1. Standard_Cost'!$D$27+'Incremental_Cost Year 4'!AJ208+'Incremental_Cost Year 4'!AL208+AK208</f>
        <v>0</v>
      </c>
      <c r="AN208" s="108">
        <f>AM208*'1. Standard_Cost'!$C$31</f>
        <v>0</v>
      </c>
      <c r="AO208" s="125" t="s">
        <v>417</v>
      </c>
      <c r="AQ208" s="14">
        <f t="shared" si="188"/>
        <v>0</v>
      </c>
      <c r="AR208" s="14">
        <f t="shared" si="189"/>
        <v>156000</v>
      </c>
      <c r="AS208" s="14">
        <f t="shared" si="190"/>
        <v>0</v>
      </c>
      <c r="AT208" s="14">
        <f t="shared" si="192"/>
        <v>156000</v>
      </c>
      <c r="AU208" s="15"/>
      <c r="AV208" s="15"/>
      <c r="AW208" s="15"/>
      <c r="AX208" s="15"/>
      <c r="AY208" s="15"/>
      <c r="AZ208" s="15"/>
      <c r="BA208" s="15"/>
      <c r="BB208" s="16">
        <f t="shared" si="191"/>
        <v>-156000</v>
      </c>
    </row>
    <row r="209" spans="1:54" ht="15.6" outlineLevel="2">
      <c r="A209" s="98"/>
      <c r="B209" s="102"/>
      <c r="C209" s="23"/>
      <c r="D209" s="269"/>
      <c r="E209" s="271"/>
      <c r="F209" s="27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v>3</v>
      </c>
      <c r="AB209" s="108">
        <f>+Z209*'[1]1. Standard_Cost'!$B$23+AA209*'[1]1. Standard_Cost'!$C$23</f>
        <v>57000</v>
      </c>
      <c r="AC209" s="109"/>
      <c r="AD209" s="110"/>
      <c r="AE209" s="108">
        <v>0</v>
      </c>
      <c r="AF209" s="108">
        <f t="shared" si="187"/>
        <v>57000</v>
      </c>
      <c r="AG209" s="107"/>
      <c r="AH209" s="107"/>
      <c r="AI209" s="107"/>
      <c r="AJ209" s="111"/>
      <c r="AK209" s="111"/>
      <c r="AL209" s="111"/>
      <c r="AM209" s="108">
        <f>AG209*'[1]1. Standard_Cost'!$B$27+'[1]Incremental_Cost Year 4'!AH209*'[1]1. Standard_Cost'!$C$27+'[1]Incremental_Cost Year 4'!AI209*'[1]1. Standard_Cost'!$D$27+'[1]Incremental_Cost Year 4'!AJ209+'[1]Incremental_Cost Year 4'!AL209+AK209</f>
        <v>0</v>
      </c>
      <c r="AN209" s="108">
        <f>AM209*'[1]1. Standard_Cost'!$C$31</f>
        <v>0</v>
      </c>
      <c r="AO209" s="125" t="s">
        <v>418</v>
      </c>
      <c r="AQ209" s="14">
        <f t="shared" si="188"/>
        <v>0</v>
      </c>
      <c r="AR209" s="14">
        <f t="shared" si="189"/>
        <v>57000</v>
      </c>
      <c r="AS209" s="14">
        <f t="shared" si="190"/>
        <v>0</v>
      </c>
      <c r="AT209" s="14">
        <f t="shared" si="192"/>
        <v>57000</v>
      </c>
      <c r="AU209" s="15"/>
      <c r="AV209" s="15"/>
      <c r="AW209" s="15"/>
      <c r="AX209" s="15"/>
      <c r="AY209" s="15"/>
      <c r="AZ209" s="15"/>
      <c r="BA209" s="15"/>
      <c r="BB209" s="16">
        <f t="shared" si="191"/>
        <v>-57000</v>
      </c>
    </row>
    <row r="210" spans="1:54" ht="109.2" outlineLevel="2">
      <c r="A210" s="98"/>
      <c r="B210" s="102"/>
      <c r="C210" s="23"/>
      <c r="D210" s="269"/>
      <c r="E210" s="271"/>
      <c r="F210" s="250"/>
      <c r="G210" s="255"/>
      <c r="H210" s="302" t="s">
        <v>543</v>
      </c>
      <c r="I210" s="104" t="s">
        <v>4</v>
      </c>
      <c r="J210" s="105">
        <v>1</v>
      </c>
      <c r="K210" s="105">
        <v>3</v>
      </c>
      <c r="L210" s="106">
        <f>IF(I210&lt;&gt;0,((VLOOKUP(I210,'1. Standard_Cost'!$B$4:$D$11,2)+VLOOKUP(I210,'1. Standard_Cost'!$B$4:$D$11,3))*J210*K210),"0")</f>
        <v>242250</v>
      </c>
      <c r="M210" s="106">
        <f>L210*'1. Standard_Cost'!$F$4</f>
        <v>40455.75</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v>9</v>
      </c>
      <c r="AB210" s="108">
        <f>+Z210*'1. Standard_Cost'!$B$23+AA210*'1. Standard_Cost'!$C$23</f>
        <v>171000</v>
      </c>
      <c r="AC210" s="109">
        <f>2*10*300</f>
        <v>6000</v>
      </c>
      <c r="AD210" s="110"/>
      <c r="AE210" s="108">
        <f>SUM(AD210,AC210,AB210,Y210,U210,T210,S210,R210)*'1. Standard_Cost'!$B$31</f>
        <v>35400</v>
      </c>
      <c r="AF210" s="108">
        <f t="shared" si="187"/>
        <v>212400</v>
      </c>
      <c r="AG210" s="107"/>
      <c r="AH210" s="107"/>
      <c r="AI210" s="107"/>
      <c r="AJ210" s="111"/>
      <c r="AK210" s="111"/>
      <c r="AL210" s="111"/>
      <c r="AM210" s="108">
        <f>AG210*'1. Standard_Cost'!$B$27+'Incremental_Cost Year 4'!AH210*'1. Standard_Cost'!$C$27+'Incremental_Cost Year 4'!AI210*'1. Standard_Cost'!$D$27+'Incremental_Cost Year 4'!AJ210+'Incremental_Cost Year 4'!AL210+AK210</f>
        <v>0</v>
      </c>
      <c r="AN210" s="108">
        <f>AM210*'1. Standard_Cost'!$C$31</f>
        <v>0</v>
      </c>
      <c r="AO210" s="125" t="s">
        <v>418</v>
      </c>
      <c r="AQ210" s="14">
        <f t="shared" si="188"/>
        <v>282705.75</v>
      </c>
      <c r="AR210" s="14">
        <f t="shared" si="189"/>
        <v>212400</v>
      </c>
      <c r="AS210" s="14">
        <f t="shared" si="190"/>
        <v>0</v>
      </c>
      <c r="AT210" s="14">
        <f t="shared" si="192"/>
        <v>495105.75</v>
      </c>
      <c r="AU210" s="15">
        <v>282705.75</v>
      </c>
      <c r="AV210" s="15"/>
      <c r="AW210" s="15"/>
      <c r="AX210" s="15"/>
      <c r="AY210" s="15"/>
      <c r="AZ210" s="15"/>
      <c r="BA210" s="15"/>
      <c r="BB210" s="16">
        <f t="shared" si="191"/>
        <v>-212400</v>
      </c>
    </row>
    <row r="211" spans="1:54" ht="78" outlineLevel="2">
      <c r="A211" s="98"/>
      <c r="B211" s="102"/>
      <c r="C211" s="23"/>
      <c r="D211" s="269"/>
      <c r="E211" s="271"/>
      <c r="F211" s="250"/>
      <c r="G211" s="255"/>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c r="AD211" s="110"/>
      <c r="AE211" s="108">
        <f>SUM(AD211,AC211,AB211,Y211,U211,T211,S211,R211)*'1. Standard_Cost'!$B$31</f>
        <v>0</v>
      </c>
      <c r="AF211" s="108">
        <f t="shared" si="187"/>
        <v>0</v>
      </c>
      <c r="AG211" s="107"/>
      <c r="AH211" s="107"/>
      <c r="AI211" s="107"/>
      <c r="AJ211" s="111"/>
      <c r="AK211" s="111"/>
      <c r="AL211" s="111"/>
      <c r="AM211" s="108">
        <f>AG211*'1. Standard_Cost'!$B$27+'Incremental_Cost Year 4'!AH211*'1. Standard_Cost'!$C$27+'Incremental_Cost Year 4'!AI211*'1. Standard_Cost'!$D$27+'Incremental_Cost Year 4'!AJ211+'Incremental_Cost Year 4'!AL211+AK211</f>
        <v>0</v>
      </c>
      <c r="AN211" s="108">
        <f>AM211*'1. Standard_Cost'!$C$31</f>
        <v>0</v>
      </c>
      <c r="AO211" s="125" t="s">
        <v>419</v>
      </c>
      <c r="AQ211" s="14">
        <f t="shared" si="188"/>
        <v>0</v>
      </c>
      <c r="AR211" s="14">
        <f t="shared" si="189"/>
        <v>0</v>
      </c>
      <c r="AS211" s="14">
        <f t="shared" si="190"/>
        <v>0</v>
      </c>
      <c r="AT211" s="14">
        <f t="shared" si="192"/>
        <v>0</v>
      </c>
      <c r="AU211" s="15"/>
      <c r="AV211" s="15"/>
      <c r="AW211" s="15"/>
      <c r="AX211" s="15"/>
      <c r="AY211" s="15"/>
      <c r="AZ211" s="15"/>
      <c r="BA211" s="15"/>
      <c r="BB211" s="16">
        <f t="shared" si="191"/>
        <v>0</v>
      </c>
    </row>
    <row r="212" spans="1:54" ht="109.2" outlineLevel="2">
      <c r="A212" s="98"/>
      <c r="B212" s="102"/>
      <c r="C212" s="23"/>
      <c r="D212" s="269"/>
      <c r="E212" s="271"/>
      <c r="F212" s="250"/>
      <c r="G212" s="255"/>
      <c r="H212" s="302" t="s">
        <v>545</v>
      </c>
      <c r="I212" s="104"/>
      <c r="J212" s="105"/>
      <c r="K212" s="105"/>
      <c r="L212" s="106" t="str">
        <f>IF(I212&lt;&gt;0,((VLOOKUP(I212,'1. Standard_Cost'!$B$4:$D$11,2)+VLOOKUP(I212,'1. Standard_Cost'!$B$4:$D$11,3))*J212*K212),"0")</f>
        <v>0</v>
      </c>
      <c r="M212" s="106">
        <f>L212*'1. Standard_Cost'!$F$4</f>
        <v>0</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c r="AB212" s="108">
        <f>+Z212*'1. Standard_Cost'!$B$23+AA212*'1. Standard_Cost'!$C$23</f>
        <v>0</v>
      </c>
      <c r="AC212" s="109"/>
      <c r="AD212" s="110"/>
      <c r="AE212" s="108">
        <f>SUM(AD212,AC212,AB212,Y212,U212,T212,S212,R212)*'1. Standard_Cost'!$B$31</f>
        <v>0</v>
      </c>
      <c r="AF212" s="108">
        <f t="shared" si="187"/>
        <v>0</v>
      </c>
      <c r="AG212" s="107"/>
      <c r="AH212" s="107"/>
      <c r="AI212" s="107"/>
      <c r="AJ212" s="111"/>
      <c r="AK212" s="111"/>
      <c r="AL212" s="111"/>
      <c r="AM212" s="108">
        <f>AG212*'1. Standard_Cost'!$B$27+'Incremental_Cost Year 4'!AH212*'1. Standard_Cost'!$C$27+'Incremental_Cost Year 4'!AI212*'1. Standard_Cost'!$D$27+'Incremental_Cost Year 4'!AJ212+'Incremental_Cost Year 4'!AL212+AK212</f>
        <v>0</v>
      </c>
      <c r="AN212" s="108">
        <f>AM212*'1. Standard_Cost'!$C$31</f>
        <v>0</v>
      </c>
      <c r="AO212" s="125" t="s">
        <v>300</v>
      </c>
      <c r="AQ212" s="14">
        <f t="shared" si="188"/>
        <v>0</v>
      </c>
      <c r="AR212" s="14">
        <f t="shared" si="189"/>
        <v>0</v>
      </c>
      <c r="AS212" s="14">
        <f t="shared" si="190"/>
        <v>0</v>
      </c>
      <c r="AT212" s="14">
        <f t="shared" si="192"/>
        <v>0</v>
      </c>
      <c r="AU212" s="15">
        <v>0</v>
      </c>
      <c r="AV212" s="15"/>
      <c r="AW212" s="15"/>
      <c r="AX212" s="15"/>
      <c r="AY212" s="15"/>
      <c r="AZ212" s="15"/>
      <c r="BA212" s="15"/>
      <c r="BB212" s="16">
        <f t="shared" si="191"/>
        <v>0</v>
      </c>
    </row>
    <row r="213" spans="1:54" ht="93.6" outlineLevel="2">
      <c r="A213" s="98"/>
      <c r="B213" s="102"/>
      <c r="C213" s="23"/>
      <c r="D213" s="269"/>
      <c r="E213" s="271"/>
      <c r="F213" s="250"/>
      <c r="G213" s="255"/>
      <c r="H213" s="302" t="s">
        <v>546</v>
      </c>
      <c r="I213" s="104" t="s">
        <v>4</v>
      </c>
      <c r="J213" s="105">
        <v>0.2</v>
      </c>
      <c r="K213" s="105">
        <v>1</v>
      </c>
      <c r="L213" s="106">
        <f>IF(I213&lt;&gt;0,((VLOOKUP(I213,'1. Standard_Cost'!$B$4:$D$11,2)+VLOOKUP(I213,'1. Standard_Cost'!$B$4:$D$11,3))*J213*K213),"0")</f>
        <v>16150</v>
      </c>
      <c r="M213" s="106">
        <f>L213*'1. Standard_Cost'!$F$4</f>
        <v>2697.05</v>
      </c>
      <c r="N213" s="107">
        <v>1</v>
      </c>
      <c r="O213" s="107">
        <v>3</v>
      </c>
      <c r="P213" s="107">
        <v>13</v>
      </c>
      <c r="Q213" s="107">
        <v>0</v>
      </c>
      <c r="R213" s="108">
        <f>'1. Standard_Cost'!$B$15*N213*P213</f>
        <v>26000</v>
      </c>
      <c r="S213" s="108">
        <f>N213*O213*P213*'1. Standard_Cost'!$C$15</f>
        <v>58500</v>
      </c>
      <c r="T213" s="108">
        <f>N213*P213*Q213*'1. Standard_Cost'!$D$15</f>
        <v>0</v>
      </c>
      <c r="U213" s="108">
        <v>0</v>
      </c>
      <c r="V213" s="107"/>
      <c r="W213" s="107"/>
      <c r="X213" s="107"/>
      <c r="Y213" s="108">
        <f>+V213*((X213*'1. Standard_Cost'!$B$19)+(W213*X213*'1. Standard_Cost'!$C$19))</f>
        <v>0</v>
      </c>
      <c r="Z213" s="107"/>
      <c r="AA213" s="107"/>
      <c r="AB213" s="108">
        <f>+Z213*'1. Standard_Cost'!$B$23+AA213*'1. Standard_Cost'!$C$23</f>
        <v>0</v>
      </c>
      <c r="AC213" s="109"/>
      <c r="AD213" s="110"/>
      <c r="AE213" s="108">
        <v>0</v>
      </c>
      <c r="AF213" s="108">
        <f t="shared" si="187"/>
        <v>84500</v>
      </c>
      <c r="AG213" s="107"/>
      <c r="AH213" s="107"/>
      <c r="AI213" s="107"/>
      <c r="AJ213" s="111"/>
      <c r="AK213" s="111"/>
      <c r="AL213" s="111"/>
      <c r="AM213" s="108">
        <f>AG213*'1. Standard_Cost'!$B$27+'Incremental_Cost Year 4'!AH213*'1. Standard_Cost'!$C$27+'Incremental_Cost Year 4'!AI213*'1. Standard_Cost'!$D$27+'Incremental_Cost Year 4'!AJ213+'Incremental_Cost Year 4'!AL213+AK213</f>
        <v>0</v>
      </c>
      <c r="AN213" s="108">
        <f>AM213*'1. Standard_Cost'!$C$31</f>
        <v>0</v>
      </c>
      <c r="AO213" s="125" t="s">
        <v>420</v>
      </c>
      <c r="AQ213" s="14">
        <f t="shared" si="188"/>
        <v>18847.05</v>
      </c>
      <c r="AR213" s="14">
        <f t="shared" si="189"/>
        <v>84500</v>
      </c>
      <c r="AS213" s="14">
        <f t="shared" si="190"/>
        <v>0</v>
      </c>
      <c r="AT213" s="14">
        <f t="shared" si="192"/>
        <v>103347.05</v>
      </c>
      <c r="AU213" s="15">
        <v>18847.05</v>
      </c>
      <c r="AV213" s="15"/>
      <c r="AW213" s="15"/>
      <c r="AX213" s="15">
        <v>84500</v>
      </c>
      <c r="AY213" s="15"/>
      <c r="AZ213" s="15"/>
      <c r="BA213" s="15"/>
      <c r="BB213" s="16">
        <f t="shared" si="191"/>
        <v>0</v>
      </c>
    </row>
    <row r="214" spans="1:54" ht="21" customHeight="1" outlineLevel="2">
      <c r="A214" s="98"/>
      <c r="B214" s="102"/>
      <c r="C214" s="23"/>
      <c r="D214" s="269"/>
      <c r="E214" s="271"/>
      <c r="F214" s="27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v>4</v>
      </c>
      <c r="AB214" s="108">
        <f>+Z214*'[1]1. Standard_Cost'!$B$23+AA214*'[1]1. Standard_Cost'!$C$23</f>
        <v>76000</v>
      </c>
      <c r="AC214" s="109"/>
      <c r="AD214" s="110"/>
      <c r="AE214" s="108"/>
      <c r="AF214" s="108">
        <f t="shared" si="187"/>
        <v>76000</v>
      </c>
      <c r="AG214" s="107"/>
      <c r="AH214" s="107"/>
      <c r="AI214" s="107"/>
      <c r="AJ214" s="111"/>
      <c r="AK214" s="111"/>
      <c r="AL214" s="111"/>
      <c r="AM214" s="108">
        <f>AG214*'[1]1. Standard_Cost'!$B$27+'[1]Incremental_Cost Year 4'!AH214*'[1]1. Standard_Cost'!$C$27+'[1]Incremental_Cost Year 4'!AI214*'[1]1. Standard_Cost'!$D$27+'[1]Incremental_Cost Year 4'!AJ214+'[1]Incremental_Cost Year 4'!AL214+AK214</f>
        <v>0</v>
      </c>
      <c r="AN214" s="108">
        <f>AM214*'[1]1. Standard_Cost'!$C$31</f>
        <v>0</v>
      </c>
      <c r="AO214" s="125" t="s">
        <v>421</v>
      </c>
      <c r="AQ214" s="14">
        <f t="shared" si="188"/>
        <v>0</v>
      </c>
      <c r="AR214" s="14">
        <f t="shared" si="189"/>
        <v>76000</v>
      </c>
      <c r="AS214" s="14">
        <f t="shared" si="190"/>
        <v>0</v>
      </c>
      <c r="AT214" s="14">
        <f t="shared" si="192"/>
        <v>76000</v>
      </c>
      <c r="AU214" s="15"/>
      <c r="AV214" s="15"/>
      <c r="AW214" s="15"/>
      <c r="AX214" s="15"/>
      <c r="AY214" s="15"/>
      <c r="AZ214" s="15"/>
      <c r="BA214" s="15"/>
      <c r="BB214" s="16">
        <f t="shared" si="191"/>
        <v>-76000</v>
      </c>
    </row>
    <row r="215" spans="1:54" ht="187.2" outlineLevel="2">
      <c r="A215" s="98"/>
      <c r="B215" s="102"/>
      <c r="C215" s="23"/>
      <c r="D215" s="269"/>
      <c r="E215" s="271"/>
      <c r="F215" s="250"/>
      <c r="G215" s="255"/>
      <c r="H215" s="302" t="s">
        <v>547</v>
      </c>
      <c r="I215" s="104" t="s">
        <v>4</v>
      </c>
      <c r="J215" s="105">
        <v>0.2</v>
      </c>
      <c r="K215" s="105">
        <v>1</v>
      </c>
      <c r="L215" s="106">
        <f>IF(I215&lt;&gt;0,((VLOOKUP(I215,'1. Standard_Cost'!$B$4:$D$11,2)+VLOOKUP(I215,'1. Standard_Cost'!$B$4:$D$11,3))*J215*K215),"0")</f>
        <v>16150</v>
      </c>
      <c r="M215" s="106">
        <f>L215*'1. Standard_Cost'!$F$4</f>
        <v>2697.05</v>
      </c>
      <c r="N215" s="107">
        <v>1</v>
      </c>
      <c r="O215" s="107">
        <v>1</v>
      </c>
      <c r="P215" s="107">
        <v>50</v>
      </c>
      <c r="Q215" s="107"/>
      <c r="R215" s="108">
        <v>0</v>
      </c>
      <c r="S215" s="108">
        <v>0</v>
      </c>
      <c r="T215" s="108">
        <f>N215*P215*Q215*'1. Standard_Cost'!$D$15</f>
        <v>0</v>
      </c>
      <c r="U215" s="108">
        <v>0</v>
      </c>
      <c r="V215" s="107"/>
      <c r="W215" s="107"/>
      <c r="X215" s="107"/>
      <c r="Y215" s="108">
        <f>+V215*((X215*'1. Standard_Cost'!$B$19)+(W215*X215*'1. Standard_Cost'!$C$19))</f>
        <v>0</v>
      </c>
      <c r="Z215" s="107"/>
      <c r="AA215" s="107">
        <v>2</v>
      </c>
      <c r="AB215" s="108">
        <f>+Z215*'1. Standard_Cost'!$B$23+AA215*'1. Standard_Cost'!$C$23</f>
        <v>38000</v>
      </c>
      <c r="AC215" s="109">
        <f>51*3500+51*300</f>
        <v>193800</v>
      </c>
      <c r="AD215" s="110"/>
      <c r="AE215" s="108">
        <v>0</v>
      </c>
      <c r="AF215" s="108">
        <f t="shared" si="187"/>
        <v>231800</v>
      </c>
      <c r="AG215" s="107"/>
      <c r="AH215" s="107"/>
      <c r="AI215" s="107"/>
      <c r="AJ215" s="111"/>
      <c r="AK215" s="111"/>
      <c r="AL215" s="111"/>
      <c r="AM215" s="108">
        <f>AG215*'1. Standard_Cost'!$B$27+'Incremental_Cost Year 4'!AH215*'1. Standard_Cost'!$C$27+'Incremental_Cost Year 4'!AI215*'1. Standard_Cost'!$D$27+'Incremental_Cost Year 4'!AJ215+'Incremental_Cost Year 4'!AL215+AK215</f>
        <v>0</v>
      </c>
      <c r="AN215" s="108">
        <f>AM215*'1. Standard_Cost'!$C$31</f>
        <v>0</v>
      </c>
      <c r="AO215" s="125" t="s">
        <v>421</v>
      </c>
      <c r="AQ215" s="14">
        <f t="shared" si="188"/>
        <v>18847.05</v>
      </c>
      <c r="AR215" s="14">
        <f t="shared" si="189"/>
        <v>231800</v>
      </c>
      <c r="AS215" s="14">
        <f t="shared" si="190"/>
        <v>0</v>
      </c>
      <c r="AT215" s="14">
        <f t="shared" si="192"/>
        <v>250647.05</v>
      </c>
      <c r="AU215" s="15">
        <v>18847.05</v>
      </c>
      <c r="AV215" s="15"/>
      <c r="AW215" s="15"/>
      <c r="AX215" s="15">
        <v>231800</v>
      </c>
      <c r="AY215" s="15"/>
      <c r="AZ215" s="15"/>
      <c r="BA215" s="15"/>
      <c r="BB215" s="16">
        <f t="shared" si="191"/>
        <v>0</v>
      </c>
    </row>
    <row r="216" spans="1:54" ht="41.4" outlineLevel="2">
      <c r="A216" s="98"/>
      <c r="B216" s="102"/>
      <c r="C216" s="23"/>
      <c r="D216" s="269"/>
      <c r="E216" s="271"/>
      <c r="F216" s="250"/>
      <c r="G216" s="255"/>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87"/>
        <v>0</v>
      </c>
      <c r="AG216" s="107"/>
      <c r="AH216" s="107"/>
      <c r="AI216" s="107"/>
      <c r="AJ216" s="111"/>
      <c r="AK216" s="111"/>
      <c r="AL216" s="111"/>
      <c r="AM216" s="108">
        <f>AG216*'1. Standard_Cost'!$B$27+'Incremental_Cost Year 4'!AH216*'1. Standard_Cost'!$C$27+'Incremental_Cost Year 4'!AI216*'1. Standard_Cost'!$D$27+'Incremental_Cost Year 4'!AJ216+'Incremental_Cost Year 4'!AL216+AK216</f>
        <v>0</v>
      </c>
      <c r="AN216" s="108">
        <f>AM216*'1. Standard_Cost'!$C$31</f>
        <v>0</v>
      </c>
      <c r="AO216" s="125" t="s">
        <v>422</v>
      </c>
      <c r="AQ216" s="14">
        <f t="shared" si="188"/>
        <v>0</v>
      </c>
      <c r="AR216" s="14">
        <f t="shared" si="189"/>
        <v>0</v>
      </c>
      <c r="AS216" s="14">
        <f t="shared" si="190"/>
        <v>0</v>
      </c>
      <c r="AT216" s="14">
        <f t="shared" si="192"/>
        <v>0</v>
      </c>
      <c r="AU216" s="15"/>
      <c r="AV216" s="15"/>
      <c r="AW216" s="15"/>
      <c r="AX216" s="15"/>
      <c r="AY216" s="15"/>
      <c r="AZ216" s="15"/>
      <c r="BA216" s="15"/>
      <c r="BB216" s="16">
        <f t="shared" si="191"/>
        <v>0</v>
      </c>
    </row>
    <row r="217" spans="1:54" ht="124.8" outlineLevel="2">
      <c r="A217" s="98"/>
      <c r="B217" s="102"/>
      <c r="C217" s="23"/>
      <c r="D217" s="269"/>
      <c r="E217" s="271"/>
      <c r="F217" s="250"/>
      <c r="G217" s="255"/>
      <c r="H217" s="302" t="s">
        <v>548</v>
      </c>
      <c r="I217" s="104"/>
      <c r="J217" s="105"/>
      <c r="K217" s="105"/>
      <c r="L217" s="106" t="str">
        <f>IF(I217&lt;&gt;0,((VLOOKUP(I217,'1. Standard_Cost'!$B$4:$D$11,2)+VLOOKUP(I217,'1. Standard_Cost'!$B$4:$D$11,3))*J217*K217),"0")</f>
        <v>0</v>
      </c>
      <c r="M217" s="106">
        <f>L217*'1. Standard_Cost'!$F$4</f>
        <v>0</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c r="AB217" s="108">
        <f>+Z217*'1. Standard_Cost'!$B$23+AA217*'1. Standard_Cost'!$C$23</f>
        <v>0</v>
      </c>
      <c r="AC217" s="109"/>
      <c r="AD217" s="110"/>
      <c r="AE217" s="108">
        <f>SUM(AD217,AC217,AB217,Y217,U217,T217,S217,R217)*'1. Standard_Cost'!$B$31</f>
        <v>0</v>
      </c>
      <c r="AF217" s="108">
        <f t="shared" si="187"/>
        <v>0</v>
      </c>
      <c r="AG217" s="107"/>
      <c r="AH217" s="107"/>
      <c r="AI217" s="107"/>
      <c r="AJ217" s="111"/>
      <c r="AK217" s="111"/>
      <c r="AL217" s="111"/>
      <c r="AM217" s="108">
        <f>AG217*'1. Standard_Cost'!$B$27+'Incremental_Cost Year 4'!AH217*'1. Standard_Cost'!$C$27+'Incremental_Cost Year 4'!AI217*'1. Standard_Cost'!$D$27+'Incremental_Cost Year 4'!AJ217+'Incremental_Cost Year 4'!AL217+AK217</f>
        <v>0</v>
      </c>
      <c r="AN217" s="108">
        <f>AM217*'1. Standard_Cost'!$C$31</f>
        <v>0</v>
      </c>
      <c r="AO217" s="125" t="s">
        <v>423</v>
      </c>
      <c r="AQ217" s="14">
        <f t="shared" si="188"/>
        <v>0</v>
      </c>
      <c r="AR217" s="14">
        <f t="shared" si="189"/>
        <v>0</v>
      </c>
      <c r="AS217" s="14">
        <f t="shared" si="190"/>
        <v>0</v>
      </c>
      <c r="AT217" s="14">
        <f t="shared" si="192"/>
        <v>0</v>
      </c>
      <c r="AU217" s="15">
        <v>0</v>
      </c>
      <c r="AV217" s="15"/>
      <c r="AW217" s="15"/>
      <c r="AX217" s="15">
        <v>0</v>
      </c>
      <c r="AY217" s="15"/>
      <c r="AZ217" s="15"/>
      <c r="BA217" s="15"/>
      <c r="BB217" s="16">
        <f t="shared" si="191"/>
        <v>0</v>
      </c>
    </row>
    <row r="218" spans="1:54" ht="234" outlineLevel="2">
      <c r="A218" s="98"/>
      <c r="B218" s="102"/>
      <c r="C218" s="23"/>
      <c r="D218" s="269"/>
      <c r="E218" s="271"/>
      <c r="F218" s="250"/>
      <c r="G218" s="255"/>
      <c r="H218" s="302" t="s">
        <v>549</v>
      </c>
      <c r="I218" s="104" t="s">
        <v>4</v>
      </c>
      <c r="J218" s="105">
        <v>0.2</v>
      </c>
      <c r="K218" s="105">
        <v>1</v>
      </c>
      <c r="L218" s="106">
        <f>IF(I218&lt;&gt;0,((VLOOKUP(I218,'1. Standard_Cost'!$B$4:$D$11,2)+VLOOKUP(I218,'1. Standard_Cost'!$B$4:$D$11,3))*J218*K218),"0")</f>
        <v>16150</v>
      </c>
      <c r="M218" s="106">
        <f>L218*'1. Standard_Cost'!$F$4</f>
        <v>2697.05</v>
      </c>
      <c r="N218" s="107">
        <v>0</v>
      </c>
      <c r="O218" s="107">
        <v>0</v>
      </c>
      <c r="P218" s="107">
        <v>0</v>
      </c>
      <c r="Q218" s="107"/>
      <c r="R218" s="108">
        <f>'1. Standard_Cost'!$B$15*N218*P218</f>
        <v>0</v>
      </c>
      <c r="S218" s="108">
        <f>N218*O218*P218*'1. Standard_Cost'!$C$15</f>
        <v>0</v>
      </c>
      <c r="T218" s="108">
        <f>N218*P218*Q218*'1. Standard_Cost'!$D$15</f>
        <v>0</v>
      </c>
      <c r="U218" s="108">
        <f>N218*O218*'1. Standard_Cost'!$E$15</f>
        <v>0</v>
      </c>
      <c r="V218" s="107"/>
      <c r="W218" s="107"/>
      <c r="X218" s="107"/>
      <c r="Y218" s="108">
        <f>+V218*((X218*'1. Standard_Cost'!$B$19)+(W218*X218*'1. Standard_Cost'!$C$19))</f>
        <v>0</v>
      </c>
      <c r="Z218" s="107"/>
      <c r="AA218" s="107"/>
      <c r="AB218" s="108">
        <f>+Z218*'1. Standard_Cost'!$B$23+AA218*'1. Standard_Cost'!$C$23</f>
        <v>0</v>
      </c>
      <c r="AC218" s="109">
        <f>5*20*500+5*20*500+2*100000</f>
        <v>300000</v>
      </c>
      <c r="AD218" s="110"/>
      <c r="AE218" s="108">
        <v>0</v>
      </c>
      <c r="AF218" s="108">
        <f t="shared" si="187"/>
        <v>300000</v>
      </c>
      <c r="AG218" s="107"/>
      <c r="AH218" s="107"/>
      <c r="AI218" s="107"/>
      <c r="AJ218" s="111"/>
      <c r="AK218" s="111"/>
      <c r="AL218" s="111"/>
      <c r="AM218" s="108">
        <f>AG218*'1. Standard_Cost'!$B$27+'Incremental_Cost Year 4'!AH218*'1. Standard_Cost'!$C$27+'Incremental_Cost Year 4'!AI218*'1. Standard_Cost'!$D$27+'Incremental_Cost Year 4'!AJ218+'Incremental_Cost Year 4'!AL218+AK218</f>
        <v>0</v>
      </c>
      <c r="AN218" s="108">
        <f>AM218*'1. Standard_Cost'!$C$31</f>
        <v>0</v>
      </c>
      <c r="AO218" s="125" t="s">
        <v>424</v>
      </c>
      <c r="AQ218" s="14">
        <f t="shared" si="188"/>
        <v>18847.05</v>
      </c>
      <c r="AR218" s="14">
        <f t="shared" si="189"/>
        <v>300000</v>
      </c>
      <c r="AS218" s="14">
        <f t="shared" si="190"/>
        <v>0</v>
      </c>
      <c r="AT218" s="14">
        <f t="shared" si="192"/>
        <v>318847.05</v>
      </c>
      <c r="AU218" s="15">
        <v>318847.05</v>
      </c>
      <c r="AV218" s="15"/>
      <c r="AW218" s="15"/>
      <c r="AX218" s="15">
        <v>300000</v>
      </c>
      <c r="AY218" s="15"/>
      <c r="AZ218" s="15"/>
      <c r="BA218" s="15"/>
      <c r="BB218" s="16">
        <f t="shared" si="191"/>
        <v>300000.00000000006</v>
      </c>
    </row>
    <row r="219" spans="1:54" ht="36" customHeight="1" outlineLevel="2">
      <c r="A219" s="98"/>
      <c r="B219" s="102"/>
      <c r="C219" s="23"/>
      <c r="D219" s="251"/>
      <c r="E219" s="251"/>
      <c r="F219" s="251"/>
      <c r="G219" s="250"/>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87"/>
        <v>0</v>
      </c>
      <c r="AG219" s="107"/>
      <c r="AH219" s="107"/>
      <c r="AI219" s="107"/>
      <c r="AJ219" s="111"/>
      <c r="AK219" s="111"/>
      <c r="AL219" s="111"/>
      <c r="AM219" s="108">
        <f>AG219*'1. Standard_Cost'!$B$27+'Incremental_Cost Year 4'!AH219*'1. Standard_Cost'!$C$27+'Incremental_Cost Year 4'!AI219*'1. Standard_Cost'!$D$27+'Incremental_Cost Year 4'!AJ219+'Incremental_Cost Year 4'!AL219+AK219</f>
        <v>0</v>
      </c>
      <c r="AN219" s="108">
        <f>AM219*'1. Standard_Cost'!$C$31</f>
        <v>0</v>
      </c>
      <c r="AO219" s="125" t="s">
        <v>425</v>
      </c>
      <c r="AQ219" s="14">
        <f t="shared" si="188"/>
        <v>0</v>
      </c>
      <c r="AR219" s="14">
        <f t="shared" si="189"/>
        <v>0</v>
      </c>
      <c r="AS219" s="14">
        <f t="shared" si="190"/>
        <v>0</v>
      </c>
      <c r="AT219" s="14">
        <f t="shared" si="192"/>
        <v>0</v>
      </c>
      <c r="AU219" s="15"/>
      <c r="AV219" s="15"/>
      <c r="AW219" s="15"/>
      <c r="AX219" s="15"/>
      <c r="AY219" s="15"/>
      <c r="AZ219" s="15"/>
      <c r="BA219" s="15"/>
      <c r="BB219" s="16">
        <f t="shared" si="191"/>
        <v>0</v>
      </c>
    </row>
    <row r="220" spans="1:54" ht="32.25" customHeight="1" outlineLevel="2">
      <c r="A220" s="98"/>
      <c r="B220" s="102"/>
      <c r="C220" s="23"/>
      <c r="D220" s="251"/>
      <c r="E220" s="251"/>
      <c r="F220" s="251"/>
      <c r="G220" s="250"/>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87"/>
        <v>0</v>
      </c>
      <c r="AG220" s="107"/>
      <c r="AH220" s="107"/>
      <c r="AI220" s="107"/>
      <c r="AJ220" s="111"/>
      <c r="AK220" s="111"/>
      <c r="AL220" s="111"/>
      <c r="AM220" s="108">
        <f>AG220*'1. Standard_Cost'!$B$27+'Incremental_Cost Year 4'!AH220*'1. Standard_Cost'!$C$27+'Incremental_Cost Year 4'!AI220*'1. Standard_Cost'!$D$27+'Incremental_Cost Year 4'!AJ220+'Incremental_Cost Year 4'!AL220+AK220</f>
        <v>0</v>
      </c>
      <c r="AN220" s="108">
        <f>AM220*'1. Standard_Cost'!$C$31</f>
        <v>0</v>
      </c>
      <c r="AO220" s="125" t="s">
        <v>426</v>
      </c>
      <c r="AQ220" s="14">
        <f t="shared" si="188"/>
        <v>0</v>
      </c>
      <c r="AR220" s="14">
        <f t="shared" si="189"/>
        <v>0</v>
      </c>
      <c r="AS220" s="14">
        <f t="shared" si="190"/>
        <v>0</v>
      </c>
      <c r="AT220" s="14">
        <f t="shared" si="192"/>
        <v>0</v>
      </c>
      <c r="AU220" s="15"/>
      <c r="AV220" s="15"/>
      <c r="AW220" s="15"/>
      <c r="AX220" s="15"/>
      <c r="AY220" s="15"/>
      <c r="AZ220" s="15"/>
      <c r="BA220" s="15"/>
      <c r="BB220" s="16">
        <f t="shared" si="191"/>
        <v>0</v>
      </c>
    </row>
    <row r="221" spans="1:54" ht="45" customHeight="1" outlineLevel="2">
      <c r="A221" s="98"/>
      <c r="B221" s="102"/>
      <c r="C221" s="23"/>
      <c r="D221" s="251"/>
      <c r="E221" s="251"/>
      <c r="F221" s="251"/>
      <c r="G221" s="250"/>
      <c r="H221" s="302" t="s">
        <v>550</v>
      </c>
      <c r="I221" s="104" t="s">
        <v>4</v>
      </c>
      <c r="J221" s="105">
        <v>1</v>
      </c>
      <c r="K221" s="105">
        <v>2</v>
      </c>
      <c r="L221" s="106">
        <f>IF(I221&lt;&gt;0,((VLOOKUP(I221,'1. Standard_Cost'!$B$4:$D$11,2)+VLOOKUP(I221,'1. Standard_Cost'!$B$4:$D$11,3))*J221*K221),"0")</f>
        <v>161500</v>
      </c>
      <c r="M221" s="106">
        <f>L221*'1. Standard_Cost'!$F$4</f>
        <v>26970.5</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87"/>
        <v>0</v>
      </c>
      <c r="AG221" s="107"/>
      <c r="AH221" s="107"/>
      <c r="AI221" s="107"/>
      <c r="AJ221" s="111"/>
      <c r="AK221" s="111"/>
      <c r="AL221" s="111"/>
      <c r="AM221" s="108">
        <f>AG221*'1. Standard_Cost'!$B$27+'Incremental_Cost Year 4'!AH221*'1. Standard_Cost'!$C$27+'Incremental_Cost Year 4'!AI221*'1. Standard_Cost'!$D$27+'Incremental_Cost Year 4'!AJ221+'Incremental_Cost Year 4'!AL221+AK221</f>
        <v>0</v>
      </c>
      <c r="AN221" s="108">
        <f>AM221*'1. Standard_Cost'!$C$31</f>
        <v>0</v>
      </c>
      <c r="AO221" s="125" t="s">
        <v>427</v>
      </c>
      <c r="AQ221" s="14">
        <f t="shared" si="188"/>
        <v>188470.5</v>
      </c>
      <c r="AR221" s="14">
        <f t="shared" si="189"/>
        <v>0</v>
      </c>
      <c r="AS221" s="14">
        <f t="shared" si="190"/>
        <v>0</v>
      </c>
      <c r="AT221" s="14">
        <f t="shared" si="192"/>
        <v>188470.5</v>
      </c>
      <c r="AU221" s="15">
        <v>188470.5</v>
      </c>
      <c r="AV221" s="15"/>
      <c r="AW221" s="15"/>
      <c r="AX221" s="15"/>
      <c r="AY221" s="15"/>
      <c r="AZ221" s="15"/>
      <c r="BA221" s="15"/>
      <c r="BB221" s="16">
        <f t="shared" si="191"/>
        <v>0</v>
      </c>
    </row>
    <row r="222" spans="1:54" ht="82.8" outlineLevel="1">
      <c r="A222" s="98"/>
      <c r="B222" s="102"/>
      <c r="C222" s="23"/>
      <c r="D222" s="31" t="s">
        <v>712</v>
      </c>
      <c r="E222" s="56" t="s">
        <v>247</v>
      </c>
      <c r="F222" s="253">
        <v>2021</v>
      </c>
      <c r="G222" s="254">
        <v>2026</v>
      </c>
      <c r="H222" s="279" t="s">
        <v>248</v>
      </c>
      <c r="I222" s="112"/>
      <c r="J222" s="112"/>
      <c r="K222" s="112"/>
      <c r="L222" s="113">
        <f>SUM(L203:L221)</f>
        <v>3942700</v>
      </c>
      <c r="M222" s="113">
        <f>SUM(M203:M221)</f>
        <v>658430.90000000026</v>
      </c>
      <c r="N222" s="112"/>
      <c r="O222" s="112"/>
      <c r="P222" s="112"/>
      <c r="Q222" s="112"/>
      <c r="R222" s="113">
        <f>SUM(R203:R221)</f>
        <v>26000</v>
      </c>
      <c r="S222" s="113">
        <f>SUM(S203:S221)</f>
        <v>58500</v>
      </c>
      <c r="T222" s="113">
        <f>SUM(T203:T221)</f>
        <v>0</v>
      </c>
      <c r="U222" s="113">
        <f>SUM(U203:U221)</f>
        <v>0</v>
      </c>
      <c r="V222" s="112"/>
      <c r="W222" s="112"/>
      <c r="X222" s="112"/>
      <c r="Y222" s="113">
        <f>SUM(Y203:Y221)</f>
        <v>0</v>
      </c>
      <c r="Z222" s="113"/>
      <c r="AA222" s="112"/>
      <c r="AB222" s="113">
        <f>SUM(AB203:AB221)</f>
        <v>760000</v>
      </c>
      <c r="AC222" s="113">
        <f>SUM(AC203:AC221)</f>
        <v>765800</v>
      </c>
      <c r="AD222" s="113">
        <f>SUM(AD203:AD221)</f>
        <v>0</v>
      </c>
      <c r="AE222" s="113">
        <f>SUM(AE203:AE221)</f>
        <v>43000</v>
      </c>
      <c r="AF222" s="113">
        <f>SUM(AF203:AF221)</f>
        <v>1653300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BB222" si="193">SUM(AQ203:AQ221)</f>
        <v>4601130.8999999994</v>
      </c>
      <c r="AR222" s="113">
        <f t="shared" si="193"/>
        <v>1653300</v>
      </c>
      <c r="AS222" s="113">
        <f t="shared" si="193"/>
        <v>0</v>
      </c>
      <c r="AT222" s="113">
        <f t="shared" si="193"/>
        <v>6254430.8999999994</v>
      </c>
      <c r="AU222" s="113">
        <v>4901130.8999999994</v>
      </c>
      <c r="AV222" s="113">
        <v>0</v>
      </c>
      <c r="AW222" s="113">
        <v>0</v>
      </c>
      <c r="AX222" s="113">
        <v>955900</v>
      </c>
      <c r="AY222" s="113">
        <v>0</v>
      </c>
      <c r="AZ222" s="113">
        <f t="shared" si="193"/>
        <v>0</v>
      </c>
      <c r="BA222" s="113">
        <f t="shared" si="193"/>
        <v>0</v>
      </c>
      <c r="BB222" s="113">
        <f t="shared" si="193"/>
        <v>-397399.99999999994</v>
      </c>
    </row>
    <row r="223" spans="1:54" s="13" customFormat="1" ht="13.8" customHeight="1">
      <c r="A223" s="101"/>
      <c r="B223" s="316" t="s">
        <v>253</v>
      </c>
      <c r="C223" s="317"/>
      <c r="D223" s="317"/>
      <c r="E223" s="318"/>
      <c r="F223" s="241"/>
      <c r="G223" s="241"/>
      <c r="H223" s="241" t="s">
        <v>252</v>
      </c>
      <c r="I223" s="40"/>
      <c r="J223" s="40"/>
      <c r="K223" s="40"/>
      <c r="L223" s="41">
        <f>SUM(L224)</f>
        <v>96900</v>
      </c>
      <c r="M223" s="41">
        <f>SUM(M224)</f>
        <v>16182.3</v>
      </c>
      <c r="N223" s="40"/>
      <c r="O223" s="40"/>
      <c r="P223" s="40"/>
      <c r="Q223" s="40"/>
      <c r="R223" s="41">
        <f t="shared" ref="R223:U223" si="194">SUM(R224)</f>
        <v>0</v>
      </c>
      <c r="S223" s="41">
        <f t="shared" si="194"/>
        <v>0</v>
      </c>
      <c r="T223" s="41">
        <f t="shared" si="194"/>
        <v>0</v>
      </c>
      <c r="U223" s="41">
        <f t="shared" si="194"/>
        <v>0</v>
      </c>
      <c r="V223" s="40"/>
      <c r="W223" s="40"/>
      <c r="X223" s="40"/>
      <c r="Y223" s="41">
        <f t="shared" ref="Y223" si="195">SUM(Y224)</f>
        <v>0</v>
      </c>
      <c r="Z223" s="41">
        <f t="shared" ref="Z223" si="196">SUM(Z224)</f>
        <v>0</v>
      </c>
      <c r="AA223" s="40"/>
      <c r="AB223" s="41">
        <f t="shared" ref="AB223:AF223" si="197">SUM(AB224)</f>
        <v>228000</v>
      </c>
      <c r="AC223" s="41">
        <f t="shared" ref="AC223:AD223" si="198">SUM(AC224)</f>
        <v>630000</v>
      </c>
      <c r="AD223" s="41">
        <f t="shared" si="198"/>
        <v>0</v>
      </c>
      <c r="AE223" s="41">
        <f t="shared" si="197"/>
        <v>171600</v>
      </c>
      <c r="AF223" s="41">
        <f t="shared" si="197"/>
        <v>1029600</v>
      </c>
      <c r="AG223" s="40"/>
      <c r="AH223" s="40"/>
      <c r="AI223" s="40"/>
      <c r="AJ223" s="41">
        <f t="shared" ref="AJ223:AL223" si="199">SUM(AJ224)</f>
        <v>0</v>
      </c>
      <c r="AK223" s="41">
        <f t="shared" si="199"/>
        <v>0</v>
      </c>
      <c r="AL223" s="41">
        <f t="shared" si="199"/>
        <v>0</v>
      </c>
      <c r="AM223" s="41">
        <f t="shared" ref="AM223:AN223" si="200">SUM(AM224)</f>
        <v>0</v>
      </c>
      <c r="AN223" s="41">
        <f t="shared" si="200"/>
        <v>0</v>
      </c>
      <c r="AO223" s="129"/>
      <c r="AQ223" s="41">
        <f t="shared" ref="AQ223:BB223" si="201">SUM(AQ224)</f>
        <v>113082.3</v>
      </c>
      <c r="AR223" s="41">
        <f t="shared" si="201"/>
        <v>1029600</v>
      </c>
      <c r="AS223" s="41">
        <f t="shared" si="201"/>
        <v>0</v>
      </c>
      <c r="AT223" s="41">
        <f t="shared" si="201"/>
        <v>1142682.3</v>
      </c>
      <c r="AU223" s="41">
        <f t="shared" si="201"/>
        <v>113082.3</v>
      </c>
      <c r="AV223" s="41">
        <f t="shared" si="201"/>
        <v>0</v>
      </c>
      <c r="AW223" s="41">
        <f t="shared" si="201"/>
        <v>0</v>
      </c>
      <c r="AX223" s="41">
        <f t="shared" si="201"/>
        <v>0</v>
      </c>
      <c r="AY223" s="41">
        <f t="shared" si="201"/>
        <v>0</v>
      </c>
      <c r="AZ223" s="41">
        <f t="shared" si="201"/>
        <v>0</v>
      </c>
      <c r="BA223" s="41">
        <f t="shared" si="201"/>
        <v>0</v>
      </c>
      <c r="BB223" s="41">
        <f t="shared" si="201"/>
        <v>-1029600</v>
      </c>
    </row>
    <row r="224" spans="1:54" s="24" customFormat="1" ht="13.8" customHeight="1">
      <c r="A224" s="114"/>
      <c r="B224" s="115"/>
      <c r="C224" s="314" t="s">
        <v>254</v>
      </c>
      <c r="D224" s="314"/>
      <c r="E224" s="315"/>
      <c r="F224" s="246"/>
      <c r="G224" s="246"/>
      <c r="H224" s="278" t="s">
        <v>255</v>
      </c>
      <c r="I224" s="116"/>
      <c r="J224" s="116"/>
      <c r="K224" s="116"/>
      <c r="L224" s="117">
        <f>SUM(L232,L236,L242)</f>
        <v>96900</v>
      </c>
      <c r="M224" s="117">
        <f>SUM(M232,M236,M242)</f>
        <v>16182.3</v>
      </c>
      <c r="N224" s="116"/>
      <c r="O224" s="116"/>
      <c r="P224" s="116"/>
      <c r="Q224" s="116"/>
      <c r="R224" s="117">
        <f t="shared" ref="R224:U224" si="202">SUM(R232,R236,R242)</f>
        <v>0</v>
      </c>
      <c r="S224" s="117">
        <f t="shared" si="202"/>
        <v>0</v>
      </c>
      <c r="T224" s="117">
        <f t="shared" si="202"/>
        <v>0</v>
      </c>
      <c r="U224" s="117">
        <f t="shared" si="202"/>
        <v>0</v>
      </c>
      <c r="V224" s="116"/>
      <c r="W224" s="116"/>
      <c r="X224" s="116"/>
      <c r="Y224" s="117">
        <f>SUM(Y232,Y236,Y242)</f>
        <v>0</v>
      </c>
      <c r="Z224" s="116"/>
      <c r="AA224" s="116"/>
      <c r="AB224" s="117">
        <f t="shared" ref="AB224:AF224" si="203">SUM(AB232,AB236,AB242)</f>
        <v>228000</v>
      </c>
      <c r="AC224" s="117">
        <f t="shared" si="203"/>
        <v>630000</v>
      </c>
      <c r="AD224" s="117">
        <f t="shared" si="203"/>
        <v>0</v>
      </c>
      <c r="AE224" s="117">
        <f t="shared" si="203"/>
        <v>171600</v>
      </c>
      <c r="AF224" s="117">
        <f t="shared" si="203"/>
        <v>1029600</v>
      </c>
      <c r="AG224" s="116"/>
      <c r="AH224" s="116"/>
      <c r="AI224" s="116"/>
      <c r="AJ224" s="117">
        <f t="shared" ref="AJ224:AL224" si="204">SUM(AJ232,AJ236,AJ242)</f>
        <v>0</v>
      </c>
      <c r="AK224" s="117">
        <f t="shared" si="204"/>
        <v>0</v>
      </c>
      <c r="AL224" s="117">
        <f t="shared" si="204"/>
        <v>0</v>
      </c>
      <c r="AM224" s="117">
        <f t="shared" ref="AM224:AN224" si="205">SUM(AM232,AM236,AM242)</f>
        <v>0</v>
      </c>
      <c r="AN224" s="117">
        <f t="shared" si="205"/>
        <v>0</v>
      </c>
      <c r="AO224" s="132"/>
      <c r="AP224" s="25"/>
      <c r="AQ224" s="117">
        <f t="shared" ref="AQ224" si="206">SUM(AQ232,AQ236,AQ242)</f>
        <v>113082.3</v>
      </c>
      <c r="AR224" s="117">
        <f t="shared" ref="AR224:BB224" si="207">SUM(AR232,AR236,AR242)</f>
        <v>1029600</v>
      </c>
      <c r="AS224" s="117">
        <f t="shared" si="207"/>
        <v>0</v>
      </c>
      <c r="AT224" s="117">
        <f t="shared" si="207"/>
        <v>1142682.3</v>
      </c>
      <c r="AU224" s="117">
        <f t="shared" si="207"/>
        <v>113082.3</v>
      </c>
      <c r="AV224" s="117">
        <f t="shared" si="207"/>
        <v>0</v>
      </c>
      <c r="AW224" s="117">
        <f t="shared" si="207"/>
        <v>0</v>
      </c>
      <c r="AX224" s="117">
        <f t="shared" si="207"/>
        <v>0</v>
      </c>
      <c r="AY224" s="117">
        <f t="shared" si="207"/>
        <v>0</v>
      </c>
      <c r="AZ224" s="117">
        <f t="shared" si="207"/>
        <v>0</v>
      </c>
      <c r="BA224" s="117">
        <f t="shared" si="207"/>
        <v>0</v>
      </c>
      <c r="BB224" s="117">
        <f t="shared" si="207"/>
        <v>-1029600</v>
      </c>
    </row>
    <row r="225" spans="1:54" ht="46.8" outlineLevel="2">
      <c r="A225" s="98"/>
      <c r="B225" s="102"/>
      <c r="C225" s="23"/>
      <c r="D225" s="257"/>
      <c r="E225" s="257"/>
      <c r="F225" s="257"/>
      <c r="G225" s="257"/>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208">SUM(AE225,AD225,AC225,AB225,Y225,U225,T225,S225,R225)</f>
        <v>0</v>
      </c>
      <c r="AG225" s="107"/>
      <c r="AH225" s="107"/>
      <c r="AI225" s="107"/>
      <c r="AJ225" s="111"/>
      <c r="AK225" s="111"/>
      <c r="AL225" s="111"/>
      <c r="AM225" s="108">
        <f>AG225*'1. Standard_Cost'!$B$27+'Incremental_Cost Year 4'!AH225*'1. Standard_Cost'!$C$27+'Incremental_Cost Year 4'!AI225*'1. Standard_Cost'!$D$27+'Incremental_Cost Year 4'!AJ225+'Incremental_Cost Year 4'!AL225+AK225</f>
        <v>0</v>
      </c>
      <c r="AN225" s="108">
        <f>AM225*'1. Standard_Cost'!$C$31</f>
        <v>0</v>
      </c>
      <c r="AO225" s="125" t="s">
        <v>428</v>
      </c>
      <c r="AQ225" s="14">
        <f t="shared" ref="AQ225:AQ231" si="209">L225+M225</f>
        <v>0</v>
      </c>
      <c r="AR225" s="14">
        <f t="shared" ref="AR225:AR231" si="210">AF225</f>
        <v>0</v>
      </c>
      <c r="AS225" s="14">
        <f t="shared" ref="AS225:AS231" si="211">AM225+AN225</f>
        <v>0</v>
      </c>
      <c r="AT225" s="14">
        <f>SUM(AQ225,AR225,AS225)</f>
        <v>0</v>
      </c>
      <c r="AU225" s="15"/>
      <c r="AV225" s="15"/>
      <c r="AW225" s="15"/>
      <c r="AX225" s="15"/>
      <c r="AY225" s="15"/>
      <c r="AZ225" s="15"/>
      <c r="BA225" s="15"/>
      <c r="BB225" s="16">
        <f t="shared" ref="BB225:BB231" si="212">SUM(AU225:BA225)-AT225</f>
        <v>0</v>
      </c>
    </row>
    <row r="226" spans="1:54" ht="202.8" outlineLevel="2">
      <c r="A226" s="98"/>
      <c r="B226" s="102"/>
      <c r="C226" s="23"/>
      <c r="D226" s="269"/>
      <c r="E226" s="269"/>
      <c r="F226" s="269"/>
      <c r="G226" s="269"/>
      <c r="H226" s="302" t="s">
        <v>552</v>
      </c>
      <c r="I226" s="104"/>
      <c r="J226" s="105"/>
      <c r="K226" s="105"/>
      <c r="L226" s="106" t="str">
        <f>IF(I226&lt;&gt;0,((VLOOKUP(I226,'1. Standard_Cost'!$B$4:$D$11,2)+VLOOKUP(I226,'1. Standard_Cost'!$B$4:$D$11,3))*J226*K226),"0")</f>
        <v>0</v>
      </c>
      <c r="M226" s="106">
        <f>L226*'1. Standard_Cost'!$F$4</f>
        <v>0</v>
      </c>
      <c r="N226" s="107"/>
      <c r="O226" s="107"/>
      <c r="P226" s="107"/>
      <c r="Q226" s="107"/>
      <c r="R226" s="108">
        <f>'1. Standard_Cost'!$B$15*N226*P226</f>
        <v>0</v>
      </c>
      <c r="S226" s="108">
        <f>N226*O226*P226*'1. Standard_Cost'!$C$15</f>
        <v>0</v>
      </c>
      <c r="T226" s="108">
        <f>N226*P226*Q226*'1. Standard_Cost'!$D$15</f>
        <v>0</v>
      </c>
      <c r="U226" s="108">
        <f>N226*O226*'1. Standard_Cost'!$E$15</f>
        <v>0</v>
      </c>
      <c r="V226" s="107"/>
      <c r="W226" s="107"/>
      <c r="X226" s="107"/>
      <c r="Y226" s="108">
        <f>+V226*((X226*'1. Standard_Cost'!$B$19)+(W226*X226*'1. Standard_Cost'!$C$19))</f>
        <v>0</v>
      </c>
      <c r="Z226" s="107"/>
      <c r="AA226" s="107"/>
      <c r="AB226" s="108">
        <f>+Z226*'1. Standard_Cost'!$B$23+AA226*'1. Standard_Cost'!$C$23</f>
        <v>0</v>
      </c>
      <c r="AC226" s="109"/>
      <c r="AD226" s="110"/>
      <c r="AE226" s="108">
        <f>SUM(AD226,AC226,AB226,Y226,U226,T226,S226,R226)*'1. Standard_Cost'!$B$31</f>
        <v>0</v>
      </c>
      <c r="AF226" s="108">
        <f t="shared" si="208"/>
        <v>0</v>
      </c>
      <c r="AG226" s="107"/>
      <c r="AH226" s="107"/>
      <c r="AI226" s="107"/>
      <c r="AJ226" s="111"/>
      <c r="AK226" s="111"/>
      <c r="AL226" s="111"/>
      <c r="AM226" s="108">
        <f>AG226*'1. Standard_Cost'!$B$27+'Incremental_Cost Year 4'!AH226*'1. Standard_Cost'!$C$27+'Incremental_Cost Year 4'!AI226*'1. Standard_Cost'!$D$27+'Incremental_Cost Year 4'!AJ226+'Incremental_Cost Year 4'!AL226+AK226</f>
        <v>0</v>
      </c>
      <c r="AN226" s="108">
        <f>AM226*'1. Standard_Cost'!$C$31</f>
        <v>0</v>
      </c>
      <c r="AO226" s="125" t="s">
        <v>429</v>
      </c>
      <c r="AQ226" s="14">
        <f t="shared" si="209"/>
        <v>0</v>
      </c>
      <c r="AR226" s="14">
        <f t="shared" si="210"/>
        <v>0</v>
      </c>
      <c r="AS226" s="14">
        <f t="shared" si="211"/>
        <v>0</v>
      </c>
      <c r="AT226" s="14">
        <f t="shared" ref="AT226:AT231" si="213">SUM(AQ226,AR226,AS226)</f>
        <v>0</v>
      </c>
      <c r="AU226" s="15"/>
      <c r="AV226" s="15"/>
      <c r="AW226" s="15"/>
      <c r="AX226" s="15">
        <v>0</v>
      </c>
      <c r="AY226" s="15"/>
      <c r="AZ226" s="15"/>
      <c r="BA226" s="15"/>
      <c r="BB226" s="16">
        <f t="shared" si="212"/>
        <v>0</v>
      </c>
    </row>
    <row r="227" spans="1:54" ht="27.6" outlineLevel="2">
      <c r="A227" s="98"/>
      <c r="B227" s="102"/>
      <c r="C227" s="23"/>
      <c r="D227" s="269"/>
      <c r="E227" s="269"/>
      <c r="F227" s="269"/>
      <c r="G227" s="269"/>
      <c r="H227" s="305" t="s">
        <v>551</v>
      </c>
      <c r="I227" s="104"/>
      <c r="J227" s="105"/>
      <c r="K227" s="105"/>
      <c r="L227" s="106" t="str">
        <f>IF(I227&lt;&gt;0,((VLOOKUP(I227,'[1]1. Standard_Cost'!$B$4:$D$11,2)+VLOOKUP(I227,'[1]1. Standard_Cost'!$B$4:$D$11,3))*J227*K227),"0")</f>
        <v>0</v>
      </c>
      <c r="M227" s="106">
        <f>L227*'[1]1. Standard_Cost'!$F$4</f>
        <v>0</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208"/>
        <v>0</v>
      </c>
      <c r="AG227" s="107"/>
      <c r="AH227" s="107"/>
      <c r="AI227" s="107"/>
      <c r="AJ227" s="111"/>
      <c r="AK227" s="111"/>
      <c r="AL227" s="111"/>
      <c r="AM227" s="108">
        <f>AG227*'[1]1. Standard_Cost'!$B$27+'[1]Incremental_Cost Year 4'!AH227*'[1]1. Standard_Cost'!$C$27+'[1]Incremental_Cost Year 4'!AI227*'[1]1. Standard_Cost'!$D$27+'[1]Incremental_Cost Year 4'!AJ227+'[1]Incremental_Cost Year 4'!AL227+AK227</f>
        <v>0</v>
      </c>
      <c r="AN227" s="108">
        <f>AM227*'[1]1. Standard_Cost'!$C$31</f>
        <v>0</v>
      </c>
      <c r="AO227" s="125" t="s">
        <v>430</v>
      </c>
      <c r="AQ227" s="14">
        <f t="shared" si="209"/>
        <v>0</v>
      </c>
      <c r="AR227" s="14">
        <f t="shared" si="210"/>
        <v>0</v>
      </c>
      <c r="AS227" s="14">
        <f t="shared" si="211"/>
        <v>0</v>
      </c>
      <c r="AT227" s="14">
        <f t="shared" si="213"/>
        <v>0</v>
      </c>
      <c r="AU227" s="15">
        <v>0</v>
      </c>
      <c r="AV227" s="15"/>
      <c r="AW227" s="15"/>
      <c r="AX227" s="15"/>
      <c r="AY227" s="15"/>
      <c r="AZ227" s="15"/>
      <c r="BA227" s="15"/>
      <c r="BB227" s="16">
        <f t="shared" si="212"/>
        <v>0</v>
      </c>
    </row>
    <row r="228" spans="1:54" ht="78" outlineLevel="2">
      <c r="A228" s="98"/>
      <c r="B228" s="102"/>
      <c r="C228" s="23"/>
      <c r="D228" s="269"/>
      <c r="E228" s="269"/>
      <c r="F228" s="269"/>
      <c r="G228" s="26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208"/>
        <v>0</v>
      </c>
      <c r="AG228" s="107"/>
      <c r="AH228" s="107"/>
      <c r="AI228" s="107"/>
      <c r="AJ228" s="111"/>
      <c r="AK228" s="111"/>
      <c r="AL228" s="111"/>
      <c r="AM228" s="108">
        <f>AG228*'1. Standard_Cost'!$B$27+'Incremental_Cost Year 4'!AH228*'1. Standard_Cost'!$C$27+'Incremental_Cost Year 4'!AI228*'1. Standard_Cost'!$D$27+'Incremental_Cost Year 4'!AJ228+'Incremental_Cost Year 4'!AL228+AK228</f>
        <v>0</v>
      </c>
      <c r="AN228" s="108">
        <f>AM228*'1. Standard_Cost'!$C$31</f>
        <v>0</v>
      </c>
      <c r="AO228" s="125" t="s">
        <v>430</v>
      </c>
      <c r="AQ228" s="14">
        <f t="shared" si="209"/>
        <v>0</v>
      </c>
      <c r="AR228" s="14">
        <f t="shared" si="210"/>
        <v>0</v>
      </c>
      <c r="AS228" s="14">
        <f t="shared" si="211"/>
        <v>0</v>
      </c>
      <c r="AT228" s="14">
        <f t="shared" si="213"/>
        <v>0</v>
      </c>
      <c r="AU228" s="15"/>
      <c r="AV228" s="15"/>
      <c r="AW228" s="15"/>
      <c r="AX228" s="15"/>
      <c r="AY228" s="15"/>
      <c r="AZ228" s="15"/>
      <c r="BA228" s="15"/>
      <c r="BB228" s="16">
        <f t="shared" si="212"/>
        <v>0</v>
      </c>
    </row>
    <row r="229" spans="1:54" ht="31.2" outlineLevel="2">
      <c r="A229" s="98"/>
      <c r="B229" s="102"/>
      <c r="C229" s="23"/>
      <c r="D229" s="269"/>
      <c r="E229" s="269"/>
      <c r="F229" s="269"/>
      <c r="G229" s="26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208"/>
        <v>0</v>
      </c>
      <c r="AG229" s="107"/>
      <c r="AH229" s="107"/>
      <c r="AI229" s="107"/>
      <c r="AJ229" s="111"/>
      <c r="AK229" s="111"/>
      <c r="AL229" s="111"/>
      <c r="AM229" s="108">
        <f>AG229*'1. Standard_Cost'!$B$27+'Incremental_Cost Year 4'!AH229*'1. Standard_Cost'!$C$27+'Incremental_Cost Year 4'!AI229*'1. Standard_Cost'!$D$27+'Incremental_Cost Year 4'!AJ229+'Incremental_Cost Year 4'!AL229+AK229</f>
        <v>0</v>
      </c>
      <c r="AN229" s="108">
        <f>AM229*'1. Standard_Cost'!$C$31</f>
        <v>0</v>
      </c>
      <c r="AO229" s="125" t="s">
        <v>431</v>
      </c>
      <c r="AQ229" s="14">
        <f t="shared" si="209"/>
        <v>0</v>
      </c>
      <c r="AR229" s="14">
        <f t="shared" si="210"/>
        <v>0</v>
      </c>
      <c r="AS229" s="14">
        <f t="shared" si="211"/>
        <v>0</v>
      </c>
      <c r="AT229" s="14">
        <f t="shared" si="213"/>
        <v>0</v>
      </c>
      <c r="AU229" s="15"/>
      <c r="AV229" s="15"/>
      <c r="AW229" s="15"/>
      <c r="AX229" s="15"/>
      <c r="AY229" s="15"/>
      <c r="AZ229" s="15"/>
      <c r="BA229" s="15"/>
      <c r="BB229" s="16">
        <f t="shared" si="212"/>
        <v>0</v>
      </c>
    </row>
    <row r="230" spans="1:54" ht="78" outlineLevel="2">
      <c r="A230" s="98"/>
      <c r="B230" s="102"/>
      <c r="C230" s="23"/>
      <c r="D230" s="269"/>
      <c r="E230" s="269"/>
      <c r="F230" s="269"/>
      <c r="G230" s="269"/>
      <c r="H230" s="302" t="s">
        <v>553</v>
      </c>
      <c r="I230" s="104" t="s">
        <v>4</v>
      </c>
      <c r="J230" s="105">
        <v>0.2</v>
      </c>
      <c r="K230" s="105">
        <v>5</v>
      </c>
      <c r="L230" s="106">
        <f>IF(I230&lt;&gt;0,((VLOOKUP(I230,'1. Standard_Cost'!$B$4:$D$11,2)+VLOOKUP(I230,'1. Standard_Cost'!$B$4:$D$11,3))*J230*K230),"0")</f>
        <v>80750</v>
      </c>
      <c r="M230" s="106">
        <f>L230*'1. Standard_Cost'!$F$4</f>
        <v>13485.25</v>
      </c>
      <c r="N230" s="107">
        <v>2</v>
      </c>
      <c r="O230" s="107">
        <v>3</v>
      </c>
      <c r="P230" s="107">
        <v>10</v>
      </c>
      <c r="Q230" s="107"/>
      <c r="R230" s="108">
        <v>0</v>
      </c>
      <c r="S230" s="108">
        <v>0</v>
      </c>
      <c r="T230" s="108">
        <f>N230*P230*Q230*'1. Standard_Cost'!$D$15</f>
        <v>0</v>
      </c>
      <c r="U230" s="108">
        <v>0</v>
      </c>
      <c r="V230" s="107"/>
      <c r="W230" s="107"/>
      <c r="X230" s="107"/>
      <c r="Y230" s="108">
        <f>+V230*((X230*'1. Standard_Cost'!$B$19)+(W230*X230*'1. Standard_Cost'!$C$19))</f>
        <v>0</v>
      </c>
      <c r="Z230" s="107"/>
      <c r="AA230" s="107"/>
      <c r="AB230" s="108">
        <f>+Z230*'1. Standard_Cost'!$B$23+AA230*'1. Standard_Cost'!$C$23</f>
        <v>0</v>
      </c>
      <c r="AC230" s="109">
        <f>20*3500*3+20*500*3</f>
        <v>240000</v>
      </c>
      <c r="AD230" s="110"/>
      <c r="AE230" s="108">
        <f>SUM(AD230,AC230,AB230,Y230,U230,T230,S230,R230)*'1. Standard_Cost'!$B$31</f>
        <v>48000</v>
      </c>
      <c r="AF230" s="108">
        <f t="shared" si="208"/>
        <v>288000</v>
      </c>
      <c r="AG230" s="107"/>
      <c r="AH230" s="107"/>
      <c r="AI230" s="107"/>
      <c r="AJ230" s="111"/>
      <c r="AK230" s="111"/>
      <c r="AL230" s="111"/>
      <c r="AM230" s="108">
        <f>AG230*'1. Standard_Cost'!$B$27+'Incremental_Cost Year 4'!AH230*'1. Standard_Cost'!$C$27+'Incremental_Cost Year 4'!AI230*'1. Standard_Cost'!$D$27+'Incremental_Cost Year 4'!AJ230+'Incremental_Cost Year 4'!AL230+AK230</f>
        <v>0</v>
      </c>
      <c r="AN230" s="108">
        <f>AM230*'1. Standard_Cost'!$C$31</f>
        <v>0</v>
      </c>
      <c r="AO230" s="125" t="s">
        <v>432</v>
      </c>
      <c r="AQ230" s="14">
        <f t="shared" si="209"/>
        <v>94235.25</v>
      </c>
      <c r="AR230" s="14">
        <f t="shared" si="210"/>
        <v>288000</v>
      </c>
      <c r="AS230" s="14">
        <f t="shared" si="211"/>
        <v>0</v>
      </c>
      <c r="AT230" s="14">
        <f t="shared" si="213"/>
        <v>382235.25</v>
      </c>
      <c r="AU230" s="15">
        <v>94235.25</v>
      </c>
      <c r="AV230" s="15"/>
      <c r="AW230" s="15"/>
      <c r="AX230" s="15"/>
      <c r="AY230" s="15"/>
      <c r="AZ230" s="15"/>
      <c r="BA230" s="15"/>
      <c r="BB230" s="16">
        <f t="shared" si="212"/>
        <v>-288000</v>
      </c>
    </row>
    <row r="231" spans="1:54" ht="78" outlineLevel="2">
      <c r="A231" s="98"/>
      <c r="B231" s="102"/>
      <c r="C231" s="23"/>
      <c r="D231" s="269"/>
      <c r="E231" s="269"/>
      <c r="F231" s="269"/>
      <c r="G231" s="26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7</v>
      </c>
      <c r="AB231" s="108">
        <f>+Z231*'1. Standard_Cost'!$B$23+AA231*'1. Standard_Cost'!$C$23</f>
        <v>133000</v>
      </c>
      <c r="AC231" s="109"/>
      <c r="AD231" s="110"/>
      <c r="AE231" s="108">
        <f>SUM(AD231,AC231,AB231,Y231,U231,T231,S231,R231)*'1. Standard_Cost'!$B$31</f>
        <v>26600</v>
      </c>
      <c r="AF231" s="108">
        <f t="shared" si="208"/>
        <v>159600</v>
      </c>
      <c r="AG231" s="107"/>
      <c r="AH231" s="107"/>
      <c r="AI231" s="107"/>
      <c r="AJ231" s="111"/>
      <c r="AK231" s="111"/>
      <c r="AL231" s="111"/>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09"/>
        <v>0</v>
      </c>
      <c r="AR231" s="14">
        <f t="shared" si="210"/>
        <v>159600</v>
      </c>
      <c r="AS231" s="14">
        <f t="shared" si="211"/>
        <v>0</v>
      </c>
      <c r="AT231" s="14">
        <f t="shared" si="213"/>
        <v>159600</v>
      </c>
      <c r="AU231" s="15"/>
      <c r="AV231" s="15"/>
      <c r="AW231" s="15"/>
      <c r="AX231" s="15"/>
      <c r="AY231" s="15"/>
      <c r="AZ231" s="15"/>
      <c r="BA231" s="15"/>
      <c r="BB231" s="16">
        <f t="shared" si="212"/>
        <v>-159600</v>
      </c>
    </row>
    <row r="232" spans="1:54" ht="82.8" outlineLevel="1">
      <c r="A232" s="98"/>
      <c r="B232" s="102"/>
      <c r="C232" s="23"/>
      <c r="D232" s="31" t="s">
        <v>640</v>
      </c>
      <c r="E232" s="56" t="s">
        <v>259</v>
      </c>
      <c r="F232" s="253">
        <v>2021</v>
      </c>
      <c r="G232" s="254">
        <v>2026</v>
      </c>
      <c r="H232" s="277" t="s">
        <v>260</v>
      </c>
      <c r="I232" s="112"/>
      <c r="J232" s="112"/>
      <c r="K232" s="112"/>
      <c r="L232" s="113">
        <f>SUM(L225:L231)</f>
        <v>80750</v>
      </c>
      <c r="M232" s="113">
        <f>SUM(M225:M231)</f>
        <v>13485.25</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133000</v>
      </c>
      <c r="AC232" s="113">
        <f>SUM(AC225:AC231)</f>
        <v>240000</v>
      </c>
      <c r="AD232" s="113">
        <f>SUM(AD225:AD231)</f>
        <v>0</v>
      </c>
      <c r="AE232" s="113">
        <f>SUM(AE225:AE231)</f>
        <v>74600</v>
      </c>
      <c r="AF232" s="113">
        <f>SUM(AF225:AF231)</f>
        <v>447600</v>
      </c>
      <c r="AG232" s="112"/>
      <c r="AH232" s="112"/>
      <c r="AI232" s="112"/>
      <c r="AJ232" s="113">
        <f>SUM(AJ225:AJ231)</f>
        <v>0</v>
      </c>
      <c r="AK232" s="113">
        <f>SUM(AK225:AK231)</f>
        <v>0</v>
      </c>
      <c r="AL232" s="113">
        <f>SUM(AL225:AL231)</f>
        <v>0</v>
      </c>
      <c r="AM232" s="113">
        <f>SUM(AM225:AM231)</f>
        <v>0</v>
      </c>
      <c r="AN232" s="113">
        <f>SUM(AN225:AN231)</f>
        <v>0</v>
      </c>
      <c r="AO232" s="131"/>
      <c r="AP232" s="17"/>
      <c r="AQ232" s="113">
        <f t="shared" ref="AQ232:BB232" si="214">SUM(AQ225:AQ231)</f>
        <v>94235.25</v>
      </c>
      <c r="AR232" s="113">
        <f t="shared" si="214"/>
        <v>447600</v>
      </c>
      <c r="AS232" s="113">
        <f t="shared" si="214"/>
        <v>0</v>
      </c>
      <c r="AT232" s="113">
        <f t="shared" si="214"/>
        <v>541835.25</v>
      </c>
      <c r="AU232" s="113">
        <v>94235.25</v>
      </c>
      <c r="AV232" s="113">
        <v>0</v>
      </c>
      <c r="AW232" s="113">
        <v>0</v>
      </c>
      <c r="AX232" s="113">
        <v>0</v>
      </c>
      <c r="AY232" s="113">
        <v>0</v>
      </c>
      <c r="AZ232" s="113">
        <f t="shared" si="214"/>
        <v>0</v>
      </c>
      <c r="BA232" s="113">
        <f t="shared" si="214"/>
        <v>0</v>
      </c>
      <c r="BB232" s="113">
        <f t="shared" si="214"/>
        <v>-447600</v>
      </c>
    </row>
    <row r="233" spans="1:54" ht="156" outlineLevel="2">
      <c r="A233" s="98"/>
      <c r="B233" s="102"/>
      <c r="C233" s="23"/>
      <c r="D233" s="257"/>
      <c r="E233" s="257"/>
      <c r="F233" s="257"/>
      <c r="G233" s="257"/>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215">SUM(AE233,AD233,AC233,AB233,Y233,U233,T233,S233,R233)</f>
        <v>0</v>
      </c>
      <c r="AG233" s="107"/>
      <c r="AH233" s="107"/>
      <c r="AI233" s="107"/>
      <c r="AJ233" s="111"/>
      <c r="AK233" s="111"/>
      <c r="AL233" s="111"/>
      <c r="AM233" s="108">
        <f>AG233*'1. Standard_Cost'!$B$27+'Incremental_Cost Year 4'!AH233*'1. Standard_Cost'!$C$27+'Incremental_Cost Year 4'!AI233*'1. Standard_Cost'!$D$27+'Incremental_Cost Year 4'!AJ233+'Incremental_Cost Year 4'!AL233+AK233</f>
        <v>0</v>
      </c>
      <c r="AN233" s="108">
        <f>AM233*'1. Standard_Cost'!$C$31</f>
        <v>0</v>
      </c>
      <c r="AO233" s="125" t="s">
        <v>434</v>
      </c>
      <c r="AQ233" s="14">
        <f t="shared" ref="AQ233:AQ235" si="216">L233+M233</f>
        <v>0</v>
      </c>
      <c r="AR233" s="14">
        <f t="shared" ref="AR233:AR235" si="217">AF233</f>
        <v>0</v>
      </c>
      <c r="AS233" s="14">
        <f t="shared" ref="AS233:AS235" si="218">AM233+AN233</f>
        <v>0</v>
      </c>
      <c r="AT233" s="14">
        <f>SUM(AQ233,AR233,AS233)</f>
        <v>0</v>
      </c>
      <c r="AU233" s="15"/>
      <c r="AV233" s="15"/>
      <c r="AW233" s="15"/>
      <c r="AX233" s="15"/>
      <c r="AY233" s="15"/>
      <c r="AZ233" s="15"/>
      <c r="BA233" s="15"/>
      <c r="BB233" s="16">
        <f t="shared" ref="BB233:BB235" si="219">SUM(AU233:BA233)-AT233</f>
        <v>0</v>
      </c>
    </row>
    <row r="234" spans="1:54" ht="62.4" outlineLevel="2">
      <c r="A234" s="98"/>
      <c r="B234" s="102"/>
      <c r="C234" s="23"/>
      <c r="D234" s="269"/>
      <c r="E234" s="269"/>
      <c r="F234" s="269"/>
      <c r="G234" s="26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215"/>
        <v>0</v>
      </c>
      <c r="AG234" s="107"/>
      <c r="AH234" s="107"/>
      <c r="AI234" s="107"/>
      <c r="AJ234" s="111"/>
      <c r="AK234" s="111"/>
      <c r="AL234" s="111"/>
      <c r="AM234" s="108">
        <f>AG234*'1. Standard_Cost'!$B$27+'Incremental_Cost Year 4'!AH234*'1. Standard_Cost'!$C$27+'Incremental_Cost Year 4'!AI234*'1. Standard_Cost'!$D$27+'Incremental_Cost Year 4'!AJ234+'Incremental_Cost Year 4'!AL234+AK234</f>
        <v>0</v>
      </c>
      <c r="AN234" s="108">
        <f>AM234*'1. Standard_Cost'!$C$31</f>
        <v>0</v>
      </c>
      <c r="AO234" s="125" t="s">
        <v>435</v>
      </c>
      <c r="AQ234" s="14">
        <f t="shared" si="216"/>
        <v>0</v>
      </c>
      <c r="AR234" s="14">
        <f t="shared" si="217"/>
        <v>0</v>
      </c>
      <c r="AS234" s="14">
        <f t="shared" si="218"/>
        <v>0</v>
      </c>
      <c r="AT234" s="14">
        <f t="shared" ref="AT234:AT235" si="220">SUM(AQ234,AR234,AS234)</f>
        <v>0</v>
      </c>
      <c r="AU234" s="15"/>
      <c r="AV234" s="15"/>
      <c r="AW234" s="15"/>
      <c r="AX234" s="15"/>
      <c r="AY234" s="15"/>
      <c r="AZ234" s="15"/>
      <c r="BA234" s="15"/>
      <c r="BB234" s="16">
        <f t="shared" si="219"/>
        <v>0</v>
      </c>
    </row>
    <row r="235" spans="1:54" ht="124.8" outlineLevel="2">
      <c r="A235" s="98"/>
      <c r="B235" s="102"/>
      <c r="C235" s="23"/>
      <c r="D235" s="269"/>
      <c r="E235" s="269"/>
      <c r="F235" s="269"/>
      <c r="G235" s="174"/>
      <c r="H235" s="302" t="s">
        <v>555</v>
      </c>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215"/>
        <v>0</v>
      </c>
      <c r="AG235" s="107"/>
      <c r="AH235" s="107"/>
      <c r="AI235" s="107"/>
      <c r="AJ235" s="111"/>
      <c r="AK235" s="111"/>
      <c r="AL235" s="111"/>
      <c r="AM235" s="108">
        <f>AG235*'1. Standard_Cost'!$B$27+'Incremental_Cost Year 4'!AH235*'1. Standard_Cost'!$C$27+'Incremental_Cost Year 4'!AI235*'1. Standard_Cost'!$D$27+'Incremental_Cost Year 4'!AJ235+'Incremental_Cost Year 4'!AL235+AK235</f>
        <v>0</v>
      </c>
      <c r="AN235" s="108">
        <f>AM235*'1. Standard_Cost'!$C$31</f>
        <v>0</v>
      </c>
      <c r="AO235" s="125" t="s">
        <v>436</v>
      </c>
      <c r="AQ235" s="14">
        <f t="shared" si="216"/>
        <v>0</v>
      </c>
      <c r="AR235" s="14">
        <f t="shared" si="217"/>
        <v>0</v>
      </c>
      <c r="AS235" s="14">
        <f t="shared" si="218"/>
        <v>0</v>
      </c>
      <c r="AT235" s="14">
        <f t="shared" si="220"/>
        <v>0</v>
      </c>
      <c r="AU235" s="15">
        <v>0</v>
      </c>
      <c r="AV235" s="15"/>
      <c r="AW235" s="15"/>
      <c r="AX235" s="15"/>
      <c r="AY235" s="15"/>
      <c r="AZ235" s="15"/>
      <c r="BA235" s="15"/>
      <c r="BB235" s="16">
        <f t="shared" si="219"/>
        <v>0</v>
      </c>
    </row>
    <row r="236" spans="1:54" ht="110.4" outlineLevel="1">
      <c r="A236" s="98"/>
      <c r="B236" s="102"/>
      <c r="C236" s="23"/>
      <c r="D236" s="347" t="s">
        <v>641</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21">SUM(AQ233:AQ235)</f>
        <v>0</v>
      </c>
      <c r="AR236" s="113">
        <f t="shared" si="221"/>
        <v>0</v>
      </c>
      <c r="AS236" s="113">
        <f t="shared" si="221"/>
        <v>0</v>
      </c>
      <c r="AT236" s="113">
        <f t="shared" si="221"/>
        <v>0</v>
      </c>
      <c r="AU236" s="113">
        <v>0</v>
      </c>
      <c r="AV236" s="113">
        <v>0</v>
      </c>
      <c r="AW236" s="113">
        <v>0</v>
      </c>
      <c r="AX236" s="113">
        <v>0</v>
      </c>
      <c r="AY236" s="113">
        <v>0</v>
      </c>
      <c r="AZ236" s="113">
        <f t="shared" si="221"/>
        <v>0</v>
      </c>
      <c r="BA236" s="113">
        <f t="shared" si="221"/>
        <v>0</v>
      </c>
      <c r="BB236" s="113">
        <f t="shared" si="221"/>
        <v>0</v>
      </c>
    </row>
    <row r="237" spans="1:54"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22">SUM(AE237,AD237,AC237,AB237,Y237,U237,T237,S237,R237)</f>
        <v>0</v>
      </c>
      <c r="AG237" s="107"/>
      <c r="AH237" s="107"/>
      <c r="AI237" s="107"/>
      <c r="AJ237" s="111"/>
      <c r="AK237" s="111"/>
      <c r="AL237" s="111"/>
      <c r="AM237" s="108">
        <f>AG237*'1. Standard_Cost'!$B$27+'Incremental_Cost Year 4'!AH237*'1. Standard_Cost'!$C$27+'Incremental_Cost Year 4'!AI237*'1. Standard_Cost'!$D$27+'Incremental_Cost Year 4'!AJ237+'Incremental_Cost Year 4'!AL237+AK237</f>
        <v>0</v>
      </c>
      <c r="AN237" s="108">
        <f>AM237*'1. Standard_Cost'!$C$31</f>
        <v>0</v>
      </c>
      <c r="AO237" s="125" t="s">
        <v>437</v>
      </c>
      <c r="AQ237" s="14">
        <f t="shared" ref="AQ237:AQ241" si="223">L237+M237</f>
        <v>0</v>
      </c>
      <c r="AR237" s="14">
        <f t="shared" ref="AR237:AR241" si="224">AF237</f>
        <v>0</v>
      </c>
      <c r="AS237" s="14">
        <f t="shared" ref="AS237:AS241" si="225">AM237+AN237</f>
        <v>0</v>
      </c>
      <c r="AT237" s="14">
        <f>SUM(AQ237,AR237,AS237)</f>
        <v>0</v>
      </c>
      <c r="AU237" s="15"/>
      <c r="AV237" s="15"/>
      <c r="AW237" s="15"/>
      <c r="AX237" s="15"/>
      <c r="AY237" s="15"/>
      <c r="AZ237" s="15"/>
      <c r="BA237" s="15"/>
      <c r="BB237" s="16">
        <f t="shared" ref="BB237:BB241" si="226">SUM(AU237:BA237)-AT237</f>
        <v>0</v>
      </c>
    </row>
    <row r="238" spans="1:54" ht="46.8" outlineLevel="2">
      <c r="A238" s="98"/>
      <c r="B238" s="102"/>
      <c r="C238" s="23"/>
      <c r="D238" s="269"/>
      <c r="E238" s="269"/>
      <c r="F238" s="269"/>
      <c r="G238" s="26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22"/>
        <v>0</v>
      </c>
      <c r="AG238" s="107"/>
      <c r="AH238" s="107"/>
      <c r="AI238" s="107"/>
      <c r="AJ238" s="111"/>
      <c r="AK238" s="111"/>
      <c r="AL238" s="111"/>
      <c r="AM238" s="108">
        <f>AG238*'1. Standard_Cost'!$B$27+'Incremental_Cost Year 4'!AH238*'1. Standard_Cost'!$C$27+'Incremental_Cost Year 4'!AI238*'1. Standard_Cost'!$D$27+'Incremental_Cost Year 4'!AJ238+'Incremental_Cost Year 4'!AL238+AK238</f>
        <v>0</v>
      </c>
      <c r="AN238" s="108">
        <f>AM238*'1. Standard_Cost'!$C$31</f>
        <v>0</v>
      </c>
      <c r="AO238" s="125" t="s">
        <v>438</v>
      </c>
      <c r="AQ238" s="14">
        <f t="shared" si="223"/>
        <v>0</v>
      </c>
      <c r="AR238" s="14">
        <f t="shared" si="224"/>
        <v>0</v>
      </c>
      <c r="AS238" s="14">
        <f t="shared" si="225"/>
        <v>0</v>
      </c>
      <c r="AT238" s="14">
        <f t="shared" ref="AT238:AT241" si="227">SUM(AQ238,AR238,AS238)</f>
        <v>0</v>
      </c>
      <c r="AU238" s="15"/>
      <c r="AV238" s="15"/>
      <c r="AW238" s="15"/>
      <c r="AX238" s="15"/>
      <c r="AY238" s="15"/>
      <c r="AZ238" s="15"/>
      <c r="BA238" s="15"/>
      <c r="BB238" s="16">
        <f t="shared" si="226"/>
        <v>0</v>
      </c>
    </row>
    <row r="239" spans="1:54" ht="62.4" outlineLevel="2">
      <c r="A239" s="98"/>
      <c r="B239" s="102"/>
      <c r="C239" s="23"/>
      <c r="D239" s="269"/>
      <c r="E239" s="269"/>
      <c r="F239" s="269"/>
      <c r="G239" s="26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22"/>
        <v>0</v>
      </c>
      <c r="AG239" s="107"/>
      <c r="AH239" s="107"/>
      <c r="AI239" s="107"/>
      <c r="AJ239" s="111"/>
      <c r="AK239" s="111"/>
      <c r="AL239" s="111"/>
      <c r="AM239" s="108">
        <f>AG239*'1. Standard_Cost'!$B$27+'Incremental_Cost Year 4'!AH239*'1. Standard_Cost'!$C$27+'Incremental_Cost Year 4'!AI239*'1. Standard_Cost'!$D$27+'Incremental_Cost Year 4'!AJ239+'Incremental_Cost Year 4'!AL239+AK239</f>
        <v>0</v>
      </c>
      <c r="AN239" s="108">
        <f>AM239*'1. Standard_Cost'!$C$31</f>
        <v>0</v>
      </c>
      <c r="AO239" s="125" t="s">
        <v>439</v>
      </c>
      <c r="AQ239" s="14">
        <f t="shared" si="223"/>
        <v>0</v>
      </c>
      <c r="AR239" s="14">
        <f t="shared" si="224"/>
        <v>0</v>
      </c>
      <c r="AS239" s="14">
        <f t="shared" si="225"/>
        <v>0</v>
      </c>
      <c r="AT239" s="14">
        <f t="shared" si="227"/>
        <v>0</v>
      </c>
      <c r="AU239" s="15"/>
      <c r="AV239" s="15"/>
      <c r="AW239" s="15"/>
      <c r="AX239" s="15"/>
      <c r="AY239" s="15"/>
      <c r="AZ239" s="15"/>
      <c r="BA239" s="15"/>
      <c r="BB239" s="16">
        <f t="shared" si="226"/>
        <v>0</v>
      </c>
    </row>
    <row r="240" spans="1:54" ht="109.2" outlineLevel="2">
      <c r="A240" s="98"/>
      <c r="B240" s="102"/>
      <c r="C240" s="23"/>
      <c r="D240" s="269"/>
      <c r="E240" s="269"/>
      <c r="F240" s="269"/>
      <c r="G240" s="269"/>
      <c r="H240" s="302" t="s">
        <v>556</v>
      </c>
      <c r="I240" s="104"/>
      <c r="J240" s="105"/>
      <c r="K240" s="105"/>
      <c r="L240" s="106" t="str">
        <f>IF(I240&lt;&gt;0,((VLOOKUP(I240,'1. Standard_Cost'!$B$4:$D$11,2)+VLOOKUP(I240,'1. Standard_Cost'!$B$4:$D$11,3))*J240*K240),"0")</f>
        <v>0</v>
      </c>
      <c r="M240" s="106">
        <f>L240*'1. Standard_Cost'!$F$4</f>
        <v>0</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c r="AB240" s="108">
        <f>+Z240*'1. Standard_Cost'!$B$23+AA240*'1. Standard_Cost'!$C$23</f>
        <v>0</v>
      </c>
      <c r="AC240" s="109"/>
      <c r="AD240" s="110"/>
      <c r="AE240" s="108">
        <f>SUM(AD240,AC240,AB240,Y240,U240,T240,S240,R240)*'1. Standard_Cost'!$B$31</f>
        <v>0</v>
      </c>
      <c r="AF240" s="108">
        <f t="shared" si="222"/>
        <v>0</v>
      </c>
      <c r="AG240" s="107"/>
      <c r="AH240" s="107"/>
      <c r="AI240" s="107"/>
      <c r="AJ240" s="111"/>
      <c r="AK240" s="111"/>
      <c r="AL240" s="111"/>
      <c r="AM240" s="108">
        <f>AG240*'1. Standard_Cost'!$B$27+'Incremental_Cost Year 4'!AH240*'1. Standard_Cost'!$C$27+'Incremental_Cost Year 4'!AI240*'1. Standard_Cost'!$D$27+'Incremental_Cost Year 4'!AJ240+'Incremental_Cost Year 4'!AL240+AK240</f>
        <v>0</v>
      </c>
      <c r="AN240" s="108">
        <f>AM240*'1. Standard_Cost'!$C$31</f>
        <v>0</v>
      </c>
      <c r="AO240" s="125" t="s">
        <v>440</v>
      </c>
      <c r="AQ240" s="14">
        <f t="shared" si="223"/>
        <v>0</v>
      </c>
      <c r="AR240" s="14">
        <f t="shared" si="224"/>
        <v>0</v>
      </c>
      <c r="AS240" s="14">
        <f t="shared" si="225"/>
        <v>0</v>
      </c>
      <c r="AT240" s="14">
        <f t="shared" si="227"/>
        <v>0</v>
      </c>
      <c r="AU240" s="15">
        <v>0</v>
      </c>
      <c r="AV240" s="15"/>
      <c r="AW240" s="15"/>
      <c r="AX240" s="15"/>
      <c r="AY240" s="15"/>
      <c r="AZ240" s="15"/>
      <c r="BA240" s="15"/>
      <c r="BB240" s="16">
        <f t="shared" si="226"/>
        <v>0</v>
      </c>
    </row>
    <row r="241" spans="1:54" ht="140.4" outlineLevel="2">
      <c r="A241" s="98"/>
      <c r="B241" s="102"/>
      <c r="C241" s="23"/>
      <c r="D241" s="269"/>
      <c r="E241" s="269"/>
      <c r="F241" s="269"/>
      <c r="G241" s="269"/>
      <c r="H241" s="302" t="s">
        <v>557</v>
      </c>
      <c r="I241" s="104" t="s">
        <v>4</v>
      </c>
      <c r="J241" s="105">
        <v>0.2</v>
      </c>
      <c r="K241" s="105">
        <v>1</v>
      </c>
      <c r="L241" s="106">
        <f>IF(I241&lt;&gt;0,((VLOOKUP(I241,'1. Standard_Cost'!$B$4:$D$11,2)+VLOOKUP(I241,'1. Standard_Cost'!$B$4:$D$11,3))*J241*K241),"0")</f>
        <v>16150</v>
      </c>
      <c r="M241" s="106">
        <f>L241*'1. Standard_Cost'!$F$4</f>
        <v>2697.05</v>
      </c>
      <c r="N241" s="107">
        <v>2</v>
      </c>
      <c r="O241" s="107">
        <v>2</v>
      </c>
      <c r="P241" s="107">
        <v>25</v>
      </c>
      <c r="Q241" s="107"/>
      <c r="R241" s="108">
        <v>0</v>
      </c>
      <c r="S241" s="108">
        <v>0</v>
      </c>
      <c r="T241" s="108">
        <f>N241*P241*Q241*'1. Standard_Cost'!$D$15</f>
        <v>0</v>
      </c>
      <c r="U241" s="108">
        <v>0</v>
      </c>
      <c r="V241" s="107"/>
      <c r="W241" s="107"/>
      <c r="X241" s="107"/>
      <c r="Y241" s="108">
        <f>+V241*((X241*'1. Standard_Cost'!$B$19)+(W241*X241*'1. Standard_Cost'!$C$19))</f>
        <v>0</v>
      </c>
      <c r="Z241" s="107"/>
      <c r="AA241" s="107">
        <v>5</v>
      </c>
      <c r="AB241" s="108">
        <f>+Z241*'1. Standard_Cost'!$B$23+AA241*'1. Standard_Cost'!$C$23</f>
        <v>95000</v>
      </c>
      <c r="AC241" s="109">
        <f>50*2*3500+50*2*400</f>
        <v>390000</v>
      </c>
      <c r="AD241" s="110"/>
      <c r="AE241" s="108">
        <f>SUM(AD241,AC241,AB241,Y241,U241,T241,S241,R241)*'1. Standard_Cost'!$B$31</f>
        <v>97000</v>
      </c>
      <c r="AF241" s="108">
        <f t="shared" si="222"/>
        <v>582000</v>
      </c>
      <c r="AG241" s="107"/>
      <c r="AH241" s="107"/>
      <c r="AI241" s="107"/>
      <c r="AJ241" s="111"/>
      <c r="AK241" s="111"/>
      <c r="AL241" s="111"/>
      <c r="AM241" s="108">
        <f>AG241*'1. Standard_Cost'!$B$27+'Incremental_Cost Year 4'!AH241*'1. Standard_Cost'!$C$27+'Incremental_Cost Year 4'!AI241*'1. Standard_Cost'!$D$27+'Incremental_Cost Year 4'!AJ241+'Incremental_Cost Year 4'!AL241+AK241</f>
        <v>0</v>
      </c>
      <c r="AN241" s="108">
        <f>AM241*'1. Standard_Cost'!$C$31</f>
        <v>0</v>
      </c>
      <c r="AO241" s="125" t="s">
        <v>441</v>
      </c>
      <c r="AQ241" s="14">
        <f t="shared" si="223"/>
        <v>18847.05</v>
      </c>
      <c r="AR241" s="14">
        <f t="shared" si="224"/>
        <v>582000</v>
      </c>
      <c r="AS241" s="14">
        <f t="shared" si="225"/>
        <v>0</v>
      </c>
      <c r="AT241" s="14">
        <f t="shared" si="227"/>
        <v>600847.05000000005</v>
      </c>
      <c r="AU241" s="15">
        <v>18847.05</v>
      </c>
      <c r="AV241" s="15"/>
      <c r="AW241" s="15"/>
      <c r="AX241" s="15"/>
      <c r="AY241" s="15"/>
      <c r="AZ241" s="15"/>
      <c r="BA241" s="15"/>
      <c r="BB241" s="16">
        <f t="shared" si="226"/>
        <v>-582000</v>
      </c>
    </row>
    <row r="242" spans="1:54" ht="69" outlineLevel="1">
      <c r="A242" s="98"/>
      <c r="B242" s="102"/>
      <c r="C242" s="23"/>
      <c r="D242" s="56" t="s">
        <v>713</v>
      </c>
      <c r="E242" s="56" t="s">
        <v>265</v>
      </c>
      <c r="F242" s="253">
        <v>2021</v>
      </c>
      <c r="G242" s="254">
        <v>2026</v>
      </c>
      <c r="H242" s="277" t="s">
        <v>269</v>
      </c>
      <c r="I242" s="112"/>
      <c r="J242" s="112"/>
      <c r="K242" s="112"/>
      <c r="L242" s="113">
        <f>SUM(L237:L241)</f>
        <v>16150</v>
      </c>
      <c r="M242" s="113">
        <f>SUM(M237:M241)</f>
        <v>2697.05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95000</v>
      </c>
      <c r="AC242" s="113">
        <f>SUM(AC237:AC241)</f>
        <v>390000</v>
      </c>
      <c r="AD242" s="113">
        <f>SUM(AD237:AD241)</f>
        <v>0</v>
      </c>
      <c r="AE242" s="113">
        <f>SUM(AE237:AE241)</f>
        <v>97000</v>
      </c>
      <c r="AF242" s="113">
        <f>SUM(AF237:AF241)</f>
        <v>582000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28">SUM(AQ237:AQ241)</f>
        <v>18847.05</v>
      </c>
      <c r="AR242" s="113">
        <f t="shared" si="228"/>
        <v>582000</v>
      </c>
      <c r="AS242" s="113">
        <f t="shared" si="228"/>
        <v>0</v>
      </c>
      <c r="AT242" s="113">
        <f t="shared" si="228"/>
        <v>600847.05000000005</v>
      </c>
      <c r="AU242" s="113">
        <v>18847.05</v>
      </c>
      <c r="AV242" s="113">
        <v>0</v>
      </c>
      <c r="AW242" s="113">
        <v>0</v>
      </c>
      <c r="AX242" s="113">
        <v>0</v>
      </c>
      <c r="AY242" s="113">
        <v>0</v>
      </c>
      <c r="AZ242" s="113">
        <f t="shared" si="228"/>
        <v>0</v>
      </c>
      <c r="BA242" s="113">
        <f t="shared" si="228"/>
        <v>0</v>
      </c>
      <c r="BB242" s="113">
        <f t="shared" si="228"/>
        <v>-582000</v>
      </c>
    </row>
  </sheetData>
  <mergeCells count="17">
    <mergeCell ref="B223:E223"/>
    <mergeCell ref="C224:E224"/>
    <mergeCell ref="B31:E31"/>
    <mergeCell ref="C32:E32"/>
    <mergeCell ref="C40:E40"/>
    <mergeCell ref="B92:E92"/>
    <mergeCell ref="C93:E93"/>
    <mergeCell ref="C143:E143"/>
    <mergeCell ref="C179:E179"/>
    <mergeCell ref="C202:E202"/>
    <mergeCell ref="AQ2:BB2"/>
    <mergeCell ref="C80:E80"/>
    <mergeCell ref="B1:L1"/>
    <mergeCell ref="B2:E2"/>
    <mergeCell ref="B3:E3"/>
    <mergeCell ref="B5:E5"/>
    <mergeCell ref="C6:E6"/>
  </mergeCells>
  <conditionalFormatting sqref="BB243:BB286 BB288:BB291 BB293:BB302 BB305:BB308 BB33 BB81:BB82 BB94:BB100 BB7:BB10 BB26:BB29 BB24 BB36:BB38 BB85:BB90 BB16:BB20 BA17 BB60:BB78 BB183:BB185 BB144:BB146 BB154:BB160 BB162:BB167">
    <cfRule type="cellIs" dxfId="1229" priority="175" operator="lessThan">
      <formula>0</formula>
    </cfRule>
    <cfRule type="cellIs" dxfId="1228" priority="176" operator="lessThan">
      <formula>-105575</formula>
    </cfRule>
  </conditionalFormatting>
  <conditionalFormatting sqref="BB311:BB314 BB316:BB320">
    <cfRule type="cellIs" dxfId="1227" priority="173" operator="lessThan">
      <formula>0</formula>
    </cfRule>
    <cfRule type="cellIs" dxfId="1226" priority="174" operator="lessThan">
      <formula>-105575</formula>
    </cfRule>
  </conditionalFormatting>
  <conditionalFormatting sqref="BB321:BB325">
    <cfRule type="cellIs" dxfId="1225" priority="171" operator="lessThan">
      <formula>0</formula>
    </cfRule>
    <cfRule type="cellIs" dxfId="1224" priority="172" operator="lessThan">
      <formula>-105575</formula>
    </cfRule>
  </conditionalFormatting>
  <conditionalFormatting sqref="BB326:BB330">
    <cfRule type="cellIs" dxfId="1223" priority="169" operator="lessThan">
      <formula>0</formula>
    </cfRule>
    <cfRule type="cellIs" dxfId="1222" priority="170" operator="lessThan">
      <formula>-105575</formula>
    </cfRule>
  </conditionalFormatting>
  <conditionalFormatting sqref="BB332:BB335 BB337:BB341">
    <cfRule type="cellIs" dxfId="1221" priority="167" operator="lessThan">
      <formula>0</formula>
    </cfRule>
    <cfRule type="cellIs" dxfId="1220" priority="168" operator="lessThan">
      <formula>-105575</formula>
    </cfRule>
  </conditionalFormatting>
  <conditionalFormatting sqref="BB342:BB346">
    <cfRule type="cellIs" dxfId="1219" priority="165" operator="lessThan">
      <formula>0</formula>
    </cfRule>
    <cfRule type="cellIs" dxfId="1218" priority="166" operator="lessThan">
      <formula>-105575</formula>
    </cfRule>
  </conditionalFormatting>
  <conditionalFormatting sqref="BB347:BB351">
    <cfRule type="cellIs" dxfId="1217" priority="163" operator="lessThan">
      <formula>0</formula>
    </cfRule>
    <cfRule type="cellIs" dxfId="1216" priority="164" operator="lessThan">
      <formula>-105575</formula>
    </cfRule>
  </conditionalFormatting>
  <conditionalFormatting sqref="BB353:BB356 BB358:BB362">
    <cfRule type="cellIs" dxfId="1215" priority="161" operator="lessThan">
      <formula>0</formula>
    </cfRule>
    <cfRule type="cellIs" dxfId="1214" priority="162" operator="lessThan">
      <formula>-105575</formula>
    </cfRule>
  </conditionalFormatting>
  <conditionalFormatting sqref="BB363:BB367">
    <cfRule type="cellIs" dxfId="1213" priority="159" operator="lessThan">
      <formula>0</formula>
    </cfRule>
    <cfRule type="cellIs" dxfId="1212" priority="160" operator="lessThan">
      <formula>-105575</formula>
    </cfRule>
  </conditionalFormatting>
  <conditionalFormatting sqref="BB370:BB373 BB375:BB379">
    <cfRule type="cellIs" dxfId="1211" priority="157" operator="lessThan">
      <formula>0</formula>
    </cfRule>
    <cfRule type="cellIs" dxfId="1210" priority="158" operator="lessThan">
      <formula>-105575</formula>
    </cfRule>
  </conditionalFormatting>
  <conditionalFormatting sqref="BB381:BB384">
    <cfRule type="cellIs" dxfId="1209" priority="155" operator="lessThan">
      <formula>0</formula>
    </cfRule>
    <cfRule type="cellIs" dxfId="1208" priority="156" operator="lessThan">
      <formula>-105575</formula>
    </cfRule>
  </conditionalFormatting>
  <conditionalFormatting sqref="BB381:BB384 BB386:BB390">
    <cfRule type="cellIs" dxfId="1207" priority="153" operator="lessThan">
      <formula>0</formula>
    </cfRule>
    <cfRule type="cellIs" dxfId="1206" priority="154" operator="lessThan">
      <formula>-105575</formula>
    </cfRule>
  </conditionalFormatting>
  <conditionalFormatting sqref="BB391:BB395">
    <cfRule type="cellIs" dxfId="1205" priority="151" operator="lessThan">
      <formula>0</formula>
    </cfRule>
    <cfRule type="cellIs" dxfId="1204" priority="152" operator="lessThan">
      <formula>-105575</formula>
    </cfRule>
  </conditionalFormatting>
  <conditionalFormatting sqref="BB396:BB400">
    <cfRule type="cellIs" dxfId="1203" priority="149" operator="lessThan">
      <formula>0</formula>
    </cfRule>
    <cfRule type="cellIs" dxfId="1202" priority="150" operator="lessThan">
      <formula>-105575</formula>
    </cfRule>
  </conditionalFormatting>
  <conditionalFormatting sqref="BB401:BB405">
    <cfRule type="cellIs" dxfId="1201" priority="147" operator="lessThan">
      <formula>0</formula>
    </cfRule>
    <cfRule type="cellIs" dxfId="1200" priority="148" operator="lessThan">
      <formula>-105575</formula>
    </cfRule>
  </conditionalFormatting>
  <conditionalFormatting sqref="BB406:BB410">
    <cfRule type="cellIs" dxfId="1199" priority="145" operator="lessThan">
      <formula>0</formula>
    </cfRule>
    <cfRule type="cellIs" dxfId="1198" priority="146" operator="lessThan">
      <formula>-105575</formula>
    </cfRule>
  </conditionalFormatting>
  <conditionalFormatting sqref="BB412:BB415">
    <cfRule type="cellIs" dxfId="1197" priority="143" operator="lessThan">
      <formula>0</formula>
    </cfRule>
    <cfRule type="cellIs" dxfId="1196" priority="144" operator="lessThan">
      <formula>-105575</formula>
    </cfRule>
  </conditionalFormatting>
  <conditionalFormatting sqref="BB412:BB415">
    <cfRule type="cellIs" dxfId="1195" priority="141" operator="lessThan">
      <formula>0</formula>
    </cfRule>
    <cfRule type="cellIs" dxfId="1194" priority="142" operator="lessThan">
      <formula>-105575</formula>
    </cfRule>
  </conditionalFormatting>
  <conditionalFormatting sqref="BB418:BB421">
    <cfRule type="cellIs" dxfId="1193" priority="139" operator="lessThan">
      <formula>0</formula>
    </cfRule>
    <cfRule type="cellIs" dxfId="1192" priority="140" operator="lessThan">
      <formula>-105575</formula>
    </cfRule>
  </conditionalFormatting>
  <conditionalFormatting sqref="BB418:BB421 BB423:BB427">
    <cfRule type="cellIs" dxfId="1191" priority="137" operator="lessThan">
      <formula>0</formula>
    </cfRule>
    <cfRule type="cellIs" dxfId="1190" priority="138" operator="lessThan">
      <formula>-105575</formula>
    </cfRule>
  </conditionalFormatting>
  <conditionalFormatting sqref="BB428:BB432">
    <cfRule type="cellIs" dxfId="1189" priority="135" operator="lessThan">
      <formula>0</formula>
    </cfRule>
    <cfRule type="cellIs" dxfId="1188" priority="136" operator="lessThan">
      <formula>-105575</formula>
    </cfRule>
  </conditionalFormatting>
  <conditionalFormatting sqref="BB433:BB437">
    <cfRule type="cellIs" dxfId="1187" priority="133" operator="lessThan">
      <formula>0</formula>
    </cfRule>
    <cfRule type="cellIs" dxfId="1186" priority="134" operator="lessThan">
      <formula>-105575</formula>
    </cfRule>
  </conditionalFormatting>
  <conditionalFormatting sqref="BB439:BB442">
    <cfRule type="cellIs" dxfId="1185" priority="131" operator="lessThan">
      <formula>0</formula>
    </cfRule>
    <cfRule type="cellIs" dxfId="1184" priority="132" operator="lessThan">
      <formula>-105575</formula>
    </cfRule>
  </conditionalFormatting>
  <conditionalFormatting sqref="BB439:BB442 BB444:BB448">
    <cfRule type="cellIs" dxfId="1183" priority="129" operator="lessThan">
      <formula>0</formula>
    </cfRule>
    <cfRule type="cellIs" dxfId="1182" priority="130" operator="lessThan">
      <formula>-105575</formula>
    </cfRule>
  </conditionalFormatting>
  <conditionalFormatting sqref="BB449:BB453">
    <cfRule type="cellIs" dxfId="1181" priority="127" operator="lessThan">
      <formula>0</formula>
    </cfRule>
    <cfRule type="cellIs" dxfId="1180" priority="128" operator="lessThan">
      <formula>-105575</formula>
    </cfRule>
  </conditionalFormatting>
  <conditionalFormatting sqref="BB454:BB458">
    <cfRule type="cellIs" dxfId="1179" priority="125" operator="lessThan">
      <formula>0</formula>
    </cfRule>
    <cfRule type="cellIs" dxfId="1178" priority="126" operator="lessThan">
      <formula>-105575</formula>
    </cfRule>
  </conditionalFormatting>
  <conditionalFormatting sqref="BB460:BB463">
    <cfRule type="cellIs" dxfId="1177" priority="123" operator="lessThan">
      <formula>0</formula>
    </cfRule>
    <cfRule type="cellIs" dxfId="1176" priority="124" operator="lessThan">
      <formula>-105575</formula>
    </cfRule>
  </conditionalFormatting>
  <conditionalFormatting sqref="BB460:BB463 BB465:BB469">
    <cfRule type="cellIs" dxfId="1175" priority="121" operator="lessThan">
      <formula>0</formula>
    </cfRule>
    <cfRule type="cellIs" dxfId="1174" priority="122" operator="lessThan">
      <formula>-105575</formula>
    </cfRule>
  </conditionalFormatting>
  <conditionalFormatting sqref="BB470:BB474">
    <cfRule type="cellIs" dxfId="1173" priority="119" operator="lessThan">
      <formula>0</formula>
    </cfRule>
    <cfRule type="cellIs" dxfId="1172" priority="120" operator="lessThan">
      <formula>-105575</formula>
    </cfRule>
  </conditionalFormatting>
  <conditionalFormatting sqref="BB475:BB479">
    <cfRule type="cellIs" dxfId="1171" priority="117" operator="lessThan">
      <formula>0</formula>
    </cfRule>
    <cfRule type="cellIs" dxfId="1170" priority="118" operator="lessThan">
      <formula>-105575</formula>
    </cfRule>
  </conditionalFormatting>
  <conditionalFormatting sqref="BB481:BB484">
    <cfRule type="cellIs" dxfId="1169" priority="115" operator="lessThan">
      <formula>0</formula>
    </cfRule>
    <cfRule type="cellIs" dxfId="1168" priority="116" operator="lessThan">
      <formula>-105575</formula>
    </cfRule>
  </conditionalFormatting>
  <conditionalFormatting sqref="BB481:BB484 BB486:BB490">
    <cfRule type="cellIs" dxfId="1167" priority="113" operator="lessThan">
      <formula>0</formula>
    </cfRule>
    <cfRule type="cellIs" dxfId="1166" priority="114" operator="lessThan">
      <formula>-105575</formula>
    </cfRule>
  </conditionalFormatting>
  <conditionalFormatting sqref="BB491:BB495">
    <cfRule type="cellIs" dxfId="1165" priority="111" operator="lessThan">
      <formula>0</formula>
    </cfRule>
    <cfRule type="cellIs" dxfId="1164" priority="112" operator="lessThan">
      <formula>-105575</formula>
    </cfRule>
  </conditionalFormatting>
  <conditionalFormatting sqref="BB144:BB146 BB154:BB160 BB162:BB167">
    <cfRule type="cellIs" dxfId="1163" priority="109" operator="lessThan">
      <formula>0</formula>
    </cfRule>
    <cfRule type="cellIs" dxfId="1162" priority="110" operator="lessThan">
      <formula>-105575</formula>
    </cfRule>
  </conditionalFormatting>
  <conditionalFormatting sqref="BB163:BB164">
    <cfRule type="cellIs" dxfId="1161" priority="107" operator="lessThan">
      <formula>0</formula>
    </cfRule>
    <cfRule type="cellIs" dxfId="1160" priority="108" operator="lessThan">
      <formula>-105575</formula>
    </cfRule>
  </conditionalFormatting>
  <conditionalFormatting sqref="BB34:BB35">
    <cfRule type="cellIs" dxfId="1159" priority="97" operator="lessThan">
      <formula>0</formula>
    </cfRule>
    <cfRule type="cellIs" dxfId="1158" priority="98" operator="lessThan">
      <formula>-105575</formula>
    </cfRule>
  </conditionalFormatting>
  <conditionalFormatting sqref="BB41 BB56:BB58">
    <cfRule type="cellIs" dxfId="1157" priority="95" operator="lessThan">
      <formula>0</formula>
    </cfRule>
    <cfRule type="cellIs" dxfId="1156" priority="96" operator="lessThan">
      <formula>-105575</formula>
    </cfRule>
  </conditionalFormatting>
  <conditionalFormatting sqref="BB14">
    <cfRule type="cellIs" dxfId="1155" priority="105" operator="lessThan">
      <formula>0</formula>
    </cfRule>
    <cfRule type="cellIs" dxfId="1154" priority="106" operator="lessThan">
      <formula>-105575</formula>
    </cfRule>
  </conditionalFormatting>
  <conditionalFormatting sqref="BB11">
    <cfRule type="cellIs" dxfId="1153" priority="103" operator="lessThan">
      <formula>0</formula>
    </cfRule>
    <cfRule type="cellIs" dxfId="1152" priority="104" operator="lessThan">
      <formula>-105575</formula>
    </cfRule>
  </conditionalFormatting>
  <conditionalFormatting sqref="BB54:BB55">
    <cfRule type="cellIs" dxfId="1151" priority="93" operator="lessThan">
      <formula>0</formula>
    </cfRule>
    <cfRule type="cellIs" dxfId="1150" priority="94" operator="lessThan">
      <formula>-105575</formula>
    </cfRule>
  </conditionalFormatting>
  <conditionalFormatting sqref="BB21 BB23">
    <cfRule type="cellIs" dxfId="1149" priority="101" operator="lessThan">
      <formula>0</formula>
    </cfRule>
    <cfRule type="cellIs" dxfId="1148" priority="102" operator="lessThan">
      <formula>-105575</formula>
    </cfRule>
  </conditionalFormatting>
  <conditionalFormatting sqref="BB22">
    <cfRule type="cellIs" dxfId="1147" priority="99" operator="lessThan">
      <formula>0</formula>
    </cfRule>
    <cfRule type="cellIs" dxfId="1146" priority="100" operator="lessThan">
      <formula>-105575</formula>
    </cfRule>
  </conditionalFormatting>
  <conditionalFormatting sqref="BB52:BB53">
    <cfRule type="cellIs" dxfId="1145" priority="91" operator="lessThan">
      <formula>0</formula>
    </cfRule>
    <cfRule type="cellIs" dxfId="1144" priority="92" operator="lessThan">
      <formula>-105575</formula>
    </cfRule>
  </conditionalFormatting>
  <conditionalFormatting sqref="BB50:BB51">
    <cfRule type="cellIs" dxfId="1143" priority="89" operator="lessThan">
      <formula>0</formula>
    </cfRule>
    <cfRule type="cellIs" dxfId="1142" priority="90" operator="lessThan">
      <formula>-105575</formula>
    </cfRule>
  </conditionalFormatting>
  <conditionalFormatting sqref="BB49">
    <cfRule type="cellIs" dxfId="1141" priority="87" operator="lessThan">
      <formula>0</formula>
    </cfRule>
    <cfRule type="cellIs" dxfId="1140" priority="88" operator="lessThan">
      <formula>-105575</formula>
    </cfRule>
  </conditionalFormatting>
  <conditionalFormatting sqref="BB47:BB48">
    <cfRule type="cellIs" dxfId="1139" priority="85" operator="lessThan">
      <formula>0</formula>
    </cfRule>
    <cfRule type="cellIs" dxfId="1138" priority="86" operator="lessThan">
      <formula>-105575</formula>
    </cfRule>
  </conditionalFormatting>
  <conditionalFormatting sqref="BB45:BB46">
    <cfRule type="cellIs" dxfId="1137" priority="83" operator="lessThan">
      <formula>0</formula>
    </cfRule>
    <cfRule type="cellIs" dxfId="1136" priority="84" operator="lessThan">
      <formula>-105575</formula>
    </cfRule>
  </conditionalFormatting>
  <conditionalFormatting sqref="BB42 BB44">
    <cfRule type="cellIs" dxfId="1135" priority="81" operator="lessThan">
      <formula>0</formula>
    </cfRule>
    <cfRule type="cellIs" dxfId="1134" priority="82" operator="lessThan">
      <formula>-105575</formula>
    </cfRule>
  </conditionalFormatting>
  <conditionalFormatting sqref="BB43">
    <cfRule type="cellIs" dxfId="1133" priority="79" operator="lessThan">
      <formula>0</formula>
    </cfRule>
    <cfRule type="cellIs" dxfId="1132" priority="80" operator="lessThan">
      <formula>-105575</formula>
    </cfRule>
  </conditionalFormatting>
  <conditionalFormatting sqref="BB83:BB84">
    <cfRule type="cellIs" dxfId="1131" priority="77" operator="lessThan">
      <formula>0</formula>
    </cfRule>
    <cfRule type="cellIs" dxfId="1130" priority="78" operator="lessThan">
      <formula>-105575</formula>
    </cfRule>
  </conditionalFormatting>
  <conditionalFormatting sqref="BB102:BB106 BB111:BB112">
    <cfRule type="cellIs" dxfId="1129" priority="75" operator="lessThan">
      <formula>0</formula>
    </cfRule>
    <cfRule type="cellIs" dxfId="1128" priority="76" operator="lessThan">
      <formula>-105575</formula>
    </cfRule>
  </conditionalFormatting>
  <conditionalFormatting sqref="BB114 BB134:BB135 BB125:BB128">
    <cfRule type="cellIs" dxfId="1127" priority="71" operator="lessThan">
      <formula>0</formula>
    </cfRule>
    <cfRule type="cellIs" dxfId="1126" priority="72" operator="lessThan">
      <formula>-105575</formula>
    </cfRule>
  </conditionalFormatting>
  <conditionalFormatting sqref="BB107:BB110">
    <cfRule type="cellIs" dxfId="1125" priority="73" operator="lessThan">
      <formula>0</formula>
    </cfRule>
    <cfRule type="cellIs" dxfId="1124" priority="74" operator="lessThan">
      <formula>-105575</formula>
    </cfRule>
  </conditionalFormatting>
  <conditionalFormatting sqref="BB123:BB124 BB115:BB118">
    <cfRule type="cellIs" dxfId="1123" priority="67" operator="lessThan">
      <formula>0</formula>
    </cfRule>
    <cfRule type="cellIs" dxfId="1122" priority="68" operator="lessThan">
      <formula>-105575</formula>
    </cfRule>
  </conditionalFormatting>
  <conditionalFormatting sqref="BB129:BB133">
    <cfRule type="cellIs" dxfId="1121" priority="69" operator="lessThan">
      <formula>0</formula>
    </cfRule>
    <cfRule type="cellIs" dxfId="1120" priority="70" operator="lessThan">
      <formula>-105575</formula>
    </cfRule>
  </conditionalFormatting>
  <conditionalFormatting sqref="BB119:BB122">
    <cfRule type="cellIs" dxfId="1119" priority="65" operator="lessThan">
      <formula>0</formula>
    </cfRule>
    <cfRule type="cellIs" dxfId="1118" priority="66" operator="lessThan">
      <formula>-105575</formula>
    </cfRule>
  </conditionalFormatting>
  <conditionalFormatting sqref="BB137:BB138">
    <cfRule type="cellIs" dxfId="1117" priority="63" operator="lessThan">
      <formula>0</formula>
    </cfRule>
    <cfRule type="cellIs" dxfId="1116" priority="64" operator="lessThan">
      <formula>-105575</formula>
    </cfRule>
  </conditionalFormatting>
  <conditionalFormatting sqref="BB147:BB153">
    <cfRule type="cellIs" dxfId="1115" priority="59" operator="lessThan">
      <formula>0</formula>
    </cfRule>
    <cfRule type="cellIs" dxfId="1114" priority="60" operator="lessThan">
      <formula>-105575</formula>
    </cfRule>
  </conditionalFormatting>
  <conditionalFormatting sqref="BB140:BB141">
    <cfRule type="cellIs" dxfId="1113" priority="61" operator="lessThan">
      <formula>0</formula>
    </cfRule>
    <cfRule type="cellIs" dxfId="1112" priority="62" operator="lessThan">
      <formula>-105575</formula>
    </cfRule>
  </conditionalFormatting>
  <conditionalFormatting sqref="BB161">
    <cfRule type="cellIs" dxfId="1111" priority="55" operator="lessThan">
      <formula>0</formula>
    </cfRule>
    <cfRule type="cellIs" dxfId="1110" priority="56" operator="lessThan">
      <formula>-105575</formula>
    </cfRule>
  </conditionalFormatting>
  <conditionalFormatting sqref="BB147:BB153">
    <cfRule type="cellIs" dxfId="1109" priority="57" operator="lessThan">
      <formula>0</formula>
    </cfRule>
    <cfRule type="cellIs" dxfId="1108" priority="58" operator="lessThan">
      <formula>-105575</formula>
    </cfRule>
  </conditionalFormatting>
  <conditionalFormatting sqref="BB193:BB198">
    <cfRule type="cellIs" dxfId="1107" priority="35" operator="lessThan">
      <formula>0</formula>
    </cfRule>
    <cfRule type="cellIs" dxfId="1106" priority="36" operator="lessThan">
      <formula>-105575</formula>
    </cfRule>
  </conditionalFormatting>
  <conditionalFormatting sqref="BB161">
    <cfRule type="cellIs" dxfId="1105" priority="53" operator="lessThan">
      <formula>0</formula>
    </cfRule>
    <cfRule type="cellIs" dxfId="1104" priority="54" operator="lessThan">
      <formula>-105575</formula>
    </cfRule>
  </conditionalFormatting>
  <conditionalFormatting sqref="BB169 BB175:BB177">
    <cfRule type="cellIs" dxfId="1103" priority="51" operator="lessThan">
      <formula>0</formula>
    </cfRule>
    <cfRule type="cellIs" dxfId="1102" priority="52" operator="lessThan">
      <formula>-105575</formula>
    </cfRule>
  </conditionalFormatting>
  <conditionalFormatting sqref="BB169 BB175:BB177">
    <cfRule type="cellIs" dxfId="1101" priority="49" operator="lessThan">
      <formula>0</formula>
    </cfRule>
    <cfRule type="cellIs" dxfId="1100" priority="50" operator="lessThan">
      <formula>-105575</formula>
    </cfRule>
  </conditionalFormatting>
  <conditionalFormatting sqref="BB170:BB174">
    <cfRule type="cellIs" dxfId="1099" priority="47" operator="lessThan">
      <formula>0</formula>
    </cfRule>
    <cfRule type="cellIs" dxfId="1098" priority="48" operator="lessThan">
      <formula>-105575</formula>
    </cfRule>
  </conditionalFormatting>
  <conditionalFormatting sqref="BB182">
    <cfRule type="cellIs" dxfId="1097" priority="31" operator="lessThan">
      <formula>0</formula>
    </cfRule>
    <cfRule type="cellIs" dxfId="1096" priority="32" operator="lessThan">
      <formula>-105575</formula>
    </cfRule>
  </conditionalFormatting>
  <conditionalFormatting sqref="BB170:BB174">
    <cfRule type="cellIs" dxfId="1095" priority="45" operator="lessThan">
      <formula>0</formula>
    </cfRule>
    <cfRule type="cellIs" dxfId="1094" priority="46" operator="lessThan">
      <formula>-105575</formula>
    </cfRule>
  </conditionalFormatting>
  <conditionalFormatting sqref="BB193:BB198">
    <cfRule type="cellIs" dxfId="1093" priority="33" operator="lessThan">
      <formula>0</formula>
    </cfRule>
    <cfRule type="cellIs" dxfId="1092" priority="34" operator="lessThan">
      <formula>-105575</formula>
    </cfRule>
  </conditionalFormatting>
  <conditionalFormatting sqref="BB180 BB186:BB192 BB199:BB200">
    <cfRule type="cellIs" dxfId="1091" priority="43" operator="lessThan">
      <formula>0</formula>
    </cfRule>
    <cfRule type="cellIs" dxfId="1090" priority="44" operator="lessThan">
      <formula>-105575</formula>
    </cfRule>
  </conditionalFormatting>
  <conditionalFormatting sqref="BB180 BB186:BB192 BB199:BB200">
    <cfRule type="cellIs" dxfId="1089" priority="41" operator="lessThan">
      <formula>0</formula>
    </cfRule>
    <cfRule type="cellIs" dxfId="1088" priority="42" operator="lessThan">
      <formula>-105575</formula>
    </cfRule>
  </conditionalFormatting>
  <conditionalFormatting sqref="BB181">
    <cfRule type="cellIs" dxfId="1087" priority="37" operator="lessThan">
      <formula>0</formula>
    </cfRule>
    <cfRule type="cellIs" dxfId="1086" priority="38" operator="lessThan">
      <formula>-105575</formula>
    </cfRule>
  </conditionalFormatting>
  <conditionalFormatting sqref="BB181">
    <cfRule type="cellIs" dxfId="1085" priority="39" operator="lessThan">
      <formula>0</formula>
    </cfRule>
    <cfRule type="cellIs" dxfId="1084" priority="40" operator="lessThan">
      <formula>-105575</formula>
    </cfRule>
  </conditionalFormatting>
  <conditionalFormatting sqref="BB182">
    <cfRule type="cellIs" dxfId="1083" priority="29" operator="lessThan">
      <formula>0</formula>
    </cfRule>
    <cfRule type="cellIs" dxfId="1082" priority="30" operator="lessThan">
      <formula>-105575</formula>
    </cfRule>
  </conditionalFormatting>
  <conditionalFormatting sqref="BB218">
    <cfRule type="cellIs" dxfId="1081" priority="17" operator="lessThan">
      <formula>0</formula>
    </cfRule>
    <cfRule type="cellIs" dxfId="1080" priority="18" operator="lessThan">
      <formula>-105575</formula>
    </cfRule>
  </conditionalFormatting>
  <conditionalFormatting sqref="BB220:BB221">
    <cfRule type="cellIs" dxfId="1079" priority="23" operator="lessThan">
      <formula>0</formula>
    </cfRule>
    <cfRule type="cellIs" dxfId="1078" priority="24" operator="lessThan">
      <formula>-105575</formula>
    </cfRule>
  </conditionalFormatting>
  <conditionalFormatting sqref="BB218">
    <cfRule type="cellIs" dxfId="1077" priority="15" operator="lessThan">
      <formula>0</formula>
    </cfRule>
    <cfRule type="cellIs" dxfId="1076" priority="16" operator="lessThan">
      <formula>-105575</formula>
    </cfRule>
  </conditionalFormatting>
  <conditionalFormatting sqref="BB203 BB219:BB221 BB210:BB217">
    <cfRule type="cellIs" dxfId="1075" priority="27" operator="lessThan">
      <formula>0</formula>
    </cfRule>
    <cfRule type="cellIs" dxfId="1074" priority="28" operator="lessThan">
      <formula>-105575</formula>
    </cfRule>
  </conditionalFormatting>
  <conditionalFormatting sqref="BB203 BB219:BB221 BB210:BB217">
    <cfRule type="cellIs" dxfId="1073" priority="25" operator="lessThan">
      <formula>0</formula>
    </cfRule>
    <cfRule type="cellIs" dxfId="1072" priority="26" operator="lessThan">
      <formula>-105575</formula>
    </cfRule>
  </conditionalFormatting>
  <conditionalFormatting sqref="BB204:BB209">
    <cfRule type="cellIs" dxfId="1071" priority="19" operator="lessThan">
      <formula>0</formula>
    </cfRule>
    <cfRule type="cellIs" dxfId="1070" priority="20" operator="lessThan">
      <formula>-105575</formula>
    </cfRule>
  </conditionalFormatting>
  <conditionalFormatting sqref="BB204:BB209">
    <cfRule type="cellIs" dxfId="1069" priority="21" operator="lessThan">
      <formula>0</formula>
    </cfRule>
    <cfRule type="cellIs" dxfId="1068" priority="22" operator="lessThan">
      <formula>-105575</formula>
    </cfRule>
  </conditionalFormatting>
  <conditionalFormatting sqref="BB225:BB231">
    <cfRule type="cellIs" dxfId="1067" priority="13" operator="lessThan">
      <formula>0</formula>
    </cfRule>
    <cfRule type="cellIs" dxfId="1066" priority="14" operator="lessThan">
      <formula>-105575</formula>
    </cfRule>
  </conditionalFormatting>
  <conditionalFormatting sqref="BB233:BB235">
    <cfRule type="cellIs" dxfId="1065" priority="11" operator="lessThan">
      <formula>0</formula>
    </cfRule>
    <cfRule type="cellIs" dxfId="1064" priority="12" operator="lessThan">
      <formula>-105575</formula>
    </cfRule>
  </conditionalFormatting>
  <conditionalFormatting sqref="BB237">
    <cfRule type="cellIs" dxfId="1063" priority="9" operator="lessThan">
      <formula>0</formula>
    </cfRule>
    <cfRule type="cellIs" dxfId="1062" priority="10" operator="lessThan">
      <formula>-105575</formula>
    </cfRule>
  </conditionalFormatting>
  <conditionalFormatting sqref="BB238:BB241">
    <cfRule type="cellIs" dxfId="1061" priority="7" operator="lessThan">
      <formula>0</formula>
    </cfRule>
    <cfRule type="cellIs" dxfId="1060" priority="8" operator="lessThan">
      <formula>-105575</formula>
    </cfRule>
  </conditionalFormatting>
  <conditionalFormatting sqref="BB12">
    <cfRule type="cellIs" dxfId="1059" priority="5" operator="lessThan">
      <formula>0</formula>
    </cfRule>
    <cfRule type="cellIs" dxfId="1058" priority="6" operator="lessThan">
      <formula>-105575</formula>
    </cfRule>
  </conditionalFormatting>
  <conditionalFormatting sqref="BB13">
    <cfRule type="cellIs" dxfId="1057" priority="3" operator="lessThan">
      <formula>0</formula>
    </cfRule>
    <cfRule type="cellIs" dxfId="1056" priority="4" operator="lessThan">
      <formula>-105575</formula>
    </cfRule>
  </conditionalFormatting>
  <conditionalFormatting sqref="BA18">
    <cfRule type="cellIs" dxfId="1055" priority="1" operator="lessThan">
      <formula>0</formula>
    </cfRule>
    <cfRule type="cellIs" dxfId="1054"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legacyDrawing r:id="rId2"/>
  <extLst xmlns:x14="http://schemas.microsoft.com/office/spreadsheetml/2009/9/main">
    <ext uri="{CCE6A557-97BC-4b89-ADB6-D9C93CAAB3DF}">
      <x14:dataValidations xmlns:xm="http://schemas.microsoft.com/office/excel/2006/main" count="3">
        <x14:dataValidation type="list" allowBlank="1" showInputMessage="1" showErrorMessage="1">
          <x14:formula1>
            <xm:f>'1. Standard_Cost'!$B$4:$B$10</xm:f>
          </x14:formula1>
          <xm:sqref>I17</xm:sqref>
        </x14:dataValidation>
        <x14:dataValidation type="list" allowBlank="1" showInputMessage="1" showErrorMessage="1">
          <x14:formula1>
            <xm:f>'[3]1. Standard_Cost'!#REF!</xm:f>
          </x14:formula1>
          <xm:sqref>I7:I12 I14 I16 I24 I18:I22 I26:I27</xm:sqref>
        </x14:dataValidation>
        <x14:dataValidation type="list" allowBlank="1" showInputMessage="1" showErrorMessage="1">
          <x14:formula1>
            <xm:f>'[2]1. Standard_Cost'!#REF!</xm:f>
          </x14:formula1>
          <xm:sqref>I34</xm:sqref>
        </x14:dataValidation>
      </x14:dataValidations>
    </ext>
  </extLst>
</worksheet>
</file>

<file path=xl/worksheets/sheet6.xml><?xml version="1.0" encoding="utf-8"?>
<worksheet xmlns="http://schemas.openxmlformats.org/spreadsheetml/2006/main" xmlns:r="http://schemas.openxmlformats.org/officeDocument/2006/relationships">
  <dimension ref="A1:BB242"/>
  <sheetViews>
    <sheetView zoomScale="60" zoomScaleNormal="60" workbookViewId="0">
      <selection activeCell="E7" sqref="E7"/>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9" style="5" customWidth="1" outlineLevel="2"/>
    <col min="37" max="37" width="9" style="5" bestFit="1" customWidth="1" outlineLevel="2"/>
    <col min="38" max="38" width="8.109375" style="5" bestFit="1"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6" width="14.88671875" style="5" customWidth="1"/>
    <col min="47" max="53" width="15" style="4"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138</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241"/>
      <c r="G5" s="241"/>
      <c r="H5" s="241" t="s">
        <v>61</v>
      </c>
      <c r="I5" s="40"/>
      <c r="J5" s="40"/>
      <c r="K5" s="40"/>
      <c r="L5" s="41">
        <f>SUM(L6)</f>
        <v>3615825</v>
      </c>
      <c r="M5" s="41">
        <f>SUM(M6)</f>
        <v>603842.77500000002</v>
      </c>
      <c r="N5" s="40"/>
      <c r="O5" s="40"/>
      <c r="P5" s="40"/>
      <c r="Q5" s="40"/>
      <c r="R5" s="41">
        <f t="shared" ref="R5:U5" si="0">SUM(R6)</f>
        <v>322000</v>
      </c>
      <c r="S5" s="41">
        <f t="shared" si="0"/>
        <v>610500</v>
      </c>
      <c r="T5" s="41">
        <f t="shared" si="0"/>
        <v>0</v>
      </c>
      <c r="U5" s="41">
        <f t="shared" si="0"/>
        <v>520000</v>
      </c>
      <c r="V5" s="40"/>
      <c r="W5" s="40"/>
      <c r="X5" s="40"/>
      <c r="Y5" s="41">
        <f t="shared" ref="Y5:AF5" si="1">SUM(Y6)</f>
        <v>0</v>
      </c>
      <c r="Z5" s="41">
        <f t="shared" si="1"/>
        <v>0</v>
      </c>
      <c r="AA5" s="41">
        <f t="shared" si="1"/>
        <v>0</v>
      </c>
      <c r="AB5" s="41">
        <f t="shared" si="1"/>
        <v>1881000</v>
      </c>
      <c r="AC5" s="41">
        <f t="shared" si="1"/>
        <v>3278000</v>
      </c>
      <c r="AD5" s="41">
        <f t="shared" si="1"/>
        <v>0</v>
      </c>
      <c r="AE5" s="41">
        <f t="shared" si="1"/>
        <v>1322300</v>
      </c>
      <c r="AF5" s="41">
        <f t="shared" si="1"/>
        <v>7933800</v>
      </c>
      <c r="AG5" s="40"/>
      <c r="AH5" s="40"/>
      <c r="AI5" s="40"/>
      <c r="AJ5" s="41">
        <f t="shared" ref="AJ5:AN5" si="2">SUM(AJ6)</f>
        <v>0</v>
      </c>
      <c r="AK5" s="41">
        <f t="shared" si="2"/>
        <v>1800000</v>
      </c>
      <c r="AL5" s="41">
        <f t="shared" si="2"/>
        <v>0</v>
      </c>
      <c r="AM5" s="41">
        <f t="shared" si="2"/>
        <v>1800000</v>
      </c>
      <c r="AN5" s="41">
        <f t="shared" si="2"/>
        <v>270000</v>
      </c>
      <c r="AO5" s="129"/>
      <c r="AQ5" s="41">
        <f t="shared" ref="AQ5:BB5" si="3">SUM(AQ6)</f>
        <v>4219667.7750000004</v>
      </c>
      <c r="AR5" s="41">
        <f t="shared" si="3"/>
        <v>7933800</v>
      </c>
      <c r="AS5" s="41">
        <f t="shared" si="3"/>
        <v>2070000</v>
      </c>
      <c r="AT5" s="41">
        <f t="shared" si="3"/>
        <v>14223467.775</v>
      </c>
      <c r="AU5" s="41">
        <f t="shared" si="3"/>
        <v>5128790</v>
      </c>
      <c r="AV5" s="41">
        <f t="shared" si="3"/>
        <v>0</v>
      </c>
      <c r="AW5" s="41">
        <f t="shared" si="3"/>
        <v>0</v>
      </c>
      <c r="AX5" s="41">
        <f t="shared" si="3"/>
        <v>0</v>
      </c>
      <c r="AY5" s="41">
        <f t="shared" si="3"/>
        <v>0</v>
      </c>
      <c r="AZ5" s="41">
        <f t="shared" si="3"/>
        <v>0</v>
      </c>
      <c r="BA5" s="41">
        <f t="shared" si="3"/>
        <v>705360</v>
      </c>
      <c r="BB5" s="41">
        <f t="shared" si="3"/>
        <v>-8389317.7750000004</v>
      </c>
    </row>
    <row r="6" spans="1:54" s="13" customFormat="1" ht="13.8" customHeight="1">
      <c r="A6" s="101"/>
      <c r="B6" s="27"/>
      <c r="C6" s="324" t="s">
        <v>204</v>
      </c>
      <c r="D6" s="324"/>
      <c r="E6" s="325"/>
      <c r="F6" s="248"/>
      <c r="G6" s="298"/>
      <c r="H6" s="239" t="s">
        <v>62</v>
      </c>
      <c r="I6" s="37"/>
      <c r="J6" s="37"/>
      <c r="K6" s="37"/>
      <c r="L6" s="42">
        <f>SUM(L15+L17+L25+L30)</f>
        <v>3615825</v>
      </c>
      <c r="M6" s="42">
        <f>SUM(M15+M17+M25+M30)</f>
        <v>603842.77500000002</v>
      </c>
      <c r="N6" s="42"/>
      <c r="O6" s="43"/>
      <c r="P6" s="43"/>
      <c r="Q6" s="43"/>
      <c r="R6" s="42">
        <f t="shared" ref="R6:U6" si="4">SUM(R15+R17+R25+R30)</f>
        <v>322000</v>
      </c>
      <c r="S6" s="42">
        <f t="shared" si="4"/>
        <v>610500</v>
      </c>
      <c r="T6" s="42">
        <f t="shared" si="4"/>
        <v>0</v>
      </c>
      <c r="U6" s="42">
        <f t="shared" si="4"/>
        <v>520000</v>
      </c>
      <c r="V6" s="42"/>
      <c r="W6" s="43"/>
      <c r="X6" s="43"/>
      <c r="Y6" s="42">
        <f t="shared" ref="Y6:AF6" si="5">SUM(Y15+Y17+Y25+Y30)</f>
        <v>0</v>
      </c>
      <c r="Z6" s="42">
        <f t="shared" si="5"/>
        <v>0</v>
      </c>
      <c r="AA6" s="42">
        <f t="shared" si="5"/>
        <v>0</v>
      </c>
      <c r="AB6" s="42">
        <f t="shared" si="5"/>
        <v>1881000</v>
      </c>
      <c r="AC6" s="42">
        <f t="shared" si="5"/>
        <v>3278000</v>
      </c>
      <c r="AD6" s="42">
        <f t="shared" si="5"/>
        <v>0</v>
      </c>
      <c r="AE6" s="42">
        <f t="shared" si="5"/>
        <v>1322300</v>
      </c>
      <c r="AF6" s="42">
        <f t="shared" si="5"/>
        <v>7933800</v>
      </c>
      <c r="AG6" s="43"/>
      <c r="AH6" s="43"/>
      <c r="AI6" s="43"/>
      <c r="AJ6" s="42">
        <f t="shared" ref="AJ6:AN6" si="6">SUM(AJ15+AJ17+AJ25+AJ30)</f>
        <v>0</v>
      </c>
      <c r="AK6" s="42">
        <f t="shared" si="6"/>
        <v>1800000</v>
      </c>
      <c r="AL6" s="42">
        <f t="shared" si="6"/>
        <v>0</v>
      </c>
      <c r="AM6" s="42">
        <f t="shared" si="6"/>
        <v>1800000</v>
      </c>
      <c r="AN6" s="42">
        <f t="shared" si="6"/>
        <v>270000</v>
      </c>
      <c r="AO6" s="130"/>
      <c r="AQ6" s="42">
        <f t="shared" ref="AQ6:BB6" si="7">SUM(AQ15+AQ17+AQ25+AQ30)</f>
        <v>4219667.7750000004</v>
      </c>
      <c r="AR6" s="42">
        <f t="shared" si="7"/>
        <v>7933800</v>
      </c>
      <c r="AS6" s="42">
        <f t="shared" si="7"/>
        <v>2070000</v>
      </c>
      <c r="AT6" s="42">
        <f t="shared" si="7"/>
        <v>14223467.775</v>
      </c>
      <c r="AU6" s="42">
        <f t="shared" si="7"/>
        <v>5128790</v>
      </c>
      <c r="AV6" s="42">
        <f t="shared" si="7"/>
        <v>0</v>
      </c>
      <c r="AW6" s="42">
        <f t="shared" si="7"/>
        <v>0</v>
      </c>
      <c r="AX6" s="42">
        <f t="shared" si="7"/>
        <v>0</v>
      </c>
      <c r="AY6" s="42">
        <f t="shared" si="7"/>
        <v>0</v>
      </c>
      <c r="AZ6" s="42">
        <f t="shared" si="7"/>
        <v>0</v>
      </c>
      <c r="BA6" s="42">
        <f t="shared" si="7"/>
        <v>705360</v>
      </c>
      <c r="BB6" s="42">
        <f t="shared" si="7"/>
        <v>-8389317.7750000004</v>
      </c>
    </row>
    <row r="7" spans="1:54" ht="93.6" outlineLevel="2">
      <c r="A7" s="98"/>
      <c r="B7" s="102"/>
      <c r="C7" s="23"/>
      <c r="D7" s="257"/>
      <c r="E7" s="123"/>
      <c r="F7" s="270"/>
      <c r="G7" s="250"/>
      <c r="H7" s="302" t="s">
        <v>659</v>
      </c>
      <c r="I7" s="104"/>
      <c r="J7" s="105"/>
      <c r="K7" s="105"/>
      <c r="L7" s="106" t="str">
        <f>IF(I7&lt;&gt;0,((VLOOKUP(I7,'1. Standard_Cost'!$B$4:$D$11,2)+VLOOKUP(I7,'1. Standard_Cost'!$B$4:$D$11,3))*J7*K7),"0")</f>
        <v>0</v>
      </c>
      <c r="M7" s="106">
        <f>L7*'1. Standard_Cost'!$F$4</f>
        <v>0</v>
      </c>
      <c r="N7" s="107"/>
      <c r="O7" s="107"/>
      <c r="P7" s="107"/>
      <c r="Q7" s="107"/>
      <c r="R7" s="108">
        <f>'1. Standard_Cost'!$B$15*N7*P7</f>
        <v>0</v>
      </c>
      <c r="S7" s="108">
        <f>N7*O7*P7*'1. Standard_Cost'!$C$15</f>
        <v>0</v>
      </c>
      <c r="T7" s="108">
        <f>N7*P7*Q7*'1. Standard_Cost'!$D$15</f>
        <v>0</v>
      </c>
      <c r="U7" s="108">
        <f>N7*O7*'1. Standard_Cost'!$E$15</f>
        <v>0</v>
      </c>
      <c r="V7" s="107"/>
      <c r="W7" s="107"/>
      <c r="X7" s="107"/>
      <c r="Y7" s="108">
        <f>+V7*((X7*'1. Standard_Cost'!$B$19)+(W7*X7*'1. Standard_Cost'!$C$19))</f>
        <v>0</v>
      </c>
      <c r="Z7" s="107"/>
      <c r="AA7" s="107"/>
      <c r="AB7" s="108">
        <f>+Z7*'1. Standard_Cost'!$B$23+AA7*'1. Standard_Cost'!$C$23</f>
        <v>0</v>
      </c>
      <c r="AC7" s="109"/>
      <c r="AD7" s="110"/>
      <c r="AE7" s="108">
        <f>SUM(AD7,AC7,AB7,Y7,U7,T7,S7,R7)*'1. Standard_Cost'!$B$31</f>
        <v>0</v>
      </c>
      <c r="AF7" s="108">
        <f>SUM(AE7,AD7,AC7,AB7,Y7,U7,T7,S7,R7)</f>
        <v>0</v>
      </c>
      <c r="AG7" s="107"/>
      <c r="AH7" s="107"/>
      <c r="AI7" s="107"/>
      <c r="AJ7" s="111"/>
      <c r="AK7" s="111"/>
      <c r="AL7" s="111"/>
      <c r="AM7" s="108">
        <f>AG7*'1. Standard_Cost'!$B$27+'Incremental_Cost Year 5'!AH7*'1. Standard_Cost'!$C$27+'Incremental_Cost Year 5'!AI7*'1. Standard_Cost'!$D$27+'Incremental_Cost Year 5'!AJ7+'Incremental_Cost Year 5'!AL7+AK7</f>
        <v>0</v>
      </c>
      <c r="AN7" s="108">
        <f>AM7*'1. Standard_Cost'!$C$31</f>
        <v>0</v>
      </c>
      <c r="AO7" s="134" t="s">
        <v>270</v>
      </c>
      <c r="AQ7" s="14">
        <f>L7+M7</f>
        <v>0</v>
      </c>
      <c r="AR7" s="14">
        <f>AF7</f>
        <v>0</v>
      </c>
      <c r="AS7" s="14">
        <f>AM7+AN7</f>
        <v>0</v>
      </c>
      <c r="AT7" s="14">
        <f>SUM(AQ7,AR7,AS7)</f>
        <v>0</v>
      </c>
      <c r="AU7" s="15"/>
      <c r="AV7" s="15"/>
      <c r="AW7" s="15"/>
      <c r="AX7" s="15"/>
      <c r="AY7" s="15"/>
      <c r="AZ7" s="15"/>
      <c r="BA7" s="15"/>
      <c r="BB7" s="16">
        <f>SUM(AU7:BA7)-AT7</f>
        <v>0</v>
      </c>
    </row>
    <row r="8" spans="1:54" ht="13.5" customHeight="1" outlineLevel="2">
      <c r="A8" s="98"/>
      <c r="B8" s="102"/>
      <c r="C8" s="23"/>
      <c r="D8" s="269"/>
      <c r="E8" s="271"/>
      <c r="F8" s="270"/>
      <c r="G8" s="250"/>
      <c r="H8" s="302" t="s">
        <v>580</v>
      </c>
      <c r="I8" s="104" t="s">
        <v>3</v>
      </c>
      <c r="J8" s="105">
        <v>0.5</v>
      </c>
      <c r="K8" s="105">
        <v>4</v>
      </c>
      <c r="L8" s="106">
        <f>IF(I8&lt;&gt;0,((VLOOKUP(I8,'1. Standard_Cost'!$B$4:$D$11,2)+VLOOKUP(I8,'1. Standard_Cost'!$B$4:$D$11,3))*J8*K8),"0")</f>
        <v>201600</v>
      </c>
      <c r="M8" s="106">
        <f>L8*'1. Standard_Cost'!$F$4</f>
        <v>33667.200000000004</v>
      </c>
      <c r="N8" s="107"/>
      <c r="O8" s="107"/>
      <c r="P8" s="107"/>
      <c r="Q8" s="107"/>
      <c r="R8" s="108">
        <f>'1. Standard_Cost'!$B$15*N8*P8</f>
        <v>0</v>
      </c>
      <c r="S8" s="108">
        <f>N8*O8*P8*'1. Standard_Cost'!$C$15</f>
        <v>0</v>
      </c>
      <c r="T8" s="108">
        <f>N8*P8*Q8*'1. Standard_Cost'!$D$15</f>
        <v>0</v>
      </c>
      <c r="U8" s="108">
        <f>N8*O8*'1. Standard_Cost'!$E$15</f>
        <v>0</v>
      </c>
      <c r="V8" s="107"/>
      <c r="W8" s="107"/>
      <c r="X8" s="107"/>
      <c r="Y8" s="108">
        <f>+V8*((X8*'1. Standard_Cost'!$B$19)+(W8*X8*'1. Standard_Cost'!$C$19))</f>
        <v>0</v>
      </c>
      <c r="Z8" s="107"/>
      <c r="AA8" s="107"/>
      <c r="AB8" s="108">
        <f>+Z8*'1. Standard_Cost'!$B$23+AA8*'1. Standard_Cost'!$C$23</f>
        <v>0</v>
      </c>
      <c r="AC8" s="109"/>
      <c r="AD8" s="110"/>
      <c r="AE8" s="108">
        <f>SUM(AD8,AC8,AB8,Y8,U8,T8,S8,R8)*'1. Standard_Cost'!$B$31</f>
        <v>0</v>
      </c>
      <c r="AF8" s="108">
        <f t="shared" ref="AF8:AF14" si="8">SUM(AE8,AD8,AC8,AB8,Y8,U8,T8,S8,R8)</f>
        <v>0</v>
      </c>
      <c r="AG8" s="107"/>
      <c r="AH8" s="107"/>
      <c r="AI8" s="107"/>
      <c r="AJ8" s="111"/>
      <c r="AK8" s="111"/>
      <c r="AL8" s="111"/>
      <c r="AM8" s="108">
        <f>AG8*'1. Standard_Cost'!$B$27+'Incremental_Cost Year 5'!AH8*'1. Standard_Cost'!$C$27+'Incremental_Cost Year 5'!AI8*'1. Standard_Cost'!$D$27+'Incremental_Cost Year 5'!AJ8+'Incremental_Cost Year 5'!AL8+AK8</f>
        <v>0</v>
      </c>
      <c r="AN8" s="108">
        <f>AM8*'1. Standard_Cost'!$C$31</f>
        <v>0</v>
      </c>
      <c r="AO8" s="125" t="s">
        <v>271</v>
      </c>
      <c r="AQ8" s="14">
        <f t="shared" ref="AQ8:AQ14" si="9">L8+M8</f>
        <v>235267.20000000001</v>
      </c>
      <c r="AR8" s="14">
        <f t="shared" ref="AR8:AR14" si="10">AF8</f>
        <v>0</v>
      </c>
      <c r="AS8" s="14">
        <f t="shared" ref="AS8:AS14" si="11">AM8+AN8</f>
        <v>0</v>
      </c>
      <c r="AT8" s="14">
        <f t="shared" ref="AT8:AT14" si="12">SUM(AQ8,AR8,AS8)</f>
        <v>235267.20000000001</v>
      </c>
      <c r="AU8" s="15"/>
      <c r="AV8" s="15"/>
      <c r="AW8" s="15"/>
      <c r="AX8" s="15"/>
      <c r="AY8" s="15"/>
      <c r="AZ8" s="15"/>
      <c r="BA8" s="15"/>
      <c r="BB8" s="16">
        <f t="shared" ref="BB8:BB14" si="13">SUM(AU8:BA8)-AT8</f>
        <v>-235267.20000000001</v>
      </c>
    </row>
    <row r="9" spans="1:54" ht="93.6" customHeight="1" outlineLevel="2">
      <c r="A9" s="98"/>
      <c r="B9" s="102"/>
      <c r="C9" s="23"/>
      <c r="D9" s="251"/>
      <c r="E9" s="250"/>
      <c r="F9" s="270"/>
      <c r="G9" s="250"/>
      <c r="H9" s="302" t="s">
        <v>660</v>
      </c>
      <c r="I9" s="104" t="s">
        <v>4</v>
      </c>
      <c r="J9" s="105">
        <v>12</v>
      </c>
      <c r="K9" s="105">
        <v>1</v>
      </c>
      <c r="L9" s="106">
        <f>IF(I9&lt;&gt;0,((VLOOKUP(I9,'1. Standard_Cost'!$B$4:$D$11,2)+VLOOKUP(I9,'1. Standard_Cost'!$B$4:$D$11,3))*J9*K9),"0")</f>
        <v>969000</v>
      </c>
      <c r="M9" s="106">
        <f>L9*'1. Standard_Cost'!$F$4</f>
        <v>161823</v>
      </c>
      <c r="N9" s="107">
        <v>1</v>
      </c>
      <c r="O9" s="107">
        <v>2</v>
      </c>
      <c r="P9" s="107">
        <v>10</v>
      </c>
      <c r="Q9" s="107"/>
      <c r="R9" s="108">
        <f>'1. Standard_Cost'!$B$15*N9*P9</f>
        <v>20000</v>
      </c>
      <c r="S9" s="108">
        <f>N9*O9*P9*'1. Standard_Cost'!$C$15</f>
        <v>30000</v>
      </c>
      <c r="T9" s="108">
        <f>N9*P9*Q9*'1. Standard_Cost'!$D$15</f>
        <v>0</v>
      </c>
      <c r="U9" s="108">
        <f>N9*O9*'1. Standard_Cost'!$E$15</f>
        <v>80000</v>
      </c>
      <c r="V9" s="107"/>
      <c r="W9" s="107"/>
      <c r="X9" s="107"/>
      <c r="Y9" s="108">
        <f>+V9*((X9*'1. Standard_Cost'!$B$19)+(W9*X9*'1. Standard_Cost'!$C$19))</f>
        <v>0</v>
      </c>
      <c r="Z9" s="107"/>
      <c r="AA9" s="107">
        <v>10</v>
      </c>
      <c r="AB9" s="108">
        <f>+Z9*'1. Standard_Cost'!$B$23+AA9*'1. Standard_Cost'!$C$23</f>
        <v>190000</v>
      </c>
      <c r="AC9" s="109">
        <v>5000</v>
      </c>
      <c r="AD9" s="110"/>
      <c r="AE9" s="108">
        <f>SUM(AD9,AC9,AB9,Y9,U9,T9,S9,R9)*'1. Standard_Cost'!$B$31</f>
        <v>65000</v>
      </c>
      <c r="AF9" s="108">
        <f t="shared" si="8"/>
        <v>390000</v>
      </c>
      <c r="AG9" s="107"/>
      <c r="AH9" s="107"/>
      <c r="AI9" s="107"/>
      <c r="AJ9" s="111"/>
      <c r="AK9" s="111"/>
      <c r="AL9" s="111"/>
      <c r="AM9" s="108">
        <f>AG9*'1. Standard_Cost'!$B$27+'Incremental_Cost Year 5'!AH9*'1. Standard_Cost'!$C$27+'Incremental_Cost Year 5'!AI9*'1. Standard_Cost'!$D$27+'Incremental_Cost Year 5'!AJ9+'Incremental_Cost Year 5'!AL9+AK9</f>
        <v>0</v>
      </c>
      <c r="AN9" s="108">
        <f>AM9*'1. Standard_Cost'!$C$31</f>
        <v>0</v>
      </c>
      <c r="AO9" s="125" t="s">
        <v>272</v>
      </c>
      <c r="AQ9" s="14">
        <f t="shared" si="9"/>
        <v>1130823</v>
      </c>
      <c r="AR9" s="14">
        <f t="shared" si="10"/>
        <v>390000</v>
      </c>
      <c r="AS9" s="14">
        <f t="shared" si="11"/>
        <v>0</v>
      </c>
      <c r="AT9" s="14">
        <f t="shared" si="12"/>
        <v>1520823</v>
      </c>
      <c r="AU9" s="15">
        <v>1130823</v>
      </c>
      <c r="AV9" s="15"/>
      <c r="AW9" s="15"/>
      <c r="AX9" s="15"/>
      <c r="AY9" s="15"/>
      <c r="AZ9" s="15"/>
      <c r="BA9" s="15"/>
      <c r="BB9" s="16">
        <f t="shared" si="13"/>
        <v>-390000</v>
      </c>
    </row>
    <row r="10" spans="1:54" ht="78" outlineLevel="2">
      <c r="A10" s="98"/>
      <c r="B10" s="102"/>
      <c r="C10" s="23"/>
      <c r="D10" s="251"/>
      <c r="E10" s="250"/>
      <c r="F10" s="270"/>
      <c r="G10" s="250"/>
      <c r="H10" s="302" t="s">
        <v>581</v>
      </c>
      <c r="I10" s="104"/>
      <c r="J10" s="105"/>
      <c r="K10" s="105"/>
      <c r="L10" s="106" t="str">
        <f>IF(I10&lt;&gt;0,((VLOOKUP(I10,'1. Standard_Cost'!$B$4:$D$11,2)+VLOOKUP(I10,'1. Standard_Cost'!$B$4:$D$11,3))*J10*K10),"0")</f>
        <v>0</v>
      </c>
      <c r="M10" s="106">
        <f>L10*'1. Standard_Cost'!$F$4</f>
        <v>0</v>
      </c>
      <c r="N10" s="107">
        <v>1</v>
      </c>
      <c r="O10" s="107">
        <v>2</v>
      </c>
      <c r="P10" s="107">
        <v>10</v>
      </c>
      <c r="Q10" s="107"/>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107"/>
      <c r="AA10" s="107">
        <v>10</v>
      </c>
      <c r="AB10" s="108">
        <f>+Z10*'1. Standard_Cost'!$B$23+AA10*'1. Standard_Cost'!$C$23</f>
        <v>190000</v>
      </c>
      <c r="AC10" s="109">
        <v>5000</v>
      </c>
      <c r="AD10" s="110"/>
      <c r="AE10" s="108">
        <f>SUM(AD10,AC10,AB10,Y10,U10,T10,S10,R10)*'1. Standard_Cost'!$B$31</f>
        <v>65000</v>
      </c>
      <c r="AF10" s="108">
        <f t="shared" si="8"/>
        <v>390000</v>
      </c>
      <c r="AG10" s="107"/>
      <c r="AH10" s="107"/>
      <c r="AI10" s="107"/>
      <c r="AJ10" s="111"/>
      <c r="AK10" s="111"/>
      <c r="AL10" s="111"/>
      <c r="AM10" s="108">
        <f>AG10*'1. Standard_Cost'!$B$27+'Incremental_Cost Year 5'!AH10*'1. Standard_Cost'!$C$27+'Incremental_Cost Year 5'!AI10*'1. Standard_Cost'!$D$27+'Incremental_Cost Year 5'!AJ10+'Incremental_Cost Year 5'!AL10+AK10</f>
        <v>0</v>
      </c>
      <c r="AN10" s="108">
        <f>AM10*'1. Standard_Cost'!$C$31</f>
        <v>0</v>
      </c>
      <c r="AO10" s="134" t="s">
        <v>273</v>
      </c>
      <c r="AQ10" s="14">
        <f t="shared" si="9"/>
        <v>0</v>
      </c>
      <c r="AR10" s="14">
        <f t="shared" si="10"/>
        <v>390000</v>
      </c>
      <c r="AS10" s="14">
        <f t="shared" si="11"/>
        <v>0</v>
      </c>
      <c r="AT10" s="14">
        <f t="shared" si="12"/>
        <v>390000</v>
      </c>
      <c r="AU10" s="15"/>
      <c r="AV10" s="15"/>
      <c r="AW10" s="15"/>
      <c r="AX10" s="15"/>
      <c r="AY10" s="15"/>
      <c r="AZ10" s="15"/>
      <c r="BA10" s="15"/>
      <c r="BB10" s="16">
        <f t="shared" si="13"/>
        <v>-390000</v>
      </c>
    </row>
    <row r="11" spans="1:54" ht="124.8" customHeight="1" outlineLevel="2">
      <c r="A11" s="98"/>
      <c r="B11" s="102"/>
      <c r="C11" s="23"/>
      <c r="D11" s="251"/>
      <c r="E11" s="250"/>
      <c r="F11" s="270"/>
      <c r="G11" s="250"/>
      <c r="H11" s="302" t="s">
        <v>661</v>
      </c>
      <c r="I11" s="104" t="s">
        <v>4</v>
      </c>
      <c r="J11" s="105">
        <v>1</v>
      </c>
      <c r="K11" s="105">
        <v>3</v>
      </c>
      <c r="L11" s="106">
        <f>IF(I11&lt;&gt;0,((VLOOKUP(I11,'1. Standard_Cost'!$B$4:$D$11,2)+VLOOKUP(I11,'1. Standard_Cost'!$B$4:$D$11,3))*J11*K11),"0")</f>
        <v>242250</v>
      </c>
      <c r="M11" s="106">
        <f>L11*'1. Standard_Cost'!$F$4</f>
        <v>40455.75</v>
      </c>
      <c r="N11" s="107"/>
      <c r="O11" s="107"/>
      <c r="P11" s="107"/>
      <c r="Q11" s="107"/>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107"/>
      <c r="AA11" s="107">
        <v>10</v>
      </c>
      <c r="AB11" s="108">
        <f>+Z11*'1. Standard_Cost'!$B$23+AA11*'1. Standard_Cost'!$C$23</f>
        <v>190000</v>
      </c>
      <c r="AC11" s="109">
        <v>29000</v>
      </c>
      <c r="AD11" s="110"/>
      <c r="AE11" s="108">
        <f>SUM(AD11,AC11,AB11,Y11,U11,T11,S11,R11)*'1. Standard_Cost'!$B$31</f>
        <v>43800</v>
      </c>
      <c r="AF11" s="108">
        <f t="shared" si="8"/>
        <v>262800</v>
      </c>
      <c r="AG11" s="107"/>
      <c r="AH11" s="107"/>
      <c r="AI11" s="107"/>
      <c r="AJ11" s="111"/>
      <c r="AK11" s="111"/>
      <c r="AL11" s="111"/>
      <c r="AM11" s="108">
        <f>AG11*'1. Standard_Cost'!$B$27+'Incremental_Cost Year 5'!AH11*'1. Standard_Cost'!$C$27+'Incremental_Cost Year 5'!AI11*'1. Standard_Cost'!$D$27+'Incremental_Cost Year 5'!AJ11+'Incremental_Cost Year 5'!AL11+AK11</f>
        <v>0</v>
      </c>
      <c r="AN11" s="108">
        <f>AM11*'1. Standard_Cost'!$C$31</f>
        <v>0</v>
      </c>
      <c r="AO11" s="134" t="s">
        <v>275</v>
      </c>
      <c r="AQ11" s="14">
        <f t="shared" si="9"/>
        <v>282705.75</v>
      </c>
      <c r="AR11" s="14">
        <f t="shared" si="10"/>
        <v>262800</v>
      </c>
      <c r="AS11" s="14">
        <f t="shared" si="11"/>
        <v>0</v>
      </c>
      <c r="AT11" s="14">
        <f t="shared" si="12"/>
        <v>545505.75</v>
      </c>
      <c r="AU11" s="15"/>
      <c r="AV11" s="15"/>
      <c r="AW11" s="15"/>
      <c r="AX11" s="15"/>
      <c r="AY11" s="15"/>
      <c r="AZ11" s="15"/>
      <c r="BA11" s="15">
        <v>317506</v>
      </c>
      <c r="BB11" s="16">
        <f t="shared" si="13"/>
        <v>-227999.75</v>
      </c>
    </row>
    <row r="12" spans="1:54" ht="55.2" customHeight="1" outlineLevel="2">
      <c r="A12" s="98"/>
      <c r="B12" s="102"/>
      <c r="C12" s="23"/>
      <c r="D12" s="251"/>
      <c r="E12" s="250"/>
      <c r="F12" s="270"/>
      <c r="G12" s="250"/>
      <c r="H12" s="302" t="s">
        <v>662</v>
      </c>
      <c r="I12" s="104" t="s">
        <v>3</v>
      </c>
      <c r="J12" s="105">
        <v>1</v>
      </c>
      <c r="K12" s="105">
        <v>2</v>
      </c>
      <c r="L12" s="106">
        <f>IF(I12&lt;&gt;0,((VLOOKUP(I12,'1. Standard_Cost'!$B$4:$D$11,2)+VLOOKUP(I12,'1. Standard_Cost'!$B$4:$D$11,3))*J12*K12),"0")</f>
        <v>201600</v>
      </c>
      <c r="M12" s="106">
        <f>L12*'1. Standard_Cost'!$F$4</f>
        <v>33667.200000000004</v>
      </c>
      <c r="N12" s="107"/>
      <c r="O12" s="107"/>
      <c r="P12" s="107"/>
      <c r="Q12" s="107"/>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107"/>
      <c r="AA12" s="107"/>
      <c r="AB12" s="108">
        <f>+Z12*'1. Standard_Cost'!$B$23+AA12*'1. Standard_Cost'!$C$23</f>
        <v>0</v>
      </c>
      <c r="AC12" s="109"/>
      <c r="AD12" s="110"/>
      <c r="AE12" s="108">
        <f>SUM(AD12,AC12,AB12,Y12,U12,T12,S12,R12)*'1. Standard_Cost'!$B$31</f>
        <v>0</v>
      </c>
      <c r="AF12" s="108">
        <f t="shared" si="8"/>
        <v>0</v>
      </c>
      <c r="AG12" s="107"/>
      <c r="AH12" s="107"/>
      <c r="AI12" s="107"/>
      <c r="AJ12" s="111"/>
      <c r="AK12" s="111"/>
      <c r="AL12" s="111"/>
      <c r="AM12" s="108">
        <f>AG12*'1. Standard_Cost'!$B$27+'Incremental_Cost Year 5'!AH12*'1. Standard_Cost'!$C$27+'Incremental_Cost Year 5'!AI12*'1. Standard_Cost'!$D$27+'Incremental_Cost Year 5'!AJ12+'Incremental_Cost Year 5'!AL12+AK12</f>
        <v>0</v>
      </c>
      <c r="AN12" s="108">
        <f>AM12*'1. Standard_Cost'!$C$31</f>
        <v>0</v>
      </c>
      <c r="AO12" s="134" t="s">
        <v>273</v>
      </c>
      <c r="AQ12" s="14">
        <f t="shared" si="9"/>
        <v>235267.20000000001</v>
      </c>
      <c r="AR12" s="14">
        <f t="shared" si="10"/>
        <v>0</v>
      </c>
      <c r="AS12" s="14">
        <f t="shared" si="11"/>
        <v>0</v>
      </c>
      <c r="AT12" s="14">
        <f t="shared" si="12"/>
        <v>235267.20000000001</v>
      </c>
      <c r="AU12" s="15">
        <v>235267</v>
      </c>
      <c r="AV12" s="15"/>
      <c r="AW12" s="15"/>
      <c r="AX12" s="15"/>
      <c r="AY12" s="15"/>
      <c r="AZ12" s="15"/>
      <c r="BA12" s="15"/>
      <c r="BB12" s="16">
        <f t="shared" si="13"/>
        <v>-0.20000000001164153</v>
      </c>
    </row>
    <row r="13" spans="1:54" ht="69" outlineLevel="2">
      <c r="A13" s="98"/>
      <c r="B13" s="102"/>
      <c r="C13" s="23"/>
      <c r="D13" s="251"/>
      <c r="E13" s="250"/>
      <c r="F13" s="270"/>
      <c r="G13" s="250"/>
      <c r="H13" s="302" t="s">
        <v>663</v>
      </c>
      <c r="I13" s="104"/>
      <c r="J13" s="105"/>
      <c r="K13" s="105"/>
      <c r="L13" s="106" t="str">
        <f>IF(I13&lt;&gt;0,((VLOOKUP(I13,'1. Standard_Cost'!$B$4:$D$11,2)+VLOOKUP(I13,'1. Standard_Cost'!$B$4:$D$11,3))*J13*K13),"0")</f>
        <v>0</v>
      </c>
      <c r="M13" s="106">
        <f>L13*'1. Standard_Cost'!$F$4</f>
        <v>0</v>
      </c>
      <c r="N13" s="107"/>
      <c r="O13" s="107"/>
      <c r="P13" s="107"/>
      <c r="Q13" s="107"/>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107"/>
      <c r="AA13" s="107"/>
      <c r="AB13" s="108">
        <f>+Z13*'1. Standard_Cost'!$B$23+AA13*'1. Standard_Cost'!$C$23</f>
        <v>0</v>
      </c>
      <c r="AC13" s="109"/>
      <c r="AD13" s="110"/>
      <c r="AE13" s="108">
        <f>SUM(AD13,AC13,AB13,Y13,U13,T13,S13,R13)*'1. Standard_Cost'!$B$31</f>
        <v>0</v>
      </c>
      <c r="AF13" s="108">
        <f t="shared" si="8"/>
        <v>0</v>
      </c>
      <c r="AG13" s="107"/>
      <c r="AH13" s="107"/>
      <c r="AI13" s="107"/>
      <c r="AJ13" s="111"/>
      <c r="AK13" s="111"/>
      <c r="AL13" s="111"/>
      <c r="AM13" s="108">
        <f>AG13*'1. Standard_Cost'!$B$27+'Incremental_Cost Year 5'!AH13*'1. Standard_Cost'!$C$27+'Incremental_Cost Year 5'!AI13*'1. Standard_Cost'!$D$27+'Incremental_Cost Year 5'!AJ13+'Incremental_Cost Year 5'!AL13+AK13</f>
        <v>0</v>
      </c>
      <c r="AN13" s="108">
        <f>AM13*'1. Standard_Cost'!$C$31</f>
        <v>0</v>
      </c>
      <c r="AO13" s="134" t="s">
        <v>275</v>
      </c>
      <c r="AQ13" s="14">
        <f t="shared" si="9"/>
        <v>0</v>
      </c>
      <c r="AR13" s="14">
        <f t="shared" si="10"/>
        <v>0</v>
      </c>
      <c r="AS13" s="14">
        <f t="shared" si="11"/>
        <v>0</v>
      </c>
      <c r="AT13" s="14">
        <f t="shared" si="12"/>
        <v>0</v>
      </c>
      <c r="AU13" s="15"/>
      <c r="AV13" s="15"/>
      <c r="AW13" s="15"/>
      <c r="AX13" s="15"/>
      <c r="AY13" s="15"/>
      <c r="AZ13" s="15"/>
      <c r="BA13" s="15"/>
      <c r="BB13" s="16">
        <f t="shared" si="13"/>
        <v>0</v>
      </c>
    </row>
    <row r="14" spans="1:54" ht="78" outlineLevel="2">
      <c r="A14" s="98"/>
      <c r="B14" s="102"/>
      <c r="C14" s="23"/>
      <c r="D14" s="251"/>
      <c r="E14" s="250"/>
      <c r="F14" s="270"/>
      <c r="G14" s="250"/>
      <c r="H14" s="302" t="s">
        <v>664</v>
      </c>
      <c r="I14" s="104" t="s">
        <v>5</v>
      </c>
      <c r="J14" s="105">
        <v>0.25</v>
      </c>
      <c r="K14" s="105">
        <v>15</v>
      </c>
      <c r="L14" s="106">
        <f>IF(I14&lt;&gt;0,((VLOOKUP(I14,'1. Standard_Cost'!$B$4:$D$11,2)+VLOOKUP(I14,'1. Standard_Cost'!$B$4:$D$11,3))*J14*K14),"0")</f>
        <v>265125</v>
      </c>
      <c r="M14" s="106">
        <f>L14*'1. Standard_Cost'!$F$4</f>
        <v>44275.875</v>
      </c>
      <c r="N14" s="107"/>
      <c r="O14" s="107"/>
      <c r="P14" s="107"/>
      <c r="Q14" s="107"/>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107"/>
      <c r="AA14" s="107">
        <v>10</v>
      </c>
      <c r="AB14" s="108">
        <f>+Z14*'1. Standard_Cost'!$B$23+AA14*'1. Standard_Cost'!$C$23</f>
        <v>190000</v>
      </c>
      <c r="AC14" s="109">
        <v>31000</v>
      </c>
      <c r="AD14" s="110"/>
      <c r="AE14" s="108">
        <f>SUM(AD14,AC14,AB14,Y14,U14,T14,S14,R14)*'1. Standard_Cost'!$B$31</f>
        <v>44200</v>
      </c>
      <c r="AF14" s="108">
        <f t="shared" si="8"/>
        <v>265200</v>
      </c>
      <c r="AG14" s="107"/>
      <c r="AH14" s="107"/>
      <c r="AI14" s="107"/>
      <c r="AJ14" s="111"/>
      <c r="AK14" s="111"/>
      <c r="AL14" s="111"/>
      <c r="AM14" s="108">
        <f>AG14*'1. Standard_Cost'!$B$27+'Incremental_Cost Year 5'!AH14*'1. Standard_Cost'!$C$27+'Incremental_Cost Year 5'!AI14*'1. Standard_Cost'!$D$27+'Incremental_Cost Year 5'!AJ14+'Incremental_Cost Year 5'!AL14+AK14</f>
        <v>0</v>
      </c>
      <c r="AN14" s="108">
        <f>AM14*'1. Standard_Cost'!$C$31</f>
        <v>0</v>
      </c>
      <c r="AO14" s="134" t="s">
        <v>274</v>
      </c>
      <c r="AQ14" s="14">
        <f t="shared" si="9"/>
        <v>309400.875</v>
      </c>
      <c r="AR14" s="14">
        <f t="shared" si="10"/>
        <v>265200</v>
      </c>
      <c r="AS14" s="14">
        <f t="shared" si="11"/>
        <v>0</v>
      </c>
      <c r="AT14" s="14">
        <f t="shared" si="12"/>
        <v>574600.875</v>
      </c>
      <c r="AU14" s="15"/>
      <c r="AV14" s="15"/>
      <c r="AW14" s="15"/>
      <c r="AX14" s="15"/>
      <c r="AY14" s="15"/>
      <c r="AZ14" s="15"/>
      <c r="BA14" s="15">
        <v>346601</v>
      </c>
      <c r="BB14" s="16">
        <f t="shared" si="13"/>
        <v>-227999.875</v>
      </c>
    </row>
    <row r="15" spans="1:54" ht="262.2" outlineLevel="1">
      <c r="A15" s="98"/>
      <c r="B15" s="102"/>
      <c r="C15" s="23"/>
      <c r="D15" s="301" t="s">
        <v>624</v>
      </c>
      <c r="E15" s="122" t="s">
        <v>206</v>
      </c>
      <c r="F15" s="268">
        <v>2021</v>
      </c>
      <c r="G15" s="254">
        <v>2026</v>
      </c>
      <c r="H15" s="276" t="s">
        <v>48</v>
      </c>
      <c r="I15" s="112"/>
      <c r="J15" s="112"/>
      <c r="K15" s="112"/>
      <c r="L15" s="113">
        <f>SUM(L7:L14)</f>
        <v>1879575</v>
      </c>
      <c r="M15" s="113">
        <f>SUM(M7:M14)</f>
        <v>313889.02500000002</v>
      </c>
      <c r="N15" s="113"/>
      <c r="O15" s="112"/>
      <c r="P15" s="112"/>
      <c r="Q15" s="112"/>
      <c r="R15" s="113">
        <f>SUM(R7:R14)</f>
        <v>40000</v>
      </c>
      <c r="S15" s="113">
        <f>SUM(S7:S14)</f>
        <v>60000</v>
      </c>
      <c r="T15" s="113">
        <f>SUM(T7:T14)</f>
        <v>0</v>
      </c>
      <c r="U15" s="113">
        <f>SUM(U7:U14)</f>
        <v>160000</v>
      </c>
      <c r="V15" s="112"/>
      <c r="W15" s="112"/>
      <c r="X15" s="112"/>
      <c r="Y15" s="113">
        <f>SUM(Y7:Y14)</f>
        <v>0</v>
      </c>
      <c r="Z15" s="112"/>
      <c r="AA15" s="112"/>
      <c r="AB15" s="113">
        <f>SUM(AB7:AB14)</f>
        <v>760000</v>
      </c>
      <c r="AC15" s="113">
        <f>SUM(AC7:AC14)</f>
        <v>70000</v>
      </c>
      <c r="AD15" s="113">
        <f>SUM(AD7:AD14)</f>
        <v>0</v>
      </c>
      <c r="AE15" s="113">
        <f>SUM(AE7:AE14)</f>
        <v>218000</v>
      </c>
      <c r="AF15" s="113">
        <f>SUM(AF7:AF14)</f>
        <v>1308000</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2193464.0249999999</v>
      </c>
      <c r="AR15" s="113">
        <f t="shared" si="14"/>
        <v>1308000</v>
      </c>
      <c r="AS15" s="113">
        <f t="shared" si="14"/>
        <v>0</v>
      </c>
      <c r="AT15" s="113">
        <f t="shared" si="14"/>
        <v>3501464.0250000004</v>
      </c>
      <c r="AU15" s="113">
        <f t="shared" si="14"/>
        <v>1366090</v>
      </c>
      <c r="AV15" s="113">
        <f t="shared" si="14"/>
        <v>0</v>
      </c>
      <c r="AW15" s="113">
        <f t="shared" si="14"/>
        <v>0</v>
      </c>
      <c r="AX15" s="113">
        <f t="shared" si="14"/>
        <v>0</v>
      </c>
      <c r="AY15" s="113">
        <f t="shared" si="14"/>
        <v>0</v>
      </c>
      <c r="AZ15" s="113">
        <f t="shared" si="14"/>
        <v>0</v>
      </c>
      <c r="BA15" s="113">
        <f t="shared" si="14"/>
        <v>664107</v>
      </c>
      <c r="BB15" s="113">
        <f t="shared" si="14"/>
        <v>-1471267.0249999999</v>
      </c>
    </row>
    <row r="16" spans="1:54" ht="78" outlineLevel="2">
      <c r="A16" s="98"/>
      <c r="B16" s="102"/>
      <c r="C16" s="23"/>
      <c r="D16" s="251"/>
      <c r="E16" s="250"/>
      <c r="F16" s="270"/>
      <c r="G16" s="250"/>
      <c r="H16" s="302" t="s">
        <v>665</v>
      </c>
      <c r="I16" s="104" t="s">
        <v>5</v>
      </c>
      <c r="J16" s="105">
        <v>1</v>
      </c>
      <c r="K16" s="105">
        <v>1</v>
      </c>
      <c r="L16" s="106">
        <f>IF(I16&lt;&gt;0,((VLOOKUP(I16,'1. Standard_Cost'!$B$4:$D$11,2)+VLOOKUP(I16,'1. Standard_Cost'!$B$4:$D$11,3))*J16*K16),"0")</f>
        <v>70700</v>
      </c>
      <c r="M16" s="106">
        <f>L16*'1. Standard_Cost'!$F$4</f>
        <v>11806.900000000001</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107"/>
      <c r="AA16" s="107">
        <v>10</v>
      </c>
      <c r="AB16" s="108">
        <f>+Z16*'1. Standard_Cost'!$B$23+AA16*'1. Standard_Cost'!$C$23</f>
        <v>190000</v>
      </c>
      <c r="AC16" s="109"/>
      <c r="AD16" s="110"/>
      <c r="AE16" s="108">
        <f>SUM(AD16,AC16,AB16,Y16,U16,T16,S16,R16)*'1. Standard_Cost'!$B$31</f>
        <v>38000</v>
      </c>
      <c r="AF16" s="108">
        <f t="shared" ref="AF16" si="15">SUM(AE16,AD16,AC16,AB16,Y16,U16,T16,S16,R16)</f>
        <v>228000</v>
      </c>
      <c r="AG16" s="107"/>
      <c r="AH16" s="107"/>
      <c r="AI16" s="107"/>
      <c r="AJ16" s="111"/>
      <c r="AK16" s="111"/>
      <c r="AL16" s="111"/>
      <c r="AM16" s="108">
        <f>AG16*'1. Standard_Cost'!$B$27+'Incremental_Cost Year 5'!AH16*'1. Standard_Cost'!$C$27+'Incremental_Cost Year 5'!AI16*'1. Standard_Cost'!$D$27+'Incremental_Cost Year 5'!AJ16+'Incremental_Cost Year 5'!AL16+AK16</f>
        <v>0</v>
      </c>
      <c r="AN16" s="108">
        <f>AM16*'1. Standard_Cost'!$C$31</f>
        <v>0</v>
      </c>
      <c r="AO16" s="125" t="s">
        <v>276</v>
      </c>
      <c r="AQ16" s="14">
        <f t="shared" ref="AQ16:AQ24" si="16">L16+M16</f>
        <v>82506.899999999994</v>
      </c>
      <c r="AR16" s="14">
        <f t="shared" ref="AR16:AR24" si="17">AF16</f>
        <v>228000</v>
      </c>
      <c r="AS16" s="14">
        <f t="shared" ref="AS16:AS24" si="18">AM16+AN16</f>
        <v>0</v>
      </c>
      <c r="AT16" s="14">
        <f>SUM(AQ16,AR16,AS16)</f>
        <v>310506.90000000002</v>
      </c>
      <c r="AU16" s="15">
        <v>82507</v>
      </c>
      <c r="AV16" s="15"/>
      <c r="AW16" s="15"/>
      <c r="AX16" s="15"/>
      <c r="AY16" s="15"/>
      <c r="AZ16" s="15"/>
      <c r="BA16" s="15"/>
      <c r="BB16" s="16">
        <f t="shared" ref="BB16:BB24" si="19">SUM(AU16:BA16)-AT16</f>
        <v>-227999.90000000002</v>
      </c>
    </row>
    <row r="17" spans="1:54" ht="62.4" outlineLevel="1">
      <c r="A17" s="98"/>
      <c r="B17" s="143"/>
      <c r="C17" s="144"/>
      <c r="D17" s="287" t="s">
        <v>625</v>
      </c>
      <c r="E17" s="287" t="s">
        <v>207</v>
      </c>
      <c r="F17" s="287"/>
      <c r="G17" s="287"/>
      <c r="H17" s="287" t="s">
        <v>49</v>
      </c>
      <c r="I17" s="112"/>
      <c r="J17" s="112"/>
      <c r="K17" s="112"/>
      <c r="L17" s="113">
        <f>SUM(L16:L16)</f>
        <v>70700</v>
      </c>
      <c r="M17" s="113">
        <f>SUM(M16:M16)</f>
        <v>11806.900000000001</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190000</v>
      </c>
      <c r="AC17" s="113">
        <f>SUM(AC16:AC16)</f>
        <v>0</v>
      </c>
      <c r="AD17" s="113">
        <f>SUM(AD16:AD16)</f>
        <v>0</v>
      </c>
      <c r="AE17" s="113">
        <f>SUM(AE16:AE16)</f>
        <v>38000</v>
      </c>
      <c r="AF17" s="113">
        <f>SUM(AF16:AF16)</f>
        <v>228000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82506.899999999994</v>
      </c>
      <c r="AR17" s="113">
        <f t="shared" si="20"/>
        <v>228000</v>
      </c>
      <c r="AS17" s="113">
        <f t="shared" si="20"/>
        <v>0</v>
      </c>
      <c r="AT17" s="113">
        <f t="shared" si="20"/>
        <v>310506.90000000002</v>
      </c>
      <c r="AU17" s="113">
        <f t="shared" si="20"/>
        <v>82507</v>
      </c>
      <c r="AV17" s="113">
        <f t="shared" si="20"/>
        <v>0</v>
      </c>
      <c r="AW17" s="113">
        <f t="shared" si="20"/>
        <v>0</v>
      </c>
      <c r="AX17" s="113">
        <f t="shared" si="20"/>
        <v>0</v>
      </c>
      <c r="AY17" s="113">
        <f t="shared" si="20"/>
        <v>0</v>
      </c>
      <c r="AZ17" s="113">
        <f t="shared" si="20"/>
        <v>0</v>
      </c>
      <c r="BA17" s="113">
        <f t="shared" si="20"/>
        <v>0</v>
      </c>
      <c r="BB17" s="16">
        <f t="shared" si="19"/>
        <v>-227999.90000000002</v>
      </c>
    </row>
    <row r="18" spans="1:54" ht="31.2" outlineLevel="2">
      <c r="A18" s="98"/>
      <c r="B18" s="143"/>
      <c r="C18" s="144"/>
      <c r="D18" s="149"/>
      <c r="E18" s="149"/>
      <c r="F18" s="288"/>
      <c r="G18" s="289"/>
      <c r="H18" s="302" t="s">
        <v>666</v>
      </c>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260"/>
      <c r="AA18" s="260"/>
      <c r="AB18" s="108">
        <f>+Z18*'1. Standard_Cost'!$B$23+AA18*'1. Standard_Cost'!$C$23</f>
        <v>0</v>
      </c>
      <c r="AC18" s="261">
        <v>1300000</v>
      </c>
      <c r="AD18" s="262"/>
      <c r="AE18" s="108">
        <f>SUM(AD18,AC18,AB18,Y18,U18,T18,S18,R18)*'1. Standard_Cost'!$B$31</f>
        <v>260000</v>
      </c>
      <c r="AF18" s="108">
        <f t="shared" ref="AF18:AF24" si="21">SUM(AE18,AD18,AC18,AB18,Y18,U18,T18,S18,R18)</f>
        <v>1560000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1560000</v>
      </c>
      <c r="AS18" s="14">
        <f t="shared" ref="AS18" si="24">AM18+AN18</f>
        <v>0</v>
      </c>
      <c r="AT18" s="14">
        <f>SUM(AQ18,AR18,AS18)</f>
        <v>1560000</v>
      </c>
      <c r="AU18" s="234">
        <v>1560000</v>
      </c>
      <c r="AV18" s="234"/>
      <c r="AW18" s="234"/>
      <c r="AX18" s="234"/>
      <c r="AY18" s="234"/>
      <c r="AZ18" s="234"/>
      <c r="BA18" s="234"/>
      <c r="BB18" s="16">
        <f t="shared" si="19"/>
        <v>0</v>
      </c>
    </row>
    <row r="19" spans="1:54" ht="62.4" outlineLevel="2">
      <c r="A19" s="98"/>
      <c r="B19" s="143"/>
      <c r="C19" s="144"/>
      <c r="D19" s="290"/>
      <c r="E19" s="290"/>
      <c r="F19" s="290"/>
      <c r="G19" s="291"/>
      <c r="H19" s="302" t="s">
        <v>667</v>
      </c>
      <c r="I19" s="258" t="s">
        <v>4</v>
      </c>
      <c r="J19" s="259">
        <v>3</v>
      </c>
      <c r="K19" s="259">
        <v>3</v>
      </c>
      <c r="L19" s="106">
        <f>IF(I19&lt;&gt;0,((VLOOKUP(I19,'1. Standard_Cost'!$B$4:$D$11,2)+VLOOKUP(I19,'1. Standard_Cost'!$B$4:$D$11,3))*J19*K19),"0")</f>
        <v>726750</v>
      </c>
      <c r="M19" s="106">
        <f>L19*'1. Standard_Cost'!$F$4</f>
        <v>121367.25</v>
      </c>
      <c r="N19" s="260"/>
      <c r="O19" s="260"/>
      <c r="P19" s="260"/>
      <c r="Q19" s="260"/>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260"/>
      <c r="AA19" s="260">
        <v>10</v>
      </c>
      <c r="AB19" s="108">
        <f>+Z19*'1. Standard_Cost'!$B$23+AA19*'1. Standard_Cost'!$C$23</f>
        <v>190000</v>
      </c>
      <c r="AC19" s="261">
        <v>85000</v>
      </c>
      <c r="AD19" s="262"/>
      <c r="AE19" s="108">
        <f>SUM(AD19,AC19,AB19,Y19,U19,T19,S19,R19)*'1. Standard_Cost'!$B$31</f>
        <v>55000</v>
      </c>
      <c r="AF19" s="108">
        <f t="shared" si="21"/>
        <v>330000</v>
      </c>
      <c r="AG19" s="107"/>
      <c r="AH19" s="107"/>
      <c r="AI19" s="107"/>
      <c r="AJ19" s="111"/>
      <c r="AK19" s="111"/>
      <c r="AL19" s="111"/>
      <c r="AM19" s="108">
        <f>AG19*'1. Standard_Cost'!$B$27+'Incremental_Cost Year 5'!AH19*'1. Standard_Cost'!$C$27+'Incremental_Cost Year 5'!AI19*'1. Standard_Cost'!$D$27+'Incremental_Cost Year 5'!AJ19+'Incremental_Cost Year 5'!AL19+AK19</f>
        <v>0</v>
      </c>
      <c r="AN19" s="108">
        <f>AM19*'1. Standard_Cost'!$C$31</f>
        <v>0</v>
      </c>
      <c r="AO19" s="125" t="s">
        <v>278</v>
      </c>
      <c r="AQ19" s="14">
        <f t="shared" si="16"/>
        <v>848117.25</v>
      </c>
      <c r="AR19" s="14">
        <f t="shared" si="17"/>
        <v>330000</v>
      </c>
      <c r="AS19" s="14">
        <f t="shared" si="18"/>
        <v>0</v>
      </c>
      <c r="AT19" s="14">
        <f t="shared" ref="AT19:AT24" si="25">SUM(AQ19,AR19,AS19)</f>
        <v>1178117.25</v>
      </c>
      <c r="AU19" s="234">
        <v>950117</v>
      </c>
      <c r="AV19" s="234"/>
      <c r="AW19" s="234"/>
      <c r="AX19" s="234"/>
      <c r="AY19" s="234"/>
      <c r="AZ19" s="234"/>
      <c r="BA19" s="234"/>
      <c r="BB19" s="16">
        <f t="shared" si="19"/>
        <v>-228000.25</v>
      </c>
    </row>
    <row r="20" spans="1:54" ht="62.4" outlineLevel="2">
      <c r="A20" s="98"/>
      <c r="B20" s="143"/>
      <c r="C20" s="144"/>
      <c r="D20" s="290"/>
      <c r="E20" s="290"/>
      <c r="F20" s="171"/>
      <c r="G20" s="291"/>
      <c r="H20" s="302" t="s">
        <v>668</v>
      </c>
      <c r="I20" s="258" t="s">
        <v>4</v>
      </c>
      <c r="J20" s="259">
        <v>3</v>
      </c>
      <c r="K20" s="259">
        <v>3</v>
      </c>
      <c r="L20" s="106">
        <f>IF(I20&lt;&gt;0,((VLOOKUP(I20,'1. Standard_Cost'!$B$4:$D$11,2)+VLOOKUP(I20,'1. Standard_Cost'!$B$4:$D$11,3))*J20*K20),"0")</f>
        <v>726750</v>
      </c>
      <c r="M20" s="106">
        <f>L20*'1. Standard_Cost'!$F$4</f>
        <v>121367.25</v>
      </c>
      <c r="N20" s="260"/>
      <c r="O20" s="260"/>
      <c r="P20" s="260"/>
      <c r="Q20" s="260"/>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260"/>
      <c r="AA20" s="260">
        <v>10</v>
      </c>
      <c r="AB20" s="108">
        <f>+Z20*'1. Standard_Cost'!$B$23+AA20*'1. Standard_Cost'!$C$23</f>
        <v>190000</v>
      </c>
      <c r="AC20" s="261">
        <v>85000</v>
      </c>
      <c r="AD20" s="262"/>
      <c r="AE20" s="108">
        <f>SUM(AD20,AC20,AB20,Y20,U20,T20,S20,R20)*'1. Standard_Cost'!$B$31</f>
        <v>55000</v>
      </c>
      <c r="AF20" s="108">
        <f t="shared" si="21"/>
        <v>330000</v>
      </c>
      <c r="AG20" s="107"/>
      <c r="AH20" s="107"/>
      <c r="AI20" s="107"/>
      <c r="AJ20" s="111"/>
      <c r="AK20" s="111"/>
      <c r="AL20" s="111"/>
      <c r="AM20" s="108">
        <f>AG20*'1. Standard_Cost'!$B$27+'Incremental_Cost Year 5'!AH20*'1. Standard_Cost'!$C$27+'Incremental_Cost Year 5'!AI20*'1. Standard_Cost'!$D$27+'Incremental_Cost Year 5'!AJ20+'Incremental_Cost Year 5'!AL20+AK20</f>
        <v>0</v>
      </c>
      <c r="AN20" s="108">
        <f>AM20*'1. Standard_Cost'!$C$31</f>
        <v>0</v>
      </c>
      <c r="AO20" s="125" t="s">
        <v>278</v>
      </c>
      <c r="AQ20" s="14">
        <f t="shared" si="16"/>
        <v>848117.25</v>
      </c>
      <c r="AR20" s="14">
        <f t="shared" si="17"/>
        <v>330000</v>
      </c>
      <c r="AS20" s="14">
        <f t="shared" si="18"/>
        <v>0</v>
      </c>
      <c r="AT20" s="14">
        <f t="shared" si="25"/>
        <v>1178117.25</v>
      </c>
      <c r="AU20" s="234">
        <v>950117</v>
      </c>
      <c r="AV20" s="234"/>
      <c r="AW20" s="234"/>
      <c r="AX20" s="234"/>
      <c r="AY20" s="234"/>
      <c r="AZ20" s="234"/>
      <c r="BA20" s="234"/>
      <c r="BB20" s="16">
        <f t="shared" si="19"/>
        <v>-228000.25</v>
      </c>
    </row>
    <row r="21" spans="1:54" ht="62.4" outlineLevel="2">
      <c r="A21" s="98"/>
      <c r="B21" s="143"/>
      <c r="C21" s="144"/>
      <c r="D21" s="290"/>
      <c r="E21" s="290"/>
      <c r="F21" s="290"/>
      <c r="G21" s="291"/>
      <c r="H21" s="302" t="s">
        <v>669</v>
      </c>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21"/>
        <v>0</v>
      </c>
      <c r="AG21" s="107"/>
      <c r="AH21" s="107"/>
      <c r="AI21" s="107"/>
      <c r="AJ21" s="111"/>
      <c r="AK21" s="111"/>
      <c r="AL21" s="111"/>
      <c r="AM21" s="108">
        <f>AG21*'1. Standard_Cost'!$B$27+'Incremental_Cost Year 5'!AH21*'1. Standard_Cost'!$C$27+'Incremental_Cost Year 5'!AI21*'1. Standard_Cost'!$D$27+'Incremental_Cost Year 5'!AJ21+'Incremental_Cost Year 5'!AL21+AK21</f>
        <v>0</v>
      </c>
      <c r="AN21" s="108">
        <f>AM21*'1. Standard_Cost'!$C$31</f>
        <v>0</v>
      </c>
      <c r="AO21" s="125" t="s">
        <v>279</v>
      </c>
      <c r="AQ21" s="14">
        <f t="shared" si="16"/>
        <v>0</v>
      </c>
      <c r="AR21" s="14">
        <f t="shared" si="17"/>
        <v>0</v>
      </c>
      <c r="AS21" s="14">
        <f t="shared" si="18"/>
        <v>0</v>
      </c>
      <c r="AT21" s="14">
        <f t="shared" si="25"/>
        <v>0</v>
      </c>
      <c r="AU21" s="234"/>
      <c r="AV21" s="234"/>
      <c r="AW21" s="234"/>
      <c r="AX21" s="234"/>
      <c r="AY21" s="234"/>
      <c r="AZ21" s="234"/>
      <c r="BA21" s="234"/>
      <c r="BB21" s="16">
        <f t="shared" si="19"/>
        <v>0</v>
      </c>
    </row>
    <row r="22" spans="1:54" ht="78" outlineLevel="2">
      <c r="A22" s="98"/>
      <c r="B22" s="143"/>
      <c r="C22" s="144"/>
      <c r="D22" s="290"/>
      <c r="E22" s="290"/>
      <c r="F22" s="290"/>
      <c r="G22" s="291"/>
      <c r="H22" s="302" t="s">
        <v>670</v>
      </c>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21"/>
        <v>0</v>
      </c>
      <c r="AG22" s="107"/>
      <c r="AH22" s="107"/>
      <c r="AI22" s="107"/>
      <c r="AJ22" s="111"/>
      <c r="AK22" s="111"/>
      <c r="AL22" s="111"/>
      <c r="AM22" s="108">
        <f>AG22*'1. Standard_Cost'!$B$27+'Incremental_Cost Year 5'!AH22*'1. Standard_Cost'!$C$27+'Incremental_Cost Year 5'!AI22*'1. Standard_Cost'!$D$27+'Incremental_Cost Year 5'!AJ22+'Incremental_Cost Year 5'!AL22+AK22</f>
        <v>0</v>
      </c>
      <c r="AN22" s="108">
        <f>AM22*'1. Standard_Cost'!$C$31</f>
        <v>0</v>
      </c>
      <c r="AO22" s="125" t="s">
        <v>280</v>
      </c>
      <c r="AQ22" s="14">
        <f t="shared" si="16"/>
        <v>0</v>
      </c>
      <c r="AR22" s="14">
        <f t="shared" si="17"/>
        <v>0</v>
      </c>
      <c r="AS22" s="14">
        <f t="shared" si="18"/>
        <v>0</v>
      </c>
      <c r="AT22" s="14">
        <f t="shared" si="25"/>
        <v>0</v>
      </c>
      <c r="AU22" s="234"/>
      <c r="AV22" s="234"/>
      <c r="AW22" s="234"/>
      <c r="AX22" s="234"/>
      <c r="AY22" s="234"/>
      <c r="AZ22" s="234"/>
      <c r="BA22" s="234"/>
      <c r="BB22" s="16">
        <f t="shared" si="19"/>
        <v>0</v>
      </c>
    </row>
    <row r="23" spans="1:54" ht="46.8" outlineLevel="2">
      <c r="A23" s="98"/>
      <c r="B23" s="143"/>
      <c r="C23" s="144"/>
      <c r="D23" s="290"/>
      <c r="E23" s="290"/>
      <c r="F23" s="290"/>
      <c r="G23" s="291"/>
      <c r="H23" s="302" t="s">
        <v>671</v>
      </c>
      <c r="I23" s="258" t="s">
        <v>4</v>
      </c>
      <c r="J23" s="259">
        <v>1</v>
      </c>
      <c r="K23" s="259">
        <v>1</v>
      </c>
      <c r="L23" s="106">
        <f>IF(I23&lt;&gt;0,((VLOOKUP(I23,'1. Standard_Cost'!$B$4:$D$11,2)+VLOOKUP(I23,'1. Standard_Cost'!$B$4:$D$11,3))*J23*K23),"0")</f>
        <v>80750</v>
      </c>
      <c r="M23" s="106">
        <f>L23*'1. Standard_Cost'!$F$4</f>
        <v>13485.25</v>
      </c>
      <c r="N23" s="260"/>
      <c r="O23" s="260"/>
      <c r="P23" s="260"/>
      <c r="Q23" s="260"/>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260"/>
      <c r="AA23" s="260"/>
      <c r="AB23" s="108">
        <f>+Z23*'1. Standard_Cost'!$B$23+AA23*'1. Standard_Cost'!$C$23</f>
        <v>0</v>
      </c>
      <c r="AC23" s="261">
        <v>10000</v>
      </c>
      <c r="AD23" s="262"/>
      <c r="AE23" s="108">
        <f>SUM(AD23,AC23,AB23,Y23,U23,T23,S23,R23)*'1. Standard_Cost'!$B$31</f>
        <v>2000</v>
      </c>
      <c r="AF23" s="108">
        <f t="shared" si="21"/>
        <v>12000</v>
      </c>
      <c r="AG23" s="107"/>
      <c r="AH23" s="107"/>
      <c r="AI23" s="107"/>
      <c r="AJ23" s="111"/>
      <c r="AK23" s="111"/>
      <c r="AL23" s="111"/>
      <c r="AM23" s="108">
        <f>AG23*'1. Standard_Cost'!$B$27+'Incremental_Cost Year 5'!AH23*'1. Standard_Cost'!$C$27+'Incremental_Cost Year 5'!AI23*'1. Standard_Cost'!$D$27+'Incremental_Cost Year 5'!AJ23+'Incremental_Cost Year 5'!AL23+AK23</f>
        <v>0</v>
      </c>
      <c r="AN23" s="108">
        <f>AM23*'1. Standard_Cost'!$C$31</f>
        <v>0</v>
      </c>
      <c r="AO23" s="125" t="s">
        <v>281</v>
      </c>
      <c r="AQ23" s="14">
        <f t="shared" si="16"/>
        <v>94235.25</v>
      </c>
      <c r="AR23" s="14">
        <f t="shared" si="17"/>
        <v>12000</v>
      </c>
      <c r="AS23" s="14">
        <f t="shared" si="18"/>
        <v>0</v>
      </c>
      <c r="AT23" s="14">
        <f t="shared" si="25"/>
        <v>106235.25</v>
      </c>
      <c r="AU23" s="234">
        <v>106235</v>
      </c>
      <c r="AV23" s="234"/>
      <c r="AW23" s="234"/>
      <c r="AX23" s="234"/>
      <c r="AY23" s="234"/>
      <c r="AZ23" s="234"/>
      <c r="BA23" s="234"/>
      <c r="BB23" s="16">
        <f t="shared" si="19"/>
        <v>-0.25</v>
      </c>
    </row>
    <row r="24" spans="1:54" ht="93.6" outlineLevel="2">
      <c r="A24" s="98"/>
      <c r="B24" s="143"/>
      <c r="C24" s="144"/>
      <c r="D24" s="290"/>
      <c r="E24" s="290"/>
      <c r="F24" s="290"/>
      <c r="G24" s="291"/>
      <c r="H24" s="302" t="s">
        <v>586</v>
      </c>
      <c r="I24" s="258" t="s">
        <v>5</v>
      </c>
      <c r="J24" s="259">
        <v>0.5</v>
      </c>
      <c r="K24" s="259">
        <v>1</v>
      </c>
      <c r="L24" s="106">
        <f>IF(I24&lt;&gt;0,((VLOOKUP(I24,'1. Standard_Cost'!$B$4:$D$11,2)+VLOOKUP(I24,'1. Standard_Cost'!$B$4:$D$11,3))*J24*K24),"0")</f>
        <v>35350</v>
      </c>
      <c r="M24" s="106">
        <f>L24*'1. Standard_Cost'!$F$4</f>
        <v>5903.4500000000007</v>
      </c>
      <c r="N24" s="260">
        <v>1</v>
      </c>
      <c r="O24" s="260">
        <v>2</v>
      </c>
      <c r="P24" s="260">
        <v>16</v>
      </c>
      <c r="Q24" s="260"/>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260"/>
      <c r="AA24" s="260">
        <v>15</v>
      </c>
      <c r="AB24" s="108">
        <f>+Z24*'1. Standard_Cost'!$B$23+AA24*'1. Standard_Cost'!$C$23</f>
        <v>285000</v>
      </c>
      <c r="AC24" s="261">
        <f>16*500</f>
        <v>8000</v>
      </c>
      <c r="AD24" s="262"/>
      <c r="AE24" s="108">
        <f>SUM(AD24,AC24,AB24,Y24,U24,T24,S24,R24)*'1. Standard_Cost'!$B$31</f>
        <v>90600</v>
      </c>
      <c r="AF24" s="108">
        <f t="shared" si="21"/>
        <v>543600</v>
      </c>
      <c r="AG24" s="107"/>
      <c r="AH24" s="107"/>
      <c r="AI24" s="107"/>
      <c r="AJ24" s="111"/>
      <c r="AK24" s="111"/>
      <c r="AL24" s="111"/>
      <c r="AM24" s="108">
        <f>AG24*'1. Standard_Cost'!$B$27+'Incremental_Cost Year 5'!AH24*'1. Standard_Cost'!$C$27+'Incremental_Cost Year 5'!AI24*'1. Standard_Cost'!$D$27+'Incremental_Cost Year 5'!AJ24+'Incremental_Cost Year 5'!AL24+AK24</f>
        <v>0</v>
      </c>
      <c r="AN24" s="108">
        <f>AM24*'1. Standard_Cost'!$C$31</f>
        <v>0</v>
      </c>
      <c r="AO24" s="125" t="s">
        <v>282</v>
      </c>
      <c r="AQ24" s="14">
        <f t="shared" si="16"/>
        <v>41253.449999999997</v>
      </c>
      <c r="AR24" s="14">
        <f t="shared" si="17"/>
        <v>543600</v>
      </c>
      <c r="AS24" s="14">
        <f t="shared" si="18"/>
        <v>0</v>
      </c>
      <c r="AT24" s="14">
        <f t="shared" si="25"/>
        <v>584853.44999999995</v>
      </c>
      <c r="AU24" s="234"/>
      <c r="AV24" s="234"/>
      <c r="AW24" s="234"/>
      <c r="AX24" s="234"/>
      <c r="AY24" s="234"/>
      <c r="AZ24" s="234"/>
      <c r="BA24" s="234">
        <v>41253</v>
      </c>
      <c r="BB24" s="16">
        <f t="shared" si="19"/>
        <v>-543600.44999999995</v>
      </c>
    </row>
    <row r="25" spans="1:54" ht="93.6" outlineLevel="1">
      <c r="A25" s="98"/>
      <c r="B25" s="143"/>
      <c r="C25" s="144"/>
      <c r="D25" s="287" t="s">
        <v>626</v>
      </c>
      <c r="E25" s="287" t="s">
        <v>208</v>
      </c>
      <c r="F25" s="287"/>
      <c r="G25" s="287"/>
      <c r="H25" s="287" t="s">
        <v>50</v>
      </c>
      <c r="I25" s="112"/>
      <c r="J25" s="112"/>
      <c r="K25" s="112"/>
      <c r="L25" s="113">
        <f>SUM(L18:L24)</f>
        <v>1569600</v>
      </c>
      <c r="M25" s="113">
        <f>SUM(M18:M24)</f>
        <v>262123.2</v>
      </c>
      <c r="N25" s="112"/>
      <c r="O25" s="112"/>
      <c r="P25" s="112"/>
      <c r="Q25" s="112"/>
      <c r="R25" s="113">
        <f t="shared" ref="R25:U25" si="26">SUM(R18:R24)</f>
        <v>32000</v>
      </c>
      <c r="S25" s="113">
        <f t="shared" si="26"/>
        <v>48000</v>
      </c>
      <c r="T25" s="113">
        <f t="shared" si="26"/>
        <v>0</v>
      </c>
      <c r="U25" s="113">
        <f t="shared" si="26"/>
        <v>80000</v>
      </c>
      <c r="V25" s="112"/>
      <c r="W25" s="112"/>
      <c r="X25" s="112"/>
      <c r="Y25" s="113">
        <f>SUM(Y18:Y24)</f>
        <v>0</v>
      </c>
      <c r="Z25" s="112"/>
      <c r="AA25" s="112"/>
      <c r="AB25" s="113">
        <f t="shared" ref="AB25:AF25" si="27">SUM(AB18:AB24)</f>
        <v>665000</v>
      </c>
      <c r="AC25" s="113">
        <f t="shared" si="27"/>
        <v>1488000</v>
      </c>
      <c r="AD25" s="113">
        <f t="shared" si="27"/>
        <v>0</v>
      </c>
      <c r="AE25" s="113">
        <f t="shared" si="27"/>
        <v>462600</v>
      </c>
      <c r="AF25" s="113">
        <f t="shared" si="27"/>
        <v>2775600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1831723.2</v>
      </c>
      <c r="AR25" s="113">
        <f t="shared" si="29"/>
        <v>2775600</v>
      </c>
      <c r="AS25" s="113">
        <f t="shared" si="29"/>
        <v>0</v>
      </c>
      <c r="AT25" s="113">
        <f t="shared" si="29"/>
        <v>4607323.2</v>
      </c>
      <c r="AU25" s="113">
        <f t="shared" si="29"/>
        <v>3566469</v>
      </c>
      <c r="AV25" s="113">
        <f t="shared" si="29"/>
        <v>0</v>
      </c>
      <c r="AW25" s="113">
        <f t="shared" si="29"/>
        <v>0</v>
      </c>
      <c r="AX25" s="113">
        <f t="shared" si="29"/>
        <v>0</v>
      </c>
      <c r="AY25" s="113">
        <f t="shared" si="29"/>
        <v>0</v>
      </c>
      <c r="AZ25" s="113">
        <f t="shared" si="29"/>
        <v>0</v>
      </c>
      <c r="BA25" s="113">
        <f t="shared" si="29"/>
        <v>41253</v>
      </c>
      <c r="BB25" s="113">
        <f t="shared" si="29"/>
        <v>-999601.2</v>
      </c>
    </row>
    <row r="26" spans="1:54" ht="93.6" outlineLevel="2">
      <c r="A26" s="98"/>
      <c r="B26" s="143"/>
      <c r="C26" s="144"/>
      <c r="D26" s="149"/>
      <c r="E26" s="149"/>
      <c r="F26" s="288"/>
      <c r="G26" s="289"/>
      <c r="H26" s="302" t="s">
        <v>657</v>
      </c>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260"/>
      <c r="AA26" s="260"/>
      <c r="AB26" s="108">
        <f>+Z26*'1. Standard_Cost'!$B$23+AA26*'1. Standard_Cost'!$C$23</f>
        <v>0</v>
      </c>
      <c r="AC26" s="261">
        <f>1*420000</f>
        <v>420000</v>
      </c>
      <c r="AD26" s="262"/>
      <c r="AE26" s="108">
        <f>SUM(AD26,AC26,AB26,Y26,U26,T26,S26,R26)*'1. Standard_Cost'!$B$31</f>
        <v>84000</v>
      </c>
      <c r="AF26" s="108">
        <f t="shared" ref="AF26:AF29" si="30">SUM(AE26,AD26,AC26,AB26,Y26,U26,T26,S26,R26)</f>
        <v>504000</v>
      </c>
      <c r="AG26" s="260"/>
      <c r="AH26" s="260"/>
      <c r="AI26" s="260"/>
      <c r="AJ26" s="263"/>
      <c r="AK26" s="263"/>
      <c r="AL26" s="263"/>
      <c r="AM26" s="108">
        <f>AG26*'1. Standard_Cost'!$B$27+'Incremental_Cost Year 5'!AH26*'1. Standard_Cost'!$C$27+'Incremental_Cost Year 5'!AI26*'1. Standard_Cost'!$D$27+'Incremental_Cost Year 5'!AJ26+'Incremental_Cost Year 5'!AL26+AK26</f>
        <v>0</v>
      </c>
      <c r="AN26" s="108">
        <f>AM26*'1. Standard_Cost'!$C$31</f>
        <v>0</v>
      </c>
      <c r="AO26" s="125" t="s">
        <v>283</v>
      </c>
      <c r="AQ26" s="14">
        <f>L26+M26</f>
        <v>0</v>
      </c>
      <c r="AR26" s="14">
        <f t="shared" ref="AR26:AR29" si="31">AF26</f>
        <v>504000</v>
      </c>
      <c r="AS26" s="14">
        <f t="shared" ref="AS26:AS29" si="32">AM26+AN26</f>
        <v>0</v>
      </c>
      <c r="AT26" s="14">
        <f>SUM(AQ26,AR26,AS26)</f>
        <v>504000</v>
      </c>
      <c r="AU26" s="234"/>
      <c r="AV26" s="234"/>
      <c r="AW26" s="234"/>
      <c r="AX26" s="234"/>
      <c r="AY26" s="234"/>
      <c r="AZ26" s="234"/>
      <c r="BA26" s="234"/>
      <c r="BB26" s="16">
        <f>SUM(AU26:BA26)-AT26</f>
        <v>-504000</v>
      </c>
    </row>
    <row r="27" spans="1:54" ht="218.4" outlineLevel="2">
      <c r="A27" s="98"/>
      <c r="B27" s="143"/>
      <c r="C27" s="144"/>
      <c r="D27" s="290"/>
      <c r="E27" s="290"/>
      <c r="F27" s="290"/>
      <c r="G27" s="291"/>
      <c r="H27" s="302" t="s">
        <v>587</v>
      </c>
      <c r="I27" s="258" t="s">
        <v>193</v>
      </c>
      <c r="J27" s="259">
        <v>0.25</v>
      </c>
      <c r="K27" s="259">
        <v>2</v>
      </c>
      <c r="L27" s="106">
        <f>IF(I27&lt;&gt;0,((VLOOKUP(I27,'1. Standard_Cost'!$B$4:$D$11,2)+VLOOKUP(I27,'1. Standard_Cost'!$B$4:$D$11,3))*J27*K27),"0")</f>
        <v>25250</v>
      </c>
      <c r="M27" s="106">
        <f>L27*'1. Standard_Cost'!$F$4</f>
        <v>4216.75</v>
      </c>
      <c r="N27" s="260">
        <v>2</v>
      </c>
      <c r="O27" s="260">
        <v>2</v>
      </c>
      <c r="P27" s="260">
        <v>20</v>
      </c>
      <c r="Q27" s="260"/>
      <c r="R27" s="108">
        <f>'1. Standard_Cost'!$B$15*N27*P27</f>
        <v>80000</v>
      </c>
      <c r="S27" s="108">
        <f>N27*O27*P27*'1. Standard_Cost'!$C$15</f>
        <v>120000</v>
      </c>
      <c r="T27" s="108">
        <f>N27*P27*Q27*'1. Standard_Cost'!$D$15</f>
        <v>0</v>
      </c>
      <c r="U27" s="108">
        <f>N27*O27*'1. Standard_Cost'!$E$15</f>
        <v>160000</v>
      </c>
      <c r="V27" s="107"/>
      <c r="W27" s="107"/>
      <c r="X27" s="107"/>
      <c r="Y27" s="108">
        <f>+V27*((X27*'1. Standard_Cost'!$B$19)+(W27*X27*'1. Standard_Cost'!$C$19))</f>
        <v>0</v>
      </c>
      <c r="Z27" s="260"/>
      <c r="AA27" s="260">
        <v>14</v>
      </c>
      <c r="AB27" s="108">
        <f>+Z27*'1. Standard_Cost'!$B$23+AA27*'1. Standard_Cost'!$C$23</f>
        <v>266000</v>
      </c>
      <c r="AC27" s="261">
        <v>100000</v>
      </c>
      <c r="AD27" s="262"/>
      <c r="AE27" s="108">
        <f>SUM(AD27,AC27,AB27,Y27,U27,T27,S27,R27)*'1. Standard_Cost'!$B$31</f>
        <v>145200</v>
      </c>
      <c r="AF27" s="108">
        <f t="shared" si="30"/>
        <v>871200</v>
      </c>
      <c r="AG27" s="260"/>
      <c r="AH27" s="260"/>
      <c r="AI27" s="260"/>
      <c r="AJ27" s="263"/>
      <c r="AK27" s="263"/>
      <c r="AL27" s="263"/>
      <c r="AM27" s="108">
        <f>AG27*'1. Standard_Cost'!$B$27+'Incremental_Cost Year 5'!AH27*'1. Standard_Cost'!$C$27+'Incremental_Cost Year 5'!AI27*'1. Standard_Cost'!$D$27+'Incremental_Cost Year 5'!AJ27+'Incremental_Cost Year 5'!AL27+AK27</f>
        <v>0</v>
      </c>
      <c r="AN27" s="108">
        <f>AM27*'1. Standard_Cost'!$C$31</f>
        <v>0</v>
      </c>
      <c r="AO27" s="125" t="s">
        <v>284</v>
      </c>
      <c r="AQ27" s="14">
        <f t="shared" ref="AQ27:AQ29" si="33">L27+M27</f>
        <v>29466.75</v>
      </c>
      <c r="AR27" s="14">
        <f t="shared" si="31"/>
        <v>871200</v>
      </c>
      <c r="AS27" s="14">
        <f t="shared" si="32"/>
        <v>0</v>
      </c>
      <c r="AT27" s="14">
        <f t="shared" ref="AT27:AT29" si="34">SUM(AQ27,AR27,AS27)</f>
        <v>900666.75</v>
      </c>
      <c r="AU27" s="234">
        <v>31217</v>
      </c>
      <c r="AV27" s="234"/>
      <c r="AW27" s="234"/>
      <c r="AX27" s="234"/>
      <c r="AY27" s="234"/>
      <c r="AZ27" s="234"/>
      <c r="BA27" s="234"/>
      <c r="BB27" s="16">
        <f t="shared" ref="BB27:BB29" si="35">SUM(AU27:BA27)-AT27</f>
        <v>-869449.75</v>
      </c>
    </row>
    <row r="28" spans="1:54" ht="187.2" customHeight="1" outlineLevel="2">
      <c r="A28" s="98"/>
      <c r="B28" s="143"/>
      <c r="C28" s="144"/>
      <c r="D28" s="290"/>
      <c r="E28" s="290"/>
      <c r="F28" s="290"/>
      <c r="G28" s="291"/>
      <c r="H28" s="302" t="s">
        <v>658</v>
      </c>
      <c r="I28" s="258" t="s">
        <v>5</v>
      </c>
      <c r="J28" s="259">
        <v>0.5</v>
      </c>
      <c r="K28" s="259">
        <v>2</v>
      </c>
      <c r="L28" s="106">
        <f>IF(I28&lt;&gt;0,((VLOOKUP(I28,'1. Standard_Cost'!$B$4:$D$11,2)+VLOOKUP(I28,'1. Standard_Cost'!$B$4:$D$11,3))*J28*K28),"0")</f>
        <v>70700</v>
      </c>
      <c r="M28" s="106">
        <f>L28*'1. Standard_Cost'!$F$4</f>
        <v>11806.900000000001</v>
      </c>
      <c r="N28" s="260">
        <v>1</v>
      </c>
      <c r="O28" s="260">
        <v>3</v>
      </c>
      <c r="P28" s="260">
        <v>85</v>
      </c>
      <c r="Q28" s="260"/>
      <c r="R28" s="108">
        <f>'1. Standard_Cost'!$B$15*N28*P28</f>
        <v>170000</v>
      </c>
      <c r="S28" s="108">
        <f>N28*O28*P28*'1. Standard_Cost'!$C$15</f>
        <v>382500</v>
      </c>
      <c r="T28" s="108">
        <f>N28*P28*Q28*'1. Standard_Cost'!$D$15</f>
        <v>0</v>
      </c>
      <c r="U28" s="108">
        <f>N28*O28*'1. Standard_Cost'!$E$15</f>
        <v>120000</v>
      </c>
      <c r="V28" s="107"/>
      <c r="W28" s="107"/>
      <c r="X28" s="107"/>
      <c r="Y28" s="108">
        <f>+V28*((X28*'1. Standard_Cost'!$B$19)+(W28*X28*'1. Standard_Cost'!$C$19))</f>
        <v>0</v>
      </c>
      <c r="Z28" s="260"/>
      <c r="AA28" s="260"/>
      <c r="AB28" s="108">
        <f>+Z28*'1. Standard_Cost'!$B$23+AA28*'1. Standard_Cost'!$C$23</f>
        <v>0</v>
      </c>
      <c r="AC28" s="261">
        <v>1200000</v>
      </c>
      <c r="AD28" s="262"/>
      <c r="AE28" s="108">
        <f>SUM(AD28,AC28,AB28,Y28,U28,T28,S28,R28)*'1. Standard_Cost'!$B$31</f>
        <v>374500</v>
      </c>
      <c r="AF28" s="108">
        <f t="shared" si="30"/>
        <v>2247000</v>
      </c>
      <c r="AG28" s="260"/>
      <c r="AH28" s="260"/>
      <c r="AI28" s="260"/>
      <c r="AJ28" s="263"/>
      <c r="AK28" s="263"/>
      <c r="AL28" s="263"/>
      <c r="AM28" s="108">
        <f>AG28*'1. Standard_Cost'!$B$27+'Incremental_Cost Year 5'!AH28*'1. Standard_Cost'!$C$27+'Incremental_Cost Year 5'!AI28*'1. Standard_Cost'!$D$27+'Incremental_Cost Year 5'!AJ28+'Incremental_Cost Year 5'!AL28+AK28</f>
        <v>0</v>
      </c>
      <c r="AN28" s="108">
        <f>AM28*'1. Standard_Cost'!$C$31</f>
        <v>0</v>
      </c>
      <c r="AO28" s="125" t="s">
        <v>285</v>
      </c>
      <c r="AQ28" s="14">
        <f t="shared" si="33"/>
        <v>82506.899999999994</v>
      </c>
      <c r="AR28" s="14">
        <f t="shared" si="31"/>
        <v>2247000</v>
      </c>
      <c r="AS28" s="14">
        <f t="shared" si="32"/>
        <v>0</v>
      </c>
      <c r="AT28" s="14">
        <f t="shared" si="34"/>
        <v>2329506.9</v>
      </c>
      <c r="AU28" s="234">
        <v>82507</v>
      </c>
      <c r="AV28" s="234"/>
      <c r="AW28" s="234"/>
      <c r="AX28" s="234"/>
      <c r="AY28" s="234"/>
      <c r="AZ28" s="234"/>
      <c r="BA28" s="234"/>
      <c r="BB28" s="16">
        <f t="shared" si="35"/>
        <v>-2246999.9</v>
      </c>
    </row>
    <row r="29" spans="1:54" ht="93.6" outlineLevel="2">
      <c r="A29" s="98"/>
      <c r="B29" s="143"/>
      <c r="C29" s="144"/>
      <c r="D29" s="290"/>
      <c r="E29" s="290"/>
      <c r="F29" s="290"/>
      <c r="G29" s="291"/>
      <c r="H29" s="302" t="s">
        <v>588</v>
      </c>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30"/>
        <v>0</v>
      </c>
      <c r="AG29" s="260"/>
      <c r="AH29" s="260"/>
      <c r="AI29" s="260"/>
      <c r="AJ29" s="263"/>
      <c r="AK29" s="263">
        <v>1800000</v>
      </c>
      <c r="AL29" s="263"/>
      <c r="AM29" s="108">
        <f>AG29*'1. Standard_Cost'!$B$27+'Incremental_Cost Year 5'!AH29*'1. Standard_Cost'!$C$27+'Incremental_Cost Year 5'!AI29*'1. Standard_Cost'!$D$27+'Incremental_Cost Year 5'!AJ29+'Incremental_Cost Year 5'!AL29+AK29</f>
        <v>1800000</v>
      </c>
      <c r="AN29" s="108">
        <f>AM29*'1. Standard_Cost'!$C$31</f>
        <v>270000</v>
      </c>
      <c r="AO29" s="125" t="s">
        <v>286</v>
      </c>
      <c r="AQ29" s="14">
        <f t="shared" si="33"/>
        <v>0</v>
      </c>
      <c r="AR29" s="14">
        <f t="shared" si="31"/>
        <v>0</v>
      </c>
      <c r="AS29" s="14">
        <f t="shared" si="32"/>
        <v>2070000</v>
      </c>
      <c r="AT29" s="14">
        <f t="shared" si="34"/>
        <v>2070000</v>
      </c>
      <c r="AU29" s="234"/>
      <c r="AV29" s="234"/>
      <c r="AW29" s="234"/>
      <c r="AX29" s="234"/>
      <c r="AY29" s="234"/>
      <c r="AZ29" s="234"/>
      <c r="BA29" s="234"/>
      <c r="BB29" s="16">
        <f t="shared" si="35"/>
        <v>-2070000</v>
      </c>
    </row>
    <row r="30" spans="1:54" ht="78" outlineLevel="1">
      <c r="A30" s="98"/>
      <c r="B30" s="143"/>
      <c r="C30" s="144"/>
      <c r="D30" s="287" t="s">
        <v>627</v>
      </c>
      <c r="E30" s="287" t="s">
        <v>209</v>
      </c>
      <c r="F30" s="287">
        <v>2021</v>
      </c>
      <c r="G30" s="287">
        <v>2026</v>
      </c>
      <c r="H30" s="287" t="s">
        <v>191</v>
      </c>
      <c r="I30" s="112"/>
      <c r="J30" s="112"/>
      <c r="K30" s="112"/>
      <c r="L30" s="113">
        <f>SUM(L26:L29)</f>
        <v>95950</v>
      </c>
      <c r="M30" s="113">
        <f>SUM(M26:M29)</f>
        <v>16023.650000000001</v>
      </c>
      <c r="N30" s="112"/>
      <c r="O30" s="112"/>
      <c r="P30" s="112"/>
      <c r="Q30" s="112"/>
      <c r="R30" s="113">
        <f t="shared" ref="R30:U30" si="36">SUM(R26:R29)</f>
        <v>250000</v>
      </c>
      <c r="S30" s="113">
        <f t="shared" si="36"/>
        <v>502500</v>
      </c>
      <c r="T30" s="113">
        <f t="shared" si="36"/>
        <v>0</v>
      </c>
      <c r="U30" s="113">
        <f t="shared" si="36"/>
        <v>280000</v>
      </c>
      <c r="V30" s="112"/>
      <c r="W30" s="112"/>
      <c r="X30" s="112"/>
      <c r="Y30" s="113">
        <f>SUM(Y26:Y29)</f>
        <v>0</v>
      </c>
      <c r="Z30" s="112"/>
      <c r="AA30" s="112"/>
      <c r="AB30" s="113">
        <f t="shared" ref="AB30:AF30" si="37">SUM(AB26:AB29)</f>
        <v>266000</v>
      </c>
      <c r="AC30" s="113">
        <f t="shared" si="37"/>
        <v>1720000</v>
      </c>
      <c r="AD30" s="113">
        <f t="shared" si="37"/>
        <v>0</v>
      </c>
      <c r="AE30" s="113">
        <f t="shared" si="37"/>
        <v>603700</v>
      </c>
      <c r="AF30" s="113">
        <f t="shared" si="37"/>
        <v>3622200</v>
      </c>
      <c r="AG30" s="112"/>
      <c r="AH30" s="112"/>
      <c r="AI30" s="112"/>
      <c r="AJ30" s="113">
        <f t="shared" ref="AJ30:AN30" si="38">SUM(AJ26:AJ29)</f>
        <v>0</v>
      </c>
      <c r="AK30" s="113">
        <f t="shared" si="38"/>
        <v>1800000</v>
      </c>
      <c r="AL30" s="113">
        <f t="shared" si="38"/>
        <v>0</v>
      </c>
      <c r="AM30" s="113">
        <f t="shared" si="38"/>
        <v>1800000</v>
      </c>
      <c r="AN30" s="113">
        <f t="shared" si="38"/>
        <v>270000</v>
      </c>
      <c r="AO30" s="131"/>
      <c r="AP30" s="17"/>
      <c r="AQ30" s="113">
        <f t="shared" ref="AQ30:BB30" si="39">SUM(AQ26:AQ29)</f>
        <v>111973.65</v>
      </c>
      <c r="AR30" s="113">
        <f t="shared" si="39"/>
        <v>3622200</v>
      </c>
      <c r="AS30" s="113">
        <f t="shared" si="39"/>
        <v>2070000</v>
      </c>
      <c r="AT30" s="113">
        <f t="shared" si="39"/>
        <v>5804173.6500000004</v>
      </c>
      <c r="AU30" s="113">
        <f t="shared" si="39"/>
        <v>113724</v>
      </c>
      <c r="AV30" s="113">
        <f t="shared" si="39"/>
        <v>0</v>
      </c>
      <c r="AW30" s="113">
        <f t="shared" si="39"/>
        <v>0</v>
      </c>
      <c r="AX30" s="113">
        <f t="shared" si="39"/>
        <v>0</v>
      </c>
      <c r="AY30" s="113">
        <f t="shared" si="39"/>
        <v>0</v>
      </c>
      <c r="AZ30" s="113">
        <f t="shared" si="39"/>
        <v>0</v>
      </c>
      <c r="BA30" s="113">
        <f t="shared" si="39"/>
        <v>0</v>
      </c>
      <c r="BB30" s="113">
        <f t="shared" si="39"/>
        <v>-5690449.6500000004</v>
      </c>
    </row>
    <row r="31" spans="1:54" s="13" customFormat="1" ht="15.6" customHeight="1">
      <c r="A31" s="101"/>
      <c r="B31" s="319" t="s">
        <v>211</v>
      </c>
      <c r="C31" s="320"/>
      <c r="D31" s="320"/>
      <c r="E31" s="321"/>
      <c r="F31" s="292"/>
      <c r="G31" s="292"/>
      <c r="H31" s="292" t="s">
        <v>63</v>
      </c>
      <c r="I31" s="40"/>
      <c r="J31" s="40"/>
      <c r="K31" s="40"/>
      <c r="L31" s="41">
        <f>SUM(L32,L40,L80)</f>
        <v>5373125</v>
      </c>
      <c r="M31" s="41">
        <f>SUM(M32,M40,M80)</f>
        <v>897311.875</v>
      </c>
      <c r="N31" s="40"/>
      <c r="O31" s="40"/>
      <c r="P31" s="40"/>
      <c r="Q31" s="40"/>
      <c r="R31" s="41">
        <f t="shared" ref="R31:U31" si="40">SUM(R32,R40,R80)</f>
        <v>580000</v>
      </c>
      <c r="S31" s="41">
        <f t="shared" si="40"/>
        <v>600000</v>
      </c>
      <c r="T31" s="41">
        <f t="shared" si="40"/>
        <v>0</v>
      </c>
      <c r="U31" s="41">
        <f t="shared" si="40"/>
        <v>960000</v>
      </c>
      <c r="V31" s="40"/>
      <c r="W31" s="40"/>
      <c r="X31" s="40"/>
      <c r="Y31" s="41">
        <f>SUM(Y32,Y40,Y80)</f>
        <v>0</v>
      </c>
      <c r="Z31" s="40"/>
      <c r="AA31" s="40"/>
      <c r="AB31" s="41">
        <f t="shared" ref="AB31:AF31" si="41">SUM(AB32,AB40,AB80)</f>
        <v>1539000</v>
      </c>
      <c r="AC31" s="41">
        <f t="shared" si="41"/>
        <v>19545000</v>
      </c>
      <c r="AD31" s="41">
        <f t="shared" si="41"/>
        <v>0</v>
      </c>
      <c r="AE31" s="41">
        <f t="shared" si="41"/>
        <v>4644800</v>
      </c>
      <c r="AF31" s="41">
        <f t="shared" si="41"/>
        <v>27868800</v>
      </c>
      <c r="AG31" s="41"/>
      <c r="AH31" s="41"/>
      <c r="AI31" s="41"/>
      <c r="AJ31" s="41">
        <f t="shared" ref="AJ31:AN31" si="42">SUM(AJ32,AJ40,AJ80)</f>
        <v>2000000</v>
      </c>
      <c r="AK31" s="41">
        <f t="shared" si="42"/>
        <v>0</v>
      </c>
      <c r="AL31" s="41">
        <f t="shared" si="42"/>
        <v>1700000</v>
      </c>
      <c r="AM31" s="41">
        <f t="shared" si="42"/>
        <v>3700000</v>
      </c>
      <c r="AN31" s="41">
        <f t="shared" si="42"/>
        <v>555000</v>
      </c>
      <c r="AO31" s="129"/>
      <c r="AQ31" s="41">
        <f t="shared" ref="AQ31:BB31" si="43">SUM(AQ32,AQ40,AQ80)</f>
        <v>6270436.8750000009</v>
      </c>
      <c r="AR31" s="41">
        <f t="shared" si="43"/>
        <v>27868800</v>
      </c>
      <c r="AS31" s="41">
        <f t="shared" si="43"/>
        <v>4255000</v>
      </c>
      <c r="AT31" s="41">
        <f t="shared" si="43"/>
        <v>38394236.875</v>
      </c>
      <c r="AU31" s="41">
        <f t="shared" si="43"/>
        <v>22780024</v>
      </c>
      <c r="AV31" s="41">
        <f t="shared" si="43"/>
        <v>0</v>
      </c>
      <c r="AW31" s="41">
        <f t="shared" si="43"/>
        <v>0</v>
      </c>
      <c r="AX31" s="41">
        <f t="shared" si="43"/>
        <v>0</v>
      </c>
      <c r="AY31" s="41">
        <f t="shared" si="43"/>
        <v>0</v>
      </c>
      <c r="AZ31" s="41">
        <f t="shared" si="43"/>
        <v>456000</v>
      </c>
      <c r="BA31" s="41">
        <f t="shared" si="43"/>
        <v>5712757</v>
      </c>
      <c r="BB31" s="41">
        <f t="shared" si="43"/>
        <v>-9445455.875</v>
      </c>
    </row>
    <row r="32" spans="1:54" s="13" customFormat="1" ht="15.6" customHeight="1">
      <c r="A32" s="101"/>
      <c r="B32" s="155"/>
      <c r="C32" s="322" t="s">
        <v>210</v>
      </c>
      <c r="D32" s="322"/>
      <c r="E32" s="323"/>
      <c r="F32" s="299"/>
      <c r="G32" s="299"/>
      <c r="H32" s="293" t="s">
        <v>181</v>
      </c>
      <c r="I32" s="37"/>
      <c r="J32" s="37"/>
      <c r="K32" s="37"/>
      <c r="L32" s="42">
        <f>SUM(L39)</f>
        <v>0</v>
      </c>
      <c r="M32" s="42">
        <f>SUM(M39)</f>
        <v>0</v>
      </c>
      <c r="N32" s="42"/>
      <c r="O32" s="42"/>
      <c r="P32" s="42"/>
      <c r="Q32" s="42"/>
      <c r="R32" s="42">
        <f t="shared" ref="R32:U32" si="44">SUM(R39)</f>
        <v>0</v>
      </c>
      <c r="S32" s="42">
        <f t="shared" si="44"/>
        <v>0</v>
      </c>
      <c r="T32" s="42">
        <f t="shared" si="44"/>
        <v>0</v>
      </c>
      <c r="U32" s="42">
        <f t="shared" si="44"/>
        <v>0</v>
      </c>
      <c r="V32" s="42"/>
      <c r="W32" s="42"/>
      <c r="X32" s="42"/>
      <c r="Y32" s="42">
        <f>SUM(Y39)</f>
        <v>0</v>
      </c>
      <c r="Z32" s="42"/>
      <c r="AA32" s="42"/>
      <c r="AB32" s="42">
        <f t="shared" ref="AB32:AF32" si="45">SUM(AB39)</f>
        <v>0</v>
      </c>
      <c r="AC32" s="42">
        <f t="shared" si="45"/>
        <v>1700000</v>
      </c>
      <c r="AD32" s="42">
        <f t="shared" si="45"/>
        <v>0</v>
      </c>
      <c r="AE32" s="42">
        <f t="shared" si="45"/>
        <v>340000</v>
      </c>
      <c r="AF32" s="42">
        <f t="shared" si="45"/>
        <v>2040000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0</v>
      </c>
      <c r="AR32" s="42">
        <f t="shared" si="47"/>
        <v>2040000</v>
      </c>
      <c r="AS32" s="42">
        <f t="shared" si="47"/>
        <v>0</v>
      </c>
      <c r="AT32" s="42">
        <f t="shared" si="47"/>
        <v>2040000</v>
      </c>
      <c r="AU32" s="42">
        <f t="shared" si="47"/>
        <v>2040000</v>
      </c>
      <c r="AV32" s="42">
        <f t="shared" si="47"/>
        <v>0</v>
      </c>
      <c r="AW32" s="42">
        <f t="shared" si="47"/>
        <v>0</v>
      </c>
      <c r="AX32" s="42">
        <f t="shared" si="47"/>
        <v>0</v>
      </c>
      <c r="AY32" s="42">
        <f t="shared" si="47"/>
        <v>0</v>
      </c>
      <c r="AZ32" s="42">
        <f t="shared" si="47"/>
        <v>0</v>
      </c>
      <c r="BA32" s="42">
        <f t="shared" si="47"/>
        <v>0</v>
      </c>
      <c r="BB32" s="42">
        <f t="shared" si="47"/>
        <v>0</v>
      </c>
    </row>
    <row r="33" spans="1:54" ht="93.6" outlineLevel="2">
      <c r="A33" s="98"/>
      <c r="B33" s="143"/>
      <c r="C33" s="144"/>
      <c r="D33" s="149"/>
      <c r="E33" s="149"/>
      <c r="F33" s="288"/>
      <c r="G33" s="289"/>
      <c r="H33" s="302" t="s">
        <v>582</v>
      </c>
      <c r="I33" s="135"/>
      <c r="J33" s="136"/>
      <c r="K33" s="136"/>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107"/>
      <c r="AA33" s="107"/>
      <c r="AB33" s="108">
        <f>+Z33*'1. Standard_Cost'!$B$23+AA33*'1. Standard_Cost'!$C$23</f>
        <v>0</v>
      </c>
      <c r="AC33" s="109"/>
      <c r="AD33" s="110"/>
      <c r="AE33" s="108">
        <f>SUM(AD33,AC33,AB33,Y33,U33,T33,S33,R33)*'1. Standard_Cost'!$B$31</f>
        <v>0</v>
      </c>
      <c r="AF33" s="108">
        <f t="shared" ref="AF33:AF38" si="48">SUM(AE33,AD33,AC33,AB33,Y33,U33,T33,S33,R33)</f>
        <v>0</v>
      </c>
      <c r="AG33" s="107"/>
      <c r="AH33" s="107"/>
      <c r="AI33" s="107"/>
      <c r="AJ33" s="111"/>
      <c r="AK33" s="111"/>
      <c r="AL33" s="111"/>
      <c r="AM33" s="108">
        <f>AG33*'1. Standard_Cost'!$B$27+'Incremental_Cost Year 5'!AH33*'1. Standard_Cost'!$C$27+'Incremental_Cost Year 5'!AI33*'1. Standard_Cost'!$D$27+'Incremental_Cost Year 5'!AJ33+'Incremental_Cost Year 5'!AL33+AK33</f>
        <v>0</v>
      </c>
      <c r="AN33" s="108">
        <f>AM33*'1. Standard_Cost'!$C$31</f>
        <v>0</v>
      </c>
      <c r="AO33" s="125" t="s">
        <v>287</v>
      </c>
      <c r="AQ33" s="14">
        <f t="shared" ref="AQ33:AQ38" si="49">L33+M33</f>
        <v>0</v>
      </c>
      <c r="AR33" s="14">
        <f t="shared" ref="AR33:AR38" si="50">AF33</f>
        <v>0</v>
      </c>
      <c r="AS33" s="14">
        <f t="shared" ref="AS33:AS38" si="51">AM33+AN33</f>
        <v>0</v>
      </c>
      <c r="AT33" s="14">
        <f>SUM(AQ33,AR33,AS33)</f>
        <v>0</v>
      </c>
      <c r="AU33" s="15"/>
      <c r="AV33" s="15"/>
      <c r="AW33" s="15"/>
      <c r="AX33" s="15"/>
      <c r="AY33" s="15"/>
      <c r="AZ33" s="15"/>
      <c r="BA33" s="15"/>
      <c r="BB33" s="16">
        <f t="shared" ref="BB33:BB38" si="52">SUM(AU33:BA33)-AT33</f>
        <v>0</v>
      </c>
    </row>
    <row r="34" spans="1:54" ht="124.8" outlineLevel="2">
      <c r="A34" s="98"/>
      <c r="B34" s="143"/>
      <c r="C34" s="144"/>
      <c r="D34" s="290"/>
      <c r="E34" s="290"/>
      <c r="F34" s="290"/>
      <c r="G34" s="291"/>
      <c r="H34" s="302" t="s">
        <v>583</v>
      </c>
      <c r="I34" s="135"/>
      <c r="J34" s="136"/>
      <c r="K34" s="136"/>
      <c r="L34" s="106" t="str">
        <f>IF(I34&lt;&gt;0,((VLOOKUP(I34,'1. Standard_Cost'!$B$4:$D$11,2)+VLOOKUP(I34,'1. Standard_Cost'!$B$4:$D$11,3))*J34*K34),"0")</f>
        <v>0</v>
      </c>
      <c r="M34" s="106">
        <f>L34*'1. Standard_Cost'!$F$4</f>
        <v>0</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107"/>
      <c r="AA34" s="107"/>
      <c r="AB34" s="108">
        <f>+Z34*'1. Standard_Cost'!$B$23+AA34*'1. Standard_Cost'!$C$23</f>
        <v>0</v>
      </c>
      <c r="AC34" s="109"/>
      <c r="AD34" s="110"/>
      <c r="AE34" s="108">
        <f>SUM(AD34,AC34,AB34,Y34,U34,T34,S34,R34)*'1. Standard_Cost'!$B$31</f>
        <v>0</v>
      </c>
      <c r="AF34" s="108">
        <f t="shared" si="48"/>
        <v>0</v>
      </c>
      <c r="AG34" s="107"/>
      <c r="AH34" s="107"/>
      <c r="AI34" s="107"/>
      <c r="AJ34" s="111"/>
      <c r="AK34" s="111"/>
      <c r="AL34" s="111"/>
      <c r="AM34" s="108">
        <f>AG34*'1. Standard_Cost'!$B$27+'Incremental_Cost Year 5'!AH34*'1. Standard_Cost'!$C$27+'Incremental_Cost Year 5'!AI34*'1. Standard_Cost'!$D$27+'Incremental_Cost Year 5'!AJ34+'Incremental_Cost Year 5'!AL34+AK34</f>
        <v>0</v>
      </c>
      <c r="AN34" s="108">
        <f>AM34*'1. Standard_Cost'!$C$31</f>
        <v>0</v>
      </c>
      <c r="AO34" s="125" t="s">
        <v>288</v>
      </c>
      <c r="AQ34" s="14">
        <f t="shared" si="49"/>
        <v>0</v>
      </c>
      <c r="AR34" s="14">
        <f t="shared" si="50"/>
        <v>0</v>
      </c>
      <c r="AS34" s="14">
        <f t="shared" si="51"/>
        <v>0</v>
      </c>
      <c r="AT34" s="14">
        <f t="shared" ref="AT34:AT38" si="53">SUM(AQ34,AR34,AS34)</f>
        <v>0</v>
      </c>
      <c r="AU34" s="15"/>
      <c r="AV34" s="15"/>
      <c r="AW34" s="15"/>
      <c r="AX34" s="15"/>
      <c r="AY34" s="15"/>
      <c r="AZ34" s="15"/>
      <c r="BA34" s="15"/>
      <c r="BB34" s="16">
        <f t="shared" si="52"/>
        <v>0</v>
      </c>
    </row>
    <row r="35" spans="1:54" ht="78" outlineLevel="2">
      <c r="A35" s="98"/>
      <c r="B35" s="143"/>
      <c r="C35" s="144"/>
      <c r="D35" s="290"/>
      <c r="E35" s="290"/>
      <c r="F35" s="290"/>
      <c r="G35" s="291"/>
      <c r="H35" s="302" t="s">
        <v>672</v>
      </c>
      <c r="I35" s="104"/>
      <c r="J35" s="105"/>
      <c r="K35" s="105"/>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107"/>
      <c r="AA35" s="107"/>
      <c r="AB35" s="108">
        <f>+Z35*'1. Standard_Cost'!$B$23+AA35*'1. Standard_Cost'!$C$23</f>
        <v>0</v>
      </c>
      <c r="AC35" s="109"/>
      <c r="AD35" s="110"/>
      <c r="AE35" s="108">
        <f>SUM(AD35,AC35,AB35,Y35,U35,T35,S35,R35)*'1. Standard_Cost'!$B$31</f>
        <v>0</v>
      </c>
      <c r="AF35" s="108">
        <f t="shared" si="48"/>
        <v>0</v>
      </c>
      <c r="AG35" s="107"/>
      <c r="AH35" s="107"/>
      <c r="AI35" s="107"/>
      <c r="AJ35" s="111"/>
      <c r="AK35" s="111"/>
      <c r="AL35" s="111"/>
      <c r="AM35" s="108">
        <f>AG35*'1. Standard_Cost'!$B$27+'Incremental_Cost Year 5'!AH35*'1. Standard_Cost'!$C$27+'Incremental_Cost Year 5'!AI35*'1. Standard_Cost'!$D$27+'Incremental_Cost Year 5'!AJ35+'Incremental_Cost Year 5'!AL35+AK35</f>
        <v>0</v>
      </c>
      <c r="AN35" s="108">
        <f>AM35*'1. Standard_Cost'!$C$31</f>
        <v>0</v>
      </c>
      <c r="AO35" s="125" t="s">
        <v>289</v>
      </c>
      <c r="AQ35" s="14">
        <f t="shared" si="49"/>
        <v>0</v>
      </c>
      <c r="AR35" s="14">
        <f t="shared" si="50"/>
        <v>0</v>
      </c>
      <c r="AS35" s="14">
        <f t="shared" si="51"/>
        <v>0</v>
      </c>
      <c r="AT35" s="14">
        <f t="shared" si="53"/>
        <v>0</v>
      </c>
      <c r="AU35" s="15"/>
      <c r="AV35" s="15"/>
      <c r="AW35" s="15"/>
      <c r="AX35" s="15"/>
      <c r="AY35" s="15"/>
      <c r="AZ35" s="15"/>
      <c r="BA35" s="15"/>
      <c r="BB35" s="16">
        <f t="shared" si="52"/>
        <v>0</v>
      </c>
    </row>
    <row r="36" spans="1:54" ht="124.8" outlineLevel="2">
      <c r="A36" s="98"/>
      <c r="B36" s="143"/>
      <c r="C36" s="144"/>
      <c r="D36" s="290"/>
      <c r="E36" s="290"/>
      <c r="F36" s="290"/>
      <c r="G36" s="291"/>
      <c r="H36" s="302" t="s">
        <v>584</v>
      </c>
      <c r="I36" s="135"/>
      <c r="J36" s="136"/>
      <c r="K36" s="136"/>
      <c r="L36" s="106" t="str">
        <f>IF(I36&lt;&gt;0,((VLOOKUP(I36,'1. Standard_Cost'!$B$4:$D$11,2)+VLOOKUP(I36,'1. Standard_Cost'!$B$4:$D$11,3))*J36*K36),"0")</f>
        <v>0</v>
      </c>
      <c r="M36" s="106">
        <f>L36*'1. Standard_Cost'!$F$4</f>
        <v>0</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107"/>
      <c r="AA36" s="107"/>
      <c r="AB36" s="108">
        <f>+Z36*'1. Standard_Cost'!$B$23+AA36*'1. Standard_Cost'!$C$23</f>
        <v>0</v>
      </c>
      <c r="AC36" s="109"/>
      <c r="AD36" s="110"/>
      <c r="AE36" s="108">
        <f>SUM(AD36,AC36,AB36,Y36,U36,T36,S36,R36)*'1. Standard_Cost'!$B$31</f>
        <v>0</v>
      </c>
      <c r="AF36" s="108">
        <f t="shared" si="48"/>
        <v>0</v>
      </c>
      <c r="AG36" s="107"/>
      <c r="AH36" s="107"/>
      <c r="AI36" s="107"/>
      <c r="AJ36" s="111"/>
      <c r="AK36" s="111"/>
      <c r="AL36" s="111"/>
      <c r="AM36" s="108">
        <f>AG36*'1. Standard_Cost'!$B$27+'Incremental_Cost Year 5'!AH36*'1. Standard_Cost'!$C$27+'Incremental_Cost Year 5'!AI36*'1. Standard_Cost'!$D$27+'Incremental_Cost Year 5'!AJ36+'Incremental_Cost Year 5'!AL36+AK36</f>
        <v>0</v>
      </c>
      <c r="AN36" s="108">
        <f>AM36*'1. Standard_Cost'!$C$31</f>
        <v>0</v>
      </c>
      <c r="AO36" s="125" t="s">
        <v>290</v>
      </c>
      <c r="AQ36" s="14">
        <f t="shared" si="49"/>
        <v>0</v>
      </c>
      <c r="AR36" s="14">
        <f t="shared" si="50"/>
        <v>0</v>
      </c>
      <c r="AS36" s="14">
        <f t="shared" si="51"/>
        <v>0</v>
      </c>
      <c r="AT36" s="14">
        <f t="shared" si="53"/>
        <v>0</v>
      </c>
      <c r="AU36" s="15"/>
      <c r="AV36" s="15"/>
      <c r="AW36" s="15"/>
      <c r="AX36" s="15"/>
      <c r="AY36" s="15"/>
      <c r="AZ36" s="15"/>
      <c r="BA36" s="15"/>
      <c r="BB36" s="16">
        <f t="shared" si="52"/>
        <v>0</v>
      </c>
    </row>
    <row r="37" spans="1:54" ht="124.8" outlineLevel="2">
      <c r="A37" s="98"/>
      <c r="B37" s="143"/>
      <c r="C37" s="144"/>
      <c r="D37" s="290"/>
      <c r="E37" s="290"/>
      <c r="F37" s="290"/>
      <c r="G37" s="291"/>
      <c r="H37" s="302" t="s">
        <v>673</v>
      </c>
      <c r="I37" s="104"/>
      <c r="J37" s="105"/>
      <c r="K37" s="105"/>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107"/>
      <c r="AA37" s="107"/>
      <c r="AB37" s="108">
        <f>+Z37*'1. Standard_Cost'!$B$23+AA37*'1. Standard_Cost'!$C$23</f>
        <v>0</v>
      </c>
      <c r="AC37" s="109"/>
      <c r="AD37" s="110"/>
      <c r="AE37" s="108">
        <f>SUM(AD37,AC37,AB37,Y37,U37,T37,S37,R37)*'1. Standard_Cost'!$B$31</f>
        <v>0</v>
      </c>
      <c r="AF37" s="108">
        <f t="shared" si="48"/>
        <v>0</v>
      </c>
      <c r="AG37" s="107"/>
      <c r="AH37" s="107"/>
      <c r="AI37" s="107"/>
      <c r="AJ37" s="111"/>
      <c r="AK37" s="111"/>
      <c r="AL37" s="111"/>
      <c r="AM37" s="108">
        <f>AG37*'1. Standard_Cost'!$B$27+'Incremental_Cost Year 5'!AH37*'1. Standard_Cost'!$C$27+'Incremental_Cost Year 5'!AI37*'1. Standard_Cost'!$D$27+'Incremental_Cost Year 5'!AJ37+'Incremental_Cost Year 5'!AL37+AK37</f>
        <v>0</v>
      </c>
      <c r="AN37" s="108">
        <f>AM37*'1. Standard_Cost'!$C$31</f>
        <v>0</v>
      </c>
      <c r="AO37" s="125" t="s">
        <v>291</v>
      </c>
      <c r="AQ37" s="14">
        <f t="shared" si="49"/>
        <v>0</v>
      </c>
      <c r="AR37" s="14">
        <f t="shared" si="50"/>
        <v>0</v>
      </c>
      <c r="AS37" s="14">
        <f t="shared" si="51"/>
        <v>0</v>
      </c>
      <c r="AT37" s="14">
        <f t="shared" si="53"/>
        <v>0</v>
      </c>
      <c r="AU37" s="15"/>
      <c r="AV37" s="15"/>
      <c r="AW37" s="15"/>
      <c r="AX37" s="15"/>
      <c r="AY37" s="15"/>
      <c r="AZ37" s="15"/>
      <c r="BA37" s="15"/>
      <c r="BB37" s="16">
        <f t="shared" si="52"/>
        <v>0</v>
      </c>
    </row>
    <row r="38" spans="1:54" ht="78" outlineLevel="2">
      <c r="A38" s="98"/>
      <c r="B38" s="143"/>
      <c r="C38" s="144"/>
      <c r="D38" s="290"/>
      <c r="E38" s="290"/>
      <c r="F38" s="290"/>
      <c r="G38" s="291"/>
      <c r="H38" s="302" t="s">
        <v>585</v>
      </c>
      <c r="I38" s="104"/>
      <c r="J38" s="105"/>
      <c r="K38" s="105"/>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107"/>
      <c r="AA38" s="107"/>
      <c r="AB38" s="108">
        <f>+Z38*'1. Standard_Cost'!$B$23+AA38*'1. Standard_Cost'!$C$23</f>
        <v>0</v>
      </c>
      <c r="AC38" s="261">
        <v>1700000</v>
      </c>
      <c r="AD38" s="110"/>
      <c r="AE38" s="108">
        <f>SUM(AD38,AC38,AB38,Y38,U38,T38,S38,R38)*'1. Standard_Cost'!$B$31</f>
        <v>340000</v>
      </c>
      <c r="AF38" s="108">
        <f t="shared" si="48"/>
        <v>2040000</v>
      </c>
      <c r="AG38" s="107"/>
      <c r="AH38" s="107"/>
      <c r="AI38" s="107"/>
      <c r="AJ38" s="111"/>
      <c r="AK38" s="111"/>
      <c r="AL38" s="111"/>
      <c r="AM38" s="108">
        <f>AG38*'1. Standard_Cost'!$B$27+'Incremental_Cost Year 5'!AH38*'1. Standard_Cost'!$C$27+'Incremental_Cost Year 5'!AI38*'1. Standard_Cost'!$D$27+'Incremental_Cost Year 5'!AJ38+'Incremental_Cost Year 5'!AL38+AK38</f>
        <v>0</v>
      </c>
      <c r="AN38" s="108">
        <f>AM38*'1. Standard_Cost'!$C$31</f>
        <v>0</v>
      </c>
      <c r="AO38" s="125" t="s">
        <v>292</v>
      </c>
      <c r="AQ38" s="14">
        <f t="shared" si="49"/>
        <v>0</v>
      </c>
      <c r="AR38" s="14">
        <f t="shared" si="50"/>
        <v>2040000</v>
      </c>
      <c r="AS38" s="14">
        <f t="shared" si="51"/>
        <v>0</v>
      </c>
      <c r="AT38" s="14">
        <f t="shared" si="53"/>
        <v>2040000</v>
      </c>
      <c r="AU38" s="234">
        <v>2040000</v>
      </c>
      <c r="AV38" s="15"/>
      <c r="AW38" s="15"/>
      <c r="AX38" s="15"/>
      <c r="AY38" s="15"/>
      <c r="AZ38" s="15"/>
      <c r="BA38" s="15"/>
      <c r="BB38" s="16">
        <f t="shared" si="52"/>
        <v>0</v>
      </c>
    </row>
    <row r="39" spans="1:54" ht="156" outlineLevel="1">
      <c r="A39" s="98"/>
      <c r="B39" s="143"/>
      <c r="C39" s="144"/>
      <c r="D39" s="145" t="s">
        <v>628</v>
      </c>
      <c r="E39" s="145" t="s">
        <v>212</v>
      </c>
      <c r="F39" s="285">
        <v>2021</v>
      </c>
      <c r="G39" s="286">
        <v>2026</v>
      </c>
      <c r="H39" s="287" t="s">
        <v>214</v>
      </c>
      <c r="I39" s="112"/>
      <c r="J39" s="112"/>
      <c r="K39" s="112"/>
      <c r="L39" s="113">
        <f>SUM(L33:L38)</f>
        <v>0</v>
      </c>
      <c r="M39" s="113">
        <f>SUM(M33:M38)</f>
        <v>0</v>
      </c>
      <c r="N39" s="112"/>
      <c r="O39" s="112"/>
      <c r="P39" s="112"/>
      <c r="Q39" s="112"/>
      <c r="R39" s="113">
        <f t="shared" ref="R39:U39" si="54">SUM(R33:R38)</f>
        <v>0</v>
      </c>
      <c r="S39" s="113">
        <f t="shared" si="54"/>
        <v>0</v>
      </c>
      <c r="T39" s="113">
        <f t="shared" si="54"/>
        <v>0</v>
      </c>
      <c r="U39" s="113">
        <f t="shared" si="54"/>
        <v>0</v>
      </c>
      <c r="V39" s="112"/>
      <c r="W39" s="112"/>
      <c r="X39" s="112"/>
      <c r="Y39" s="113">
        <f>SUM(Y33:Y38)</f>
        <v>0</v>
      </c>
      <c r="Z39" s="112"/>
      <c r="AA39" s="112"/>
      <c r="AB39" s="113">
        <f>SUM(AB33:AB38)</f>
        <v>0</v>
      </c>
      <c r="AC39" s="113">
        <f t="shared" ref="AC39:AF39" si="55">SUM(AC33:AC38)</f>
        <v>1700000</v>
      </c>
      <c r="AD39" s="113">
        <f t="shared" si="55"/>
        <v>0</v>
      </c>
      <c r="AE39" s="113">
        <f t="shared" si="55"/>
        <v>340000</v>
      </c>
      <c r="AF39" s="113">
        <f t="shared" si="55"/>
        <v>2040000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0</v>
      </c>
      <c r="AR39" s="113">
        <f t="shared" si="57"/>
        <v>2040000</v>
      </c>
      <c r="AS39" s="113">
        <f t="shared" si="57"/>
        <v>0</v>
      </c>
      <c r="AT39" s="113">
        <f t="shared" si="57"/>
        <v>2040000</v>
      </c>
      <c r="AU39" s="113">
        <f t="shared" si="57"/>
        <v>2040000</v>
      </c>
      <c r="AV39" s="113">
        <f t="shared" si="57"/>
        <v>0</v>
      </c>
      <c r="AW39" s="113">
        <f t="shared" si="57"/>
        <v>0</v>
      </c>
      <c r="AX39" s="113">
        <f t="shared" si="57"/>
        <v>0</v>
      </c>
      <c r="AY39" s="113">
        <f t="shared" si="57"/>
        <v>0</v>
      </c>
      <c r="AZ39" s="113">
        <f t="shared" si="57"/>
        <v>0</v>
      </c>
      <c r="BA39" s="113">
        <f t="shared" si="57"/>
        <v>0</v>
      </c>
      <c r="BB39" s="113">
        <f t="shared" si="57"/>
        <v>0</v>
      </c>
    </row>
    <row r="40" spans="1:54" s="24" customFormat="1" ht="13.8" customHeight="1">
      <c r="A40" s="114"/>
      <c r="B40" s="115"/>
      <c r="C40" s="314" t="s">
        <v>192</v>
      </c>
      <c r="D40" s="314"/>
      <c r="E40" s="315"/>
      <c r="F40" s="246"/>
      <c r="G40" s="246"/>
      <c r="H40" s="278" t="s">
        <v>184</v>
      </c>
      <c r="I40" s="116"/>
      <c r="J40" s="116"/>
      <c r="K40" s="116"/>
      <c r="L40" s="117">
        <f>SUM(L59,L79)</f>
        <v>5337775</v>
      </c>
      <c r="M40" s="117">
        <f>SUM(M59,M79)</f>
        <v>891408.42500000005</v>
      </c>
      <c r="N40" s="116"/>
      <c r="O40" s="116"/>
      <c r="P40" s="116"/>
      <c r="Q40" s="116"/>
      <c r="R40" s="117">
        <f t="shared" ref="R40:U40" si="58">SUM(R59,R79)</f>
        <v>390000</v>
      </c>
      <c r="S40" s="117">
        <f t="shared" si="58"/>
        <v>315000</v>
      </c>
      <c r="T40" s="117">
        <f t="shared" si="58"/>
        <v>0</v>
      </c>
      <c r="U40" s="117">
        <f t="shared" si="58"/>
        <v>560000</v>
      </c>
      <c r="V40" s="116"/>
      <c r="W40" s="116"/>
      <c r="X40" s="116"/>
      <c r="Y40" s="117">
        <f>SUM(Y59,Y79)</f>
        <v>0</v>
      </c>
      <c r="Z40" s="116"/>
      <c r="AA40" s="116"/>
      <c r="AB40" s="117">
        <f t="shared" ref="AB40:AF40" si="59">SUM(AB59,AB79)</f>
        <v>1045000</v>
      </c>
      <c r="AC40" s="117">
        <f t="shared" si="59"/>
        <v>13390000</v>
      </c>
      <c r="AD40" s="117">
        <f t="shared" si="59"/>
        <v>0</v>
      </c>
      <c r="AE40" s="117">
        <f t="shared" si="59"/>
        <v>3140000</v>
      </c>
      <c r="AF40" s="117">
        <f t="shared" si="59"/>
        <v>18840000</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6229183.4250000007</v>
      </c>
      <c r="AR40" s="117">
        <f t="shared" si="61"/>
        <v>18840000</v>
      </c>
      <c r="AS40" s="117">
        <f t="shared" si="61"/>
        <v>0</v>
      </c>
      <c r="AT40" s="117">
        <f t="shared" si="61"/>
        <v>25069183.424999997</v>
      </c>
      <c r="AU40" s="117">
        <f t="shared" si="61"/>
        <v>13803771</v>
      </c>
      <c r="AV40" s="117">
        <f t="shared" si="61"/>
        <v>0</v>
      </c>
      <c r="AW40" s="117">
        <f t="shared" si="61"/>
        <v>0</v>
      </c>
      <c r="AX40" s="117">
        <f t="shared" si="61"/>
        <v>0</v>
      </c>
      <c r="AY40" s="117">
        <f t="shared" si="61"/>
        <v>0</v>
      </c>
      <c r="AZ40" s="117">
        <f t="shared" si="61"/>
        <v>456000</v>
      </c>
      <c r="BA40" s="117">
        <f t="shared" si="61"/>
        <v>5712757</v>
      </c>
      <c r="BB40" s="117">
        <f t="shared" si="61"/>
        <v>-5096655.4250000007</v>
      </c>
    </row>
    <row r="41" spans="1:54" ht="93.6" outlineLevel="2">
      <c r="A41" s="98"/>
      <c r="B41" s="102"/>
      <c r="C41" s="23"/>
      <c r="D41" s="257"/>
      <c r="E41" s="257"/>
      <c r="F41" s="251"/>
      <c r="G41" s="250"/>
      <c r="H41" s="302" t="s">
        <v>589</v>
      </c>
      <c r="I41" s="258"/>
      <c r="J41" s="259"/>
      <c r="K41" s="259"/>
      <c r="L41" s="106" t="str">
        <f>IF(I41&lt;&gt;0,((VLOOKUP(I41,'1. Standard_Cost'!$B$4:$D$11,2)+VLOOKUP(I41,'1. Standard_Cost'!$B$4:$D$11,3))*J41*K41),"0")</f>
        <v>0</v>
      </c>
      <c r="M41" s="106">
        <f>L41*'1. Standard_Cost'!$F$4</f>
        <v>0</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107"/>
      <c r="AA41" s="107"/>
      <c r="AB41" s="108">
        <f>+Z41*'1. Standard_Cost'!$B$23+AA41*'1. Standard_Cost'!$C$23</f>
        <v>0</v>
      </c>
      <c r="AC41" s="109"/>
      <c r="AD41" s="110"/>
      <c r="AE41" s="108">
        <f>SUM(AD41,AC41,AB41,Y41,U41,T41,S41,R41)*'1. Standard_Cost'!$B$31</f>
        <v>0</v>
      </c>
      <c r="AF41" s="108">
        <f t="shared" ref="AF41:AF58" si="62">SUM(AE41,AD41,AC41,AB41,Y41,U41,T41,S41,R41)</f>
        <v>0</v>
      </c>
      <c r="AG41" s="107"/>
      <c r="AH41" s="107"/>
      <c r="AI41" s="107"/>
      <c r="AJ41" s="111"/>
      <c r="AK41" s="111"/>
      <c r="AL41" s="111"/>
      <c r="AM41" s="108">
        <f>AG41*'1. Standard_Cost'!$B$27+'Incremental_Cost Year 5'!AH41*'1. Standard_Cost'!$C$27+'Incremental_Cost Year 5'!AI41*'1. Standard_Cost'!$D$27+'Incremental_Cost Year 5'!AJ41+'Incremental_Cost Year 5'!AL41+AK41</f>
        <v>0</v>
      </c>
      <c r="AN41" s="108">
        <f>AM41*'1. Standard_Cost'!$C$31</f>
        <v>0</v>
      </c>
      <c r="AO41" s="125" t="s">
        <v>293</v>
      </c>
      <c r="AQ41" s="14">
        <f t="shared" ref="AQ41:AQ58" si="63">L41+M41</f>
        <v>0</v>
      </c>
      <c r="AR41" s="14">
        <f t="shared" ref="AR41:AR58" si="64">AF41</f>
        <v>0</v>
      </c>
      <c r="AS41" s="14">
        <f t="shared" ref="AS41:AS58" si="65">AM41+AN41</f>
        <v>0</v>
      </c>
      <c r="AT41" s="14">
        <f>SUM(AQ41,AR41,AS41)</f>
        <v>0</v>
      </c>
      <c r="AU41" s="15"/>
      <c r="AV41" s="15"/>
      <c r="AW41" s="15"/>
      <c r="AX41" s="15"/>
      <c r="AY41" s="15"/>
      <c r="AZ41" s="15"/>
      <c r="BA41" s="15"/>
      <c r="BB41" s="16">
        <f t="shared" ref="BB41:BB58" si="66">SUM(AU41:BA41)-AT41</f>
        <v>0</v>
      </c>
    </row>
    <row r="42" spans="1:54" ht="109.2" outlineLevel="2">
      <c r="A42" s="98"/>
      <c r="B42" s="102"/>
      <c r="C42" s="23"/>
      <c r="D42" s="251"/>
      <c r="E42" s="251"/>
      <c r="F42" s="251"/>
      <c r="G42" s="250"/>
      <c r="H42" s="302" t="s">
        <v>590</v>
      </c>
      <c r="I42" s="258"/>
      <c r="J42" s="259"/>
      <c r="K42" s="259"/>
      <c r="L42" s="106" t="str">
        <f>IF(I42&lt;&gt;0,((VLOOKUP(I42,'1. Standard_Cost'!$B$4:$D$11,2)+VLOOKUP(I42,'1. Standard_Cost'!$B$4:$D$11,3))*J42*K42),"0")</f>
        <v>0</v>
      </c>
      <c r="M42" s="106">
        <f>L42*'1. Standard_Cost'!$F$4</f>
        <v>0</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107"/>
      <c r="AA42" s="107"/>
      <c r="AB42" s="108">
        <f>+Z42*'1. Standard_Cost'!$B$23+AA42*'1. Standard_Cost'!$C$23</f>
        <v>0</v>
      </c>
      <c r="AC42" s="109"/>
      <c r="AD42" s="110"/>
      <c r="AE42" s="108">
        <f>SUM(AD42,AC42,AB42,Y42,U42,T42,S42,R42)*'1. Standard_Cost'!$B$31</f>
        <v>0</v>
      </c>
      <c r="AF42" s="108">
        <f t="shared" si="62"/>
        <v>0</v>
      </c>
      <c r="AG42" s="107"/>
      <c r="AH42" s="107"/>
      <c r="AI42" s="107"/>
      <c r="AJ42" s="111"/>
      <c r="AK42" s="111"/>
      <c r="AL42" s="111"/>
      <c r="AM42" s="108">
        <f>AG42*'1. Standard_Cost'!$B$27+'Incremental_Cost Year 5'!AH42*'1. Standard_Cost'!$C$27+'Incremental_Cost Year 5'!AI42*'1. Standard_Cost'!$D$27+'Incremental_Cost Year 5'!AJ42+'Incremental_Cost Year 5'!AL42+AK42</f>
        <v>0</v>
      </c>
      <c r="AN42" s="108">
        <f>AM42*'1. Standard_Cost'!$C$31</f>
        <v>0</v>
      </c>
      <c r="AO42" s="125" t="s">
        <v>294</v>
      </c>
      <c r="AQ42" s="14">
        <f t="shared" si="63"/>
        <v>0</v>
      </c>
      <c r="AR42" s="14">
        <f t="shared" si="64"/>
        <v>0</v>
      </c>
      <c r="AS42" s="14">
        <f t="shared" si="65"/>
        <v>0</v>
      </c>
      <c r="AT42" s="14">
        <f t="shared" ref="AT42:AT57" si="67">SUM(AQ42,AR42,AS42)</f>
        <v>0</v>
      </c>
      <c r="AU42" s="15"/>
      <c r="AV42" s="15">
        <v>0</v>
      </c>
      <c r="AW42" s="15"/>
      <c r="AX42" s="15"/>
      <c r="AY42" s="15"/>
      <c r="AZ42" s="15"/>
      <c r="BA42" s="15"/>
      <c r="BB42" s="16">
        <f t="shared" si="66"/>
        <v>0</v>
      </c>
    </row>
    <row r="43" spans="1:54" ht="124.8" outlineLevel="2">
      <c r="A43" s="98"/>
      <c r="B43" s="102"/>
      <c r="C43" s="23"/>
      <c r="D43" s="251"/>
      <c r="E43" s="251"/>
      <c r="F43" s="251"/>
      <c r="G43" s="250"/>
      <c r="H43" s="302" t="s">
        <v>591</v>
      </c>
      <c r="I43" s="258"/>
      <c r="J43" s="259"/>
      <c r="K43" s="259"/>
      <c r="L43" s="106" t="str">
        <f>IF(I43&lt;&gt;0,((VLOOKUP(I43,'1. Standard_Cost'!$B$4:$D$11,2)+VLOOKUP(I43,'1. Standard_Cost'!$B$4:$D$11,3))*J43*K43),"0")</f>
        <v>0</v>
      </c>
      <c r="M43" s="106">
        <f>L43*'1. Standard_Cost'!$F$4</f>
        <v>0</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107"/>
      <c r="AA43" s="107"/>
      <c r="AB43" s="108">
        <f>+Z43*'1. Standard_Cost'!$B$23+AA43*'1. Standard_Cost'!$C$23</f>
        <v>0</v>
      </c>
      <c r="AC43" s="109"/>
      <c r="AD43" s="110"/>
      <c r="AE43" s="108">
        <f>SUM(AD43,AC43,AB43,Y43,U43,T43,S43,R43)*'1. Standard_Cost'!$B$31</f>
        <v>0</v>
      </c>
      <c r="AF43" s="108">
        <f t="shared" si="62"/>
        <v>0</v>
      </c>
      <c r="AG43" s="107"/>
      <c r="AH43" s="107"/>
      <c r="AI43" s="107"/>
      <c r="AJ43" s="111"/>
      <c r="AK43" s="111"/>
      <c r="AL43" s="111"/>
      <c r="AM43" s="108">
        <f>AG43*'1. Standard_Cost'!$B$27+'Incremental_Cost Year 5'!AH43*'1. Standard_Cost'!$C$27+'Incremental_Cost Year 5'!AI43*'1. Standard_Cost'!$D$27+'Incremental_Cost Year 5'!AJ43+'Incremental_Cost Year 5'!AL43+AK43</f>
        <v>0</v>
      </c>
      <c r="AN43" s="108">
        <f>AM43*'1. Standard_Cost'!$C$31</f>
        <v>0</v>
      </c>
      <c r="AO43" s="125" t="s">
        <v>295</v>
      </c>
      <c r="AQ43" s="14">
        <f t="shared" si="63"/>
        <v>0</v>
      </c>
      <c r="AR43" s="14">
        <f t="shared" si="64"/>
        <v>0</v>
      </c>
      <c r="AS43" s="14">
        <f t="shared" si="65"/>
        <v>0</v>
      </c>
      <c r="AT43" s="14">
        <f t="shared" si="67"/>
        <v>0</v>
      </c>
      <c r="AU43" s="15"/>
      <c r="AV43" s="15">
        <v>0</v>
      </c>
      <c r="AW43" s="15"/>
      <c r="AX43" s="15"/>
      <c r="AY43" s="15"/>
      <c r="AZ43" s="15"/>
      <c r="BA43" s="15"/>
      <c r="BB43" s="16">
        <f t="shared" si="66"/>
        <v>0</v>
      </c>
    </row>
    <row r="44" spans="1:54" ht="82.8" outlineLevel="2">
      <c r="A44" s="98"/>
      <c r="B44" s="102"/>
      <c r="C44" s="23"/>
      <c r="D44" s="251"/>
      <c r="E44" s="251"/>
      <c r="F44" s="172"/>
      <c r="G44" s="173"/>
      <c r="H44" s="302" t="s">
        <v>674</v>
      </c>
      <c r="I44" s="258"/>
      <c r="J44" s="259"/>
      <c r="K44" s="259"/>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107"/>
      <c r="AA44" s="107"/>
      <c r="AB44" s="108">
        <f>+Z44*'1. Standard_Cost'!$B$23+AA44*'1. Standard_Cost'!$C$23</f>
        <v>0</v>
      </c>
      <c r="AC44" s="109"/>
      <c r="AD44" s="110"/>
      <c r="AE44" s="108">
        <f>SUM(AD44,AC44,AB44,Y44,U44,T44,S44,R44)*'1. Standard_Cost'!$B$31</f>
        <v>0</v>
      </c>
      <c r="AF44" s="108">
        <f t="shared" si="62"/>
        <v>0</v>
      </c>
      <c r="AG44" s="107"/>
      <c r="AH44" s="107"/>
      <c r="AI44" s="107"/>
      <c r="AJ44" s="111"/>
      <c r="AK44" s="111"/>
      <c r="AL44" s="111"/>
      <c r="AM44" s="108">
        <f>AG44*'1. Standard_Cost'!$B$27+'Incremental_Cost Year 5'!AH44*'1. Standard_Cost'!$C$27+'Incremental_Cost Year 5'!AI44*'1. Standard_Cost'!$D$27+'Incremental_Cost Year 5'!AJ44+'Incremental_Cost Year 5'!AL44+AK44</f>
        <v>0</v>
      </c>
      <c r="AN44" s="108">
        <f>AM44*'1. Standard_Cost'!$C$31</f>
        <v>0</v>
      </c>
      <c r="AO44" s="125" t="s">
        <v>296</v>
      </c>
      <c r="AQ44" s="14">
        <f t="shared" si="63"/>
        <v>0</v>
      </c>
      <c r="AR44" s="14">
        <f t="shared" si="64"/>
        <v>0</v>
      </c>
      <c r="AS44" s="14">
        <f t="shared" si="65"/>
        <v>0</v>
      </c>
      <c r="AT44" s="14">
        <f t="shared" si="67"/>
        <v>0</v>
      </c>
      <c r="AU44" s="15"/>
      <c r="AV44" s="15"/>
      <c r="AW44" s="15"/>
      <c r="AX44" s="15"/>
      <c r="AY44" s="15"/>
      <c r="AZ44" s="15"/>
      <c r="BA44" s="15"/>
      <c r="BB44" s="16">
        <f t="shared" si="66"/>
        <v>0</v>
      </c>
    </row>
    <row r="45" spans="1:54" ht="109.2" outlineLevel="2">
      <c r="A45" s="98"/>
      <c r="B45" s="102"/>
      <c r="C45" s="23"/>
      <c r="D45" s="251"/>
      <c r="E45" s="251"/>
      <c r="F45" s="251"/>
      <c r="G45" s="250"/>
      <c r="H45" s="302" t="s">
        <v>592</v>
      </c>
      <c r="I45" s="258"/>
      <c r="J45" s="259"/>
      <c r="K45" s="259"/>
      <c r="L45" s="106" t="str">
        <f>IF(I45&lt;&gt;0,((VLOOKUP(I45,'1. Standard_Cost'!$B$4:$D$11,2)+VLOOKUP(I45,'1. Standard_Cost'!$B$4:$D$11,3))*J45*K45),"0")</f>
        <v>0</v>
      </c>
      <c r="M45" s="106">
        <f>L45*'1. Standard_Cost'!$F$4</f>
        <v>0</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107"/>
      <c r="AA45" s="107"/>
      <c r="AB45" s="108">
        <f>+Z45*'1. Standard_Cost'!$B$23+AA45*'1. Standard_Cost'!$C$23</f>
        <v>0</v>
      </c>
      <c r="AC45" s="109"/>
      <c r="AD45" s="110"/>
      <c r="AE45" s="108">
        <f>SUM(AD45,AC45,AB45,Y45,U45,T45,S45,R45)*'1. Standard_Cost'!$B$31</f>
        <v>0</v>
      </c>
      <c r="AF45" s="108">
        <f t="shared" si="62"/>
        <v>0</v>
      </c>
      <c r="AG45" s="107"/>
      <c r="AH45" s="107"/>
      <c r="AI45" s="107"/>
      <c r="AJ45" s="111"/>
      <c r="AK45" s="111"/>
      <c r="AL45" s="111"/>
      <c r="AM45" s="108">
        <f>AG45*'1. Standard_Cost'!$B$27+'Incremental_Cost Year 5'!AH45*'1. Standard_Cost'!$C$27+'Incremental_Cost Year 5'!AI45*'1. Standard_Cost'!$D$27+'Incremental_Cost Year 5'!AJ45+'Incremental_Cost Year 5'!AL45+AK45</f>
        <v>0</v>
      </c>
      <c r="AN45" s="108">
        <f>AM45*'1. Standard_Cost'!$C$31</f>
        <v>0</v>
      </c>
      <c r="AO45" s="125" t="s">
        <v>297</v>
      </c>
      <c r="AQ45" s="14">
        <f t="shared" si="63"/>
        <v>0</v>
      </c>
      <c r="AR45" s="14">
        <f t="shared" si="64"/>
        <v>0</v>
      </c>
      <c r="AS45" s="14">
        <f t="shared" si="65"/>
        <v>0</v>
      </c>
      <c r="AT45" s="14">
        <f t="shared" si="67"/>
        <v>0</v>
      </c>
      <c r="AU45" s="15"/>
      <c r="AV45" s="15">
        <v>0</v>
      </c>
      <c r="AW45" s="15"/>
      <c r="AX45" s="15"/>
      <c r="AY45" s="15"/>
      <c r="AZ45" s="15"/>
      <c r="BA45" s="15"/>
      <c r="BB45" s="16">
        <f t="shared" si="66"/>
        <v>0</v>
      </c>
    </row>
    <row r="46" spans="1:54" ht="140.4" outlineLevel="2">
      <c r="A46" s="98"/>
      <c r="B46" s="102"/>
      <c r="C46" s="23"/>
      <c r="D46" s="251"/>
      <c r="E46" s="251"/>
      <c r="F46" s="251"/>
      <c r="G46" s="250"/>
      <c r="H46" s="302" t="s">
        <v>593</v>
      </c>
      <c r="I46" s="258"/>
      <c r="J46" s="259"/>
      <c r="K46" s="259"/>
      <c r="L46" s="106" t="str">
        <f>IF(I46&lt;&gt;0,((VLOOKUP(I46,'1. Standard_Cost'!$B$4:$D$11,2)+VLOOKUP(I46,'1. Standard_Cost'!$B$4:$D$11,3))*J46*K46),"0")</f>
        <v>0</v>
      </c>
      <c r="M46" s="106">
        <f>L46*'1. Standard_Cost'!$F$4</f>
        <v>0</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107"/>
      <c r="AA46" s="107"/>
      <c r="AB46" s="108">
        <f>+Z46*'1. Standard_Cost'!$B$23+AA46*'1. Standard_Cost'!$C$23</f>
        <v>0</v>
      </c>
      <c r="AC46" s="109"/>
      <c r="AD46" s="110"/>
      <c r="AE46" s="108">
        <f>SUM(AD46,AC46,AB46,Y46,U46,T46,S46,R46)*'1. Standard_Cost'!$B$31</f>
        <v>0</v>
      </c>
      <c r="AF46" s="108">
        <f t="shared" si="62"/>
        <v>0</v>
      </c>
      <c r="AG46" s="107"/>
      <c r="AH46" s="107"/>
      <c r="AI46" s="107"/>
      <c r="AJ46" s="111"/>
      <c r="AK46" s="111"/>
      <c r="AL46" s="111"/>
      <c r="AM46" s="108">
        <f>AG46*'1. Standard_Cost'!$B$27+'Incremental_Cost Year 5'!AH46*'1. Standard_Cost'!$C$27+'Incremental_Cost Year 5'!AI46*'1. Standard_Cost'!$D$27+'Incremental_Cost Year 5'!AJ46+'Incremental_Cost Year 5'!AL46+AK46</f>
        <v>0</v>
      </c>
      <c r="AN46" s="108">
        <f>AM46*'1. Standard_Cost'!$C$31</f>
        <v>0</v>
      </c>
      <c r="AO46" s="125" t="s">
        <v>298</v>
      </c>
      <c r="AQ46" s="14">
        <f t="shared" si="63"/>
        <v>0</v>
      </c>
      <c r="AR46" s="14">
        <f t="shared" si="64"/>
        <v>0</v>
      </c>
      <c r="AS46" s="14">
        <f t="shared" si="65"/>
        <v>0</v>
      </c>
      <c r="AT46" s="14">
        <f t="shared" si="67"/>
        <v>0</v>
      </c>
      <c r="AU46" s="15"/>
      <c r="AV46" s="15"/>
      <c r="AW46" s="15"/>
      <c r="AX46" s="15"/>
      <c r="AY46" s="15"/>
      <c r="AZ46" s="15"/>
      <c r="BA46" s="15"/>
      <c r="BB46" s="16">
        <f t="shared" si="66"/>
        <v>0</v>
      </c>
    </row>
    <row r="47" spans="1:54" ht="93.6" outlineLevel="2">
      <c r="A47" s="98"/>
      <c r="B47" s="102"/>
      <c r="C47" s="23"/>
      <c r="D47" s="251"/>
      <c r="E47" s="251"/>
      <c r="F47" s="172"/>
      <c r="G47" s="173"/>
      <c r="H47" s="302" t="s">
        <v>594</v>
      </c>
      <c r="I47" s="258"/>
      <c r="J47" s="259"/>
      <c r="K47" s="259"/>
      <c r="L47" s="106" t="str">
        <f>IF(I47&lt;&gt;0,((VLOOKUP(I47,'1. Standard_Cost'!$B$4:$D$11,2)+VLOOKUP(I47,'1. Standard_Cost'!$B$4:$D$11,3))*J47*K47),"0")</f>
        <v>0</v>
      </c>
      <c r="M47" s="106">
        <f>L47*'1. Standard_Cost'!$F$4</f>
        <v>0</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107"/>
      <c r="AA47" s="107"/>
      <c r="AB47" s="108">
        <f>+Z47*'1. Standard_Cost'!$B$23+AA47*'1. Standard_Cost'!$C$23</f>
        <v>0</v>
      </c>
      <c r="AC47" s="109"/>
      <c r="AD47" s="110"/>
      <c r="AE47" s="108">
        <f>SUM(AD47,AC47,AB47,Y47,U47,T47,S47,R47)*'1. Standard_Cost'!$B$31</f>
        <v>0</v>
      </c>
      <c r="AF47" s="108">
        <f t="shared" si="62"/>
        <v>0</v>
      </c>
      <c r="AG47" s="107"/>
      <c r="AH47" s="107"/>
      <c r="AI47" s="107"/>
      <c r="AJ47" s="111"/>
      <c r="AK47" s="111"/>
      <c r="AL47" s="111"/>
      <c r="AM47" s="108">
        <f>AG47*'1. Standard_Cost'!$B$27+'Incremental_Cost Year 5'!AH47*'1. Standard_Cost'!$C$27+'Incremental_Cost Year 5'!AI47*'1. Standard_Cost'!$D$27+'Incremental_Cost Year 5'!AJ47+'Incremental_Cost Year 5'!AL47+AK47</f>
        <v>0</v>
      </c>
      <c r="AN47" s="108">
        <f>AM47*'1. Standard_Cost'!$C$31</f>
        <v>0</v>
      </c>
      <c r="AO47" s="125" t="s">
        <v>298</v>
      </c>
      <c r="AQ47" s="14">
        <f t="shared" si="63"/>
        <v>0</v>
      </c>
      <c r="AR47" s="14">
        <f t="shared" si="64"/>
        <v>0</v>
      </c>
      <c r="AS47" s="14">
        <f t="shared" si="65"/>
        <v>0</v>
      </c>
      <c r="AT47" s="14">
        <f t="shared" si="67"/>
        <v>0</v>
      </c>
      <c r="AU47" s="15"/>
      <c r="AV47" s="15">
        <v>0</v>
      </c>
      <c r="AW47" s="15"/>
      <c r="AX47" s="15"/>
      <c r="AY47" s="15"/>
      <c r="AZ47" s="15"/>
      <c r="BA47" s="15"/>
      <c r="BB47" s="16">
        <f t="shared" si="66"/>
        <v>0</v>
      </c>
    </row>
    <row r="48" spans="1:54" ht="93.6" outlineLevel="2">
      <c r="A48" s="98"/>
      <c r="B48" s="102"/>
      <c r="C48" s="23"/>
      <c r="D48" s="251"/>
      <c r="E48" s="251"/>
      <c r="F48" s="172"/>
      <c r="G48" s="173"/>
      <c r="H48" s="302" t="s">
        <v>595</v>
      </c>
      <c r="I48" s="258"/>
      <c r="J48" s="259"/>
      <c r="K48" s="259"/>
      <c r="L48" s="106" t="str">
        <f>IF(I48&lt;&gt;0,((VLOOKUP(I48,'1. Standard_Cost'!$B$4:$D$11,2)+VLOOKUP(I48,'1. Standard_Cost'!$B$4:$D$11,3))*J48*K48),"0")</f>
        <v>0</v>
      </c>
      <c r="M48" s="106">
        <f>L48*'1. Standard_Cost'!$F$4</f>
        <v>0</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107"/>
      <c r="AA48" s="107"/>
      <c r="AB48" s="108">
        <f>+Z48*'1. Standard_Cost'!$B$23+AA48*'1. Standard_Cost'!$C$23</f>
        <v>0</v>
      </c>
      <c r="AC48" s="109"/>
      <c r="AD48" s="110"/>
      <c r="AE48" s="108">
        <f>SUM(AD48,AC48,AB48,Y48,U48,T48,S48,R48)*'1. Standard_Cost'!$B$31</f>
        <v>0</v>
      </c>
      <c r="AF48" s="108">
        <f t="shared" si="62"/>
        <v>0</v>
      </c>
      <c r="AG48" s="107"/>
      <c r="AH48" s="107"/>
      <c r="AI48" s="107"/>
      <c r="AJ48" s="111"/>
      <c r="AK48" s="111"/>
      <c r="AL48" s="111"/>
      <c r="AM48" s="108">
        <f>AG48*'1. Standard_Cost'!$B$27+'Incremental_Cost Year 5'!AH48*'1. Standard_Cost'!$C$27+'Incremental_Cost Year 5'!AI48*'1. Standard_Cost'!$D$27+'Incremental_Cost Year 5'!AJ48+'Incremental_Cost Year 5'!AL48+AK48</f>
        <v>0</v>
      </c>
      <c r="AN48" s="108">
        <f>AM48*'1. Standard_Cost'!$C$31</f>
        <v>0</v>
      </c>
      <c r="AO48" s="125" t="s">
        <v>298</v>
      </c>
      <c r="AQ48" s="14">
        <f t="shared" si="63"/>
        <v>0</v>
      </c>
      <c r="AR48" s="14">
        <f t="shared" si="64"/>
        <v>0</v>
      </c>
      <c r="AS48" s="14">
        <f t="shared" si="65"/>
        <v>0</v>
      </c>
      <c r="AT48" s="14">
        <f t="shared" si="67"/>
        <v>0</v>
      </c>
      <c r="AU48" s="15"/>
      <c r="AV48" s="15"/>
      <c r="AW48" s="15"/>
      <c r="AX48" s="15"/>
      <c r="AY48" s="15"/>
      <c r="AZ48" s="15"/>
      <c r="BA48" s="15"/>
      <c r="BB48" s="16">
        <f t="shared" si="66"/>
        <v>0</v>
      </c>
    </row>
    <row r="49" spans="1:54" ht="124.8" outlineLevel="2">
      <c r="A49" s="98"/>
      <c r="B49" s="102"/>
      <c r="C49" s="23"/>
      <c r="D49" s="251"/>
      <c r="E49" s="251"/>
      <c r="F49" s="251"/>
      <c r="G49" s="250"/>
      <c r="H49" s="302" t="s">
        <v>596</v>
      </c>
      <c r="I49" s="258"/>
      <c r="J49" s="259"/>
      <c r="K49" s="259"/>
      <c r="L49" s="106" t="str">
        <f>IF(I49&lt;&gt;0,((VLOOKUP(I49,'1. Standard_Cost'!$B$4:$D$11,2)+VLOOKUP(I49,'1. Standard_Cost'!$B$4:$D$11,3))*J49*K49),"0")</f>
        <v>0</v>
      </c>
      <c r="M49" s="106">
        <f>L49*'1. Standard_Cost'!$F$4</f>
        <v>0</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107"/>
      <c r="AA49" s="107"/>
      <c r="AB49" s="108">
        <f>+Z49*'1. Standard_Cost'!$B$23+AA49*'1. Standard_Cost'!$C$23</f>
        <v>0</v>
      </c>
      <c r="AC49" s="109"/>
      <c r="AD49" s="110"/>
      <c r="AE49" s="108">
        <f>SUM(AD49,AC49,AB49,Y49,U49,T49,S49,R49)*'1. Standard_Cost'!$B$31</f>
        <v>0</v>
      </c>
      <c r="AF49" s="108">
        <f t="shared" si="62"/>
        <v>0</v>
      </c>
      <c r="AG49" s="107"/>
      <c r="AH49" s="107"/>
      <c r="AI49" s="107"/>
      <c r="AJ49" s="111"/>
      <c r="AK49" s="111"/>
      <c r="AL49" s="111"/>
      <c r="AM49" s="108">
        <f>AG49*'1. Standard_Cost'!$B$27+'Incremental_Cost Year 5'!AH49*'1. Standard_Cost'!$C$27+'Incremental_Cost Year 5'!AI49*'1. Standard_Cost'!$D$27+'Incremental_Cost Year 5'!AJ49+'Incremental_Cost Year 5'!AL49+AK49</f>
        <v>0</v>
      </c>
      <c r="AN49" s="108">
        <f>AM49*'1. Standard_Cost'!$C$31</f>
        <v>0</v>
      </c>
      <c r="AO49" s="125" t="s">
        <v>299</v>
      </c>
      <c r="AQ49" s="14">
        <f t="shared" si="63"/>
        <v>0</v>
      </c>
      <c r="AR49" s="14">
        <f t="shared" si="64"/>
        <v>0</v>
      </c>
      <c r="AS49" s="14">
        <f t="shared" si="65"/>
        <v>0</v>
      </c>
      <c r="AT49" s="14">
        <f t="shared" si="67"/>
        <v>0</v>
      </c>
      <c r="AU49" s="15"/>
      <c r="AV49" s="15">
        <v>0</v>
      </c>
      <c r="AW49" s="15"/>
      <c r="AX49" s="15"/>
      <c r="AY49" s="15"/>
      <c r="AZ49" s="15"/>
      <c r="BA49" s="15"/>
      <c r="BB49" s="16">
        <f t="shared" si="66"/>
        <v>0</v>
      </c>
    </row>
    <row r="50" spans="1:54" ht="140.4" customHeight="1" outlineLevel="2">
      <c r="A50" s="98"/>
      <c r="B50" s="102"/>
      <c r="C50" s="23"/>
      <c r="D50" s="251"/>
      <c r="E50" s="251"/>
      <c r="F50" s="172"/>
      <c r="G50" s="173"/>
      <c r="H50" s="302" t="s">
        <v>597</v>
      </c>
      <c r="I50" s="258"/>
      <c r="J50" s="259"/>
      <c r="K50" s="259"/>
      <c r="L50" s="106" t="str">
        <f>IF(I50&lt;&gt;0,((VLOOKUP(I50,'1. Standard_Cost'!$B$4:$D$11,2)+VLOOKUP(I50,'1. Standard_Cost'!$B$4:$D$11,3))*J50*K50),"0")</f>
        <v>0</v>
      </c>
      <c r="M50" s="106">
        <f>L50*'1. Standard_Cost'!$F$4</f>
        <v>0</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107"/>
      <c r="AA50" s="107"/>
      <c r="AB50" s="108">
        <f>+Z50*'1. Standard_Cost'!$B$23+AA50*'1. Standard_Cost'!$C$23</f>
        <v>0</v>
      </c>
      <c r="AC50" s="109"/>
      <c r="AD50" s="110"/>
      <c r="AE50" s="108">
        <f>SUM(AD50,AC50,AB50,Y50,U50,T50,S50,R50)*'1. Standard_Cost'!$B$31</f>
        <v>0</v>
      </c>
      <c r="AF50" s="108">
        <f t="shared" si="62"/>
        <v>0</v>
      </c>
      <c r="AG50" s="107"/>
      <c r="AH50" s="107"/>
      <c r="AI50" s="107"/>
      <c r="AJ50" s="111"/>
      <c r="AK50" s="111"/>
      <c r="AL50" s="111"/>
      <c r="AM50" s="108">
        <f>AG50*'1. Standard_Cost'!$B$27+'Incremental_Cost Year 5'!AH50*'1. Standard_Cost'!$C$27+'Incremental_Cost Year 5'!AI50*'1. Standard_Cost'!$D$27+'Incremental_Cost Year 5'!AJ50+'Incremental_Cost Year 5'!AL50+AK50</f>
        <v>0</v>
      </c>
      <c r="AN50" s="108">
        <f>AM50*'1. Standard_Cost'!$C$31</f>
        <v>0</v>
      </c>
      <c r="AO50" s="125" t="s">
        <v>300</v>
      </c>
      <c r="AQ50" s="14">
        <f t="shared" si="63"/>
        <v>0</v>
      </c>
      <c r="AR50" s="14">
        <f t="shared" si="64"/>
        <v>0</v>
      </c>
      <c r="AS50" s="14">
        <f t="shared" si="65"/>
        <v>0</v>
      </c>
      <c r="AT50" s="14">
        <f t="shared" si="67"/>
        <v>0</v>
      </c>
      <c r="AU50" s="15"/>
      <c r="AV50" s="15">
        <v>0</v>
      </c>
      <c r="AW50" s="15"/>
      <c r="AX50" s="15"/>
      <c r="AY50" s="15"/>
      <c r="AZ50" s="15"/>
      <c r="BA50" s="15"/>
      <c r="BB50" s="16">
        <f t="shared" si="66"/>
        <v>0</v>
      </c>
    </row>
    <row r="51" spans="1:54" ht="109.2" outlineLevel="2">
      <c r="A51" s="98"/>
      <c r="B51" s="102"/>
      <c r="C51" s="23"/>
      <c r="D51" s="251"/>
      <c r="E51" s="251"/>
      <c r="F51" s="251"/>
      <c r="G51" s="173"/>
      <c r="H51" s="302" t="s">
        <v>598</v>
      </c>
      <c r="I51" s="258"/>
      <c r="J51" s="259"/>
      <c r="K51" s="259"/>
      <c r="L51" s="106" t="str">
        <f>IF(I51&lt;&gt;0,((VLOOKUP(I51,'1. Standard_Cost'!$B$4:$D$11,2)+VLOOKUP(I51,'1. Standard_Cost'!$B$4:$D$11,3))*J51*K51),"0")</f>
        <v>0</v>
      </c>
      <c r="M51" s="106">
        <f>L51*'1. Standard_Cost'!$F$4</f>
        <v>0</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107"/>
      <c r="AA51" s="107"/>
      <c r="AB51" s="108">
        <f>+Z51*'1. Standard_Cost'!$B$23+AA51*'1. Standard_Cost'!$C$23</f>
        <v>0</v>
      </c>
      <c r="AC51" s="109"/>
      <c r="AD51" s="110"/>
      <c r="AE51" s="108">
        <f>SUM(AD51,AC51,AB51,Y51,U51,T51,S51,R51)*'1. Standard_Cost'!$B$31</f>
        <v>0</v>
      </c>
      <c r="AF51" s="108">
        <f t="shared" si="62"/>
        <v>0</v>
      </c>
      <c r="AG51" s="107"/>
      <c r="AH51" s="107"/>
      <c r="AI51" s="107"/>
      <c r="AJ51" s="111"/>
      <c r="AK51" s="111"/>
      <c r="AL51" s="111"/>
      <c r="AM51" s="108">
        <f>AG51*'1. Standard_Cost'!$B$27+'Incremental_Cost Year 5'!AH51*'1. Standard_Cost'!$C$27+'Incremental_Cost Year 5'!AI51*'1. Standard_Cost'!$D$27+'Incremental_Cost Year 5'!AJ51+'Incremental_Cost Year 5'!AL51+AK51</f>
        <v>0</v>
      </c>
      <c r="AN51" s="108">
        <f>AM51*'1. Standard_Cost'!$C$31</f>
        <v>0</v>
      </c>
      <c r="AO51" s="125" t="s">
        <v>301</v>
      </c>
      <c r="AQ51" s="14">
        <f t="shared" si="63"/>
        <v>0</v>
      </c>
      <c r="AR51" s="14">
        <f t="shared" si="64"/>
        <v>0</v>
      </c>
      <c r="AS51" s="14">
        <f t="shared" si="65"/>
        <v>0</v>
      </c>
      <c r="AT51" s="14">
        <f t="shared" si="67"/>
        <v>0</v>
      </c>
      <c r="AU51" s="15"/>
      <c r="AV51" s="15"/>
      <c r="AW51" s="15"/>
      <c r="AX51" s="15"/>
      <c r="AY51" s="15"/>
      <c r="AZ51" s="15"/>
      <c r="BA51" s="15"/>
      <c r="BB51" s="16">
        <f t="shared" si="66"/>
        <v>0</v>
      </c>
    </row>
    <row r="52" spans="1:54" ht="109.2" outlineLevel="2">
      <c r="A52" s="98"/>
      <c r="B52" s="102"/>
      <c r="C52" s="23"/>
      <c r="D52" s="251"/>
      <c r="E52" s="251"/>
      <c r="F52" s="251"/>
      <c r="G52" s="250"/>
      <c r="H52" s="302" t="s">
        <v>599</v>
      </c>
      <c r="I52" s="258"/>
      <c r="J52" s="259"/>
      <c r="K52" s="259"/>
      <c r="L52" s="106" t="str">
        <f>IF(I52&lt;&gt;0,((VLOOKUP(I52,'1. Standard_Cost'!$B$4:$D$11,2)+VLOOKUP(I52,'1. Standard_Cost'!$B$4:$D$11,3))*J52*K52),"0")</f>
        <v>0</v>
      </c>
      <c r="M52" s="106">
        <f>L52*'1. Standard_Cost'!$F$4</f>
        <v>0</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107"/>
      <c r="AA52" s="107"/>
      <c r="AB52" s="108">
        <f>+Z52*'1. Standard_Cost'!$B$23+AA52*'1. Standard_Cost'!$C$23</f>
        <v>0</v>
      </c>
      <c r="AC52" s="109"/>
      <c r="AD52" s="110"/>
      <c r="AE52" s="108">
        <f>SUM(AD52,AC52,AB52,Y52,U52,T52,S52,R52)*'1. Standard_Cost'!$B$31</f>
        <v>0</v>
      </c>
      <c r="AF52" s="108">
        <f t="shared" si="62"/>
        <v>0</v>
      </c>
      <c r="AG52" s="107"/>
      <c r="AH52" s="107"/>
      <c r="AI52" s="107"/>
      <c r="AJ52" s="111"/>
      <c r="AK52" s="111"/>
      <c r="AL52" s="111"/>
      <c r="AM52" s="108">
        <f>AG52*'1. Standard_Cost'!$B$27+'Incremental_Cost Year 5'!AH52*'1. Standard_Cost'!$C$27+'Incremental_Cost Year 5'!AI52*'1. Standard_Cost'!$D$27+'Incremental_Cost Year 5'!AJ52+'Incremental_Cost Year 5'!AL52+AK52</f>
        <v>0</v>
      </c>
      <c r="AN52" s="108">
        <f>AM52*'1. Standard_Cost'!$C$31</f>
        <v>0</v>
      </c>
      <c r="AO52" s="125" t="s">
        <v>302</v>
      </c>
      <c r="AQ52" s="14">
        <f t="shared" si="63"/>
        <v>0</v>
      </c>
      <c r="AR52" s="14">
        <f t="shared" si="64"/>
        <v>0</v>
      </c>
      <c r="AS52" s="14">
        <f t="shared" si="65"/>
        <v>0</v>
      </c>
      <c r="AT52" s="14">
        <f t="shared" si="67"/>
        <v>0</v>
      </c>
      <c r="AU52" s="15"/>
      <c r="AV52" s="15">
        <v>0</v>
      </c>
      <c r="AW52" s="15"/>
      <c r="AX52" s="15"/>
      <c r="AY52" s="15"/>
      <c r="AZ52" s="15"/>
      <c r="BA52" s="15"/>
      <c r="BB52" s="16">
        <f t="shared" si="66"/>
        <v>0</v>
      </c>
    </row>
    <row r="53" spans="1:54" ht="124.8" outlineLevel="2">
      <c r="A53" s="98"/>
      <c r="B53" s="102"/>
      <c r="C53" s="23"/>
      <c r="D53" s="251"/>
      <c r="E53" s="251"/>
      <c r="F53" s="172"/>
      <c r="G53" s="173"/>
      <c r="H53" s="302" t="s">
        <v>600</v>
      </c>
      <c r="I53" s="258"/>
      <c r="J53" s="259"/>
      <c r="K53" s="259"/>
      <c r="L53" s="106" t="str">
        <f>IF(I53&lt;&gt;0,((VLOOKUP(I53,'1. Standard_Cost'!$B$4:$D$11,2)+VLOOKUP(I53,'1. Standard_Cost'!$B$4:$D$11,3))*J53*K53),"0")</f>
        <v>0</v>
      </c>
      <c r="M53" s="106">
        <f>L53*'1. Standard_Cost'!$F$4</f>
        <v>0</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107"/>
      <c r="AA53" s="107"/>
      <c r="AB53" s="108">
        <f>+Z53*'1. Standard_Cost'!$B$23+AA53*'1. Standard_Cost'!$C$23</f>
        <v>0</v>
      </c>
      <c r="AC53" s="109"/>
      <c r="AD53" s="110"/>
      <c r="AE53" s="108">
        <f>SUM(AD53,AC53,AB53,Y53,U53,T53,S53,R53)*'1. Standard_Cost'!$B$31</f>
        <v>0</v>
      </c>
      <c r="AF53" s="108">
        <f t="shared" si="62"/>
        <v>0</v>
      </c>
      <c r="AG53" s="107"/>
      <c r="AH53" s="107"/>
      <c r="AI53" s="107"/>
      <c r="AJ53" s="111"/>
      <c r="AK53" s="111"/>
      <c r="AL53" s="111"/>
      <c r="AM53" s="108">
        <f>AG53*'1. Standard_Cost'!$B$27+'Incremental_Cost Year 5'!AH53*'1. Standard_Cost'!$C$27+'Incremental_Cost Year 5'!AI53*'1. Standard_Cost'!$D$27+'Incremental_Cost Year 5'!AJ53+'Incremental_Cost Year 5'!AL53+AK53</f>
        <v>0</v>
      </c>
      <c r="AN53" s="108">
        <f>AM53*'1. Standard_Cost'!$C$31</f>
        <v>0</v>
      </c>
      <c r="AO53" s="125" t="s">
        <v>302</v>
      </c>
      <c r="AQ53" s="14">
        <f t="shared" si="63"/>
        <v>0</v>
      </c>
      <c r="AR53" s="14">
        <f t="shared" si="64"/>
        <v>0</v>
      </c>
      <c r="AS53" s="14">
        <f t="shared" si="65"/>
        <v>0</v>
      </c>
      <c r="AT53" s="14">
        <f t="shared" si="67"/>
        <v>0</v>
      </c>
      <c r="AU53" s="15"/>
      <c r="AV53" s="15"/>
      <c r="AW53" s="15"/>
      <c r="AX53" s="15"/>
      <c r="AY53" s="15"/>
      <c r="AZ53" s="15"/>
      <c r="BA53" s="15"/>
      <c r="BB53" s="16">
        <f t="shared" si="66"/>
        <v>0</v>
      </c>
    </row>
    <row r="54" spans="1:54" ht="62.4" outlineLevel="2">
      <c r="A54" s="98"/>
      <c r="B54" s="102"/>
      <c r="C54" s="23"/>
      <c r="D54" s="251"/>
      <c r="E54" s="251"/>
      <c r="F54" s="172"/>
      <c r="G54" s="173"/>
      <c r="H54" s="302" t="s">
        <v>675</v>
      </c>
      <c r="I54" s="258"/>
      <c r="J54" s="259"/>
      <c r="K54" s="259"/>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107"/>
      <c r="AA54" s="107"/>
      <c r="AB54" s="108">
        <f>+Z54*'1. Standard_Cost'!$B$23+AA54*'1. Standard_Cost'!$C$23</f>
        <v>0</v>
      </c>
      <c r="AC54" s="109"/>
      <c r="AD54" s="110"/>
      <c r="AE54" s="108">
        <f>SUM(AD54,AC54,AB54,Y54,U54,T54,S54,R54)*'1. Standard_Cost'!$B$31</f>
        <v>0</v>
      </c>
      <c r="AF54" s="108">
        <f t="shared" si="62"/>
        <v>0</v>
      </c>
      <c r="AG54" s="107"/>
      <c r="AH54" s="107"/>
      <c r="AI54" s="107"/>
      <c r="AJ54" s="111"/>
      <c r="AK54" s="111"/>
      <c r="AL54" s="111"/>
      <c r="AM54" s="108">
        <f>AG54*'1. Standard_Cost'!$B$27+'Incremental_Cost Year 5'!AH54*'1. Standard_Cost'!$C$27+'Incremental_Cost Year 5'!AI54*'1. Standard_Cost'!$D$27+'Incremental_Cost Year 5'!AJ54+'Incremental_Cost Year 5'!AL54+AK54</f>
        <v>0</v>
      </c>
      <c r="AN54" s="108">
        <f>AM54*'1. Standard_Cost'!$C$31</f>
        <v>0</v>
      </c>
      <c r="AO54" s="125" t="s">
        <v>300</v>
      </c>
      <c r="AQ54" s="14">
        <f t="shared" si="63"/>
        <v>0</v>
      </c>
      <c r="AR54" s="14">
        <f t="shared" si="64"/>
        <v>0</v>
      </c>
      <c r="AS54" s="14">
        <f t="shared" si="65"/>
        <v>0</v>
      </c>
      <c r="AT54" s="14">
        <f t="shared" si="67"/>
        <v>0</v>
      </c>
      <c r="AU54" s="15"/>
      <c r="AV54" s="15">
        <v>0</v>
      </c>
      <c r="AW54" s="15"/>
      <c r="AX54" s="15"/>
      <c r="AY54" s="15"/>
      <c r="AZ54" s="15"/>
      <c r="BA54" s="15"/>
      <c r="BB54" s="16">
        <f t="shared" si="66"/>
        <v>0</v>
      </c>
    </row>
    <row r="55" spans="1:54" ht="156" outlineLevel="2">
      <c r="A55" s="98"/>
      <c r="B55" s="102"/>
      <c r="C55" s="23"/>
      <c r="D55" s="251"/>
      <c r="E55" s="251"/>
      <c r="F55" s="251"/>
      <c r="G55" s="173"/>
      <c r="H55" s="302" t="s">
        <v>601</v>
      </c>
      <c r="I55" s="258"/>
      <c r="J55" s="259"/>
      <c r="K55" s="259"/>
      <c r="L55" s="106" t="str">
        <f>IF(I55&lt;&gt;0,((VLOOKUP(I55,'1. Standard_Cost'!$B$4:$D$11,2)+VLOOKUP(I55,'1. Standard_Cost'!$B$4:$D$11,3))*J55*K55),"0")</f>
        <v>0</v>
      </c>
      <c r="M55" s="106">
        <f>L55*'1. Standard_Cost'!$F$4</f>
        <v>0</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107"/>
      <c r="AA55" s="107"/>
      <c r="AB55" s="108">
        <f>+Z55*'1. Standard_Cost'!$B$23+AA55*'1. Standard_Cost'!$C$23</f>
        <v>0</v>
      </c>
      <c r="AC55" s="109"/>
      <c r="AD55" s="110"/>
      <c r="AE55" s="108">
        <f>SUM(AD55,AC55,AB55,Y55,U55,T55,S55,R55)*'1. Standard_Cost'!$B$31</f>
        <v>0</v>
      </c>
      <c r="AF55" s="108">
        <f t="shared" si="62"/>
        <v>0</v>
      </c>
      <c r="AG55" s="107"/>
      <c r="AH55" s="107"/>
      <c r="AI55" s="107"/>
      <c r="AJ55" s="111"/>
      <c r="AK55" s="111"/>
      <c r="AL55" s="111"/>
      <c r="AM55" s="108">
        <f>AG55*'1. Standard_Cost'!$B$27+'Incremental_Cost Year 5'!AH55*'1. Standard_Cost'!$C$27+'Incremental_Cost Year 5'!AI55*'1. Standard_Cost'!$D$27+'Incremental_Cost Year 5'!AJ55+'Incremental_Cost Year 5'!AL55+AK55</f>
        <v>0</v>
      </c>
      <c r="AN55" s="108">
        <f>AM55*'1. Standard_Cost'!$C$31</f>
        <v>0</v>
      </c>
      <c r="AO55" s="125" t="s">
        <v>303</v>
      </c>
      <c r="AQ55" s="14">
        <f t="shared" si="63"/>
        <v>0</v>
      </c>
      <c r="AR55" s="14">
        <f t="shared" si="64"/>
        <v>0</v>
      </c>
      <c r="AS55" s="14">
        <f t="shared" si="65"/>
        <v>0</v>
      </c>
      <c r="AT55" s="14">
        <f t="shared" si="67"/>
        <v>0</v>
      </c>
      <c r="AU55" s="15"/>
      <c r="AV55" s="15"/>
      <c r="AW55" s="15"/>
      <c r="AX55" s="15"/>
      <c r="AY55" s="15"/>
      <c r="AZ55" s="15"/>
      <c r="BA55" s="15"/>
      <c r="BB55" s="16">
        <f t="shared" si="66"/>
        <v>0</v>
      </c>
    </row>
    <row r="56" spans="1:54" ht="140.4" outlineLevel="2">
      <c r="A56" s="98"/>
      <c r="B56" s="102"/>
      <c r="C56" s="23"/>
      <c r="D56" s="251"/>
      <c r="E56" s="251"/>
      <c r="F56" s="251"/>
      <c r="G56" s="173"/>
      <c r="H56" s="302" t="s">
        <v>602</v>
      </c>
      <c r="I56" s="258"/>
      <c r="J56" s="259"/>
      <c r="K56" s="259"/>
      <c r="L56" s="106" t="str">
        <f>IF(I56&lt;&gt;0,((VLOOKUP(I56,'1. Standard_Cost'!$B$4:$D$11,2)+VLOOKUP(I56,'1. Standard_Cost'!$B$4:$D$11,3))*J56*K56),"0")</f>
        <v>0</v>
      </c>
      <c r="M56" s="106">
        <f>L56*'1. Standard_Cost'!$F$4</f>
        <v>0</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107"/>
      <c r="AA56" s="107"/>
      <c r="AB56" s="108">
        <f>+Z56*'1. Standard_Cost'!$B$23+AA56*'1. Standard_Cost'!$C$23</f>
        <v>0</v>
      </c>
      <c r="AC56" s="109"/>
      <c r="AD56" s="110"/>
      <c r="AE56" s="108">
        <f>SUM(AD56,AC56,AB56,Y56,U56,T56,S56,R56)*'1. Standard_Cost'!$B$31</f>
        <v>0</v>
      </c>
      <c r="AF56" s="108">
        <f t="shared" si="62"/>
        <v>0</v>
      </c>
      <c r="AG56" s="107"/>
      <c r="AH56" s="107"/>
      <c r="AI56" s="107"/>
      <c r="AJ56" s="111"/>
      <c r="AK56" s="111"/>
      <c r="AL56" s="111"/>
      <c r="AM56" s="108">
        <f>AG56*'1. Standard_Cost'!$B$27+'Incremental_Cost Year 5'!AH56*'1. Standard_Cost'!$C$27+'Incremental_Cost Year 5'!AI56*'1. Standard_Cost'!$D$27+'Incremental_Cost Year 5'!AJ56+'Incremental_Cost Year 5'!AL56+AK56</f>
        <v>0</v>
      </c>
      <c r="AN56" s="108">
        <f>AM56*'1. Standard_Cost'!$C$31</f>
        <v>0</v>
      </c>
      <c r="AO56" s="125" t="s">
        <v>304</v>
      </c>
      <c r="AQ56" s="14">
        <f t="shared" si="63"/>
        <v>0</v>
      </c>
      <c r="AR56" s="14">
        <f t="shared" si="64"/>
        <v>0</v>
      </c>
      <c r="AS56" s="14">
        <f t="shared" si="65"/>
        <v>0</v>
      </c>
      <c r="AT56" s="14">
        <f t="shared" si="67"/>
        <v>0</v>
      </c>
      <c r="AU56" s="15"/>
      <c r="AV56" s="15">
        <v>0</v>
      </c>
      <c r="AW56" s="15"/>
      <c r="AX56" s="15"/>
      <c r="AY56" s="15"/>
      <c r="AZ56" s="15"/>
      <c r="BA56" s="15"/>
      <c r="BB56" s="16">
        <f t="shared" si="66"/>
        <v>0</v>
      </c>
    </row>
    <row r="57" spans="1:54" ht="78" outlineLevel="2">
      <c r="A57" s="98"/>
      <c r="B57" s="102"/>
      <c r="C57" s="23"/>
      <c r="D57" s="251"/>
      <c r="E57" s="251"/>
      <c r="F57" s="251"/>
      <c r="G57" s="250"/>
      <c r="H57" s="302" t="s">
        <v>603</v>
      </c>
      <c r="I57" s="258" t="s">
        <v>193</v>
      </c>
      <c r="J57" s="259">
        <v>0.5</v>
      </c>
      <c r="K57" s="259">
        <v>183</v>
      </c>
      <c r="L57" s="106">
        <f>IF(I57&lt;&gt;0,((VLOOKUP(I57,'1. Standard_Cost'!$B$4:$D$11,2)+VLOOKUP(I57,'1. Standard_Cost'!$B$4:$D$11,3))*J57*K57),"0")</f>
        <v>4620750</v>
      </c>
      <c r="M57" s="106">
        <f>L57*'1. Standard_Cost'!$F$4</f>
        <v>771665.25</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107"/>
      <c r="AA57" s="107"/>
      <c r="AB57" s="108">
        <f>+Z57*'1. Standard_Cost'!$B$23+AA57*'1. Standard_Cost'!$C$23</f>
        <v>0</v>
      </c>
      <c r="AC57" s="109"/>
      <c r="AD57" s="110"/>
      <c r="AE57" s="108">
        <f>SUM(AD57,AC57,AB57,Y57,U57,T57,S57,R57)*'1. Standard_Cost'!$B$31</f>
        <v>0</v>
      </c>
      <c r="AF57" s="108">
        <f t="shared" si="62"/>
        <v>0</v>
      </c>
      <c r="AG57" s="107"/>
      <c r="AH57" s="107"/>
      <c r="AI57" s="107"/>
      <c r="AJ57" s="111"/>
      <c r="AK57" s="111"/>
      <c r="AL57" s="111"/>
      <c r="AM57" s="108">
        <f>AG57*'1. Standard_Cost'!$B$27+'Incremental_Cost Year 5'!AH57*'1. Standard_Cost'!$C$27+'Incremental_Cost Year 5'!AI57*'1. Standard_Cost'!$D$27+'Incremental_Cost Year 5'!AJ57+'Incremental_Cost Year 5'!AL57+AK57</f>
        <v>0</v>
      </c>
      <c r="AN57" s="108">
        <f>AM57*'1. Standard_Cost'!$C$31</f>
        <v>0</v>
      </c>
      <c r="AO57" s="125" t="s">
        <v>305</v>
      </c>
      <c r="AQ57" s="14">
        <f t="shared" si="63"/>
        <v>5392415.25</v>
      </c>
      <c r="AR57" s="14">
        <f t="shared" si="64"/>
        <v>0</v>
      </c>
      <c r="AS57" s="14">
        <f t="shared" si="65"/>
        <v>0</v>
      </c>
      <c r="AT57" s="14">
        <f t="shared" si="67"/>
        <v>5392415.25</v>
      </c>
      <c r="AU57" s="234"/>
      <c r="AV57" s="234"/>
      <c r="AW57" s="234"/>
      <c r="AX57" s="234"/>
      <c r="AY57" s="234"/>
      <c r="AZ57" s="234"/>
      <c r="BA57" s="234">
        <v>5712757</v>
      </c>
      <c r="BB57" s="16">
        <f t="shared" si="66"/>
        <v>320341.75</v>
      </c>
    </row>
    <row r="58" spans="1:54" ht="140.4" outlineLevel="2">
      <c r="A58" s="98"/>
      <c r="B58" s="102"/>
      <c r="C58" s="23"/>
      <c r="D58" s="251"/>
      <c r="E58" s="251"/>
      <c r="F58" s="251"/>
      <c r="G58" s="250"/>
      <c r="H58" s="302" t="s">
        <v>604</v>
      </c>
      <c r="I58" s="258" t="s">
        <v>5</v>
      </c>
      <c r="J58" s="259">
        <v>1</v>
      </c>
      <c r="K58" s="259">
        <v>1</v>
      </c>
      <c r="L58" s="106">
        <f>IF(I58&lt;&gt;0,((VLOOKUP(I58,'1. Standard_Cost'!$B$4:$D$11,2)+VLOOKUP(I58,'1. Standard_Cost'!$B$4:$D$11,3))*J58*K58),"0")</f>
        <v>70700</v>
      </c>
      <c r="M58" s="106">
        <f>L58*'1. Standard_Cost'!$F$4</f>
        <v>11806.900000000001</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107"/>
      <c r="AA58" s="260">
        <v>17</v>
      </c>
      <c r="AB58" s="108">
        <f>+Z58*'1. Standard_Cost'!$B$23+AA58*'1. Standard_Cost'!$C$23</f>
        <v>323000</v>
      </c>
      <c r="AC58" s="261">
        <f>225*400</f>
        <v>90000</v>
      </c>
      <c r="AD58" s="110"/>
      <c r="AE58" s="108">
        <f>SUM(AD58,AC58,AB58,Y58,U58,T58,S58,R58)*'1. Standard_Cost'!$B$31</f>
        <v>82600</v>
      </c>
      <c r="AF58" s="108">
        <f t="shared" si="62"/>
        <v>495600</v>
      </c>
      <c r="AG58" s="107"/>
      <c r="AH58" s="107"/>
      <c r="AI58" s="107"/>
      <c r="AJ58" s="111"/>
      <c r="AK58" s="111"/>
      <c r="AL58" s="111"/>
      <c r="AM58" s="108">
        <f>AG58*'1. Standard_Cost'!$B$27+'Incremental_Cost Year 5'!AH58*'1. Standard_Cost'!$C$27+'Incremental_Cost Year 5'!AI58*'1. Standard_Cost'!$D$27+'Incremental_Cost Year 5'!AJ58+'Incremental_Cost Year 5'!AL58+AK58</f>
        <v>0</v>
      </c>
      <c r="AN58" s="108">
        <f>AM58*'1. Standard_Cost'!$C$31</f>
        <v>0</v>
      </c>
      <c r="AO58" s="125" t="s">
        <v>306</v>
      </c>
      <c r="AQ58" s="14">
        <f t="shared" si="63"/>
        <v>82506.899999999994</v>
      </c>
      <c r="AR58" s="14">
        <f t="shared" si="64"/>
        <v>495600</v>
      </c>
      <c r="AS58" s="14">
        <f t="shared" si="65"/>
        <v>0</v>
      </c>
      <c r="AT58" s="14">
        <f>SUM(AQ58,AR58,AS58)</f>
        <v>578106.9</v>
      </c>
      <c r="AU58" s="234">
        <v>82507</v>
      </c>
      <c r="AV58" s="234"/>
      <c r="AW58" s="234"/>
      <c r="AX58" s="234"/>
      <c r="AY58" s="234"/>
      <c r="AZ58" s="234"/>
      <c r="BA58" s="234"/>
      <c r="BB58" s="16">
        <f t="shared" si="66"/>
        <v>-495599.9</v>
      </c>
    </row>
    <row r="59" spans="1:54" ht="345" outlineLevel="1">
      <c r="A59" s="98"/>
      <c r="B59" s="102"/>
      <c r="C59" s="23"/>
      <c r="D59" s="31" t="s">
        <v>629</v>
      </c>
      <c r="E59" s="56" t="s">
        <v>213</v>
      </c>
      <c r="F59" s="253">
        <v>2021</v>
      </c>
      <c r="G59" s="254">
        <v>2026</v>
      </c>
      <c r="H59" s="277" t="s">
        <v>183</v>
      </c>
      <c r="I59" s="112"/>
      <c r="J59" s="112"/>
      <c r="K59" s="112"/>
      <c r="L59" s="113">
        <f>SUM(L41:L58)</f>
        <v>4691450</v>
      </c>
      <c r="M59" s="113">
        <f>SUM(M41:M58)</f>
        <v>783472.15</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323000</v>
      </c>
      <c r="AC59" s="113">
        <f>SUM(AC41:AC58)</f>
        <v>90000</v>
      </c>
      <c r="AD59" s="113">
        <f>SUM(AD41:AD58)</f>
        <v>0</v>
      </c>
      <c r="AE59" s="113">
        <f>SUM(AE41:AE58)</f>
        <v>82600</v>
      </c>
      <c r="AF59" s="113">
        <f>SUM(AF41:AF58)</f>
        <v>495600</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5474922.1500000004</v>
      </c>
      <c r="AR59" s="113">
        <f t="shared" si="68"/>
        <v>495600</v>
      </c>
      <c r="AS59" s="113">
        <f t="shared" si="68"/>
        <v>0</v>
      </c>
      <c r="AT59" s="113">
        <f t="shared" si="68"/>
        <v>5970522.1500000004</v>
      </c>
      <c r="AU59" s="113">
        <f t="shared" si="68"/>
        <v>82507</v>
      </c>
      <c r="AV59" s="113">
        <f t="shared" si="68"/>
        <v>0</v>
      </c>
      <c r="AW59" s="113">
        <f t="shared" si="68"/>
        <v>0</v>
      </c>
      <c r="AX59" s="113">
        <f t="shared" si="68"/>
        <v>0</v>
      </c>
      <c r="AY59" s="113">
        <f t="shared" si="68"/>
        <v>0</v>
      </c>
      <c r="AZ59" s="113">
        <f t="shared" si="68"/>
        <v>0</v>
      </c>
      <c r="BA59" s="113">
        <f t="shared" si="68"/>
        <v>5712757</v>
      </c>
      <c r="BB59" s="113">
        <f t="shared" si="68"/>
        <v>-175258.15000000002</v>
      </c>
    </row>
    <row r="60" spans="1:54" ht="93.6" outlineLevel="2">
      <c r="A60" s="98"/>
      <c r="B60" s="102"/>
      <c r="C60" s="23"/>
      <c r="D60" s="257"/>
      <c r="E60" s="257"/>
      <c r="F60" s="251"/>
      <c r="G60" s="250"/>
      <c r="H60" s="302" t="s">
        <v>605</v>
      </c>
      <c r="I60" s="258" t="s">
        <v>4</v>
      </c>
      <c r="J60" s="259">
        <v>0.5</v>
      </c>
      <c r="K60" s="259">
        <v>3</v>
      </c>
      <c r="L60" s="106">
        <f>IF(I60&lt;&gt;0,((VLOOKUP(I60,'1. Standard_Cost'!$B$4:$D$11,2)+VLOOKUP(I60,'1. Standard_Cost'!$B$4:$D$11,3))*J60*K60),"0")</f>
        <v>121125</v>
      </c>
      <c r="M60" s="106">
        <f>L60*'1. Standard_Cost'!$F$4</f>
        <v>20227.875</v>
      </c>
      <c r="N60" s="260"/>
      <c r="O60" s="260"/>
      <c r="P60" s="260"/>
      <c r="Q60" s="26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60"/>
      <c r="AA60" s="260"/>
      <c r="AB60" s="108">
        <f>+Z60*'1. Standard_Cost'!$B$23+AA60*'1. Standard_Cost'!$C$23</f>
        <v>0</v>
      </c>
      <c r="AC60" s="261">
        <f>100*3000+110000</f>
        <v>410000</v>
      </c>
      <c r="AD60" s="262"/>
      <c r="AE60" s="108">
        <f>SUM(AD60,AC60,AB60,Y60,U60,T60,S60,R60)*'1. Standard_Cost'!$B$31</f>
        <v>82000</v>
      </c>
      <c r="AF60" s="108">
        <f t="shared" ref="AF60:AF78" si="69">SUM(AE60,AD60,AC60,AB60,Y60,U60,T60,S60,R60)</f>
        <v>492000</v>
      </c>
      <c r="AG60" s="107"/>
      <c r="AH60" s="107"/>
      <c r="AI60" s="107"/>
      <c r="AJ60" s="111"/>
      <c r="AK60" s="111"/>
      <c r="AL60" s="111"/>
      <c r="AM60" s="108">
        <f>AG60*'1. Standard_Cost'!$B$27+'Incremental_Cost Year 5'!AH60*'1. Standard_Cost'!$C$27+'Incremental_Cost Year 5'!AI60*'1. Standard_Cost'!$D$27+'Incremental_Cost Year 5'!AJ60+'Incremental_Cost Year 5'!AL60+AK60</f>
        <v>0</v>
      </c>
      <c r="AN60" s="108">
        <f>AM60*'1. Standard_Cost'!$C$31</f>
        <v>0</v>
      </c>
      <c r="AO60" s="125" t="s">
        <v>307</v>
      </c>
      <c r="AQ60" s="14">
        <f t="shared" ref="AQ60:AQ78" si="70">L60+M60</f>
        <v>141352.875</v>
      </c>
      <c r="AR60" s="14">
        <f t="shared" ref="AR60:AR78" si="71">AF60</f>
        <v>492000</v>
      </c>
      <c r="AS60" s="14">
        <f t="shared" ref="AS60:AS78" si="72">AM60+AN60</f>
        <v>0</v>
      </c>
      <c r="AT60" s="14">
        <f>SUM(AQ60,AR60,AS60)</f>
        <v>633352.875</v>
      </c>
      <c r="AU60" s="234">
        <v>141353</v>
      </c>
      <c r="AV60" s="234"/>
      <c r="AW60" s="234"/>
      <c r="AX60" s="234"/>
      <c r="AY60" s="234"/>
      <c r="AZ60" s="234"/>
      <c r="BA60" s="234"/>
      <c r="BB60" s="16">
        <f t="shared" ref="BB60:BB78" si="73">SUM(AU60:BA60)-AT60</f>
        <v>-491999.875</v>
      </c>
    </row>
    <row r="61" spans="1:54" ht="109.2" outlineLevel="2">
      <c r="A61" s="98"/>
      <c r="B61" s="102"/>
      <c r="C61" s="23"/>
      <c r="D61" s="269"/>
      <c r="E61" s="269"/>
      <c r="F61" s="251"/>
      <c r="G61" s="250"/>
      <c r="H61" s="302" t="s">
        <v>606</v>
      </c>
      <c r="I61" s="258" t="s">
        <v>5</v>
      </c>
      <c r="J61" s="259">
        <v>3</v>
      </c>
      <c r="K61" s="259">
        <v>1</v>
      </c>
      <c r="L61" s="106">
        <f>IF(I61&lt;&gt;0,((VLOOKUP(I61,'1. Standard_Cost'!$B$4:$D$11,2)+VLOOKUP(I61,'1. Standard_Cost'!$B$4:$D$11,3))*J61*K61),"0")</f>
        <v>212100</v>
      </c>
      <c r="M61" s="106">
        <f>L61*'1. Standard_Cost'!$F$4</f>
        <v>35420.700000000004</v>
      </c>
      <c r="N61" s="260"/>
      <c r="O61" s="260"/>
      <c r="P61" s="260"/>
      <c r="Q61" s="26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69"/>
        <v>0</v>
      </c>
      <c r="AG61" s="107"/>
      <c r="AH61" s="107"/>
      <c r="AI61" s="107"/>
      <c r="AJ61" s="111"/>
      <c r="AK61" s="111"/>
      <c r="AL61" s="111"/>
      <c r="AM61" s="108">
        <f>AG61*'1. Standard_Cost'!$B$27+'Incremental_Cost Year 5'!AH61*'1. Standard_Cost'!$C$27+'Incremental_Cost Year 5'!AI61*'1. Standard_Cost'!$D$27+'Incremental_Cost Year 5'!AJ61+'Incremental_Cost Year 5'!AL61+AK61</f>
        <v>0</v>
      </c>
      <c r="AN61" s="108">
        <f>AM61*'1. Standard_Cost'!$C$31</f>
        <v>0</v>
      </c>
      <c r="AO61" s="125" t="s">
        <v>308</v>
      </c>
      <c r="AQ61" s="14">
        <f t="shared" si="70"/>
        <v>247520.7</v>
      </c>
      <c r="AR61" s="14">
        <f t="shared" si="71"/>
        <v>0</v>
      </c>
      <c r="AS61" s="14">
        <f t="shared" si="72"/>
        <v>0</v>
      </c>
      <c r="AT61" s="14">
        <f t="shared" ref="AT61:AT78" si="74">SUM(AQ61,AR61,AS61)</f>
        <v>247520.7</v>
      </c>
      <c r="AU61" s="234">
        <v>247521</v>
      </c>
      <c r="AV61" s="234"/>
      <c r="AW61" s="234"/>
      <c r="AX61" s="234"/>
      <c r="AY61" s="234"/>
      <c r="AZ61" s="234"/>
      <c r="BA61" s="234"/>
      <c r="BB61" s="16">
        <f t="shared" si="73"/>
        <v>0.29999999998835847</v>
      </c>
    </row>
    <row r="62" spans="1:54" ht="140.4" outlineLevel="2">
      <c r="A62" s="98"/>
      <c r="B62" s="102"/>
      <c r="C62" s="23"/>
      <c r="D62" s="269"/>
      <c r="E62" s="269"/>
      <c r="F62" s="251"/>
      <c r="G62" s="250"/>
      <c r="H62" s="302" t="s">
        <v>607</v>
      </c>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69"/>
        <v>0</v>
      </c>
      <c r="AG62" s="107"/>
      <c r="AH62" s="107"/>
      <c r="AI62" s="107"/>
      <c r="AJ62" s="111"/>
      <c r="AK62" s="111"/>
      <c r="AL62" s="111"/>
      <c r="AM62" s="108">
        <f>AG62*'1. Standard_Cost'!$B$27+'Incremental_Cost Year 5'!AH62*'1. Standard_Cost'!$C$27+'Incremental_Cost Year 5'!AI62*'1. Standard_Cost'!$D$27+'Incremental_Cost Year 5'!AJ62+'Incremental_Cost Year 5'!AL62+AK62</f>
        <v>0</v>
      </c>
      <c r="AN62" s="108">
        <f>AM62*'1. Standard_Cost'!$C$31</f>
        <v>0</v>
      </c>
      <c r="AO62" s="125" t="s">
        <v>309</v>
      </c>
      <c r="AQ62" s="14">
        <f t="shared" si="70"/>
        <v>0</v>
      </c>
      <c r="AR62" s="14">
        <f t="shared" si="71"/>
        <v>0</v>
      </c>
      <c r="AS62" s="14">
        <f t="shared" si="72"/>
        <v>0</v>
      </c>
      <c r="AT62" s="14">
        <f t="shared" si="74"/>
        <v>0</v>
      </c>
      <c r="AU62" s="234"/>
      <c r="AV62" s="234"/>
      <c r="AW62" s="234"/>
      <c r="AX62" s="234"/>
      <c r="AY62" s="234"/>
      <c r="AZ62" s="234"/>
      <c r="BA62" s="234"/>
      <c r="BB62" s="16">
        <f t="shared" si="73"/>
        <v>0</v>
      </c>
    </row>
    <row r="63" spans="1:54" ht="140.4" outlineLevel="2">
      <c r="A63" s="98"/>
      <c r="B63" s="102"/>
      <c r="C63" s="23"/>
      <c r="D63" s="269"/>
      <c r="E63" s="269"/>
      <c r="F63" s="251"/>
      <c r="G63" s="250"/>
      <c r="H63" s="302" t="s">
        <v>608</v>
      </c>
      <c r="I63" s="258" t="s">
        <v>5</v>
      </c>
      <c r="J63" s="259">
        <v>0.5</v>
      </c>
      <c r="K63" s="259">
        <v>2</v>
      </c>
      <c r="L63" s="106">
        <f>IF(I63&lt;&gt;0,((VLOOKUP(I63,'1. Standard_Cost'!$B$4:$D$11,2)+VLOOKUP(I63,'1. Standard_Cost'!$B$4:$D$11,3))*J63*K63),"0")</f>
        <v>70700</v>
      </c>
      <c r="M63" s="106">
        <f>L63*'1. Standard_Cost'!$F$4</f>
        <v>11806.900000000001</v>
      </c>
      <c r="N63" s="260">
        <v>3</v>
      </c>
      <c r="O63" s="260">
        <v>1</v>
      </c>
      <c r="P63" s="260">
        <v>15</v>
      </c>
      <c r="Q63" s="26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60"/>
      <c r="AA63" s="260">
        <v>14</v>
      </c>
      <c r="AB63" s="108">
        <f>+Z63*'1. Standard_Cost'!$B$23+AA63*'1. Standard_Cost'!$C$23</f>
        <v>266000</v>
      </c>
      <c r="AC63" s="261">
        <f>45*500</f>
        <v>22500</v>
      </c>
      <c r="AD63" s="262"/>
      <c r="AE63" s="108">
        <f>SUM(AD63,AC63,AB63,Y63,U63,T63,S63,R63)*'1. Standard_Cost'!$B$31</f>
        <v>113200</v>
      </c>
      <c r="AF63" s="108">
        <f t="shared" si="69"/>
        <v>679200</v>
      </c>
      <c r="AG63" s="107"/>
      <c r="AH63" s="107"/>
      <c r="AI63" s="107"/>
      <c r="AJ63" s="111"/>
      <c r="AK63" s="111"/>
      <c r="AL63" s="111"/>
      <c r="AM63" s="108">
        <f>AG63*'1. Standard_Cost'!$B$27+'Incremental_Cost Year 5'!AH63*'1. Standard_Cost'!$C$27+'Incremental_Cost Year 5'!AI63*'1. Standard_Cost'!$D$27+'Incremental_Cost Year 5'!AJ63+'Incremental_Cost Year 5'!AL63+AK63</f>
        <v>0</v>
      </c>
      <c r="AN63" s="108">
        <f>AM63*'1. Standard_Cost'!$C$31</f>
        <v>0</v>
      </c>
      <c r="AO63" s="125" t="s">
        <v>310</v>
      </c>
      <c r="AQ63" s="14">
        <f t="shared" si="70"/>
        <v>82506.899999999994</v>
      </c>
      <c r="AR63" s="14">
        <f t="shared" si="71"/>
        <v>679200</v>
      </c>
      <c r="AS63" s="14">
        <f t="shared" si="72"/>
        <v>0</v>
      </c>
      <c r="AT63" s="14">
        <f t="shared" si="74"/>
        <v>761706.9</v>
      </c>
      <c r="AU63" s="234">
        <v>82507</v>
      </c>
      <c r="AV63" s="234"/>
      <c r="AW63" s="234"/>
      <c r="AX63" s="234"/>
      <c r="AY63" s="234"/>
      <c r="AZ63" s="234">
        <v>228000</v>
      </c>
      <c r="BA63" s="234"/>
      <c r="BB63" s="16">
        <f t="shared" si="73"/>
        <v>-451199.9</v>
      </c>
    </row>
    <row r="64" spans="1:54" ht="171.6" outlineLevel="2">
      <c r="A64" s="98"/>
      <c r="B64" s="102"/>
      <c r="C64" s="23"/>
      <c r="D64" s="269"/>
      <c r="E64" s="269"/>
      <c r="F64" s="251"/>
      <c r="G64" s="250"/>
      <c r="H64" s="302" t="s">
        <v>609</v>
      </c>
      <c r="I64" s="258" t="s">
        <v>5</v>
      </c>
      <c r="J64" s="259">
        <v>0.5</v>
      </c>
      <c r="K64" s="259">
        <v>2</v>
      </c>
      <c r="L64" s="106">
        <f>IF(I64&lt;&gt;0,((VLOOKUP(I64,'1. Standard_Cost'!$B$4:$D$11,2)+VLOOKUP(I64,'1. Standard_Cost'!$B$4:$D$11,3))*J64*K64),"0")</f>
        <v>70700</v>
      </c>
      <c r="M64" s="106">
        <f>L64*'1. Standard_Cost'!$F$4</f>
        <v>11806.900000000001</v>
      </c>
      <c r="N64" s="260">
        <v>3</v>
      </c>
      <c r="O64" s="260">
        <v>1</v>
      </c>
      <c r="P64" s="260">
        <v>15</v>
      </c>
      <c r="Q64" s="26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60"/>
      <c r="AA64" s="260">
        <v>14</v>
      </c>
      <c r="AB64" s="108">
        <f>+Z64*'1. Standard_Cost'!$B$23+AA64*'1. Standard_Cost'!$C$23</f>
        <v>266000</v>
      </c>
      <c r="AC64" s="261">
        <f>45*500</f>
        <v>22500</v>
      </c>
      <c r="AD64" s="262"/>
      <c r="AE64" s="108">
        <f>SUM(AD64,AC64,AB64,Y64,U64,T64,S64,R64)*'1. Standard_Cost'!$B$31</f>
        <v>113200</v>
      </c>
      <c r="AF64" s="108">
        <f t="shared" si="69"/>
        <v>679200</v>
      </c>
      <c r="AG64" s="107"/>
      <c r="AH64" s="107"/>
      <c r="AI64" s="107"/>
      <c r="AJ64" s="111"/>
      <c r="AK64" s="111"/>
      <c r="AL64" s="111"/>
      <c r="AM64" s="108">
        <f>AG64*'1. Standard_Cost'!$B$27+'Incremental_Cost Year 5'!AH64*'1. Standard_Cost'!$C$27+'Incremental_Cost Year 5'!AI64*'1. Standard_Cost'!$D$27+'Incremental_Cost Year 5'!AJ64+'Incremental_Cost Year 5'!AL64+AK64</f>
        <v>0</v>
      </c>
      <c r="AN64" s="108">
        <f>AM64*'1. Standard_Cost'!$C$31</f>
        <v>0</v>
      </c>
      <c r="AO64" s="125" t="s">
        <v>311</v>
      </c>
      <c r="AQ64" s="14">
        <f t="shared" si="70"/>
        <v>82506.899999999994</v>
      </c>
      <c r="AR64" s="14">
        <f t="shared" si="71"/>
        <v>679200</v>
      </c>
      <c r="AS64" s="14">
        <f t="shared" si="72"/>
        <v>0</v>
      </c>
      <c r="AT64" s="14">
        <f t="shared" si="74"/>
        <v>761706.9</v>
      </c>
      <c r="AU64" s="234">
        <v>82507</v>
      </c>
      <c r="AV64" s="234"/>
      <c r="AW64" s="234"/>
      <c r="AX64" s="234"/>
      <c r="AY64" s="234"/>
      <c r="AZ64" s="234">
        <v>228000</v>
      </c>
      <c r="BA64" s="234"/>
      <c r="BB64" s="16">
        <f t="shared" si="73"/>
        <v>-451199.9</v>
      </c>
    </row>
    <row r="65" spans="1:54" ht="62.4" outlineLevel="2">
      <c r="A65" s="98"/>
      <c r="B65" s="102"/>
      <c r="C65" s="23"/>
      <c r="D65" s="269"/>
      <c r="E65" s="269"/>
      <c r="F65" s="251"/>
      <c r="G65" s="250"/>
      <c r="H65" s="302" t="s">
        <v>676</v>
      </c>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69"/>
        <v>0</v>
      </c>
      <c r="AG65" s="107"/>
      <c r="AH65" s="107"/>
      <c r="AI65" s="107"/>
      <c r="AJ65" s="111"/>
      <c r="AK65" s="111"/>
      <c r="AL65" s="111"/>
      <c r="AM65" s="108">
        <f>AG65*'1. Standard_Cost'!$B$27+'Incremental_Cost Year 5'!AH65*'1. Standard_Cost'!$C$27+'Incremental_Cost Year 5'!AI65*'1. Standard_Cost'!$D$27+'Incremental_Cost Year 5'!AJ65+'Incremental_Cost Year 5'!AL65+AK65</f>
        <v>0</v>
      </c>
      <c r="AN65" s="108">
        <f>AM65*'1. Standard_Cost'!$C$31</f>
        <v>0</v>
      </c>
      <c r="AO65" s="125" t="s">
        <v>312</v>
      </c>
      <c r="AQ65" s="14">
        <f t="shared" si="70"/>
        <v>0</v>
      </c>
      <c r="AR65" s="14">
        <f t="shared" si="71"/>
        <v>0</v>
      </c>
      <c r="AS65" s="14">
        <f t="shared" si="72"/>
        <v>0</v>
      </c>
      <c r="AT65" s="14">
        <f t="shared" si="74"/>
        <v>0</v>
      </c>
      <c r="AU65" s="234"/>
      <c r="AV65" s="234"/>
      <c r="AW65" s="234"/>
      <c r="AX65" s="234"/>
      <c r="AY65" s="234"/>
      <c r="AZ65" s="234"/>
      <c r="BA65" s="234"/>
      <c r="BB65" s="16">
        <f t="shared" si="73"/>
        <v>0</v>
      </c>
    </row>
    <row r="66" spans="1:54" ht="78" outlineLevel="2">
      <c r="A66" s="98"/>
      <c r="B66" s="102"/>
      <c r="C66" s="23"/>
      <c r="D66" s="269"/>
      <c r="E66" s="269"/>
      <c r="F66" s="251"/>
      <c r="G66" s="250"/>
      <c r="H66" s="302" t="s">
        <v>677</v>
      </c>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69"/>
        <v>0</v>
      </c>
      <c r="AG66" s="107"/>
      <c r="AH66" s="107"/>
      <c r="AI66" s="107"/>
      <c r="AJ66" s="111"/>
      <c r="AK66" s="111"/>
      <c r="AL66" s="111"/>
      <c r="AM66" s="108">
        <f>AG66*'1. Standard_Cost'!$B$27+'Incremental_Cost Year 5'!AH66*'1. Standard_Cost'!$C$27+'Incremental_Cost Year 5'!AI66*'1. Standard_Cost'!$D$27+'Incremental_Cost Year 5'!AJ66+'Incremental_Cost Year 5'!AL66+AK66</f>
        <v>0</v>
      </c>
      <c r="AN66" s="108">
        <f>AM66*'1. Standard_Cost'!$C$31</f>
        <v>0</v>
      </c>
      <c r="AO66" s="125" t="s">
        <v>313</v>
      </c>
      <c r="AQ66" s="14">
        <f t="shared" si="70"/>
        <v>0</v>
      </c>
      <c r="AR66" s="14">
        <f t="shared" si="71"/>
        <v>0</v>
      </c>
      <c r="AS66" s="14">
        <f t="shared" si="72"/>
        <v>0</v>
      </c>
      <c r="AT66" s="14">
        <f t="shared" si="74"/>
        <v>0</v>
      </c>
      <c r="AU66" s="234"/>
      <c r="AV66" s="234"/>
      <c r="AW66" s="234"/>
      <c r="AX66" s="234"/>
      <c r="AY66" s="234"/>
      <c r="AZ66" s="234"/>
      <c r="BA66" s="234"/>
      <c r="BB66" s="16">
        <f t="shared" si="73"/>
        <v>0</v>
      </c>
    </row>
    <row r="67" spans="1:54" ht="93.6" outlineLevel="2">
      <c r="A67" s="98"/>
      <c r="B67" s="102"/>
      <c r="C67" s="23"/>
      <c r="D67" s="269"/>
      <c r="E67" s="269"/>
      <c r="F67" s="251"/>
      <c r="G67" s="173"/>
      <c r="H67" s="302" t="s">
        <v>678</v>
      </c>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69"/>
        <v>0</v>
      </c>
      <c r="AG67" s="107"/>
      <c r="AH67" s="107"/>
      <c r="AI67" s="107"/>
      <c r="AJ67" s="111"/>
      <c r="AK67" s="111"/>
      <c r="AL67" s="111"/>
      <c r="AM67" s="108">
        <f>AG67*'1. Standard_Cost'!$B$27+'Incremental_Cost Year 5'!AH67*'1. Standard_Cost'!$C$27+'Incremental_Cost Year 5'!AI67*'1. Standard_Cost'!$D$27+'Incremental_Cost Year 5'!AJ67+'Incremental_Cost Year 5'!AL67+AK67</f>
        <v>0</v>
      </c>
      <c r="AN67" s="108">
        <f>AM67*'1. Standard_Cost'!$C$31</f>
        <v>0</v>
      </c>
      <c r="AO67" s="125" t="s">
        <v>313</v>
      </c>
      <c r="AQ67" s="14">
        <f t="shared" si="70"/>
        <v>0</v>
      </c>
      <c r="AR67" s="14">
        <f t="shared" si="71"/>
        <v>0</v>
      </c>
      <c r="AS67" s="14">
        <f t="shared" si="72"/>
        <v>0</v>
      </c>
      <c r="AT67" s="14">
        <f t="shared" si="74"/>
        <v>0</v>
      </c>
      <c r="AU67" s="234"/>
      <c r="AV67" s="234"/>
      <c r="AW67" s="234"/>
      <c r="AX67" s="234"/>
      <c r="AY67" s="234"/>
      <c r="AZ67" s="234"/>
      <c r="BA67" s="234"/>
      <c r="BB67" s="16">
        <f t="shared" si="73"/>
        <v>0</v>
      </c>
    </row>
    <row r="68" spans="1:54" ht="109.2" outlineLevel="2">
      <c r="A68" s="98"/>
      <c r="B68" s="102"/>
      <c r="C68" s="23"/>
      <c r="D68" s="269"/>
      <c r="E68" s="269"/>
      <c r="F68" s="251"/>
      <c r="G68" s="173"/>
      <c r="H68" s="302" t="s">
        <v>610</v>
      </c>
      <c r="I68" s="258"/>
      <c r="J68" s="259"/>
      <c r="K68" s="259"/>
      <c r="L68" s="106" t="str">
        <f>IF(I68&lt;&gt;0,((VLOOKUP(I68,'1. Standard_Cost'!$B$4:$D$11,2)+VLOOKUP(I68,'1. Standard_Cost'!$B$4:$D$11,3))*J68*K68),"0")</f>
        <v>0</v>
      </c>
      <c r="M68" s="106">
        <f>L68*'1. Standard_Cost'!$F$4</f>
        <v>0</v>
      </c>
      <c r="N68" s="260"/>
      <c r="O68" s="260"/>
      <c r="P68" s="260"/>
      <c r="Q68" s="26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69"/>
        <v>0</v>
      </c>
      <c r="AG68" s="107"/>
      <c r="AH68" s="107"/>
      <c r="AI68" s="107"/>
      <c r="AJ68" s="111"/>
      <c r="AK68" s="111"/>
      <c r="AL68" s="111"/>
      <c r="AM68" s="108">
        <f>AG68*'1. Standard_Cost'!$B$27+'Incremental_Cost Year 5'!AH68*'1. Standard_Cost'!$C$27+'Incremental_Cost Year 5'!AI68*'1. Standard_Cost'!$D$27+'Incremental_Cost Year 5'!AJ68+'Incremental_Cost Year 5'!AL68+AK68</f>
        <v>0</v>
      </c>
      <c r="AN68" s="108">
        <f>AM68*'1. Standard_Cost'!$C$31</f>
        <v>0</v>
      </c>
      <c r="AO68" s="125" t="s">
        <v>314</v>
      </c>
      <c r="AQ68" s="14">
        <f t="shared" si="70"/>
        <v>0</v>
      </c>
      <c r="AR68" s="14">
        <f t="shared" si="71"/>
        <v>0</v>
      </c>
      <c r="AS68" s="14">
        <f t="shared" si="72"/>
        <v>0</v>
      </c>
      <c r="AT68" s="14">
        <f t="shared" si="74"/>
        <v>0</v>
      </c>
      <c r="AU68" s="234"/>
      <c r="AV68" s="234"/>
      <c r="AW68" s="234"/>
      <c r="AX68" s="234"/>
      <c r="AY68" s="234"/>
      <c r="AZ68" s="234"/>
      <c r="BA68" s="234"/>
      <c r="BB68" s="16">
        <f t="shared" si="73"/>
        <v>0</v>
      </c>
    </row>
    <row r="69" spans="1:54" ht="46.8" outlineLevel="2">
      <c r="A69" s="98"/>
      <c r="B69" s="102"/>
      <c r="C69" s="23"/>
      <c r="D69" s="269"/>
      <c r="E69" s="269"/>
      <c r="F69" s="251"/>
      <c r="G69" s="250"/>
      <c r="H69" s="302" t="s">
        <v>679</v>
      </c>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69"/>
        <v>0</v>
      </c>
      <c r="AG69" s="107"/>
      <c r="AH69" s="107"/>
      <c r="AI69" s="107"/>
      <c r="AJ69" s="111"/>
      <c r="AK69" s="111"/>
      <c r="AL69" s="111"/>
      <c r="AM69" s="108">
        <f>AG69*'1. Standard_Cost'!$B$27+'Incremental_Cost Year 5'!AH69*'1. Standard_Cost'!$C$27+'Incremental_Cost Year 5'!AI69*'1. Standard_Cost'!$D$27+'Incremental_Cost Year 5'!AJ69+'Incremental_Cost Year 5'!AL69+AK69</f>
        <v>0</v>
      </c>
      <c r="AN69" s="108">
        <f>AM69*'1. Standard_Cost'!$C$31</f>
        <v>0</v>
      </c>
      <c r="AO69" s="125" t="s">
        <v>315</v>
      </c>
      <c r="AQ69" s="14">
        <f t="shared" si="70"/>
        <v>0</v>
      </c>
      <c r="AR69" s="14">
        <f t="shared" si="71"/>
        <v>0</v>
      </c>
      <c r="AS69" s="14">
        <f t="shared" si="72"/>
        <v>0</v>
      </c>
      <c r="AT69" s="14">
        <f t="shared" si="74"/>
        <v>0</v>
      </c>
      <c r="AU69" s="234"/>
      <c r="AV69" s="234"/>
      <c r="AW69" s="234"/>
      <c r="AX69" s="234"/>
      <c r="AY69" s="234"/>
      <c r="AZ69" s="234"/>
      <c r="BA69" s="234"/>
      <c r="BB69" s="16">
        <f t="shared" si="73"/>
        <v>0</v>
      </c>
    </row>
    <row r="70" spans="1:54" ht="31.2" outlineLevel="2">
      <c r="A70" s="98"/>
      <c r="B70" s="102"/>
      <c r="C70" s="23"/>
      <c r="D70" s="269"/>
      <c r="E70" s="269"/>
      <c r="F70" s="251"/>
      <c r="G70" s="250"/>
      <c r="H70" s="302" t="s">
        <v>680</v>
      </c>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69"/>
        <v>0</v>
      </c>
      <c r="AG70" s="107"/>
      <c r="AH70" s="107"/>
      <c r="AI70" s="107"/>
      <c r="AJ70" s="111"/>
      <c r="AK70" s="111"/>
      <c r="AL70" s="111"/>
      <c r="AM70" s="108">
        <f>AG70*'1. Standard_Cost'!$B$27+'Incremental_Cost Year 5'!AH70*'1. Standard_Cost'!$C$27+'Incremental_Cost Year 5'!AI70*'1. Standard_Cost'!$D$27+'Incremental_Cost Year 5'!AJ70+'Incremental_Cost Year 5'!AL70+AK70</f>
        <v>0</v>
      </c>
      <c r="AN70" s="108">
        <f>AM70*'1. Standard_Cost'!$C$31</f>
        <v>0</v>
      </c>
      <c r="AO70" s="125" t="s">
        <v>315</v>
      </c>
      <c r="AQ70" s="14">
        <f t="shared" si="70"/>
        <v>0</v>
      </c>
      <c r="AR70" s="14">
        <f t="shared" si="71"/>
        <v>0</v>
      </c>
      <c r="AS70" s="14">
        <f t="shared" si="72"/>
        <v>0</v>
      </c>
      <c r="AT70" s="14">
        <f t="shared" si="74"/>
        <v>0</v>
      </c>
      <c r="AU70" s="234"/>
      <c r="AV70" s="234"/>
      <c r="AW70" s="234"/>
      <c r="AX70" s="234"/>
      <c r="AY70" s="234"/>
      <c r="AZ70" s="234"/>
      <c r="BA70" s="234"/>
      <c r="BB70" s="16">
        <f t="shared" si="73"/>
        <v>0</v>
      </c>
    </row>
    <row r="71" spans="1:54" ht="31.2" outlineLevel="2">
      <c r="A71" s="98"/>
      <c r="B71" s="102"/>
      <c r="C71" s="23"/>
      <c r="D71" s="269"/>
      <c r="E71" s="269"/>
      <c r="F71" s="251"/>
      <c r="G71" s="250"/>
      <c r="H71" s="302" t="s">
        <v>681</v>
      </c>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69"/>
        <v>0</v>
      </c>
      <c r="AG71" s="107"/>
      <c r="AH71" s="107"/>
      <c r="AI71" s="107"/>
      <c r="AJ71" s="111"/>
      <c r="AK71" s="111"/>
      <c r="AL71" s="111"/>
      <c r="AM71" s="108">
        <f>AG71*'1. Standard_Cost'!$B$27+'Incremental_Cost Year 5'!AH71*'1. Standard_Cost'!$C$27+'Incremental_Cost Year 5'!AI71*'1. Standard_Cost'!$D$27+'Incremental_Cost Year 5'!AJ71+'Incremental_Cost Year 5'!AL71+AK71</f>
        <v>0</v>
      </c>
      <c r="AN71" s="108">
        <f>AM71*'1. Standard_Cost'!$C$31</f>
        <v>0</v>
      </c>
      <c r="AO71" s="125" t="s">
        <v>316</v>
      </c>
      <c r="AQ71" s="14">
        <f t="shared" si="70"/>
        <v>0</v>
      </c>
      <c r="AR71" s="14">
        <f t="shared" si="71"/>
        <v>0</v>
      </c>
      <c r="AS71" s="14">
        <f t="shared" si="72"/>
        <v>0</v>
      </c>
      <c r="AT71" s="14">
        <f t="shared" si="74"/>
        <v>0</v>
      </c>
      <c r="AU71" s="234"/>
      <c r="AV71" s="234"/>
      <c r="AW71" s="234"/>
      <c r="AX71" s="234"/>
      <c r="AY71" s="234"/>
      <c r="AZ71" s="234"/>
      <c r="BA71" s="234"/>
      <c r="BB71" s="16">
        <f t="shared" si="73"/>
        <v>0</v>
      </c>
    </row>
    <row r="72" spans="1:54" ht="140.4" outlineLevel="2">
      <c r="A72" s="98"/>
      <c r="B72" s="102"/>
      <c r="C72" s="23"/>
      <c r="D72" s="269"/>
      <c r="E72" s="269"/>
      <c r="F72" s="251"/>
      <c r="G72" s="250"/>
      <c r="H72" s="302" t="s">
        <v>611</v>
      </c>
      <c r="I72" s="258" t="s">
        <v>5</v>
      </c>
      <c r="J72" s="259">
        <v>0.5</v>
      </c>
      <c r="K72" s="259">
        <v>2</v>
      </c>
      <c r="L72" s="106">
        <f>IF(I72&lt;&gt;0,((VLOOKUP(I72,'1. Standard_Cost'!$B$4:$D$11,2)+VLOOKUP(I72,'1. Standard_Cost'!$B$4:$D$11,3))*J72*K72),"0")</f>
        <v>70700</v>
      </c>
      <c r="M72" s="106">
        <f>L72*'1. Standard_Cost'!$F$4</f>
        <v>11806.900000000001</v>
      </c>
      <c r="N72" s="260">
        <v>6</v>
      </c>
      <c r="O72" s="260">
        <v>1</v>
      </c>
      <c r="P72" s="260">
        <v>15</v>
      </c>
      <c r="Q72" s="260"/>
      <c r="R72" s="108">
        <f>'1. Standard_Cost'!$B$15*N72*P72</f>
        <v>180000</v>
      </c>
      <c r="S72" s="108">
        <f>N72*O72*P72*'1. Standard_Cost'!$C$15</f>
        <v>135000</v>
      </c>
      <c r="T72" s="108">
        <f>N72*P72*Q72*'1. Standard_Cost'!$D$15</f>
        <v>0</v>
      </c>
      <c r="U72" s="108">
        <f>N72*O72*'1. Standard_Cost'!$E$15</f>
        <v>240000</v>
      </c>
      <c r="V72" s="107"/>
      <c r="W72" s="107"/>
      <c r="X72" s="107"/>
      <c r="Y72" s="108">
        <f>+V72*((X72*'1. Standard_Cost'!$B$19)+(W72*X72*'1. Standard_Cost'!$C$19))</f>
        <v>0</v>
      </c>
      <c r="Z72" s="260"/>
      <c r="AA72" s="260">
        <v>7</v>
      </c>
      <c r="AB72" s="108">
        <f>+Z72*'1. Standard_Cost'!$B$23+AA72*'1. Standard_Cost'!$C$23</f>
        <v>133000</v>
      </c>
      <c r="AC72" s="261">
        <f>90*500</f>
        <v>45000</v>
      </c>
      <c r="AD72" s="262"/>
      <c r="AE72" s="108">
        <f>SUM(AD72,AC72,AB72,Y72,U72,T72,S72,R72)*'1. Standard_Cost'!$B$31</f>
        <v>146600</v>
      </c>
      <c r="AF72" s="108">
        <f t="shared" si="69"/>
        <v>879600</v>
      </c>
      <c r="AG72" s="107"/>
      <c r="AH72" s="107"/>
      <c r="AI72" s="107"/>
      <c r="AJ72" s="111"/>
      <c r="AK72" s="111"/>
      <c r="AL72" s="111"/>
      <c r="AM72" s="108">
        <f>AG72*'1. Standard_Cost'!$B$27+'Incremental_Cost Year 5'!AH72*'1. Standard_Cost'!$C$27+'Incremental_Cost Year 5'!AI72*'1. Standard_Cost'!$D$27+'Incremental_Cost Year 5'!AJ72+'Incremental_Cost Year 5'!AL72+AK72</f>
        <v>0</v>
      </c>
      <c r="AN72" s="108">
        <f>AM72*'1. Standard_Cost'!$C$31</f>
        <v>0</v>
      </c>
      <c r="AO72" s="125" t="s">
        <v>317</v>
      </c>
      <c r="AQ72" s="14">
        <f t="shared" si="70"/>
        <v>82506.899999999994</v>
      </c>
      <c r="AR72" s="14">
        <f t="shared" si="71"/>
        <v>879600</v>
      </c>
      <c r="AS72" s="14">
        <f t="shared" si="72"/>
        <v>0</v>
      </c>
      <c r="AT72" s="14">
        <f t="shared" si="74"/>
        <v>962106.9</v>
      </c>
      <c r="AU72" s="234">
        <v>82507</v>
      </c>
      <c r="AV72" s="234"/>
      <c r="AW72" s="234"/>
      <c r="AX72" s="234"/>
      <c r="AY72" s="234"/>
      <c r="AZ72" s="234"/>
      <c r="BA72" s="234"/>
      <c r="BB72" s="16">
        <f t="shared" si="73"/>
        <v>-879599.9</v>
      </c>
    </row>
    <row r="73" spans="1:54" ht="109.2" outlineLevel="2">
      <c r="A73" s="98"/>
      <c r="B73" s="102"/>
      <c r="C73" s="23"/>
      <c r="D73" s="251"/>
      <c r="E73" s="251"/>
      <c r="F73" s="251"/>
      <c r="G73" s="173"/>
      <c r="H73" s="302" t="s">
        <v>612</v>
      </c>
      <c r="I73" s="258"/>
      <c r="J73" s="259"/>
      <c r="K73" s="259"/>
      <c r="L73" s="106" t="str">
        <f>IF(I73&lt;&gt;0,((VLOOKUP(I73,'1. Standard_Cost'!$B$4:$D$11,2)+VLOOKUP(I73,'1. Standard_Cost'!$B$4:$D$11,3))*J73*K73),"0")</f>
        <v>0</v>
      </c>
      <c r="M73" s="106">
        <f>L73*'1. Standard_Cost'!$F$4</f>
        <v>0</v>
      </c>
      <c r="N73" s="260"/>
      <c r="O73" s="260"/>
      <c r="P73" s="260"/>
      <c r="Q73" s="26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69"/>
        <v>0</v>
      </c>
      <c r="AG73" s="107"/>
      <c r="AH73" s="107"/>
      <c r="AI73" s="107"/>
      <c r="AJ73" s="111"/>
      <c r="AK73" s="111"/>
      <c r="AL73" s="111"/>
      <c r="AM73" s="108">
        <f>AG73*'1. Standard_Cost'!$B$27+'Incremental_Cost Year 5'!AH73*'1. Standard_Cost'!$C$27+'Incremental_Cost Year 5'!AI73*'1. Standard_Cost'!$D$27+'Incremental_Cost Year 5'!AJ73+'Incremental_Cost Year 5'!AL73+AK73</f>
        <v>0</v>
      </c>
      <c r="AN73" s="108">
        <f>AM73*'1. Standard_Cost'!$C$31</f>
        <v>0</v>
      </c>
      <c r="AO73" s="125" t="s">
        <v>318</v>
      </c>
      <c r="AQ73" s="14">
        <f t="shared" si="70"/>
        <v>0</v>
      </c>
      <c r="AR73" s="14">
        <f t="shared" si="71"/>
        <v>0</v>
      </c>
      <c r="AS73" s="14">
        <f t="shared" si="72"/>
        <v>0</v>
      </c>
      <c r="AT73" s="14">
        <f t="shared" si="74"/>
        <v>0</v>
      </c>
      <c r="AU73" s="234"/>
      <c r="AV73" s="234"/>
      <c r="AW73" s="234"/>
      <c r="AX73" s="234"/>
      <c r="AY73" s="234"/>
      <c r="AZ73" s="234"/>
      <c r="BA73" s="234"/>
      <c r="BB73" s="16">
        <f t="shared" si="73"/>
        <v>0</v>
      </c>
    </row>
    <row r="74" spans="1:54" ht="74.400000000000006" outlineLevel="2">
      <c r="A74" s="98"/>
      <c r="B74" s="102"/>
      <c r="C74" s="23"/>
      <c r="D74" s="251"/>
      <c r="E74" s="251"/>
      <c r="F74" s="251"/>
      <c r="G74" s="250"/>
      <c r="H74" s="302" t="s">
        <v>682</v>
      </c>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69"/>
        <v>0</v>
      </c>
      <c r="AG74" s="107"/>
      <c r="AH74" s="107"/>
      <c r="AI74" s="107"/>
      <c r="AJ74" s="111"/>
      <c r="AK74" s="111"/>
      <c r="AL74" s="111"/>
      <c r="AM74" s="108">
        <f>AG74*'1. Standard_Cost'!$B$27+'Incremental_Cost Year 5'!AH74*'1. Standard_Cost'!$C$27+'Incremental_Cost Year 5'!AI74*'1. Standard_Cost'!$D$27+'Incremental_Cost Year 5'!AJ74+'Incremental_Cost Year 5'!AL74+AK74</f>
        <v>0</v>
      </c>
      <c r="AN74" s="108">
        <f>AM74*'1. Standard_Cost'!$C$31</f>
        <v>0</v>
      </c>
      <c r="AO74" s="125" t="s">
        <v>319</v>
      </c>
      <c r="AQ74" s="14">
        <f t="shared" si="70"/>
        <v>0</v>
      </c>
      <c r="AR74" s="14">
        <f t="shared" si="71"/>
        <v>0</v>
      </c>
      <c r="AS74" s="14">
        <f t="shared" si="72"/>
        <v>0</v>
      </c>
      <c r="AT74" s="14">
        <f t="shared" si="74"/>
        <v>0</v>
      </c>
      <c r="AU74" s="234"/>
      <c r="AV74" s="234"/>
      <c r="AW74" s="234"/>
      <c r="AX74" s="234"/>
      <c r="AY74" s="234"/>
      <c r="AZ74" s="234"/>
      <c r="BA74" s="234"/>
      <c r="BB74" s="16">
        <f t="shared" si="73"/>
        <v>0</v>
      </c>
    </row>
    <row r="75" spans="1:54" ht="60.6" outlineLevel="2">
      <c r="A75" s="98"/>
      <c r="B75" s="102"/>
      <c r="C75" s="23"/>
      <c r="D75" s="251"/>
      <c r="E75" s="251"/>
      <c r="F75" s="251"/>
      <c r="G75" s="250"/>
      <c r="H75" s="302" t="s">
        <v>683</v>
      </c>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69"/>
        <v>0</v>
      </c>
      <c r="AG75" s="107"/>
      <c r="AH75" s="107"/>
      <c r="AI75" s="107"/>
      <c r="AJ75" s="111"/>
      <c r="AK75" s="111"/>
      <c r="AL75" s="111"/>
      <c r="AM75" s="108">
        <f>AG75*'1. Standard_Cost'!$B$27+'Incremental_Cost Year 5'!AH75*'1. Standard_Cost'!$C$27+'Incremental_Cost Year 5'!AI75*'1. Standard_Cost'!$D$27+'Incremental_Cost Year 5'!AJ75+'Incremental_Cost Year 5'!AL75+AK75</f>
        <v>0</v>
      </c>
      <c r="AN75" s="108">
        <f>AM75*'1. Standard_Cost'!$C$31</f>
        <v>0</v>
      </c>
      <c r="AO75" s="125" t="s">
        <v>320</v>
      </c>
      <c r="AQ75" s="14">
        <f t="shared" si="70"/>
        <v>0</v>
      </c>
      <c r="AR75" s="14">
        <f t="shared" si="71"/>
        <v>0</v>
      </c>
      <c r="AS75" s="14">
        <f t="shared" si="72"/>
        <v>0</v>
      </c>
      <c r="AT75" s="14">
        <f t="shared" si="74"/>
        <v>0</v>
      </c>
      <c r="AU75" s="234"/>
      <c r="AV75" s="234"/>
      <c r="AW75" s="234"/>
      <c r="AX75" s="234"/>
      <c r="AY75" s="234"/>
      <c r="AZ75" s="234"/>
      <c r="BA75" s="234"/>
      <c r="BB75" s="16">
        <f t="shared" si="73"/>
        <v>0</v>
      </c>
    </row>
    <row r="76" spans="1:54" ht="187.2" outlineLevel="2">
      <c r="A76" s="98"/>
      <c r="B76" s="102"/>
      <c r="C76" s="23"/>
      <c r="D76" s="251"/>
      <c r="E76" s="251"/>
      <c r="F76" s="251"/>
      <c r="G76" s="250"/>
      <c r="H76" s="302" t="s">
        <v>613</v>
      </c>
      <c r="I76" s="258"/>
      <c r="J76" s="259"/>
      <c r="K76" s="259"/>
      <c r="L76" s="106" t="str">
        <f>IF(I76&lt;&gt;0,((VLOOKUP(I76,'1. Standard_Cost'!$B$4:$D$11,2)+VLOOKUP(I76,'1. Standard_Cost'!$B$4:$D$11,3))*J76*K76),"0")</f>
        <v>0</v>
      </c>
      <c r="M76" s="106">
        <f>L76*'1. Standard_Cost'!$F$4</f>
        <v>0</v>
      </c>
      <c r="N76" s="260"/>
      <c r="O76" s="260"/>
      <c r="P76" s="260"/>
      <c r="Q76" s="260"/>
      <c r="R76" s="108">
        <f>'1. Standard_Cost'!$B$15*N76*P76</f>
        <v>0</v>
      </c>
      <c r="S76" s="108">
        <f>N76*O76*P76*'1. Standard_Cost'!$C$15</f>
        <v>0</v>
      </c>
      <c r="T76" s="108">
        <f>N76*P76*Q76*'1. Standard_Cost'!$D$15</f>
        <v>0</v>
      </c>
      <c r="U76" s="108">
        <f>N76*O76*'1. Standard_Cost'!$E$15</f>
        <v>0</v>
      </c>
      <c r="V76" s="107"/>
      <c r="W76" s="107"/>
      <c r="X76" s="107"/>
      <c r="Y76" s="108">
        <f>+V76*((X76*'1. Standard_Cost'!$B$19)+(W76*X76*'1. Standard_Cost'!$C$19))</f>
        <v>0</v>
      </c>
      <c r="Z76" s="260"/>
      <c r="AA76" s="260"/>
      <c r="AB76" s="108">
        <f>+Z76*'1. Standard_Cost'!$B$23+AA76*'1. Standard_Cost'!$C$23</f>
        <v>0</v>
      </c>
      <c r="AC76" s="261">
        <v>2000000</v>
      </c>
      <c r="AD76" s="262"/>
      <c r="AE76" s="108">
        <f>SUM(AD76,AC76,AB76,Y76,U76,T76,S76,R76)*'1. Standard_Cost'!$B$31</f>
        <v>400000</v>
      </c>
      <c r="AF76" s="108">
        <f t="shared" si="69"/>
        <v>2400000</v>
      </c>
      <c r="AG76" s="107"/>
      <c r="AH76" s="107"/>
      <c r="AI76" s="107"/>
      <c r="AJ76" s="111"/>
      <c r="AK76" s="111"/>
      <c r="AL76" s="111"/>
      <c r="AM76" s="108">
        <f>AG76*'1. Standard_Cost'!$B$27+'Incremental_Cost Year 5'!AH76*'1. Standard_Cost'!$C$27+'Incremental_Cost Year 5'!AI76*'1. Standard_Cost'!$D$27+'Incremental_Cost Year 5'!AJ76+'Incremental_Cost Year 5'!AL76+AK76</f>
        <v>0</v>
      </c>
      <c r="AN76" s="108">
        <f>AM76*'1. Standard_Cost'!$C$31</f>
        <v>0</v>
      </c>
      <c r="AO76" s="125" t="s">
        <v>321</v>
      </c>
      <c r="AQ76" s="14">
        <f t="shared" si="70"/>
        <v>0</v>
      </c>
      <c r="AR76" s="14">
        <f t="shared" si="71"/>
        <v>2400000</v>
      </c>
      <c r="AS76" s="14">
        <f t="shared" si="72"/>
        <v>0</v>
      </c>
      <c r="AT76" s="14">
        <f t="shared" si="74"/>
        <v>2400000</v>
      </c>
      <c r="AU76" s="234"/>
      <c r="AV76" s="234"/>
      <c r="AW76" s="234"/>
      <c r="AX76" s="234"/>
      <c r="AY76" s="234"/>
      <c r="AZ76" s="234"/>
      <c r="BA76" s="234"/>
      <c r="BB76" s="16">
        <f t="shared" si="73"/>
        <v>-2400000</v>
      </c>
    </row>
    <row r="77" spans="1:54" ht="202.8" outlineLevel="2">
      <c r="A77" s="98"/>
      <c r="B77" s="102"/>
      <c r="C77" s="23"/>
      <c r="D77" s="251"/>
      <c r="E77" s="251"/>
      <c r="F77" s="251"/>
      <c r="G77" s="250"/>
      <c r="H77" s="302" t="s">
        <v>614</v>
      </c>
      <c r="I77" s="258" t="s">
        <v>193</v>
      </c>
      <c r="J77" s="259">
        <v>1</v>
      </c>
      <c r="K77" s="259">
        <v>2</v>
      </c>
      <c r="L77" s="106">
        <f>IF(I77&lt;&gt;0,((VLOOKUP(I77,'1. Standard_Cost'!$B$4:$D$11,2)+VLOOKUP(I77,'1. Standard_Cost'!$B$4:$D$11,3))*J77*K77),"0")</f>
        <v>101000</v>
      </c>
      <c r="M77" s="106">
        <f>L77*'1. Standard_Cost'!$F$4</f>
        <v>16867</v>
      </c>
      <c r="N77" s="260">
        <v>1</v>
      </c>
      <c r="O77" s="260">
        <v>2</v>
      </c>
      <c r="P77" s="260">
        <v>15</v>
      </c>
      <c r="Q77" s="260"/>
      <c r="R77" s="108">
        <f>'1. Standard_Cost'!$B$15*N77*P77</f>
        <v>30000</v>
      </c>
      <c r="S77" s="108">
        <f>N77*O77*P77*'1. Standard_Cost'!$C$15</f>
        <v>45000</v>
      </c>
      <c r="T77" s="108">
        <f>N77*P77*Q77*'1. Standard_Cost'!$D$15</f>
        <v>0</v>
      </c>
      <c r="U77" s="108">
        <f>N77*O77*'1. Standard_Cost'!$E$15</f>
        <v>80000</v>
      </c>
      <c r="V77" s="107"/>
      <c r="W77" s="107"/>
      <c r="X77" s="107"/>
      <c r="Y77" s="108">
        <f>+V77*((X77*'1. Standard_Cost'!$B$19)+(W77*X77*'1. Standard_Cost'!$C$19))</f>
        <v>0</v>
      </c>
      <c r="Z77" s="260"/>
      <c r="AA77" s="260">
        <v>3</v>
      </c>
      <c r="AB77" s="108">
        <f>+Z77*'1. Standard_Cost'!$B$23+AA77*'1. Standard_Cost'!$C$23</f>
        <v>57000</v>
      </c>
      <c r="AC77" s="261"/>
      <c r="AD77" s="262"/>
      <c r="AE77" s="108">
        <f>SUM(AD77,AC77,AB77,Y77,U77,T77,S77,R77)*'1. Standard_Cost'!$B$31</f>
        <v>42400</v>
      </c>
      <c r="AF77" s="108">
        <f t="shared" si="69"/>
        <v>254400</v>
      </c>
      <c r="AG77" s="107"/>
      <c r="AH77" s="107"/>
      <c r="AI77" s="107"/>
      <c r="AJ77" s="111"/>
      <c r="AK77" s="111"/>
      <c r="AL77" s="111"/>
      <c r="AM77" s="108">
        <f>AG77*'1. Standard_Cost'!$B$27+'Incremental_Cost Year 5'!AH77*'1. Standard_Cost'!$C$27+'Incremental_Cost Year 5'!AI77*'1. Standard_Cost'!$D$27+'Incremental_Cost Year 5'!AJ77+'Incremental_Cost Year 5'!AL77+AK77</f>
        <v>0</v>
      </c>
      <c r="AN77" s="108">
        <f>AM77*'1. Standard_Cost'!$C$31</f>
        <v>0</v>
      </c>
      <c r="AO77" s="125" t="s">
        <v>322</v>
      </c>
      <c r="AQ77" s="14">
        <f t="shared" si="70"/>
        <v>117867</v>
      </c>
      <c r="AR77" s="14">
        <f t="shared" si="71"/>
        <v>254400</v>
      </c>
      <c r="AS77" s="14">
        <f t="shared" si="72"/>
        <v>0</v>
      </c>
      <c r="AT77" s="14">
        <f t="shared" si="74"/>
        <v>372267</v>
      </c>
      <c r="AU77" s="234">
        <v>124869</v>
      </c>
      <c r="AV77" s="234"/>
      <c r="AW77" s="234"/>
      <c r="AX77" s="234"/>
      <c r="AY77" s="234"/>
      <c r="AZ77" s="234"/>
      <c r="BA77" s="234"/>
      <c r="BB77" s="16">
        <f t="shared" si="73"/>
        <v>-247398</v>
      </c>
    </row>
    <row r="78" spans="1:54" ht="93.6" outlineLevel="2">
      <c r="A78" s="98"/>
      <c r="B78" s="102"/>
      <c r="C78" s="23"/>
      <c r="D78" s="251"/>
      <c r="E78" s="251"/>
      <c r="F78" s="251"/>
      <c r="G78" s="250"/>
      <c r="H78" s="302" t="s">
        <v>615</v>
      </c>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60"/>
      <c r="AA78" s="260"/>
      <c r="AB78" s="108">
        <f>+Z78*'1. Standard_Cost'!$B$23+AA78*'1. Standard_Cost'!$C$23</f>
        <v>0</v>
      </c>
      <c r="AC78" s="261">
        <f>120*90000</f>
        <v>10800000</v>
      </c>
      <c r="AD78" s="262"/>
      <c r="AE78" s="108">
        <f>SUM(AD78,AC78,AB78,Y78,U78,T78,S78,R78)*'1. Standard_Cost'!$B$31</f>
        <v>2160000</v>
      </c>
      <c r="AF78" s="108">
        <f t="shared" si="69"/>
        <v>12960000</v>
      </c>
      <c r="AG78" s="107"/>
      <c r="AH78" s="107"/>
      <c r="AI78" s="107"/>
      <c r="AJ78" s="111"/>
      <c r="AK78" s="111"/>
      <c r="AL78" s="111"/>
      <c r="AM78" s="108">
        <f>AG78*'1. Standard_Cost'!$B$27+'Incremental_Cost Year 5'!AH78*'1. Standard_Cost'!$C$27+'Incremental_Cost Year 5'!AI78*'1. Standard_Cost'!$D$27+'Incremental_Cost Year 5'!AJ78+'Incremental_Cost Year 5'!AL78+AK78</f>
        <v>0</v>
      </c>
      <c r="AN78" s="108">
        <f>AM78*'1. Standard_Cost'!$C$31</f>
        <v>0</v>
      </c>
      <c r="AO78" s="125" t="s">
        <v>323</v>
      </c>
      <c r="AQ78" s="14">
        <f t="shared" si="70"/>
        <v>0</v>
      </c>
      <c r="AR78" s="14">
        <f t="shared" si="71"/>
        <v>12960000</v>
      </c>
      <c r="AS78" s="14">
        <f t="shared" si="72"/>
        <v>0</v>
      </c>
      <c r="AT78" s="14">
        <f t="shared" si="74"/>
        <v>12960000</v>
      </c>
      <c r="AU78" s="234">
        <v>12960000</v>
      </c>
      <c r="AV78" s="234"/>
      <c r="AW78" s="234"/>
      <c r="AX78" s="234"/>
      <c r="AY78" s="234"/>
      <c r="AZ78" s="234"/>
      <c r="BA78" s="234"/>
      <c r="BB78" s="16">
        <f t="shared" si="73"/>
        <v>0</v>
      </c>
    </row>
    <row r="79" spans="1:54" ht="262.2" outlineLevel="1">
      <c r="A79" s="98"/>
      <c r="B79" s="102"/>
      <c r="C79" s="23"/>
      <c r="D79" s="31" t="s">
        <v>630</v>
      </c>
      <c r="E79" s="56" t="s">
        <v>215</v>
      </c>
      <c r="F79" s="253"/>
      <c r="G79" s="254"/>
      <c r="H79" s="277" t="s">
        <v>182</v>
      </c>
      <c r="I79" s="112"/>
      <c r="J79" s="112"/>
      <c r="K79" s="112"/>
      <c r="L79" s="113">
        <f>SUM(L60:L78)</f>
        <v>646325</v>
      </c>
      <c r="M79" s="113">
        <f>SUM(M60:M78)</f>
        <v>107936.27499999999</v>
      </c>
      <c r="N79" s="112"/>
      <c r="O79" s="112"/>
      <c r="P79" s="112"/>
      <c r="Q79" s="112"/>
      <c r="R79" s="113">
        <f t="shared" ref="R79:U79" si="75">SUM(R60:R78)</f>
        <v>390000</v>
      </c>
      <c r="S79" s="113">
        <f t="shared" si="75"/>
        <v>315000</v>
      </c>
      <c r="T79" s="113">
        <f t="shared" si="75"/>
        <v>0</v>
      </c>
      <c r="U79" s="113">
        <f t="shared" si="75"/>
        <v>560000</v>
      </c>
      <c r="V79" s="112"/>
      <c r="W79" s="112"/>
      <c r="X79" s="112"/>
      <c r="Y79" s="113">
        <f>SUM(Y60:Y78)</f>
        <v>0</v>
      </c>
      <c r="Z79" s="112"/>
      <c r="AA79" s="112"/>
      <c r="AB79" s="113">
        <f t="shared" ref="AB79:AF79" si="76">SUM(AB60:AB78)</f>
        <v>722000</v>
      </c>
      <c r="AC79" s="113">
        <f t="shared" si="76"/>
        <v>13300000</v>
      </c>
      <c r="AD79" s="113">
        <f t="shared" si="76"/>
        <v>0</v>
      </c>
      <c r="AE79" s="113">
        <f t="shared" si="76"/>
        <v>3057400</v>
      </c>
      <c r="AF79" s="113">
        <f t="shared" si="76"/>
        <v>18344400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754261.27500000002</v>
      </c>
      <c r="AR79" s="113">
        <f t="shared" ref="AR79:BB79" si="78">SUM(AR60:AR78)</f>
        <v>18344400</v>
      </c>
      <c r="AS79" s="113">
        <f t="shared" si="78"/>
        <v>0</v>
      </c>
      <c r="AT79" s="113">
        <f t="shared" si="78"/>
        <v>19098661.274999999</v>
      </c>
      <c r="AU79" s="113">
        <f t="shared" si="78"/>
        <v>13721264</v>
      </c>
      <c r="AV79" s="113">
        <f t="shared" si="78"/>
        <v>0</v>
      </c>
      <c r="AW79" s="113">
        <f t="shared" si="78"/>
        <v>0</v>
      </c>
      <c r="AX79" s="113">
        <f t="shared" si="78"/>
        <v>0</v>
      </c>
      <c r="AY79" s="113">
        <f t="shared" si="78"/>
        <v>0</v>
      </c>
      <c r="AZ79" s="113">
        <f t="shared" si="78"/>
        <v>456000</v>
      </c>
      <c r="BA79" s="113">
        <f t="shared" si="78"/>
        <v>0</v>
      </c>
      <c r="BB79" s="113">
        <f t="shared" si="78"/>
        <v>-4921397.2750000004</v>
      </c>
    </row>
    <row r="80" spans="1:54" s="24" customFormat="1" ht="13.8" customHeight="1">
      <c r="A80" s="114"/>
      <c r="B80" s="115"/>
      <c r="C80" s="314" t="s">
        <v>216</v>
      </c>
      <c r="D80" s="314"/>
      <c r="E80" s="315"/>
      <c r="F80" s="246"/>
      <c r="G80" s="246"/>
      <c r="H80" s="278" t="s">
        <v>219</v>
      </c>
      <c r="I80" s="116"/>
      <c r="J80" s="116"/>
      <c r="K80" s="116"/>
      <c r="L80" s="117">
        <f>L91</f>
        <v>35350</v>
      </c>
      <c r="M80" s="117">
        <f>M91</f>
        <v>5903.4500000000007</v>
      </c>
      <c r="N80" s="116"/>
      <c r="O80" s="116"/>
      <c r="P80" s="116"/>
      <c r="Q80" s="116"/>
      <c r="R80" s="117">
        <f t="shared" ref="R80:U80" si="79">R91</f>
        <v>190000</v>
      </c>
      <c r="S80" s="117">
        <f t="shared" si="79"/>
        <v>285000</v>
      </c>
      <c r="T80" s="117">
        <f t="shared" si="79"/>
        <v>0</v>
      </c>
      <c r="U80" s="117">
        <f t="shared" si="79"/>
        <v>400000</v>
      </c>
      <c r="V80" s="116"/>
      <c r="W80" s="116"/>
      <c r="X80" s="116"/>
      <c r="Y80" s="117">
        <f>Y91</f>
        <v>0</v>
      </c>
      <c r="Z80" s="116"/>
      <c r="AA80" s="116"/>
      <c r="AB80" s="117">
        <f t="shared" ref="AB80:AF80" si="80">AB91</f>
        <v>494000</v>
      </c>
      <c r="AC80" s="117">
        <f t="shared" si="80"/>
        <v>4455000</v>
      </c>
      <c r="AD80" s="117">
        <f t="shared" si="80"/>
        <v>0</v>
      </c>
      <c r="AE80" s="117">
        <f t="shared" si="80"/>
        <v>1164800</v>
      </c>
      <c r="AF80" s="117">
        <f t="shared" si="80"/>
        <v>6988800</v>
      </c>
      <c r="AG80" s="116"/>
      <c r="AH80" s="116"/>
      <c r="AI80" s="116"/>
      <c r="AJ80" s="117">
        <f t="shared" ref="AJ80:AN80" si="81">AJ91</f>
        <v>2000000</v>
      </c>
      <c r="AK80" s="117">
        <f t="shared" si="81"/>
        <v>0</v>
      </c>
      <c r="AL80" s="117">
        <f t="shared" si="81"/>
        <v>1700000</v>
      </c>
      <c r="AM80" s="117">
        <f t="shared" si="81"/>
        <v>3700000</v>
      </c>
      <c r="AN80" s="117">
        <f t="shared" si="81"/>
        <v>555000</v>
      </c>
      <c r="AO80" s="132"/>
      <c r="AP80" s="25"/>
      <c r="AQ80" s="117">
        <f t="shared" ref="AQ80:BB80" si="82">AQ91</f>
        <v>41253.449999999997</v>
      </c>
      <c r="AR80" s="117">
        <f t="shared" si="82"/>
        <v>6988800</v>
      </c>
      <c r="AS80" s="117">
        <f t="shared" si="82"/>
        <v>4255000</v>
      </c>
      <c r="AT80" s="117">
        <f t="shared" si="82"/>
        <v>11285053.449999999</v>
      </c>
      <c r="AU80" s="117">
        <f t="shared" si="82"/>
        <v>6936253</v>
      </c>
      <c r="AV80" s="117">
        <f t="shared" si="82"/>
        <v>0</v>
      </c>
      <c r="AW80" s="117">
        <f t="shared" si="82"/>
        <v>0</v>
      </c>
      <c r="AX80" s="117">
        <f t="shared" si="82"/>
        <v>0</v>
      </c>
      <c r="AY80" s="117">
        <f t="shared" si="82"/>
        <v>0</v>
      </c>
      <c r="AZ80" s="117">
        <f t="shared" si="82"/>
        <v>0</v>
      </c>
      <c r="BA80" s="117">
        <f t="shared" si="82"/>
        <v>0</v>
      </c>
      <c r="BB80" s="117">
        <f t="shared" si="82"/>
        <v>-4348800.45</v>
      </c>
    </row>
    <row r="81" spans="1:54" ht="140.4" outlineLevel="2">
      <c r="A81" s="98"/>
      <c r="B81" s="102"/>
      <c r="C81" s="23"/>
      <c r="D81" s="257"/>
      <c r="E81" s="257"/>
      <c r="F81" s="252"/>
      <c r="G81" s="249"/>
      <c r="H81" s="302" t="s">
        <v>684</v>
      </c>
      <c r="I81" s="282"/>
      <c r="J81" s="259"/>
      <c r="K81" s="259"/>
      <c r="L81" s="106" t="str">
        <f>IF(I81&lt;&gt;0,((VLOOKUP(I81,'1. Standard_Cost'!$B$4:$D$11,2)+VLOOKUP(I81,'1. Standard_Cost'!$B$4:$D$11,3))*J81*K81),"0")</f>
        <v>0</v>
      </c>
      <c r="M81" s="106">
        <f>L81*'1. Standard_Cost'!$F$4</f>
        <v>0</v>
      </c>
      <c r="N81" s="260"/>
      <c r="O81" s="260"/>
      <c r="P81" s="260"/>
      <c r="Q81" s="260"/>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83">SUM(AE81,AD81,AC81,AB81,Y81,U81,T81,S81,R81)</f>
        <v>0</v>
      </c>
      <c r="AG81" s="260"/>
      <c r="AH81" s="260"/>
      <c r="AI81" s="260"/>
      <c r="AJ81" s="263"/>
      <c r="AK81" s="263"/>
      <c r="AL81" s="263"/>
      <c r="AM81" s="108">
        <f>AG81*'1. Standard_Cost'!$B$27+'Incremental_Cost Year 5'!AH81*'1. Standard_Cost'!$C$27+'Incremental_Cost Year 5'!AI81*'1. Standard_Cost'!$D$27+'Incremental_Cost Year 5'!AJ81+'Incremental_Cost Year 5'!AL81+AK81</f>
        <v>0</v>
      </c>
      <c r="AN81" s="108">
        <f>AM81*'1. Standard_Cost'!$C$31</f>
        <v>0</v>
      </c>
      <c r="AO81" s="125" t="s">
        <v>300</v>
      </c>
      <c r="AQ81" s="14">
        <f t="shared" ref="AQ81:AQ90" si="84">L81+M81</f>
        <v>0</v>
      </c>
      <c r="AR81" s="14">
        <f t="shared" ref="AR81:AR90" si="85">AF81</f>
        <v>0</v>
      </c>
      <c r="AS81" s="14">
        <f t="shared" ref="AS81:AS90" si="86">AM81+AN81</f>
        <v>0</v>
      </c>
      <c r="AT81" s="14">
        <f>SUM(AQ81,AR81,AS81)</f>
        <v>0</v>
      </c>
      <c r="AU81" s="234"/>
      <c r="AV81" s="234"/>
      <c r="AW81" s="234"/>
      <c r="AX81" s="234"/>
      <c r="AY81" s="234"/>
      <c r="AZ81" s="234"/>
      <c r="BA81" s="234"/>
      <c r="BB81" s="16">
        <f t="shared" ref="BB81:BB90" si="87">SUM(AU81:BA81)-AT81</f>
        <v>0</v>
      </c>
    </row>
    <row r="82" spans="1:54" ht="93.6" outlineLevel="2">
      <c r="A82" s="98"/>
      <c r="B82" s="102"/>
      <c r="C82" s="23"/>
      <c r="D82" s="269"/>
      <c r="E82" s="269"/>
      <c r="F82" s="251"/>
      <c r="G82" s="250"/>
      <c r="H82" s="302" t="s">
        <v>616</v>
      </c>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60"/>
      <c r="AA82" s="260"/>
      <c r="AB82" s="108">
        <f>+Z82*'1. Standard_Cost'!$B$23+AA82*'1. Standard_Cost'!$C$23</f>
        <v>0</v>
      </c>
      <c r="AC82" s="261">
        <f>2*2200000</f>
        <v>4400000</v>
      </c>
      <c r="AD82" s="262"/>
      <c r="AE82" s="108">
        <f>SUM(AD82,AC82,AB82,Y82,U82,T82,S82,R82)*'1. Standard_Cost'!$B$31</f>
        <v>880000</v>
      </c>
      <c r="AF82" s="108">
        <f t="shared" si="83"/>
        <v>5280000</v>
      </c>
      <c r="AG82" s="260"/>
      <c r="AH82" s="260"/>
      <c r="AI82" s="260"/>
      <c r="AJ82" s="263"/>
      <c r="AK82" s="263"/>
      <c r="AL82" s="263"/>
      <c r="AM82" s="108">
        <f>AG82*'1. Standard_Cost'!$B$27+'Incremental_Cost Year 5'!AH82*'1. Standard_Cost'!$C$27+'Incremental_Cost Year 5'!AI82*'1. Standard_Cost'!$D$27+'Incremental_Cost Year 5'!AJ82+'Incremental_Cost Year 5'!AL82+AK82</f>
        <v>0</v>
      </c>
      <c r="AN82" s="108">
        <f>AM82*'1. Standard_Cost'!$C$31</f>
        <v>0</v>
      </c>
      <c r="AO82" s="125" t="s">
        <v>324</v>
      </c>
      <c r="AQ82" s="14">
        <f t="shared" si="84"/>
        <v>0</v>
      </c>
      <c r="AR82" s="14">
        <f t="shared" si="85"/>
        <v>5280000</v>
      </c>
      <c r="AS82" s="14">
        <f t="shared" si="86"/>
        <v>0</v>
      </c>
      <c r="AT82" s="14">
        <f t="shared" ref="AT82:AT90" si="88">SUM(AQ82,AR82,AS82)</f>
        <v>5280000</v>
      </c>
      <c r="AU82" s="234">
        <v>2640000</v>
      </c>
      <c r="AV82" s="234"/>
      <c r="AW82" s="234"/>
      <c r="AX82" s="234"/>
      <c r="AY82" s="234"/>
      <c r="AZ82" s="234"/>
      <c r="BA82" s="234"/>
      <c r="BB82" s="16">
        <f t="shared" si="87"/>
        <v>-2640000</v>
      </c>
    </row>
    <row r="83" spans="1:54" ht="124.8" outlineLevel="2">
      <c r="A83" s="98"/>
      <c r="B83" s="102"/>
      <c r="C83" s="23"/>
      <c r="D83" s="269"/>
      <c r="E83" s="269"/>
      <c r="F83" s="251"/>
      <c r="G83" s="250"/>
      <c r="H83" s="302" t="s">
        <v>617</v>
      </c>
      <c r="I83" s="282"/>
      <c r="J83" s="259"/>
      <c r="K83" s="259"/>
      <c r="L83" s="106" t="str">
        <f>IF(I83&lt;&gt;0,((VLOOKUP(I83,'1. Standard_Cost'!$B$4:$D$11,2)+VLOOKUP(I83,'1. Standard_Cost'!$B$4:$D$11,3))*J83*K83),"0")</f>
        <v>0</v>
      </c>
      <c r="M83" s="106">
        <f>L83*'1. Standard_Cost'!$F$4</f>
        <v>0</v>
      </c>
      <c r="N83" s="260"/>
      <c r="O83" s="260"/>
      <c r="P83" s="260"/>
      <c r="Q83" s="260"/>
      <c r="R83" s="108">
        <f>'1. Standard_Cost'!$B$15*N83*P83</f>
        <v>0</v>
      </c>
      <c r="S83" s="108">
        <f>N83*O83*P83*'1. Standard_Cost'!$C$15</f>
        <v>0</v>
      </c>
      <c r="T83" s="108">
        <f>N83*P83*Q83*'1. Standard_Cost'!$D$15</f>
        <v>0</v>
      </c>
      <c r="U83" s="108">
        <f>N83*O83*'1. Standard_Cost'!$E$15</f>
        <v>0</v>
      </c>
      <c r="V83" s="107"/>
      <c r="W83" s="107"/>
      <c r="X83" s="107"/>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83"/>
        <v>0</v>
      </c>
      <c r="AG83" s="260"/>
      <c r="AH83" s="260"/>
      <c r="AI83" s="260"/>
      <c r="AJ83" s="263"/>
      <c r="AK83" s="263"/>
      <c r="AL83" s="263"/>
      <c r="AM83" s="108">
        <f>AG83*'1. Standard_Cost'!$B$27+'Incremental_Cost Year 5'!AH83*'1. Standard_Cost'!$C$27+'Incremental_Cost Year 5'!AI83*'1. Standard_Cost'!$D$27+'Incremental_Cost Year 5'!AJ83+'Incremental_Cost Year 5'!AL83+AK83</f>
        <v>0</v>
      </c>
      <c r="AN83" s="108">
        <f>AM83*'1. Standard_Cost'!$C$31</f>
        <v>0</v>
      </c>
      <c r="AO83" s="125" t="s">
        <v>325</v>
      </c>
      <c r="AQ83" s="14">
        <f t="shared" si="84"/>
        <v>0</v>
      </c>
      <c r="AR83" s="14">
        <f t="shared" si="85"/>
        <v>0</v>
      </c>
      <c r="AS83" s="14">
        <f t="shared" si="86"/>
        <v>0</v>
      </c>
      <c r="AT83" s="14">
        <f t="shared" si="88"/>
        <v>0</v>
      </c>
      <c r="AU83" s="234"/>
      <c r="AV83" s="234"/>
      <c r="AW83" s="234"/>
      <c r="AX83" s="234"/>
      <c r="AY83" s="234"/>
      <c r="AZ83" s="234"/>
      <c r="BA83" s="234"/>
      <c r="BB83" s="16">
        <f t="shared" si="87"/>
        <v>0</v>
      </c>
    </row>
    <row r="84" spans="1:54" ht="140.4" outlineLevel="2">
      <c r="A84" s="98"/>
      <c r="B84" s="102"/>
      <c r="C84" s="23"/>
      <c r="D84" s="269"/>
      <c r="E84" s="269"/>
      <c r="F84" s="251"/>
      <c r="G84" s="250"/>
      <c r="H84" s="302" t="s">
        <v>618</v>
      </c>
      <c r="I84" s="258" t="s">
        <v>5</v>
      </c>
      <c r="J84" s="259">
        <v>0.5</v>
      </c>
      <c r="K84" s="259">
        <v>1</v>
      </c>
      <c r="L84" s="106">
        <f>IF(I84&lt;&gt;0,((VLOOKUP(I84,'1. Standard_Cost'!$B$4:$D$11,2)+VLOOKUP(I84,'1. Standard_Cost'!$B$4:$D$11,3))*J84*K84),"0")</f>
        <v>35350</v>
      </c>
      <c r="M84" s="106">
        <f>L84*'1. Standard_Cost'!$F$4</f>
        <v>5903.4500000000007</v>
      </c>
      <c r="N84" s="260">
        <v>4</v>
      </c>
      <c r="O84" s="260">
        <v>2</v>
      </c>
      <c r="P84" s="260">
        <v>20</v>
      </c>
      <c r="Q84" s="260"/>
      <c r="R84" s="108">
        <f>'1. Standard_Cost'!$B$15*N84*P84</f>
        <v>160000</v>
      </c>
      <c r="S84" s="108">
        <f>N84*O84*P84*'1. Standard_Cost'!$C$15</f>
        <v>240000</v>
      </c>
      <c r="T84" s="108">
        <f>N84*P84*Q84*'1. Standard_Cost'!$D$15</f>
        <v>0</v>
      </c>
      <c r="U84" s="108">
        <f>N84*O84*'1. Standard_Cost'!$E$15</f>
        <v>320000</v>
      </c>
      <c r="V84" s="107"/>
      <c r="W84" s="107"/>
      <c r="X84" s="107"/>
      <c r="Y84" s="108">
        <f>+V84*((X84*'1. Standard_Cost'!$B$19)+(W84*X84*'1. Standard_Cost'!$C$19))</f>
        <v>0</v>
      </c>
      <c r="Z84" s="260"/>
      <c r="AA84" s="260">
        <v>20</v>
      </c>
      <c r="AB84" s="108">
        <f>+Z84*'1. Standard_Cost'!$B$23+AA84*'1. Standard_Cost'!$C$23</f>
        <v>380000</v>
      </c>
      <c r="AC84" s="261">
        <f>80*500</f>
        <v>40000</v>
      </c>
      <c r="AD84" s="262"/>
      <c r="AE84" s="108">
        <f>SUM(AD84,AC84,AB84,Y84,U84,T84,S84,R84)*'1. Standard_Cost'!$B$31</f>
        <v>228000</v>
      </c>
      <c r="AF84" s="108">
        <f t="shared" si="83"/>
        <v>1368000</v>
      </c>
      <c r="AG84" s="260"/>
      <c r="AH84" s="260"/>
      <c r="AI84" s="260"/>
      <c r="AJ84" s="263"/>
      <c r="AK84" s="263"/>
      <c r="AL84" s="263"/>
      <c r="AM84" s="108">
        <f>AG84*'1. Standard_Cost'!$B$27+'Incremental_Cost Year 5'!AH84*'1. Standard_Cost'!$C$27+'Incremental_Cost Year 5'!AI84*'1. Standard_Cost'!$D$27+'Incremental_Cost Year 5'!AJ84+'Incremental_Cost Year 5'!AL84+AK84</f>
        <v>0</v>
      </c>
      <c r="AN84" s="108">
        <f>AM84*'1. Standard_Cost'!$C$31</f>
        <v>0</v>
      </c>
      <c r="AO84" s="125" t="s">
        <v>326</v>
      </c>
      <c r="AQ84" s="14">
        <f t="shared" si="84"/>
        <v>41253.449999999997</v>
      </c>
      <c r="AR84" s="14">
        <f t="shared" si="85"/>
        <v>1368000</v>
      </c>
      <c r="AS84" s="14">
        <f t="shared" si="86"/>
        <v>0</v>
      </c>
      <c r="AT84" s="14">
        <f t="shared" si="88"/>
        <v>1409253.45</v>
      </c>
      <c r="AU84" s="234">
        <v>41253</v>
      </c>
      <c r="AV84" s="234"/>
      <c r="AW84" s="234"/>
      <c r="AX84" s="234"/>
      <c r="AY84" s="234"/>
      <c r="AZ84" s="234"/>
      <c r="BA84" s="234"/>
      <c r="BB84" s="16">
        <f t="shared" si="87"/>
        <v>-1368000.45</v>
      </c>
    </row>
    <row r="85" spans="1:54" ht="109.2" outlineLevel="2">
      <c r="A85" s="98"/>
      <c r="B85" s="102"/>
      <c r="C85" s="23"/>
      <c r="D85" s="269"/>
      <c r="E85" s="269"/>
      <c r="F85" s="251"/>
      <c r="G85" s="250"/>
      <c r="H85" s="302" t="s">
        <v>619</v>
      </c>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60"/>
      <c r="AA85" s="260"/>
      <c r="AB85" s="108">
        <f>+Z85*'1. Standard_Cost'!$B$23+AA85*'1. Standard_Cost'!$C$23</f>
        <v>0</v>
      </c>
      <c r="AC85" s="261"/>
      <c r="AD85" s="262"/>
      <c r="AE85" s="108">
        <f>SUM(AD85,AC85,AB85,Y85,U85,T85,S85,R85)*'1. Standard_Cost'!$B$31</f>
        <v>0</v>
      </c>
      <c r="AF85" s="108">
        <f t="shared" si="83"/>
        <v>0</v>
      </c>
      <c r="AG85" s="260"/>
      <c r="AH85" s="260"/>
      <c r="AI85" s="260"/>
      <c r="AJ85" s="263"/>
      <c r="AK85" s="263"/>
      <c r="AL85" s="263"/>
      <c r="AM85" s="108">
        <f>AG85*'1. Standard_Cost'!$B$27+'Incremental_Cost Year 5'!AH85*'1. Standard_Cost'!$C$27+'Incremental_Cost Year 5'!AI85*'1. Standard_Cost'!$D$27+'Incremental_Cost Year 5'!AJ85+'Incremental_Cost Year 5'!AL85+AK85</f>
        <v>0</v>
      </c>
      <c r="AN85" s="108">
        <f>AM85*'1. Standard_Cost'!$C$31</f>
        <v>0</v>
      </c>
      <c r="AO85" s="125" t="s">
        <v>327</v>
      </c>
      <c r="AQ85" s="14">
        <f t="shared" si="84"/>
        <v>0</v>
      </c>
      <c r="AR85" s="14">
        <f t="shared" si="85"/>
        <v>0</v>
      </c>
      <c r="AS85" s="14">
        <f t="shared" si="86"/>
        <v>0</v>
      </c>
      <c r="AT85" s="14">
        <f t="shared" si="88"/>
        <v>0</v>
      </c>
      <c r="AU85" s="234"/>
      <c r="AV85" s="234"/>
      <c r="AW85" s="234"/>
      <c r="AX85" s="234"/>
      <c r="AY85" s="234"/>
      <c r="AZ85" s="234"/>
      <c r="BA85" s="234"/>
      <c r="BB85" s="16">
        <f t="shared" si="87"/>
        <v>0</v>
      </c>
    </row>
    <row r="86" spans="1:54" ht="171.6" outlineLevel="2">
      <c r="A86" s="98"/>
      <c r="B86" s="102"/>
      <c r="C86" s="23"/>
      <c r="D86" s="269"/>
      <c r="E86" s="269"/>
      <c r="F86" s="251"/>
      <c r="G86" s="250"/>
      <c r="H86" s="302" t="s">
        <v>620</v>
      </c>
      <c r="I86" s="258"/>
      <c r="J86" s="259"/>
      <c r="K86" s="259"/>
      <c r="L86" s="106" t="str">
        <f>IF(I86&lt;&gt;0,((VLOOKUP(I86,'1. Standard_Cost'!$B$4:$D$11,2)+VLOOKUP(I86,'1. Standard_Cost'!$B$4:$D$11,3))*J86*K86),"0")</f>
        <v>0</v>
      </c>
      <c r="M86" s="106">
        <f>L86*'1. Standard_Cost'!$F$4</f>
        <v>0</v>
      </c>
      <c r="N86" s="260"/>
      <c r="O86" s="260"/>
      <c r="P86" s="260"/>
      <c r="Q86" s="260"/>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60"/>
      <c r="AA86" s="260"/>
      <c r="AB86" s="108">
        <f>+Z86*'1. Standard_Cost'!$B$23+AA86*'1. Standard_Cost'!$C$23</f>
        <v>0</v>
      </c>
      <c r="AC86" s="261"/>
      <c r="AD86" s="262"/>
      <c r="AE86" s="108">
        <f>SUM(AD86,AC86,AB86,Y86,U86,T86,S86,R86)*'1. Standard_Cost'!$B$31</f>
        <v>0</v>
      </c>
      <c r="AF86" s="108">
        <f t="shared" si="83"/>
        <v>0</v>
      </c>
      <c r="AG86" s="260"/>
      <c r="AH86" s="260"/>
      <c r="AI86" s="260"/>
      <c r="AJ86" s="263"/>
      <c r="AK86" s="263"/>
      <c r="AL86" s="263"/>
      <c r="AM86" s="108">
        <f>AG86*'1. Standard_Cost'!$B$27+'Incremental_Cost Year 5'!AH86*'1. Standard_Cost'!$C$27+'Incremental_Cost Year 5'!AI86*'1. Standard_Cost'!$D$27+'Incremental_Cost Year 5'!AJ86+'Incremental_Cost Year 5'!AL86+AK86</f>
        <v>0</v>
      </c>
      <c r="AN86" s="108">
        <f>AM86*'1. Standard_Cost'!$C$31</f>
        <v>0</v>
      </c>
      <c r="AO86" s="125" t="s">
        <v>328</v>
      </c>
      <c r="AQ86" s="14">
        <f t="shared" si="84"/>
        <v>0</v>
      </c>
      <c r="AR86" s="14">
        <f t="shared" si="85"/>
        <v>0</v>
      </c>
      <c r="AS86" s="14">
        <f t="shared" si="86"/>
        <v>0</v>
      </c>
      <c r="AT86" s="14">
        <f t="shared" si="88"/>
        <v>0</v>
      </c>
      <c r="AU86" s="234"/>
      <c r="AV86" s="234"/>
      <c r="AW86" s="234"/>
      <c r="AX86" s="234"/>
      <c r="AY86" s="234"/>
      <c r="AZ86" s="234"/>
      <c r="BA86" s="234"/>
      <c r="BB86" s="16">
        <f t="shared" si="87"/>
        <v>0</v>
      </c>
    </row>
    <row r="87" spans="1:54" ht="140.4" outlineLevel="2">
      <c r="A87" s="98"/>
      <c r="B87" s="102"/>
      <c r="C87" s="23"/>
      <c r="D87" s="269"/>
      <c r="E87" s="269"/>
      <c r="F87" s="251"/>
      <c r="G87" s="250"/>
      <c r="H87" s="302" t="s">
        <v>621</v>
      </c>
      <c r="I87" s="258"/>
      <c r="J87" s="259"/>
      <c r="K87" s="259"/>
      <c r="L87" s="106" t="str">
        <f>IF(I87&lt;&gt;0,((VLOOKUP(I87,'1. Standard_Cost'!$B$4:$D$11,2)+VLOOKUP(I87,'1. Standard_Cost'!$B$4:$D$11,3))*J87*K87),"0")</f>
        <v>0</v>
      </c>
      <c r="M87" s="106">
        <f>L87*'1. Standard_Cost'!$F$4</f>
        <v>0</v>
      </c>
      <c r="N87" s="260">
        <v>1</v>
      </c>
      <c r="O87" s="260">
        <v>2</v>
      </c>
      <c r="P87" s="260">
        <v>15</v>
      </c>
      <c r="Q87" s="260"/>
      <c r="R87" s="108">
        <f>'1. Standard_Cost'!$B$15*N87*P87</f>
        <v>30000</v>
      </c>
      <c r="S87" s="108">
        <f>N87*O87*P87*'1. Standard_Cost'!$C$15</f>
        <v>45000</v>
      </c>
      <c r="T87" s="108">
        <f>N87*P87*Q87*'1. Standard_Cost'!$D$15</f>
        <v>0</v>
      </c>
      <c r="U87" s="108">
        <f>N87*O87*'1. Standard_Cost'!$E$15</f>
        <v>80000</v>
      </c>
      <c r="V87" s="107"/>
      <c r="W87" s="107"/>
      <c r="X87" s="107"/>
      <c r="Y87" s="108">
        <f>+V87*((X87*'1. Standard_Cost'!$B$19)+(W87*X87*'1. Standard_Cost'!$C$19))</f>
        <v>0</v>
      </c>
      <c r="Z87" s="260"/>
      <c r="AA87" s="260">
        <v>6</v>
      </c>
      <c r="AB87" s="108">
        <f>+Z87*'1. Standard_Cost'!$B$23+AA87*'1. Standard_Cost'!$C$23</f>
        <v>114000</v>
      </c>
      <c r="AC87" s="261">
        <f>30*500</f>
        <v>15000</v>
      </c>
      <c r="AD87" s="262"/>
      <c r="AE87" s="108">
        <f>SUM(AD87,AC87,AB87,Y87,U87,T87,S87,R87)*'1. Standard_Cost'!$B$31</f>
        <v>56800</v>
      </c>
      <c r="AF87" s="108">
        <f t="shared" si="83"/>
        <v>340800</v>
      </c>
      <c r="AG87" s="260"/>
      <c r="AH87" s="260"/>
      <c r="AI87" s="260"/>
      <c r="AJ87" s="263"/>
      <c r="AK87" s="263"/>
      <c r="AL87" s="263"/>
      <c r="AM87" s="108">
        <f>AG87*'1. Standard_Cost'!$B$27+'Incremental_Cost Year 5'!AH87*'1. Standard_Cost'!$C$27+'Incremental_Cost Year 5'!AI87*'1. Standard_Cost'!$D$27+'Incremental_Cost Year 5'!AJ87+'Incremental_Cost Year 5'!AL87+AK87</f>
        <v>0</v>
      </c>
      <c r="AN87" s="108">
        <f>AM87*'1. Standard_Cost'!$C$31</f>
        <v>0</v>
      </c>
      <c r="AO87" s="125" t="s">
        <v>329</v>
      </c>
      <c r="AQ87" s="14">
        <f t="shared" si="84"/>
        <v>0</v>
      </c>
      <c r="AR87" s="14">
        <f t="shared" si="85"/>
        <v>340800</v>
      </c>
      <c r="AS87" s="14">
        <f t="shared" si="86"/>
        <v>0</v>
      </c>
      <c r="AT87" s="14">
        <f t="shared" si="88"/>
        <v>340800</v>
      </c>
      <c r="AU87" s="234"/>
      <c r="AV87" s="234"/>
      <c r="AW87" s="234"/>
      <c r="AX87" s="234"/>
      <c r="AY87" s="234"/>
      <c r="AZ87" s="234"/>
      <c r="BA87" s="234"/>
      <c r="BB87" s="16">
        <f t="shared" si="87"/>
        <v>-340800</v>
      </c>
    </row>
    <row r="88" spans="1:54" ht="93.6" outlineLevel="2">
      <c r="A88" s="98"/>
      <c r="B88" s="102"/>
      <c r="C88" s="23"/>
      <c r="D88" s="269"/>
      <c r="E88" s="269"/>
      <c r="F88" s="251"/>
      <c r="G88" s="250"/>
      <c r="H88" s="302" t="s">
        <v>622</v>
      </c>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83"/>
        <v>0</v>
      </c>
      <c r="AG88" s="260"/>
      <c r="AH88" s="260"/>
      <c r="AI88" s="260"/>
      <c r="AJ88" s="263"/>
      <c r="AK88" s="263"/>
      <c r="AL88" s="263">
        <v>1700000</v>
      </c>
      <c r="AM88" s="108">
        <f>AG88*'1. Standard_Cost'!$B$27+'Incremental_Cost Year 5'!AH88*'1. Standard_Cost'!$C$27+'Incremental_Cost Year 5'!AI88*'1. Standard_Cost'!$D$27+'Incremental_Cost Year 5'!AJ88+'Incremental_Cost Year 5'!AL88+AK88</f>
        <v>1700000</v>
      </c>
      <c r="AN88" s="108">
        <f>AM88*'1. Standard_Cost'!$C$31</f>
        <v>255000</v>
      </c>
      <c r="AO88" s="125" t="s">
        <v>330</v>
      </c>
      <c r="AQ88" s="14">
        <f t="shared" si="84"/>
        <v>0</v>
      </c>
      <c r="AR88" s="14">
        <f t="shared" si="85"/>
        <v>0</v>
      </c>
      <c r="AS88" s="14">
        <f t="shared" si="86"/>
        <v>1955000</v>
      </c>
      <c r="AT88" s="14">
        <f t="shared" si="88"/>
        <v>1955000</v>
      </c>
      <c r="AU88" s="234">
        <v>1955000</v>
      </c>
      <c r="AV88" s="234"/>
      <c r="AW88" s="234"/>
      <c r="AX88" s="234"/>
      <c r="AY88" s="234"/>
      <c r="AZ88" s="234"/>
      <c r="BA88" s="234"/>
      <c r="BB88" s="16">
        <f t="shared" si="87"/>
        <v>0</v>
      </c>
    </row>
    <row r="89" spans="1:54" ht="124.8" outlineLevel="2">
      <c r="A89" s="98"/>
      <c r="B89" s="102"/>
      <c r="C89" s="23"/>
      <c r="D89" s="269"/>
      <c r="E89" s="269"/>
      <c r="F89" s="251"/>
      <c r="G89" s="250"/>
      <c r="H89" s="302" t="s">
        <v>623</v>
      </c>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83"/>
        <v>0</v>
      </c>
      <c r="AG89" s="260"/>
      <c r="AH89" s="260"/>
      <c r="AI89" s="260"/>
      <c r="AJ89" s="263">
        <v>2000000</v>
      </c>
      <c r="AK89" s="263"/>
      <c r="AL89" s="263"/>
      <c r="AM89" s="108">
        <f>AG89*'1. Standard_Cost'!$B$27+'Incremental_Cost Year 5'!AH89*'1. Standard_Cost'!$C$27+'Incremental_Cost Year 5'!AI89*'1. Standard_Cost'!$D$27+'Incremental_Cost Year 5'!AJ89+'Incremental_Cost Year 5'!AL89+AK89</f>
        <v>2000000</v>
      </c>
      <c r="AN89" s="108">
        <f>AM89*'1. Standard_Cost'!$C$31</f>
        <v>300000</v>
      </c>
      <c r="AO89" s="125" t="s">
        <v>331</v>
      </c>
      <c r="AQ89" s="14">
        <f t="shared" si="84"/>
        <v>0</v>
      </c>
      <c r="AR89" s="14">
        <f t="shared" si="85"/>
        <v>0</v>
      </c>
      <c r="AS89" s="14">
        <f t="shared" si="86"/>
        <v>2300000</v>
      </c>
      <c r="AT89" s="14">
        <f t="shared" si="88"/>
        <v>2300000</v>
      </c>
      <c r="AU89" s="234">
        <v>2300000</v>
      </c>
      <c r="AV89" s="234"/>
      <c r="AW89" s="234"/>
      <c r="AX89" s="234"/>
      <c r="AY89" s="234"/>
      <c r="AZ89" s="234"/>
      <c r="BA89" s="234"/>
      <c r="BB89" s="16">
        <f t="shared" si="87"/>
        <v>0</v>
      </c>
    </row>
    <row r="90" spans="1:54" ht="107.4" outlineLevel="2">
      <c r="A90" s="98"/>
      <c r="B90" s="102"/>
      <c r="C90" s="23"/>
      <c r="D90" s="251"/>
      <c r="E90" s="251"/>
      <c r="F90" s="251"/>
      <c r="G90" s="250"/>
      <c r="H90" s="302" t="s">
        <v>685</v>
      </c>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83"/>
        <v>0</v>
      </c>
      <c r="AG90" s="260"/>
      <c r="AH90" s="260"/>
      <c r="AI90" s="260"/>
      <c r="AJ90" s="263"/>
      <c r="AK90" s="263"/>
      <c r="AL90" s="263"/>
      <c r="AM90" s="108">
        <f>AG90*'1. Standard_Cost'!$B$27+'Incremental_Cost Year 5'!AH90*'1. Standard_Cost'!$C$27+'Incremental_Cost Year 5'!AI90*'1. Standard_Cost'!$D$27+'Incremental_Cost Year 5'!AJ90+'Incremental_Cost Year 5'!AL90+AK90</f>
        <v>0</v>
      </c>
      <c r="AN90" s="108">
        <f>AM90*'1. Standard_Cost'!$C$31</f>
        <v>0</v>
      </c>
      <c r="AO90" s="125" t="s">
        <v>332</v>
      </c>
      <c r="AQ90" s="14">
        <f t="shared" si="84"/>
        <v>0</v>
      </c>
      <c r="AR90" s="14">
        <f t="shared" si="85"/>
        <v>0</v>
      </c>
      <c r="AS90" s="14">
        <f t="shared" si="86"/>
        <v>0</v>
      </c>
      <c r="AT90" s="14">
        <f t="shared" si="88"/>
        <v>0</v>
      </c>
      <c r="AU90" s="234"/>
      <c r="AV90" s="234"/>
      <c r="AW90" s="234"/>
      <c r="AX90" s="234"/>
      <c r="AY90" s="234"/>
      <c r="AZ90" s="234"/>
      <c r="BA90" s="234"/>
      <c r="BB90" s="16">
        <f t="shared" si="87"/>
        <v>0</v>
      </c>
    </row>
    <row r="91" spans="1:54" ht="82.8" outlineLevel="1">
      <c r="A91" s="98"/>
      <c r="B91" s="102"/>
      <c r="C91" s="23"/>
      <c r="D91" s="345" t="s">
        <v>632</v>
      </c>
      <c r="E91" s="56" t="s">
        <v>217</v>
      </c>
      <c r="F91" s="253">
        <v>2021</v>
      </c>
      <c r="G91" s="254">
        <v>2026</v>
      </c>
      <c r="H91" s="277" t="s">
        <v>218</v>
      </c>
      <c r="I91" s="112"/>
      <c r="J91" s="112"/>
      <c r="K91" s="112"/>
      <c r="L91" s="113">
        <f>SUM(L81:L90)</f>
        <v>35350</v>
      </c>
      <c r="M91" s="113">
        <f>SUM(M81:M90)</f>
        <v>5903.4500000000007</v>
      </c>
      <c r="N91" s="113"/>
      <c r="O91" s="112"/>
      <c r="P91" s="112"/>
      <c r="Q91" s="112"/>
      <c r="R91" s="113">
        <f t="shared" ref="R91:U91" si="89">SUM(R81:R90)</f>
        <v>190000</v>
      </c>
      <c r="S91" s="113">
        <f t="shared" si="89"/>
        <v>285000</v>
      </c>
      <c r="T91" s="113">
        <f t="shared" si="89"/>
        <v>0</v>
      </c>
      <c r="U91" s="113">
        <f t="shared" si="89"/>
        <v>400000</v>
      </c>
      <c r="V91" s="112"/>
      <c r="W91" s="112"/>
      <c r="X91" s="112"/>
      <c r="Y91" s="113">
        <f>SUM(Y81:Y90)</f>
        <v>0</v>
      </c>
      <c r="Z91" s="112"/>
      <c r="AA91" s="112"/>
      <c r="AB91" s="113">
        <f t="shared" ref="AB91:AF91" si="90">SUM(AB81:AB90)</f>
        <v>494000</v>
      </c>
      <c r="AC91" s="113">
        <f t="shared" si="90"/>
        <v>4455000</v>
      </c>
      <c r="AD91" s="113">
        <f t="shared" si="90"/>
        <v>0</v>
      </c>
      <c r="AE91" s="113">
        <f t="shared" si="90"/>
        <v>1164800</v>
      </c>
      <c r="AF91" s="113">
        <f t="shared" si="90"/>
        <v>6988800</v>
      </c>
      <c r="AG91" s="112"/>
      <c r="AH91" s="112"/>
      <c r="AI91" s="112"/>
      <c r="AJ91" s="113">
        <f t="shared" ref="AJ91:AN91" si="91">SUM(AJ81:AJ90)</f>
        <v>2000000</v>
      </c>
      <c r="AK91" s="113">
        <f t="shared" si="91"/>
        <v>0</v>
      </c>
      <c r="AL91" s="113">
        <f t="shared" si="91"/>
        <v>1700000</v>
      </c>
      <c r="AM91" s="113">
        <f t="shared" si="91"/>
        <v>3700000</v>
      </c>
      <c r="AN91" s="113">
        <f t="shared" si="91"/>
        <v>555000</v>
      </c>
      <c r="AO91" s="131"/>
      <c r="AP91" s="17"/>
      <c r="AQ91" s="113">
        <f t="shared" ref="AQ91:BB91" si="92">SUM(AQ81:AQ90)</f>
        <v>41253.449999999997</v>
      </c>
      <c r="AR91" s="113">
        <f t="shared" si="92"/>
        <v>6988800</v>
      </c>
      <c r="AS91" s="113">
        <f t="shared" si="92"/>
        <v>4255000</v>
      </c>
      <c r="AT91" s="113">
        <f t="shared" si="92"/>
        <v>11285053.449999999</v>
      </c>
      <c r="AU91" s="113">
        <f t="shared" si="92"/>
        <v>6936253</v>
      </c>
      <c r="AV91" s="113">
        <f t="shared" si="92"/>
        <v>0</v>
      </c>
      <c r="AW91" s="113">
        <f t="shared" si="92"/>
        <v>0</v>
      </c>
      <c r="AX91" s="113">
        <f t="shared" si="92"/>
        <v>0</v>
      </c>
      <c r="AY91" s="113">
        <f t="shared" si="92"/>
        <v>0</v>
      </c>
      <c r="AZ91" s="113">
        <f t="shared" si="92"/>
        <v>0</v>
      </c>
      <c r="BA91" s="113">
        <f t="shared" si="92"/>
        <v>0</v>
      </c>
      <c r="BB91" s="113">
        <f t="shared" si="92"/>
        <v>-4348800.45</v>
      </c>
    </row>
    <row r="92" spans="1:54" s="13" customFormat="1" ht="13.8" customHeight="1">
      <c r="A92" s="101"/>
      <c r="B92" s="316" t="s">
        <v>220</v>
      </c>
      <c r="C92" s="317"/>
      <c r="D92" s="317"/>
      <c r="E92" s="318"/>
      <c r="F92" s="241"/>
      <c r="G92" s="241"/>
      <c r="H92" s="241" t="s">
        <v>185</v>
      </c>
      <c r="I92" s="40"/>
      <c r="J92" s="40"/>
      <c r="K92" s="40"/>
      <c r="L92" s="41">
        <f>SUM(L93,L143,L179,L202)</f>
        <v>35983620</v>
      </c>
      <c r="M92" s="41">
        <f>SUM(M93,M143,M179,M202)</f>
        <v>6009264.540000001</v>
      </c>
      <c r="N92" s="40"/>
      <c r="O92" s="40"/>
      <c r="P92" s="40"/>
      <c r="Q92" s="40"/>
      <c r="R92" s="41">
        <f t="shared" ref="R92:U92" si="93">SUM(R93,R143,R179,R202)</f>
        <v>1106000</v>
      </c>
      <c r="S92" s="41">
        <f t="shared" si="93"/>
        <v>2211000</v>
      </c>
      <c r="T92" s="41">
        <f t="shared" si="93"/>
        <v>1975000</v>
      </c>
      <c r="U92" s="41">
        <f t="shared" si="93"/>
        <v>160000</v>
      </c>
      <c r="V92" s="40"/>
      <c r="W92" s="40"/>
      <c r="X92" s="40"/>
      <c r="Y92" s="41">
        <f>SUM(Y93,Y143,Y179,Y202)</f>
        <v>0</v>
      </c>
      <c r="Z92" s="41">
        <f>SUM(Z93,Z143,Z179,Z202)</f>
        <v>0</v>
      </c>
      <c r="AA92" s="40"/>
      <c r="AB92" s="41">
        <f>SUM(AB93,AB143,AB179,AB202)</f>
        <v>13077000</v>
      </c>
      <c r="AC92" s="41">
        <f>SUM(AC93,AC143,AC179,AC202)</f>
        <v>95296150</v>
      </c>
      <c r="AD92" s="41">
        <f>SUM(AD93,AD143)</f>
        <v>0</v>
      </c>
      <c r="AE92" s="41">
        <f>SUM(AE93,AE143)</f>
        <v>16253070</v>
      </c>
      <c r="AF92" s="41">
        <f>SUM(AF93,AF143)</f>
        <v>119321920</v>
      </c>
      <c r="AG92" s="40"/>
      <c r="AH92" s="40"/>
      <c r="AI92" s="40"/>
      <c r="AJ92" s="41">
        <f>SUM(AJ93,AJ143,AJ179,AJ202)</f>
        <v>1000000</v>
      </c>
      <c r="AK92" s="41">
        <f>SUM(AK93,AK143,AK179,AK202)</f>
        <v>0</v>
      </c>
      <c r="AL92" s="41">
        <f>SUM(AL93,AL143)</f>
        <v>0</v>
      </c>
      <c r="AM92" s="41">
        <f>SUM(AM93,AM143)</f>
        <v>1000000</v>
      </c>
      <c r="AN92" s="41">
        <f>SUM(AN93,AN143)</f>
        <v>150000</v>
      </c>
      <c r="AO92" s="129"/>
      <c r="AQ92" s="41">
        <f t="shared" ref="AQ92" si="94">SUM(AQ93,AQ143,AQ179,AQ202)</f>
        <v>41992884.540000007</v>
      </c>
      <c r="AR92" s="41">
        <f t="shared" ref="AR92:BB92" si="95">SUM(AR93,AR143,AR179,AR202)</f>
        <v>130402420</v>
      </c>
      <c r="AS92" s="41">
        <f t="shared" si="95"/>
        <v>1150000</v>
      </c>
      <c r="AT92" s="41">
        <f t="shared" si="95"/>
        <v>173545304.53999999</v>
      </c>
      <c r="AU92" s="41">
        <f t="shared" si="95"/>
        <v>135971405.03999999</v>
      </c>
      <c r="AV92" s="41">
        <f t="shared" si="95"/>
        <v>0</v>
      </c>
      <c r="AW92" s="41">
        <f t="shared" si="95"/>
        <v>0</v>
      </c>
      <c r="AX92" s="41">
        <f t="shared" si="95"/>
        <v>655900</v>
      </c>
      <c r="AY92" s="41">
        <f t="shared" si="95"/>
        <v>0</v>
      </c>
      <c r="AZ92" s="41">
        <f t="shared" si="95"/>
        <v>16582976.25</v>
      </c>
      <c r="BA92" s="41">
        <f t="shared" si="95"/>
        <v>0</v>
      </c>
      <c r="BB92" s="41">
        <f t="shared" si="95"/>
        <v>-20335023.25</v>
      </c>
    </row>
    <row r="93" spans="1:54" s="24" customFormat="1" ht="13.8" customHeight="1">
      <c r="A93" s="114"/>
      <c r="B93" s="115"/>
      <c r="C93" s="314" t="s">
        <v>221</v>
      </c>
      <c r="D93" s="314"/>
      <c r="E93" s="315"/>
      <c r="F93" s="246"/>
      <c r="G93" s="246"/>
      <c r="H93" s="278" t="s">
        <v>186</v>
      </c>
      <c r="I93" s="116"/>
      <c r="J93" s="116"/>
      <c r="K93" s="116"/>
      <c r="L93" s="117">
        <f>SUM(L101,L113,L136,L139,L142)</f>
        <v>4373970</v>
      </c>
      <c r="M93" s="117">
        <f>SUM(M101,M113,M136,M139,M142)</f>
        <v>730452.99000000011</v>
      </c>
      <c r="N93" s="116"/>
      <c r="O93" s="116"/>
      <c r="P93" s="116"/>
      <c r="Q93" s="116"/>
      <c r="R93" s="117">
        <f t="shared" ref="R93:U93" si="96">SUM(R101,R113,R136,R139,R142)</f>
        <v>240000</v>
      </c>
      <c r="S93" s="117">
        <f t="shared" si="96"/>
        <v>742500</v>
      </c>
      <c r="T93" s="117">
        <f t="shared" si="96"/>
        <v>0</v>
      </c>
      <c r="U93" s="117">
        <f t="shared" si="96"/>
        <v>0</v>
      </c>
      <c r="V93" s="116"/>
      <c r="W93" s="116"/>
      <c r="X93" s="116"/>
      <c r="Y93" s="117">
        <f>SUM(Y101,Y113,Y136,Y139,Y142)</f>
        <v>0</v>
      </c>
      <c r="Z93" s="116"/>
      <c r="AA93" s="116"/>
      <c r="AB93" s="117">
        <f t="shared" ref="AB93:AF93" si="97">SUM(AB101,AB113,AB136,AB139,AB142)</f>
        <v>8593000</v>
      </c>
      <c r="AC93" s="117">
        <f t="shared" si="97"/>
        <v>17458000</v>
      </c>
      <c r="AD93" s="117">
        <f t="shared" si="97"/>
        <v>0</v>
      </c>
      <c r="AE93" s="117">
        <f t="shared" si="97"/>
        <v>1912800</v>
      </c>
      <c r="AF93" s="117">
        <f t="shared" si="97"/>
        <v>28946300</v>
      </c>
      <c r="AG93" s="116"/>
      <c r="AH93" s="116"/>
      <c r="AI93" s="116"/>
      <c r="AJ93" s="117">
        <f t="shared" ref="AJ93:AN93" si="98">SUM(AJ101,AJ113,AJ136,AJ139,AJ142)</f>
        <v>1000000</v>
      </c>
      <c r="AK93" s="117">
        <f t="shared" si="98"/>
        <v>0</v>
      </c>
      <c r="AL93" s="117">
        <f t="shared" si="98"/>
        <v>0</v>
      </c>
      <c r="AM93" s="117">
        <f t="shared" si="98"/>
        <v>1000000</v>
      </c>
      <c r="AN93" s="117">
        <f t="shared" si="98"/>
        <v>150000</v>
      </c>
      <c r="AO93" s="132"/>
      <c r="AP93" s="25"/>
      <c r="AQ93" s="117">
        <f t="shared" ref="AQ93" si="99">SUM(AQ101,AQ113,AQ136,AQ139,AQ142)</f>
        <v>5104422.99</v>
      </c>
      <c r="AR93" s="117">
        <f t="shared" ref="AR93:BB93" si="100">SUM(AR101,AR113,AR136,AR139,AR142)</f>
        <v>28946300</v>
      </c>
      <c r="AS93" s="117">
        <f t="shared" si="100"/>
        <v>1150000</v>
      </c>
      <c r="AT93" s="117">
        <f t="shared" si="100"/>
        <v>35200722.989999995</v>
      </c>
      <c r="AU93" s="117">
        <f t="shared" si="100"/>
        <v>15666923.490000002</v>
      </c>
      <c r="AV93" s="117">
        <f t="shared" si="100"/>
        <v>0</v>
      </c>
      <c r="AW93" s="117">
        <f t="shared" si="100"/>
        <v>0</v>
      </c>
      <c r="AX93" s="117">
        <f t="shared" si="100"/>
        <v>0</v>
      </c>
      <c r="AY93" s="117">
        <f t="shared" si="100"/>
        <v>0</v>
      </c>
      <c r="AZ93" s="117">
        <f t="shared" si="100"/>
        <v>14443800</v>
      </c>
      <c r="BA93" s="117">
        <f t="shared" si="100"/>
        <v>0</v>
      </c>
      <c r="BB93" s="117">
        <f t="shared" si="100"/>
        <v>-5089999.5</v>
      </c>
    </row>
    <row r="94" spans="1:54" ht="140.4" outlineLevel="2">
      <c r="A94" s="98"/>
      <c r="B94" s="102"/>
      <c r="C94" s="23"/>
      <c r="D94" s="257"/>
      <c r="E94" s="257"/>
      <c r="F94" s="257"/>
      <c r="G94" s="257"/>
      <c r="H94" s="302" t="s">
        <v>444</v>
      </c>
      <c r="I94" s="104"/>
      <c r="J94" s="105"/>
      <c r="K94" s="105"/>
      <c r="L94" s="106" t="str">
        <f>IF(I94&lt;&gt;0,((VLOOKUP(I94,'1. Standard_Cost'!$B$4:$D$11,2)+VLOOKUP(I94,'1. Standard_Cost'!$B$4:$D$11,3))*J94*K94),"0")</f>
        <v>0</v>
      </c>
      <c r="M94" s="106">
        <f>L94*'1. Standard_Cost'!$F$4</f>
        <v>0</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c r="AA94" s="107"/>
      <c r="AB94" s="108">
        <f>+Z94*'1. Standard_Cost'!$B$23+AA94*'1. Standard_Cost'!$C$23</f>
        <v>0</v>
      </c>
      <c r="AC94" s="109"/>
      <c r="AD94" s="110"/>
      <c r="AE94" s="108">
        <f>SUM(AD94,AC94,AB94,Y94,U94,T94,S94,R94)*'1. Standard_Cost'!$B$31</f>
        <v>0</v>
      </c>
      <c r="AF94" s="108">
        <f t="shared" ref="AF94:AF100" si="101">SUM(AE94,AD94,AC94,AB94,Y94,U94,T94,S94,R94)</f>
        <v>0</v>
      </c>
      <c r="AG94" s="107"/>
      <c r="AH94" s="107"/>
      <c r="AI94" s="107"/>
      <c r="AJ94" s="111"/>
      <c r="AK94" s="111"/>
      <c r="AL94" s="111"/>
      <c r="AM94" s="108">
        <f>AG94*'1. Standard_Cost'!$B$27+'Incremental_Cost Year 5'!AH94*'1. Standard_Cost'!$C$27+'Incremental_Cost Year 5'!AI94*'1. Standard_Cost'!$D$27+'Incremental_Cost Year 5'!AJ94+'Incremental_Cost Year 5'!AL94+AK94</f>
        <v>0</v>
      </c>
      <c r="AN94" s="108">
        <f>AM94*'1. Standard_Cost'!$C$31</f>
        <v>0</v>
      </c>
      <c r="AO94" s="125" t="s">
        <v>333</v>
      </c>
      <c r="AQ94" s="14">
        <f t="shared" ref="AQ94:AQ100" si="102">L94+M94</f>
        <v>0</v>
      </c>
      <c r="AR94" s="14">
        <f t="shared" ref="AR94:AR100" si="103">AF94</f>
        <v>0</v>
      </c>
      <c r="AS94" s="14">
        <f t="shared" ref="AS94:AS100" si="104">AM94+AN94</f>
        <v>0</v>
      </c>
      <c r="AT94" s="14">
        <f>SUM(AQ94,AR94,AS94)</f>
        <v>0</v>
      </c>
      <c r="AU94" s="15">
        <v>0</v>
      </c>
      <c r="AV94" s="15"/>
      <c r="AW94" s="15"/>
      <c r="AX94" s="15"/>
      <c r="AY94" s="15"/>
      <c r="AZ94" s="15"/>
      <c r="BA94" s="15"/>
      <c r="BB94" s="16">
        <f t="shared" ref="BB94:BB100" si="105">SUM(AU94:BA94)-AT94</f>
        <v>0</v>
      </c>
    </row>
    <row r="95" spans="1:54" ht="109.2" customHeight="1" outlineLevel="2">
      <c r="A95" s="98"/>
      <c r="B95" s="102"/>
      <c r="C95" s="23"/>
      <c r="D95" s="269"/>
      <c r="E95" s="269"/>
      <c r="F95" s="269"/>
      <c r="G95" s="269"/>
      <c r="H95" s="302" t="s">
        <v>445</v>
      </c>
      <c r="I95" s="104"/>
      <c r="J95" s="105"/>
      <c r="K95" s="105"/>
      <c r="L95" s="106" t="str">
        <f>IF(I95&lt;&gt;0,((VLOOKUP(I95,'1. Standard_Cost'!$B$4:$D$11,2)+VLOOKUP(I95,'1. Standard_Cost'!$B$4:$D$11,3))*J95*K95),"0")</f>
        <v>0</v>
      </c>
      <c r="M95" s="106">
        <f>L95*'1. Standard_Cost'!$F$4</f>
        <v>0</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c r="AB95" s="108">
        <f>+Z95*'1. Standard_Cost'!$B$23+AA95*'1. Standard_Cost'!$C$23</f>
        <v>0</v>
      </c>
      <c r="AC95" s="109"/>
      <c r="AD95" s="110"/>
      <c r="AE95" s="108">
        <f>SUM(AD95,AC95,AB95,Y95,U95,T95,S95,R95)*'1. Standard_Cost'!$B$31</f>
        <v>0</v>
      </c>
      <c r="AF95" s="108">
        <f t="shared" si="101"/>
        <v>0</v>
      </c>
      <c r="AG95" s="107"/>
      <c r="AH95" s="107"/>
      <c r="AI95" s="107"/>
      <c r="AJ95" s="111"/>
      <c r="AK95" s="111"/>
      <c r="AL95" s="111"/>
      <c r="AM95" s="108">
        <f>AG95*'1. Standard_Cost'!$B$27+'Incremental_Cost Year 5'!AH95*'1. Standard_Cost'!$C$27+'Incremental_Cost Year 5'!AI95*'1. Standard_Cost'!$D$27+'Incremental_Cost Year 5'!AJ95+'Incremental_Cost Year 5'!AL95+AK95</f>
        <v>0</v>
      </c>
      <c r="AN95" s="108">
        <f>AM95*'1. Standard_Cost'!$C$31</f>
        <v>0</v>
      </c>
      <c r="AO95" s="125" t="s">
        <v>334</v>
      </c>
      <c r="AQ95" s="14">
        <f t="shared" si="102"/>
        <v>0</v>
      </c>
      <c r="AR95" s="14">
        <f t="shared" si="103"/>
        <v>0</v>
      </c>
      <c r="AS95" s="14">
        <f t="shared" si="104"/>
        <v>0</v>
      </c>
      <c r="AT95" s="14">
        <f t="shared" ref="AT95:AT100" si="106">SUM(AQ95,AR95,AS95)</f>
        <v>0</v>
      </c>
      <c r="AU95" s="15">
        <v>0</v>
      </c>
      <c r="AV95" s="15"/>
      <c r="AW95" s="15"/>
      <c r="AX95" s="15"/>
      <c r="AY95" s="15"/>
      <c r="AZ95" s="15"/>
      <c r="BA95" s="15"/>
      <c r="BB95" s="16">
        <f t="shared" si="105"/>
        <v>0</v>
      </c>
    </row>
    <row r="96" spans="1:54" ht="78" outlineLevel="2">
      <c r="A96" s="98"/>
      <c r="B96" s="102"/>
      <c r="C96" s="23"/>
      <c r="D96" s="269"/>
      <c r="E96" s="269"/>
      <c r="F96" s="269"/>
      <c r="G96" s="174"/>
      <c r="H96" s="302" t="s">
        <v>446</v>
      </c>
      <c r="I96" s="104" t="s">
        <v>4</v>
      </c>
      <c r="J96" s="105">
        <v>0.4</v>
      </c>
      <c r="K96" s="105">
        <v>2</v>
      </c>
      <c r="L96" s="106">
        <f>IF(I96&lt;&gt;0,((VLOOKUP(I96,'1. Standard_Cost'!$B$4:$D$11,2)+VLOOKUP(I96,'1. Standard_Cost'!$B$4:$D$11,3))*J96*K96),"0")</f>
        <v>64600</v>
      </c>
      <c r="M96" s="106">
        <f>L96*'1. Standard_Cost'!$F$4</f>
        <v>10788.2</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f>100000*10+2*300000+2*50000</f>
        <v>1700000</v>
      </c>
      <c r="AD96" s="110"/>
      <c r="AE96" s="108">
        <f>SUM(AD96,AC96,AB96,Y96,U96,T96,S96,R96)*'1. Standard_Cost'!$B$31</f>
        <v>340000</v>
      </c>
      <c r="AF96" s="108">
        <f t="shared" si="101"/>
        <v>2040000</v>
      </c>
      <c r="AG96" s="107"/>
      <c r="AH96" s="107"/>
      <c r="AI96" s="107"/>
      <c r="AJ96" s="111"/>
      <c r="AK96" s="111"/>
      <c r="AL96" s="111"/>
      <c r="AM96" s="108">
        <f>AG96*'1. Standard_Cost'!$B$27+'Incremental_Cost Year 5'!AH96*'1. Standard_Cost'!$C$27+'Incremental_Cost Year 5'!AI96*'1. Standard_Cost'!$D$27+'Incremental_Cost Year 5'!AJ96+'Incremental_Cost Year 5'!AL96+AK96</f>
        <v>0</v>
      </c>
      <c r="AN96" s="108">
        <f>AM96*'1. Standard_Cost'!$C$31</f>
        <v>0</v>
      </c>
      <c r="AO96" s="125" t="s">
        <v>335</v>
      </c>
      <c r="AQ96" s="14">
        <f t="shared" si="102"/>
        <v>75388.2</v>
      </c>
      <c r="AR96" s="14">
        <f t="shared" si="103"/>
        <v>2040000</v>
      </c>
      <c r="AS96" s="14">
        <f t="shared" si="104"/>
        <v>0</v>
      </c>
      <c r="AT96" s="14">
        <f t="shared" si="106"/>
        <v>2115388.2000000002</v>
      </c>
      <c r="AU96" s="15">
        <v>75388.2</v>
      </c>
      <c r="AV96" s="15"/>
      <c r="AW96" s="15"/>
      <c r="AX96" s="15"/>
      <c r="AY96" s="15"/>
      <c r="AZ96" s="15"/>
      <c r="BA96" s="15"/>
      <c r="BB96" s="16">
        <f t="shared" si="105"/>
        <v>-2040000.0000000002</v>
      </c>
    </row>
    <row r="97" spans="1:54" ht="46.8" outlineLevel="2">
      <c r="A97" s="98"/>
      <c r="B97" s="102"/>
      <c r="C97" s="23"/>
      <c r="D97" s="269"/>
      <c r="E97" s="269"/>
      <c r="F97" s="269"/>
      <c r="G97" s="26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101"/>
        <v>0</v>
      </c>
      <c r="AG97" s="107"/>
      <c r="AH97" s="107"/>
      <c r="AI97" s="107"/>
      <c r="AJ97" s="111"/>
      <c r="AK97" s="111"/>
      <c r="AL97" s="111"/>
      <c r="AM97" s="108">
        <f>AG97*'1. Standard_Cost'!$B$27+'Incremental_Cost Year 5'!AH97*'1. Standard_Cost'!$C$27+'Incremental_Cost Year 5'!AI97*'1. Standard_Cost'!$D$27+'Incremental_Cost Year 5'!AJ97+'Incremental_Cost Year 5'!AL97+AK97</f>
        <v>0</v>
      </c>
      <c r="AN97" s="108">
        <f>AM97*'1. Standard_Cost'!$C$31</f>
        <v>0</v>
      </c>
      <c r="AO97" s="125" t="s">
        <v>336</v>
      </c>
      <c r="AQ97" s="14">
        <f t="shared" si="102"/>
        <v>0</v>
      </c>
      <c r="AR97" s="14">
        <f t="shared" si="103"/>
        <v>0</v>
      </c>
      <c r="AS97" s="14">
        <f t="shared" si="104"/>
        <v>0</v>
      </c>
      <c r="AT97" s="14">
        <f t="shared" si="106"/>
        <v>0</v>
      </c>
      <c r="AU97" s="15"/>
      <c r="AV97" s="15"/>
      <c r="AW97" s="15"/>
      <c r="AX97" s="15"/>
      <c r="AY97" s="15"/>
      <c r="AZ97" s="15"/>
      <c r="BA97" s="15"/>
      <c r="BB97" s="16">
        <f t="shared" si="105"/>
        <v>0</v>
      </c>
    </row>
    <row r="98" spans="1:54" ht="109.2" outlineLevel="2">
      <c r="A98" s="98"/>
      <c r="B98" s="102"/>
      <c r="C98" s="23"/>
      <c r="D98" s="269"/>
      <c r="E98" s="269"/>
      <c r="F98" s="269"/>
      <c r="G98" s="269"/>
      <c r="H98" s="302" t="s">
        <v>448</v>
      </c>
      <c r="I98" s="104"/>
      <c r="J98" s="105"/>
      <c r="K98" s="105"/>
      <c r="L98" s="106" t="str">
        <f>IF(I98&lt;&gt;0,((VLOOKUP(I98,'1. Standard_Cost'!$B$4:$D$11,2)+VLOOKUP(I98,'1. Standard_Cost'!$B$4:$D$11,3))*J98*K98),"0")</f>
        <v>0</v>
      </c>
      <c r="M98" s="106">
        <f>L98*'1. Standard_Cost'!$F$4</f>
        <v>0</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c r="AB98" s="108">
        <f>+Z98*'1. Standard_Cost'!$B$23+AA98*'1. Standard_Cost'!$C$23</f>
        <v>0</v>
      </c>
      <c r="AC98" s="109"/>
      <c r="AD98" s="110"/>
      <c r="AE98" s="108">
        <f>SUM(AD98,AC98,AB98,Y98,U98,T98,S98,R98)*'1. Standard_Cost'!$B$31</f>
        <v>0</v>
      </c>
      <c r="AF98" s="108">
        <f t="shared" si="101"/>
        <v>0</v>
      </c>
      <c r="AG98" s="107"/>
      <c r="AH98" s="107"/>
      <c r="AI98" s="107"/>
      <c r="AJ98" s="111"/>
      <c r="AK98" s="111"/>
      <c r="AL98" s="111"/>
      <c r="AM98" s="108">
        <f>AG98*'1. Standard_Cost'!$B$27+'Incremental_Cost Year 5'!AH98*'1. Standard_Cost'!$C$27+'Incremental_Cost Year 5'!AI98*'1. Standard_Cost'!$D$27+'Incremental_Cost Year 5'!AJ98+'Incremental_Cost Year 5'!AL98+AK98</f>
        <v>0</v>
      </c>
      <c r="AN98" s="108">
        <f>AM98*'1. Standard_Cost'!$C$31</f>
        <v>0</v>
      </c>
      <c r="AO98" s="125" t="s">
        <v>337</v>
      </c>
      <c r="AQ98" s="14">
        <f t="shared" si="102"/>
        <v>0</v>
      </c>
      <c r="AR98" s="14">
        <f t="shared" si="103"/>
        <v>0</v>
      </c>
      <c r="AS98" s="14">
        <f t="shared" si="104"/>
        <v>0</v>
      </c>
      <c r="AT98" s="14">
        <f t="shared" si="106"/>
        <v>0</v>
      </c>
      <c r="AU98" s="15">
        <v>0</v>
      </c>
      <c r="AV98" s="15"/>
      <c r="AW98" s="15"/>
      <c r="AX98" s="15"/>
      <c r="AY98" s="15"/>
      <c r="AZ98" s="15"/>
      <c r="BA98" s="15"/>
      <c r="BB98" s="16">
        <f t="shared" si="105"/>
        <v>0</v>
      </c>
    </row>
    <row r="99" spans="1:54" ht="109.2" outlineLevel="2">
      <c r="A99" s="98"/>
      <c r="B99" s="102"/>
      <c r="C99" s="23"/>
      <c r="D99" s="269"/>
      <c r="E99" s="269"/>
      <c r="F99" s="269"/>
      <c r="G99" s="269"/>
      <c r="H99" s="302" t="s">
        <v>449</v>
      </c>
      <c r="I99" s="104"/>
      <c r="J99" s="105"/>
      <c r="K99" s="105"/>
      <c r="L99" s="106" t="str">
        <f>IF(I99&lt;&gt;0,((VLOOKUP(I99,'1. Standard_Cost'!$B$4:$D$11,2)+VLOOKUP(I99,'1. Standard_Cost'!$B$4:$D$11,3))*J99*K99),"0")</f>
        <v>0</v>
      </c>
      <c r="M99" s="106">
        <f>L99*'1. Standard_Cost'!$F$4</f>
        <v>0</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c r="AB99" s="108">
        <f>+Z99*'1. Standard_Cost'!$B$23+AA99*'1. Standard_Cost'!$C$23</f>
        <v>0</v>
      </c>
      <c r="AC99" s="109"/>
      <c r="AD99" s="110"/>
      <c r="AE99" s="108">
        <f>SUM(AD99,AC99,AB99,Y99,U99,T99,S99,R99)*'1. Standard_Cost'!$B$31</f>
        <v>0</v>
      </c>
      <c r="AF99" s="108">
        <f t="shared" si="101"/>
        <v>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02"/>
        <v>0</v>
      </c>
      <c r="AR99" s="14">
        <f t="shared" si="103"/>
        <v>0</v>
      </c>
      <c r="AS99" s="14">
        <f t="shared" si="104"/>
        <v>0</v>
      </c>
      <c r="AT99" s="14">
        <f t="shared" si="106"/>
        <v>0</v>
      </c>
      <c r="AU99" s="15">
        <v>0</v>
      </c>
      <c r="AV99" s="15"/>
      <c r="AW99" s="15"/>
      <c r="AX99" s="15"/>
      <c r="AY99" s="15"/>
      <c r="AZ99" s="15"/>
      <c r="BA99" s="15"/>
      <c r="BB99" s="16">
        <f t="shared" si="105"/>
        <v>0</v>
      </c>
    </row>
    <row r="100" spans="1:54" ht="62.4" outlineLevel="2">
      <c r="A100" s="98"/>
      <c r="B100" s="102"/>
      <c r="C100" s="23"/>
      <c r="D100" s="269"/>
      <c r="E100" s="269"/>
      <c r="F100" s="251"/>
      <c r="G100" s="254"/>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f>500*10000</f>
        <v>5000000</v>
      </c>
      <c r="AD100" s="110"/>
      <c r="AE100" s="108">
        <f>SUM(AD100,AC100,AB100,Y100,U100,T100,S100,R100)*'1. Standard_Cost'!$B$31</f>
        <v>1000000</v>
      </c>
      <c r="AF100" s="108">
        <f t="shared" si="101"/>
        <v>6000000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02"/>
        <v>0</v>
      </c>
      <c r="AR100" s="14">
        <f t="shared" si="103"/>
        <v>6000000</v>
      </c>
      <c r="AS100" s="14">
        <f t="shared" si="104"/>
        <v>0</v>
      </c>
      <c r="AT100" s="14">
        <f t="shared" si="106"/>
        <v>6000000</v>
      </c>
      <c r="AU100" s="15">
        <v>5000000</v>
      </c>
      <c r="AV100" s="15"/>
      <c r="AW100" s="15"/>
      <c r="AX100" s="15"/>
      <c r="AY100" s="15"/>
      <c r="AZ100" s="15"/>
      <c r="BA100" s="15"/>
      <c r="BB100" s="16">
        <f t="shared" si="105"/>
        <v>-1000000</v>
      </c>
    </row>
    <row r="101" spans="1:54" ht="82.8" outlineLevel="1">
      <c r="A101" s="98"/>
      <c r="B101" s="102"/>
      <c r="C101" s="23"/>
      <c r="D101" s="56" t="s">
        <v>632</v>
      </c>
      <c r="E101" s="56" t="s">
        <v>222</v>
      </c>
      <c r="F101" s="253">
        <v>2021</v>
      </c>
      <c r="G101" s="254">
        <v>2026</v>
      </c>
      <c r="H101" s="277" t="s">
        <v>187</v>
      </c>
      <c r="I101" s="112"/>
      <c r="J101" s="112"/>
      <c r="K101" s="112"/>
      <c r="L101" s="113">
        <f>SUM(L94:L100)</f>
        <v>64600</v>
      </c>
      <c r="M101" s="113">
        <f>SUM(M94:M100)</f>
        <v>10788.2</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0</v>
      </c>
      <c r="AC101" s="113">
        <f>SUM(AC94:AC100)</f>
        <v>6700000</v>
      </c>
      <c r="AD101" s="113">
        <f>SUM(AD94:AD100)</f>
        <v>0</v>
      </c>
      <c r="AE101" s="113">
        <f>SUM(AE94:AE100)</f>
        <v>1340000</v>
      </c>
      <c r="AF101" s="113">
        <f>SUM(AF94:AF100)</f>
        <v>8040000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7">SUM(AQ94:AQ100)</f>
        <v>75388.2</v>
      </c>
      <c r="AR101" s="113">
        <f t="shared" si="107"/>
        <v>8040000</v>
      </c>
      <c r="AS101" s="113">
        <f t="shared" si="107"/>
        <v>0</v>
      </c>
      <c r="AT101" s="113">
        <f t="shared" si="107"/>
        <v>8115388.2000000002</v>
      </c>
      <c r="AU101" s="113">
        <f t="shared" si="107"/>
        <v>5075388.2</v>
      </c>
      <c r="AV101" s="113">
        <f t="shared" si="107"/>
        <v>0</v>
      </c>
      <c r="AW101" s="113">
        <f t="shared" si="107"/>
        <v>0</v>
      </c>
      <c r="AX101" s="113">
        <f t="shared" si="107"/>
        <v>0</v>
      </c>
      <c r="AY101" s="113">
        <f t="shared" si="107"/>
        <v>0</v>
      </c>
      <c r="AZ101" s="113">
        <f t="shared" si="107"/>
        <v>0</v>
      </c>
      <c r="BA101" s="113">
        <f t="shared" si="107"/>
        <v>0</v>
      </c>
      <c r="BB101" s="113">
        <f t="shared" si="107"/>
        <v>-3040000</v>
      </c>
    </row>
    <row r="102" spans="1:54" ht="93.6" outlineLevel="2">
      <c r="A102" s="98"/>
      <c r="B102" s="102"/>
      <c r="C102" s="23"/>
      <c r="D102" s="257"/>
      <c r="E102" s="257"/>
      <c r="F102" s="175"/>
      <c r="G102" s="175"/>
      <c r="H102" s="302" t="s">
        <v>451</v>
      </c>
      <c r="I102" s="104"/>
      <c r="J102" s="105"/>
      <c r="K102" s="105"/>
      <c r="L102" s="106" t="str">
        <f>IF(I102&lt;&gt;0,((VLOOKUP(I102,'1. Standard_Cost'!$B$4:$D$11,2)+VLOOKUP(I102,'1. Standard_Cost'!$B$4:$D$11,3))*J102*K102),"0")</f>
        <v>0</v>
      </c>
      <c r="M102" s="106">
        <f>L102*'1. Standard_Cost'!$F$4</f>
        <v>0</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c r="AD102" s="110"/>
      <c r="AE102" s="108">
        <f>SUM(AD102,AC102,AB102,Y102,U102,T102,S102,R102)*'1. Standard_Cost'!$B$31</f>
        <v>0</v>
      </c>
      <c r="AF102" s="108">
        <f t="shared" ref="AF102:AF112" si="108">SUM(AE102,AD102,AC102,AB102,Y102,U102,T102,S102,R102)</f>
        <v>0</v>
      </c>
      <c r="AG102" s="107"/>
      <c r="AH102" s="107"/>
      <c r="AI102" s="107"/>
      <c r="AJ102" s="111"/>
      <c r="AK102" s="111"/>
      <c r="AL102" s="111"/>
      <c r="AM102" s="108">
        <f>AG102*'1. Standard_Cost'!$B$27+'Incremental_Cost Year 5'!AH102*'1. Standard_Cost'!$C$27+'Incremental_Cost Year 5'!AI102*'1. Standard_Cost'!$D$27+'Incremental_Cost Year 5'!AJ102+'Incremental_Cost Year 5'!AL102+AK102</f>
        <v>0</v>
      </c>
      <c r="AN102" s="108">
        <f>AM102*'1. Standard_Cost'!$C$31</f>
        <v>0</v>
      </c>
      <c r="AO102" s="125" t="s">
        <v>340</v>
      </c>
      <c r="AQ102" s="14">
        <f t="shared" ref="AQ102:AQ112" si="109">L102+M102</f>
        <v>0</v>
      </c>
      <c r="AR102" s="14">
        <f t="shared" ref="AR102:AR112" si="110">AF102</f>
        <v>0</v>
      </c>
      <c r="AS102" s="14">
        <f t="shared" ref="AS102:AS112" si="111">AM102+AN102</f>
        <v>0</v>
      </c>
      <c r="AT102" s="14">
        <f>SUM(AQ102,AR102,AS102)</f>
        <v>0</v>
      </c>
      <c r="AU102" s="15">
        <v>0</v>
      </c>
      <c r="AV102" s="15"/>
      <c r="AW102" s="15"/>
      <c r="AX102" s="15">
        <v>0</v>
      </c>
      <c r="AY102" s="15">
        <v>0</v>
      </c>
      <c r="AZ102" s="15">
        <v>0</v>
      </c>
      <c r="BA102" s="15"/>
      <c r="BB102" s="16">
        <f t="shared" ref="BB102:BB112" si="112">SUM(AU102:BA102)-AT102</f>
        <v>0</v>
      </c>
    </row>
    <row r="103" spans="1:54" ht="93.6" outlineLevel="2">
      <c r="A103" s="98"/>
      <c r="B103" s="102"/>
      <c r="C103" s="23"/>
      <c r="D103" s="269"/>
      <c r="E103" s="269"/>
      <c r="F103" s="174"/>
      <c r="G103" s="269"/>
      <c r="H103" s="302" t="s">
        <v>452</v>
      </c>
      <c r="I103" s="104"/>
      <c r="J103" s="105"/>
      <c r="K103" s="105"/>
      <c r="L103" s="106" t="str">
        <f>IF(I103&lt;&gt;0,((VLOOKUP(I103,'1. Standard_Cost'!$B$4:$D$11,2)+VLOOKUP(I103,'1. Standard_Cost'!$B$4:$D$11,3))*J103*K103),"0")</f>
        <v>0</v>
      </c>
      <c r="M103" s="106">
        <f>L103*'1. Standard_Cost'!$F$4</f>
        <v>0</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c r="AB103" s="108">
        <f>+Z103*'1. Standard_Cost'!$B$23+AA103*'1. Standard_Cost'!$C$23</f>
        <v>0</v>
      </c>
      <c r="AC103" s="109"/>
      <c r="AD103" s="110"/>
      <c r="AE103" s="108">
        <f>SUM(AD103,AC103,AB103,Y103,U103,T103,S103,R103)*'1. Standard_Cost'!$B$31</f>
        <v>0</v>
      </c>
      <c r="AF103" s="108">
        <f t="shared" si="108"/>
        <v>0</v>
      </c>
      <c r="AG103" s="107"/>
      <c r="AH103" s="107"/>
      <c r="AI103" s="107"/>
      <c r="AJ103" s="111"/>
      <c r="AK103" s="111"/>
      <c r="AL103" s="111"/>
      <c r="AM103" s="108">
        <f>AG103*'1. Standard_Cost'!$B$27+'Incremental_Cost Year 5'!AH103*'1. Standard_Cost'!$C$27+'Incremental_Cost Year 5'!AI103*'1. Standard_Cost'!$D$27+'Incremental_Cost Year 5'!AJ103+'Incremental_Cost Year 5'!AL103+AK103</f>
        <v>0</v>
      </c>
      <c r="AN103" s="108">
        <f>AM103*'1. Standard_Cost'!$C$31</f>
        <v>0</v>
      </c>
      <c r="AO103" s="125" t="s">
        <v>341</v>
      </c>
      <c r="AQ103" s="14">
        <f t="shared" si="109"/>
        <v>0</v>
      </c>
      <c r="AR103" s="14">
        <f t="shared" si="110"/>
        <v>0</v>
      </c>
      <c r="AS103" s="14">
        <f t="shared" si="111"/>
        <v>0</v>
      </c>
      <c r="AT103" s="14">
        <f t="shared" ref="AT103:AT112" si="113">SUM(AQ103,AR103,AS103)</f>
        <v>0</v>
      </c>
      <c r="AU103" s="15">
        <v>0</v>
      </c>
      <c r="AV103" s="15"/>
      <c r="AW103" s="15"/>
      <c r="AX103" s="15"/>
      <c r="AY103" s="15"/>
      <c r="AZ103" s="15"/>
      <c r="BA103" s="15"/>
      <c r="BB103" s="16">
        <f t="shared" si="112"/>
        <v>0</v>
      </c>
    </row>
    <row r="104" spans="1:54" ht="62.4" outlineLevel="2">
      <c r="A104" s="98"/>
      <c r="B104" s="102"/>
      <c r="C104" s="23"/>
      <c r="D104" s="269"/>
      <c r="E104" s="26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f>500*10000</f>
        <v>5000000</v>
      </c>
      <c r="AD104" s="110"/>
      <c r="AE104" s="108">
        <v>0</v>
      </c>
      <c r="AF104" s="108">
        <f t="shared" si="108"/>
        <v>5000000</v>
      </c>
      <c r="AG104" s="107"/>
      <c r="AH104" s="107"/>
      <c r="AI104" s="107"/>
      <c r="AJ104" s="111"/>
      <c r="AK104" s="111"/>
      <c r="AL104" s="111"/>
      <c r="AM104" s="108">
        <f>AG104*'1. Standard_Cost'!$B$27+'Incremental_Cost Year 5'!AH104*'1. Standard_Cost'!$C$27+'Incremental_Cost Year 5'!AI104*'1. Standard_Cost'!$D$27+'Incremental_Cost Year 5'!AJ104+'Incremental_Cost Year 5'!AL104+AK104</f>
        <v>0</v>
      </c>
      <c r="AN104" s="108">
        <f>AM104*'1. Standard_Cost'!$C$31</f>
        <v>0</v>
      </c>
      <c r="AO104" s="125" t="s">
        <v>342</v>
      </c>
      <c r="AQ104" s="14">
        <f t="shared" si="109"/>
        <v>0</v>
      </c>
      <c r="AR104" s="14">
        <f t="shared" si="110"/>
        <v>5000000</v>
      </c>
      <c r="AS104" s="14">
        <f t="shared" si="111"/>
        <v>0</v>
      </c>
      <c r="AT104" s="14">
        <f t="shared" si="113"/>
        <v>5000000</v>
      </c>
      <c r="AU104" s="15">
        <v>5000000</v>
      </c>
      <c r="AV104" s="15"/>
      <c r="AW104" s="15"/>
      <c r="AX104" s="15"/>
      <c r="AY104" s="15"/>
      <c r="AZ104" s="15"/>
      <c r="BA104" s="15"/>
      <c r="BB104" s="16">
        <f t="shared" si="112"/>
        <v>0</v>
      </c>
    </row>
    <row r="105" spans="1:54" ht="46.8" outlineLevel="2">
      <c r="A105" s="98"/>
      <c r="B105" s="102"/>
      <c r="C105" s="23"/>
      <c r="D105" s="269"/>
      <c r="E105" s="26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8"/>
        <v>0</v>
      </c>
      <c r="AG105" s="107"/>
      <c r="AH105" s="107"/>
      <c r="AI105" s="107"/>
      <c r="AJ105" s="111"/>
      <c r="AK105" s="111"/>
      <c r="AL105" s="111"/>
      <c r="AM105" s="108">
        <f>AG105*'1. Standard_Cost'!$B$27+'Incremental_Cost Year 5'!AH105*'1. Standard_Cost'!$C$27+'Incremental_Cost Year 5'!AI105*'1. Standard_Cost'!$D$27+'Incremental_Cost Year 5'!AJ105+'Incremental_Cost Year 5'!AL105+AK105</f>
        <v>0</v>
      </c>
      <c r="AN105" s="108">
        <f>AM105*'1. Standard_Cost'!$C$31</f>
        <v>0</v>
      </c>
      <c r="AO105" s="125" t="s">
        <v>343</v>
      </c>
      <c r="AQ105" s="14">
        <f t="shared" si="109"/>
        <v>0</v>
      </c>
      <c r="AR105" s="14">
        <f t="shared" si="110"/>
        <v>0</v>
      </c>
      <c r="AS105" s="14">
        <f t="shared" si="111"/>
        <v>0</v>
      </c>
      <c r="AT105" s="14">
        <f t="shared" si="113"/>
        <v>0</v>
      </c>
      <c r="AU105" s="15"/>
      <c r="AV105" s="15"/>
      <c r="AW105" s="15"/>
      <c r="AX105" s="15"/>
      <c r="AY105" s="15"/>
      <c r="AZ105" s="15"/>
      <c r="BA105" s="15"/>
      <c r="BB105" s="16">
        <f t="shared" si="112"/>
        <v>0</v>
      </c>
    </row>
    <row r="106" spans="1:54" ht="62.4" outlineLevel="2">
      <c r="A106" s="98"/>
      <c r="B106" s="102"/>
      <c r="C106" s="23"/>
      <c r="D106" s="269"/>
      <c r="E106" s="269"/>
      <c r="F106" s="174"/>
      <c r="G106" s="26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8"/>
        <v>0</v>
      </c>
      <c r="AG106" s="107"/>
      <c r="AH106" s="107"/>
      <c r="AI106" s="107"/>
      <c r="AJ106" s="111"/>
      <c r="AK106" s="111"/>
      <c r="AL106" s="111"/>
      <c r="AM106" s="108">
        <f>AG106*'1. Standard_Cost'!$B$27+'Incremental_Cost Year 5'!AH106*'1. Standard_Cost'!$C$27+'Incremental_Cost Year 5'!AI106*'1. Standard_Cost'!$D$27+'Incremental_Cost Year 5'!AJ106+'Incremental_Cost Year 5'!AL106+AK106</f>
        <v>0</v>
      </c>
      <c r="AN106" s="108">
        <f>AM106*'1. Standard_Cost'!$C$31</f>
        <v>0</v>
      </c>
      <c r="AO106" s="125" t="s">
        <v>344</v>
      </c>
      <c r="AQ106" s="14">
        <f t="shared" si="109"/>
        <v>0</v>
      </c>
      <c r="AR106" s="14">
        <f t="shared" si="110"/>
        <v>0</v>
      </c>
      <c r="AS106" s="14">
        <f t="shared" si="111"/>
        <v>0</v>
      </c>
      <c r="AT106" s="14">
        <f t="shared" si="113"/>
        <v>0</v>
      </c>
      <c r="AU106" s="15"/>
      <c r="AV106" s="15"/>
      <c r="AW106" s="15"/>
      <c r="AX106" s="15"/>
      <c r="AY106" s="15"/>
      <c r="AZ106" s="15"/>
      <c r="BA106" s="15"/>
      <c r="BB106" s="16">
        <f t="shared" si="112"/>
        <v>0</v>
      </c>
    </row>
    <row r="107" spans="1:54" ht="187.2" outlineLevel="2">
      <c r="A107" s="98"/>
      <c r="B107" s="102"/>
      <c r="C107" s="23"/>
      <c r="D107" s="269"/>
      <c r="E107" s="269"/>
      <c r="F107" s="269"/>
      <c r="G107" s="269"/>
      <c r="H107" s="302" t="s">
        <v>455</v>
      </c>
      <c r="I107" s="104"/>
      <c r="J107" s="105"/>
      <c r="K107" s="105"/>
      <c r="L107" s="106" t="str">
        <f>IF(I107&lt;&gt;0,((VLOOKUP(I107,'1. Standard_Cost'!$B$4:$D$11,2)+VLOOKUP(I107,'1. Standard_Cost'!$B$4:$D$11,3))*J107*K107),"0")</f>
        <v>0</v>
      </c>
      <c r="M107" s="106">
        <f>L107*'1. Standard_Cost'!$F$4</f>
        <v>0</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c r="AB107" s="108">
        <f>+Z107*'1. Standard_Cost'!$B$23+AA107*'1. Standard_Cost'!$C$23</f>
        <v>0</v>
      </c>
      <c r="AC107" s="109"/>
      <c r="AD107" s="110"/>
      <c r="AE107" s="108">
        <f>SUM(AD107,AC107,AB107,Y107,U107,T107,S107,R107)*'1. Standard_Cost'!$B$31</f>
        <v>0</v>
      </c>
      <c r="AF107" s="108">
        <f t="shared" si="108"/>
        <v>0</v>
      </c>
      <c r="AG107" s="107"/>
      <c r="AH107" s="107"/>
      <c r="AI107" s="107"/>
      <c r="AJ107" s="111"/>
      <c r="AK107" s="111"/>
      <c r="AL107" s="111"/>
      <c r="AM107" s="108">
        <f>AG107*'1. Standard_Cost'!$B$27+'Incremental_Cost Year 5'!AH107*'1. Standard_Cost'!$C$27+'Incremental_Cost Year 5'!AI107*'1. Standard_Cost'!$D$27+'Incremental_Cost Year 5'!AJ107+'Incremental_Cost Year 5'!AL107+AK107</f>
        <v>0</v>
      </c>
      <c r="AN107" s="108">
        <f>AM107*'1. Standard_Cost'!$C$31</f>
        <v>0</v>
      </c>
      <c r="AO107" s="125" t="s">
        <v>345</v>
      </c>
      <c r="AQ107" s="14">
        <f t="shared" si="109"/>
        <v>0</v>
      </c>
      <c r="AR107" s="14">
        <f t="shared" si="110"/>
        <v>0</v>
      </c>
      <c r="AS107" s="14">
        <f t="shared" si="111"/>
        <v>0</v>
      </c>
      <c r="AT107" s="14">
        <f t="shared" si="113"/>
        <v>0</v>
      </c>
      <c r="AU107" s="15">
        <v>0</v>
      </c>
      <c r="AV107" s="15"/>
      <c r="AW107" s="15"/>
      <c r="AX107" s="15"/>
      <c r="AY107" s="15"/>
      <c r="AZ107" s="15"/>
      <c r="BA107" s="15"/>
      <c r="BB107" s="16">
        <f t="shared" si="112"/>
        <v>0</v>
      </c>
    </row>
    <row r="108" spans="1:54" ht="93.6" outlineLevel="2">
      <c r="A108" s="98"/>
      <c r="B108" s="102"/>
      <c r="C108" s="23"/>
      <c r="D108" s="269"/>
      <c r="E108" s="269"/>
      <c r="F108" s="269"/>
      <c r="G108" s="269"/>
      <c r="H108" s="302" t="s">
        <v>456</v>
      </c>
      <c r="I108" s="104" t="s">
        <v>5</v>
      </c>
      <c r="J108" s="105">
        <v>0.1</v>
      </c>
      <c r="K108" s="105">
        <v>1</v>
      </c>
      <c r="L108" s="106">
        <f>IF(I108&lt;&gt;0,((VLOOKUP(I108,'1. Standard_Cost'!$B$4:$D$11,2)+VLOOKUP(I108,'1. Standard_Cost'!$B$4:$D$11,3))*J108*K108),"0")</f>
        <v>7070</v>
      </c>
      <c r="M108" s="106">
        <f>L108*'1. Standard_Cost'!$F$4</f>
        <v>1180.69</v>
      </c>
      <c r="N108" s="107">
        <v>8</v>
      </c>
      <c r="O108" s="107">
        <v>1</v>
      </c>
      <c r="P108" s="107">
        <v>15</v>
      </c>
      <c r="Q108" s="107"/>
      <c r="R108" s="108">
        <f>'1. Standard_Cost'!$B$15*N108*P108</f>
        <v>240000</v>
      </c>
      <c r="S108" s="108">
        <f>N108*O108*P108*'1. Standard_Cost'!$C$15</f>
        <v>180000</v>
      </c>
      <c r="T108" s="108">
        <f>N108*P108*Q108*'1. Standard_Cost'!$D$15</f>
        <v>0</v>
      </c>
      <c r="U108" s="108">
        <v>0</v>
      </c>
      <c r="V108" s="107"/>
      <c r="W108" s="107"/>
      <c r="X108" s="107"/>
      <c r="Y108" s="108">
        <f>+V108*((X108*'1. Standard_Cost'!$B$19)+(W108*X108*'1. Standard_Cost'!$C$19))</f>
        <v>0</v>
      </c>
      <c r="Z108" s="107"/>
      <c r="AA108" s="107">
        <v>8</v>
      </c>
      <c r="AB108" s="108">
        <f>+Z108*'1. Standard_Cost'!$B$23+AA108*'1. Standard_Cost'!$C$23</f>
        <v>152000</v>
      </c>
      <c r="AC108" s="109">
        <f>120*200</f>
        <v>24000</v>
      </c>
      <c r="AD108" s="110"/>
      <c r="AE108" s="108">
        <v>0</v>
      </c>
      <c r="AF108" s="108">
        <f t="shared" si="108"/>
        <v>596000</v>
      </c>
      <c r="AG108" s="107"/>
      <c r="AH108" s="107"/>
      <c r="AI108" s="107"/>
      <c r="AJ108" s="111"/>
      <c r="AK108" s="111"/>
      <c r="AL108" s="111"/>
      <c r="AM108" s="108">
        <f>AG108*'1. Standard_Cost'!$B$27+'Incremental_Cost Year 5'!AH108*'1. Standard_Cost'!$C$27+'Incremental_Cost Year 5'!AI108*'1. Standard_Cost'!$D$27+'Incremental_Cost Year 5'!AJ108+'Incremental_Cost Year 5'!AL108+AK108</f>
        <v>0</v>
      </c>
      <c r="AN108" s="108">
        <f>AM108*'1. Standard_Cost'!$C$31</f>
        <v>0</v>
      </c>
      <c r="AO108" s="125" t="s">
        <v>346</v>
      </c>
      <c r="AQ108" s="14">
        <f t="shared" si="109"/>
        <v>8250.69</v>
      </c>
      <c r="AR108" s="14">
        <f t="shared" si="110"/>
        <v>596000</v>
      </c>
      <c r="AS108" s="14">
        <f t="shared" si="111"/>
        <v>0</v>
      </c>
      <c r="AT108" s="14">
        <f t="shared" si="113"/>
        <v>604250.68999999994</v>
      </c>
      <c r="AU108" s="15">
        <v>8250.69</v>
      </c>
      <c r="AV108" s="15"/>
      <c r="AW108" s="15"/>
      <c r="AX108" s="15"/>
      <c r="AY108" s="15"/>
      <c r="AZ108" s="15"/>
      <c r="BA108" s="15"/>
      <c r="BB108" s="16">
        <f t="shared" si="112"/>
        <v>-596000</v>
      </c>
    </row>
    <row r="109" spans="1:54" ht="31.2" outlineLevel="2">
      <c r="A109" s="98"/>
      <c r="B109" s="102"/>
      <c r="C109" s="23"/>
      <c r="D109" s="269"/>
      <c r="E109" s="269"/>
      <c r="F109" s="26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8"/>
        <v>0</v>
      </c>
      <c r="AG109" s="107"/>
      <c r="AH109" s="107"/>
      <c r="AI109" s="107"/>
      <c r="AJ109" s="111"/>
      <c r="AK109" s="111"/>
      <c r="AL109" s="111"/>
      <c r="AM109" s="108">
        <f>AG109*'1. Standard_Cost'!$B$27+'Incremental_Cost Year 5'!AH109*'1. Standard_Cost'!$C$27+'Incremental_Cost Year 5'!AI109*'1. Standard_Cost'!$D$27+'Incremental_Cost Year 5'!AJ109+'Incremental_Cost Year 5'!AL109+AK109</f>
        <v>0</v>
      </c>
      <c r="AN109" s="108">
        <f>AM109*'1. Standard_Cost'!$C$31</f>
        <v>0</v>
      </c>
      <c r="AO109" s="125" t="s">
        <v>347</v>
      </c>
      <c r="AQ109" s="14">
        <f t="shared" si="109"/>
        <v>0</v>
      </c>
      <c r="AR109" s="14">
        <f t="shared" si="110"/>
        <v>0</v>
      </c>
      <c r="AS109" s="14">
        <f t="shared" si="111"/>
        <v>0</v>
      </c>
      <c r="AT109" s="14">
        <f t="shared" si="113"/>
        <v>0</v>
      </c>
      <c r="AU109" s="15"/>
      <c r="AV109" s="15"/>
      <c r="AW109" s="15"/>
      <c r="AX109" s="15"/>
      <c r="AY109" s="15"/>
      <c r="AZ109" s="15"/>
      <c r="BA109" s="15"/>
      <c r="BB109" s="16">
        <f t="shared" si="112"/>
        <v>0</v>
      </c>
    </row>
    <row r="110" spans="1:54" ht="171.6" outlineLevel="2">
      <c r="A110" s="98"/>
      <c r="B110" s="102"/>
      <c r="C110" s="23"/>
      <c r="D110" s="269"/>
      <c r="E110" s="269"/>
      <c r="F110" s="269"/>
      <c r="G110" s="174"/>
      <c r="H110" s="302" t="s">
        <v>457</v>
      </c>
      <c r="I110" s="104"/>
      <c r="J110" s="105"/>
      <c r="K110" s="105"/>
      <c r="L110" s="106" t="str">
        <f>IF(I110&lt;&gt;0,((VLOOKUP(I110,'1. Standard_Cost'!$B$4:$D$11,2)+VLOOKUP(I110,'1. Standard_Cost'!$B$4:$D$11,3))*J110*K110),"0")</f>
        <v>0</v>
      </c>
      <c r="M110" s="106">
        <f>L110*'1. Standard_Cost'!$F$4</f>
        <v>0</v>
      </c>
      <c r="N110" s="107"/>
      <c r="O110" s="107"/>
      <c r="P110" s="107"/>
      <c r="Q110" s="107"/>
      <c r="R110" s="108">
        <f>'1. Standard_Cost'!$B$15*N110*P110</f>
        <v>0</v>
      </c>
      <c r="S110" s="108">
        <f>N110*O110*P110*'1. Standard_Cost'!$C$15</f>
        <v>0</v>
      </c>
      <c r="T110" s="108">
        <f>N110*P110*Q110*'1. Standard_Cost'!$D$15</f>
        <v>0</v>
      </c>
      <c r="U110" s="108">
        <f>N110*O110*'1. Standard_Cost'!$E$15</f>
        <v>0</v>
      </c>
      <c r="V110" s="107"/>
      <c r="W110" s="107"/>
      <c r="X110" s="107"/>
      <c r="Y110" s="108">
        <f>+V110*((X110*'1. Standard_Cost'!$B$19)+(W110*X110*'1. Standard_Cost'!$C$19))</f>
        <v>0</v>
      </c>
      <c r="Z110" s="107"/>
      <c r="AA110" s="107"/>
      <c r="AB110" s="108">
        <f>+Z110*'1. Standard_Cost'!$B$23+AA110*'1. Standard_Cost'!$C$23</f>
        <v>0</v>
      </c>
      <c r="AC110" s="109"/>
      <c r="AD110" s="110"/>
      <c r="AE110" s="108">
        <f>SUM(AD110,AC110,AB110,Y110,U110,T110,S110,R110)*'1. Standard_Cost'!$B$31</f>
        <v>0</v>
      </c>
      <c r="AF110" s="108">
        <f t="shared" si="108"/>
        <v>0</v>
      </c>
      <c r="AG110" s="107"/>
      <c r="AH110" s="107"/>
      <c r="AI110" s="107"/>
      <c r="AJ110" s="111"/>
      <c r="AK110" s="111"/>
      <c r="AL110" s="111"/>
      <c r="AM110" s="108">
        <f>AG110*'1. Standard_Cost'!$B$27+'Incremental_Cost Year 5'!AH110*'1. Standard_Cost'!$C$27+'Incremental_Cost Year 5'!AI110*'1. Standard_Cost'!$D$27+'Incremental_Cost Year 5'!AJ110+'Incremental_Cost Year 5'!AL110+AK110</f>
        <v>0</v>
      </c>
      <c r="AN110" s="108">
        <f>AM110*'1. Standard_Cost'!$C$31</f>
        <v>0</v>
      </c>
      <c r="AO110" s="125" t="s">
        <v>348</v>
      </c>
      <c r="AQ110" s="14">
        <f t="shared" si="109"/>
        <v>0</v>
      </c>
      <c r="AR110" s="14">
        <f t="shared" si="110"/>
        <v>0</v>
      </c>
      <c r="AS110" s="14">
        <f t="shared" si="111"/>
        <v>0</v>
      </c>
      <c r="AT110" s="14">
        <f t="shared" si="113"/>
        <v>0</v>
      </c>
      <c r="AU110" s="15">
        <v>0</v>
      </c>
      <c r="AV110" s="15"/>
      <c r="AW110" s="15"/>
      <c r="AX110" s="15"/>
      <c r="AY110" s="15">
        <v>0</v>
      </c>
      <c r="AZ110" s="15">
        <v>0</v>
      </c>
      <c r="BA110" s="15"/>
      <c r="BB110" s="16">
        <f t="shared" si="112"/>
        <v>0</v>
      </c>
    </row>
    <row r="111" spans="1:54" ht="202.8" outlineLevel="2">
      <c r="A111" s="98"/>
      <c r="B111" s="102"/>
      <c r="C111" s="23"/>
      <c r="D111" s="269"/>
      <c r="E111" s="269"/>
      <c r="F111" s="269"/>
      <c r="G111" s="174"/>
      <c r="H111" s="302" t="s">
        <v>458</v>
      </c>
      <c r="I111" s="104" t="s">
        <v>5</v>
      </c>
      <c r="J111" s="105">
        <v>2</v>
      </c>
      <c r="K111" s="105">
        <v>3</v>
      </c>
      <c r="L111" s="106">
        <f>IF(I111&lt;&gt;0,((VLOOKUP(I111,'1. Standard_Cost'!$B$4:$D$11,2)+VLOOKUP(I111,'1. Standard_Cost'!$B$4:$D$11,3))*J111*K111),"0")</f>
        <v>424200</v>
      </c>
      <c r="M111" s="106">
        <f>L111*'1. Standard_Cost'!$F$4</f>
        <v>70841.400000000009</v>
      </c>
      <c r="N111" s="107">
        <v>18</v>
      </c>
      <c r="O111" s="107">
        <v>2</v>
      </c>
      <c r="P111" s="107">
        <v>15</v>
      </c>
      <c r="Q111" s="107"/>
      <c r="R111" s="108">
        <v>0</v>
      </c>
      <c r="S111" s="108">
        <v>0</v>
      </c>
      <c r="T111" s="108">
        <f>N111*P111*Q111*'1. Standard_Cost'!$D$15</f>
        <v>0</v>
      </c>
      <c r="U111" s="108">
        <v>0</v>
      </c>
      <c r="V111" s="107"/>
      <c r="W111" s="107"/>
      <c r="X111" s="107"/>
      <c r="Y111" s="108">
        <f>+V111*((X111*'1. Standard_Cost'!$B$19)+(W111*X111*'1. Standard_Cost'!$C$19))</f>
        <v>0</v>
      </c>
      <c r="Z111" s="107"/>
      <c r="AA111" s="107">
        <v>36</v>
      </c>
      <c r="AB111" s="108">
        <f>+Z111*'1. Standard_Cost'!$B$23+AA111*'1. Standard_Cost'!$C$23</f>
        <v>684000</v>
      </c>
      <c r="AC111" s="109">
        <f>545*3500+545*500</f>
        <v>2180000</v>
      </c>
      <c r="AD111" s="110"/>
      <c r="AE111" s="108">
        <f>SUM(AD111,AC111,AB111,Y111,U111,T111,S111,R111)*'1. Standard_Cost'!$B$31</f>
        <v>572800</v>
      </c>
      <c r="AF111" s="108">
        <f t="shared" si="108"/>
        <v>3436800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09"/>
        <v>495041.4</v>
      </c>
      <c r="AR111" s="14">
        <f t="shared" si="110"/>
        <v>3436800</v>
      </c>
      <c r="AS111" s="14">
        <f t="shared" si="111"/>
        <v>0</v>
      </c>
      <c r="AT111" s="14">
        <f t="shared" si="113"/>
        <v>3931841.4</v>
      </c>
      <c r="AU111" s="15">
        <v>495041.4</v>
      </c>
      <c r="AV111" s="15"/>
      <c r="AW111" s="15"/>
      <c r="AX111" s="15"/>
      <c r="AY111" s="15"/>
      <c r="AZ111" s="15">
        <v>3436800</v>
      </c>
      <c r="BA111" s="15"/>
      <c r="BB111" s="16">
        <f t="shared" si="112"/>
        <v>0</v>
      </c>
    </row>
    <row r="112" spans="1:54" ht="124.8" outlineLevel="2">
      <c r="A112" s="98"/>
      <c r="B112" s="102"/>
      <c r="C112" s="23"/>
      <c r="D112" s="269"/>
      <c r="E112" s="269"/>
      <c r="F112" s="251"/>
      <c r="G112" s="250"/>
      <c r="H112" s="302" t="s">
        <v>459</v>
      </c>
      <c r="I112" s="104"/>
      <c r="J112" s="105"/>
      <c r="K112" s="105"/>
      <c r="L112" s="106" t="str">
        <f>IF(I112&lt;&gt;0,((VLOOKUP(I112,'1. Standard_Cost'!$B$4:$D$11,2)+VLOOKUP(I112,'1. Standard_Cost'!$B$4:$D$11,3))*J112*K112),"0")</f>
        <v>0</v>
      </c>
      <c r="M112" s="106">
        <f>L112*'1. Standard_Cost'!$F$4</f>
        <v>0</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c r="AB112" s="108">
        <f>+Z112*'1. Standard_Cost'!$B$23+AA112*'1. Standard_Cost'!$C$23</f>
        <v>0</v>
      </c>
      <c r="AC112" s="109"/>
      <c r="AD112" s="110"/>
      <c r="AE112" s="108">
        <f>SUM(AD112,AC112,AB112,Y112,U112,T112,S112,R112)*'1. Standard_Cost'!$B$31</f>
        <v>0</v>
      </c>
      <c r="AF112" s="108">
        <f t="shared" si="108"/>
        <v>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09"/>
        <v>0</v>
      </c>
      <c r="AR112" s="14">
        <f t="shared" si="110"/>
        <v>0</v>
      </c>
      <c r="AS112" s="14">
        <f t="shared" si="111"/>
        <v>0</v>
      </c>
      <c r="AT112" s="14">
        <f t="shared" si="113"/>
        <v>0</v>
      </c>
      <c r="AU112" s="15">
        <v>0</v>
      </c>
      <c r="AV112" s="15"/>
      <c r="AW112" s="15"/>
      <c r="AX112" s="15"/>
      <c r="AY112" s="15">
        <v>0</v>
      </c>
      <c r="AZ112" s="15">
        <v>0</v>
      </c>
      <c r="BA112" s="15"/>
      <c r="BB112" s="16">
        <f t="shared" si="112"/>
        <v>0</v>
      </c>
    </row>
    <row r="113" spans="1:54" ht="55.2" outlineLevel="1">
      <c r="A113" s="98"/>
      <c r="B113" s="102"/>
      <c r="C113" s="23"/>
      <c r="D113" s="31" t="s">
        <v>633</v>
      </c>
      <c r="E113" s="56" t="s">
        <v>223</v>
      </c>
      <c r="F113" s="253">
        <v>2021</v>
      </c>
      <c r="G113" s="254">
        <v>2026</v>
      </c>
      <c r="H113" s="277" t="s">
        <v>226</v>
      </c>
      <c r="I113" s="112"/>
      <c r="J113" s="112"/>
      <c r="K113" s="112"/>
      <c r="L113" s="113">
        <f>SUM(L102:L112)</f>
        <v>431270</v>
      </c>
      <c r="M113" s="113">
        <f>SUM(M102:M112)</f>
        <v>72022.090000000011</v>
      </c>
      <c r="N113" s="112"/>
      <c r="O113" s="112"/>
      <c r="P113" s="112"/>
      <c r="Q113" s="112"/>
      <c r="R113" s="113">
        <f>SUM(R102:R112)</f>
        <v>240000</v>
      </c>
      <c r="S113" s="113">
        <f>SUM(S102:S112)</f>
        <v>180000</v>
      </c>
      <c r="T113" s="113">
        <f>SUM(T102:T112)</f>
        <v>0</v>
      </c>
      <c r="U113" s="113">
        <f>SUM(U102:U112)</f>
        <v>0</v>
      </c>
      <c r="V113" s="112"/>
      <c r="W113" s="112"/>
      <c r="X113" s="112"/>
      <c r="Y113" s="113">
        <f>SUM(Y102:Y112)</f>
        <v>0</v>
      </c>
      <c r="Z113" s="112"/>
      <c r="AA113" s="112"/>
      <c r="AB113" s="113">
        <f>SUM(AB102:AB112)</f>
        <v>836000</v>
      </c>
      <c r="AC113" s="113">
        <f>SUM(AC102:AC112)</f>
        <v>7204000</v>
      </c>
      <c r="AD113" s="113">
        <f>SUM(AD102:AD112)</f>
        <v>0</v>
      </c>
      <c r="AE113" s="113">
        <f>SUM(AE102:AE112)</f>
        <v>572800</v>
      </c>
      <c r="AF113" s="113">
        <f>SUM(AF102:AF112)</f>
        <v>9032800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4">SUM(AQ102:AQ112)</f>
        <v>503292.09</v>
      </c>
      <c r="AR113" s="113">
        <f t="shared" si="114"/>
        <v>9032800</v>
      </c>
      <c r="AS113" s="113">
        <f t="shared" si="114"/>
        <v>0</v>
      </c>
      <c r="AT113" s="113">
        <f t="shared" si="114"/>
        <v>9536092.0899999999</v>
      </c>
      <c r="AU113" s="113">
        <f t="shared" si="114"/>
        <v>5503292.0900000008</v>
      </c>
      <c r="AV113" s="113">
        <f t="shared" si="114"/>
        <v>0</v>
      </c>
      <c r="AW113" s="113">
        <f t="shared" si="114"/>
        <v>0</v>
      </c>
      <c r="AX113" s="113">
        <f t="shared" si="114"/>
        <v>0</v>
      </c>
      <c r="AY113" s="113">
        <f t="shared" si="114"/>
        <v>0</v>
      </c>
      <c r="AZ113" s="113">
        <f t="shared" si="114"/>
        <v>3436800</v>
      </c>
      <c r="BA113" s="113">
        <f t="shared" si="114"/>
        <v>0</v>
      </c>
      <c r="BB113" s="113">
        <f t="shared" si="114"/>
        <v>-596000</v>
      </c>
    </row>
    <row r="114" spans="1:54" ht="62.4" outlineLevel="2">
      <c r="A114" s="98"/>
      <c r="B114" s="102"/>
      <c r="C114" s="23"/>
      <c r="D114" s="257"/>
      <c r="E114" s="257"/>
      <c r="F114" s="257"/>
      <c r="G114" s="257"/>
      <c r="H114" s="302" t="s">
        <v>460</v>
      </c>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5">SUM(AE114,AD114,AC114,AB114,Y114,U114,T114,S114,R114)</f>
        <v>0</v>
      </c>
      <c r="AG114" s="107"/>
      <c r="AH114" s="107"/>
      <c r="AI114" s="107"/>
      <c r="AJ114" s="111"/>
      <c r="AK114" s="111"/>
      <c r="AL114" s="111"/>
      <c r="AM114" s="108">
        <f>AG114*'1. Standard_Cost'!$B$27+'Incremental_Cost Year 5'!AH114*'1. Standard_Cost'!$C$27+'Incremental_Cost Year 5'!AI114*'1. Standard_Cost'!$D$27+'Incremental_Cost Year 5'!AJ114+'Incremental_Cost Year 5'!AL114+AK114</f>
        <v>0</v>
      </c>
      <c r="AN114" s="108">
        <f>AM114*'1. Standard_Cost'!$C$31</f>
        <v>0</v>
      </c>
      <c r="AO114" s="125" t="s">
        <v>350</v>
      </c>
      <c r="AQ114" s="14">
        <f t="shared" ref="AQ114:AQ135" si="116">L114+M114</f>
        <v>0</v>
      </c>
      <c r="AR114" s="14">
        <f t="shared" ref="AR114:AR135" si="117">AF114</f>
        <v>0</v>
      </c>
      <c r="AS114" s="14">
        <f t="shared" ref="AS114:AS135" si="118">AM114+AN114</f>
        <v>0</v>
      </c>
      <c r="AT114" s="14">
        <f>SUM(AQ114,AR114,AS114)</f>
        <v>0</v>
      </c>
      <c r="AU114" s="15"/>
      <c r="AV114" s="15"/>
      <c r="AW114" s="15"/>
      <c r="AX114" s="15"/>
      <c r="AY114" s="15"/>
      <c r="AZ114" s="15"/>
      <c r="BA114" s="15"/>
      <c r="BB114" s="16">
        <f t="shared" ref="BB114:BB135" si="119">SUM(AU114:BA114)-AT114</f>
        <v>0</v>
      </c>
    </row>
    <row r="115" spans="1:54" ht="234" outlineLevel="2">
      <c r="A115" s="98"/>
      <c r="B115" s="102"/>
      <c r="C115" s="23"/>
      <c r="D115" s="269"/>
      <c r="E115" s="269"/>
      <c r="F115" s="269"/>
      <c r="G115" s="174"/>
      <c r="H115" s="302" t="s">
        <v>461</v>
      </c>
      <c r="I115" s="104" t="s">
        <v>4</v>
      </c>
      <c r="J115" s="105">
        <v>2</v>
      </c>
      <c r="K115" s="105">
        <v>1</v>
      </c>
      <c r="L115" s="106">
        <f>IF(I115&lt;&gt;0,((VLOOKUP(I115,'1. Standard_Cost'!$B$4:$D$11,2)+VLOOKUP(I115,'1. Standard_Cost'!$B$4:$D$11,3))*J115*K115),"0")</f>
        <v>161500</v>
      </c>
      <c r="M115" s="106">
        <f>L115*'1. Standard_Cost'!$F$4</f>
        <v>26970.5</v>
      </c>
      <c r="N115" s="107">
        <v>30</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32</v>
      </c>
      <c r="AB115" s="108">
        <f>+Z115*'1. Standard_Cost'!$B$23+AA115*'1. Standard_Cost'!$C$23</f>
        <v>608000</v>
      </c>
      <c r="AC115" s="109">
        <f>450*3500+450*500</f>
        <v>1800000</v>
      </c>
      <c r="AD115" s="110"/>
      <c r="AE115" s="108">
        <v>0</v>
      </c>
      <c r="AF115" s="108">
        <f t="shared" si="115"/>
        <v>2408000</v>
      </c>
      <c r="AG115" s="107"/>
      <c r="AH115" s="107"/>
      <c r="AI115" s="107"/>
      <c r="AJ115" s="111"/>
      <c r="AK115" s="111"/>
      <c r="AL115" s="111"/>
      <c r="AM115" s="108">
        <f>AG115*'1. Standard_Cost'!$B$27+'Incremental_Cost Year 5'!AH115*'1. Standard_Cost'!$C$27+'Incremental_Cost Year 5'!AI115*'1. Standard_Cost'!$D$27+'Incremental_Cost Year 5'!AJ115+'Incremental_Cost Year 5'!AL115+AK115</f>
        <v>0</v>
      </c>
      <c r="AN115" s="108">
        <f>AM115*'1. Standard_Cost'!$C$31</f>
        <v>0</v>
      </c>
      <c r="AO115" s="125" t="s">
        <v>349</v>
      </c>
      <c r="AQ115" s="14">
        <f t="shared" si="116"/>
        <v>188470.5</v>
      </c>
      <c r="AR115" s="14">
        <f t="shared" si="117"/>
        <v>2408000</v>
      </c>
      <c r="AS115" s="14">
        <f t="shared" si="118"/>
        <v>0</v>
      </c>
      <c r="AT115" s="14">
        <f t="shared" ref="AT115:AT135" si="120">SUM(AQ115,AR115,AS115)</f>
        <v>2596470.5</v>
      </c>
      <c r="AU115" s="15">
        <v>188470.5</v>
      </c>
      <c r="AV115" s="15"/>
      <c r="AW115" s="15"/>
      <c r="AX115" s="15"/>
      <c r="AY115" s="15"/>
      <c r="AZ115" s="15">
        <v>2408000</v>
      </c>
      <c r="BA115" s="15"/>
      <c r="BB115" s="16">
        <f t="shared" si="119"/>
        <v>0</v>
      </c>
    </row>
    <row r="116" spans="1:54" ht="156" outlineLevel="2">
      <c r="A116" s="98"/>
      <c r="B116" s="102"/>
      <c r="C116" s="23"/>
      <c r="D116" s="269"/>
      <c r="E116" s="269"/>
      <c r="F116" s="269"/>
      <c r="G116" s="269"/>
      <c r="H116" s="302" t="s">
        <v>462</v>
      </c>
      <c r="I116" s="104"/>
      <c r="J116" s="105"/>
      <c r="K116" s="105"/>
      <c r="L116" s="106" t="str">
        <f>IF(I116&lt;&gt;0,((VLOOKUP(I116,'1. Standard_Cost'!$B$4:$D$11,2)+VLOOKUP(I116,'1. Standard_Cost'!$B$4:$D$11,3))*J116*K116),"0")</f>
        <v>0</v>
      </c>
      <c r="M116" s="106">
        <f>L116*'1. Standard_Cost'!$F$4</f>
        <v>0</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c r="AB116" s="108">
        <f>+Z116*'1. Standard_Cost'!$B$23+AA116*'1. Standard_Cost'!$C$23</f>
        <v>0</v>
      </c>
      <c r="AC116" s="109"/>
      <c r="AD116" s="110"/>
      <c r="AE116" s="108">
        <f>SUM(AD116,AC116,AB116,Y116,U116,T116,S116,R116)*'1. Standard_Cost'!$B$31</f>
        <v>0</v>
      </c>
      <c r="AF116" s="108">
        <f t="shared" si="115"/>
        <v>0</v>
      </c>
      <c r="AG116" s="107"/>
      <c r="AH116" s="107"/>
      <c r="AI116" s="107"/>
      <c r="AJ116" s="111"/>
      <c r="AK116" s="111"/>
      <c r="AL116" s="111"/>
      <c r="AM116" s="108">
        <f>AG116*'1. Standard_Cost'!$B$27+'Incremental_Cost Year 5'!AH116*'1. Standard_Cost'!$C$27+'Incremental_Cost Year 5'!AI116*'1. Standard_Cost'!$D$27+'Incremental_Cost Year 5'!AJ116+'Incremental_Cost Year 5'!AL116+AK116</f>
        <v>0</v>
      </c>
      <c r="AN116" s="108">
        <f>AM116*'1. Standard_Cost'!$C$31</f>
        <v>0</v>
      </c>
      <c r="AO116" s="125" t="s">
        <v>351</v>
      </c>
      <c r="AQ116" s="14">
        <f t="shared" si="116"/>
        <v>0</v>
      </c>
      <c r="AR116" s="14">
        <f t="shared" si="117"/>
        <v>0</v>
      </c>
      <c r="AS116" s="14">
        <f t="shared" si="118"/>
        <v>0</v>
      </c>
      <c r="AT116" s="14">
        <f t="shared" si="120"/>
        <v>0</v>
      </c>
      <c r="AU116" s="15">
        <v>0</v>
      </c>
      <c r="AV116" s="15"/>
      <c r="AW116" s="15"/>
      <c r="AX116" s="15">
        <v>0</v>
      </c>
      <c r="AY116" s="15"/>
      <c r="AZ116" s="15"/>
      <c r="BA116" s="15"/>
      <c r="BB116" s="16">
        <f t="shared" si="119"/>
        <v>0</v>
      </c>
    </row>
    <row r="117" spans="1:54" ht="31.2" outlineLevel="2">
      <c r="A117" s="98"/>
      <c r="B117" s="102"/>
      <c r="C117" s="23"/>
      <c r="D117" s="269"/>
      <c r="E117" s="269"/>
      <c r="F117" s="269"/>
      <c r="G117" s="269"/>
      <c r="H117" s="302" t="s">
        <v>463</v>
      </c>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5"/>
        <v>0</v>
      </c>
      <c r="AG117" s="107"/>
      <c r="AH117" s="107"/>
      <c r="AI117" s="107"/>
      <c r="AJ117" s="111"/>
      <c r="AK117" s="111"/>
      <c r="AL117" s="111"/>
      <c r="AM117" s="108">
        <f>AG117*'1. Standard_Cost'!$B$27+'Incremental_Cost Year 5'!AH117*'1. Standard_Cost'!$C$27+'Incremental_Cost Year 5'!AI117*'1. Standard_Cost'!$D$27+'Incremental_Cost Year 5'!AJ117+'Incremental_Cost Year 5'!AL117+AK117</f>
        <v>0</v>
      </c>
      <c r="AN117" s="108">
        <f>AM117*'1. Standard_Cost'!$C$31</f>
        <v>0</v>
      </c>
      <c r="AO117" s="125" t="s">
        <v>349</v>
      </c>
      <c r="AQ117" s="14">
        <f t="shared" si="116"/>
        <v>0</v>
      </c>
      <c r="AR117" s="14">
        <f t="shared" si="117"/>
        <v>0</v>
      </c>
      <c r="AS117" s="14">
        <f t="shared" si="118"/>
        <v>0</v>
      </c>
      <c r="AT117" s="14">
        <f t="shared" si="120"/>
        <v>0</v>
      </c>
      <c r="AU117" s="15"/>
      <c r="AV117" s="15"/>
      <c r="AW117" s="15"/>
      <c r="AX117" s="15"/>
      <c r="AY117" s="15"/>
      <c r="AZ117" s="15"/>
      <c r="BA117" s="15"/>
      <c r="BB117" s="16">
        <f t="shared" si="119"/>
        <v>0</v>
      </c>
    </row>
    <row r="118" spans="1:54" ht="62.4" outlineLevel="2">
      <c r="A118" s="98"/>
      <c r="B118" s="102"/>
      <c r="C118" s="23"/>
      <c r="D118" s="269"/>
      <c r="E118" s="269"/>
      <c r="F118" s="269"/>
      <c r="G118" s="269"/>
      <c r="H118" s="302" t="s">
        <v>464</v>
      </c>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5"/>
        <v>0</v>
      </c>
      <c r="AG118" s="107"/>
      <c r="AH118" s="107"/>
      <c r="AI118" s="107"/>
      <c r="AJ118" s="111"/>
      <c r="AK118" s="111"/>
      <c r="AL118" s="111"/>
      <c r="AM118" s="108">
        <f>AG118*'1. Standard_Cost'!$B$27+'Incremental_Cost Year 5'!AH118*'1. Standard_Cost'!$C$27+'Incremental_Cost Year 5'!AI118*'1. Standard_Cost'!$D$27+'Incremental_Cost Year 5'!AJ118+'Incremental_Cost Year 5'!AL118+AK118</f>
        <v>0</v>
      </c>
      <c r="AN118" s="108">
        <f>AM118*'1. Standard_Cost'!$C$31</f>
        <v>0</v>
      </c>
      <c r="AO118" s="125" t="s">
        <v>352</v>
      </c>
      <c r="AQ118" s="14">
        <f t="shared" si="116"/>
        <v>0</v>
      </c>
      <c r="AR118" s="14">
        <f t="shared" si="117"/>
        <v>0</v>
      </c>
      <c r="AS118" s="14">
        <f t="shared" si="118"/>
        <v>0</v>
      </c>
      <c r="AT118" s="14">
        <f t="shared" si="120"/>
        <v>0</v>
      </c>
      <c r="AU118" s="15"/>
      <c r="AV118" s="15"/>
      <c r="AW118" s="15"/>
      <c r="AX118" s="15"/>
      <c r="AY118" s="15"/>
      <c r="AZ118" s="15"/>
      <c r="BA118" s="15"/>
      <c r="BB118" s="16">
        <f t="shared" si="119"/>
        <v>0</v>
      </c>
    </row>
    <row r="119" spans="1:54" ht="62.4" outlineLevel="2">
      <c r="A119" s="98"/>
      <c r="B119" s="102"/>
      <c r="C119" s="23"/>
      <c r="D119" s="269"/>
      <c r="E119" s="269"/>
      <c r="F119" s="269"/>
      <c r="G119" s="269"/>
      <c r="H119" s="302" t="s">
        <v>465</v>
      </c>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15"/>
        <v>0</v>
      </c>
      <c r="AG119" s="107"/>
      <c r="AH119" s="107"/>
      <c r="AI119" s="107"/>
      <c r="AJ119" s="111"/>
      <c r="AK119" s="111"/>
      <c r="AL119" s="111"/>
      <c r="AM119" s="108">
        <f>AG119*'1. Standard_Cost'!$B$27+'Incremental_Cost Year 5'!AH119*'1. Standard_Cost'!$C$27+'Incremental_Cost Year 5'!AI119*'1. Standard_Cost'!$D$27+'Incremental_Cost Year 5'!AJ119+'Incremental_Cost Year 5'!AL119+AK119</f>
        <v>0</v>
      </c>
      <c r="AN119" s="108">
        <f>AM119*'1. Standard_Cost'!$C$31</f>
        <v>0</v>
      </c>
      <c r="AO119" s="125" t="s">
        <v>353</v>
      </c>
      <c r="AQ119" s="14">
        <f t="shared" si="116"/>
        <v>0</v>
      </c>
      <c r="AR119" s="14">
        <f t="shared" si="117"/>
        <v>0</v>
      </c>
      <c r="AS119" s="14">
        <f t="shared" si="118"/>
        <v>0</v>
      </c>
      <c r="AT119" s="14">
        <f t="shared" si="120"/>
        <v>0</v>
      </c>
      <c r="AU119" s="15"/>
      <c r="AV119" s="15"/>
      <c r="AW119" s="15"/>
      <c r="AX119" s="15"/>
      <c r="AY119" s="15">
        <v>0</v>
      </c>
      <c r="AZ119" s="15">
        <v>0</v>
      </c>
      <c r="BA119" s="15"/>
      <c r="BB119" s="16">
        <f t="shared" si="119"/>
        <v>0</v>
      </c>
    </row>
    <row r="120" spans="1:54" ht="31.2" outlineLevel="2">
      <c r="A120" s="98"/>
      <c r="B120" s="102"/>
      <c r="C120" s="23"/>
      <c r="D120" s="269"/>
      <c r="E120" s="269"/>
      <c r="F120" s="269"/>
      <c r="G120" s="269"/>
      <c r="H120" s="302" t="s">
        <v>466</v>
      </c>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5"/>
        <v>0</v>
      </c>
      <c r="AG120" s="107"/>
      <c r="AH120" s="107"/>
      <c r="AI120" s="107"/>
      <c r="AJ120" s="111"/>
      <c r="AK120" s="111"/>
      <c r="AL120" s="111"/>
      <c r="AM120" s="108">
        <f>AG120*'1. Standard_Cost'!$B$27+'Incremental_Cost Year 5'!AH120*'1. Standard_Cost'!$C$27+'Incremental_Cost Year 5'!AI120*'1. Standard_Cost'!$D$27+'Incremental_Cost Year 5'!AJ120+'Incremental_Cost Year 5'!AL120+AK120</f>
        <v>0</v>
      </c>
      <c r="AN120" s="108">
        <f>AM120*'1. Standard_Cost'!$C$31</f>
        <v>0</v>
      </c>
      <c r="AO120" s="125" t="s">
        <v>354</v>
      </c>
      <c r="AQ120" s="14">
        <f t="shared" si="116"/>
        <v>0</v>
      </c>
      <c r="AR120" s="14">
        <f t="shared" si="117"/>
        <v>0</v>
      </c>
      <c r="AS120" s="14">
        <f t="shared" si="118"/>
        <v>0</v>
      </c>
      <c r="AT120" s="14">
        <f t="shared" si="120"/>
        <v>0</v>
      </c>
      <c r="AU120" s="15"/>
      <c r="AV120" s="15"/>
      <c r="AW120" s="15"/>
      <c r="AX120" s="15"/>
      <c r="AY120" s="15"/>
      <c r="AZ120" s="15"/>
      <c r="BA120" s="15"/>
      <c r="BB120" s="16">
        <f t="shared" si="119"/>
        <v>0</v>
      </c>
    </row>
    <row r="121" spans="1:54" ht="78" outlineLevel="2">
      <c r="A121" s="98"/>
      <c r="B121" s="102"/>
      <c r="C121" s="23"/>
      <c r="D121" s="269"/>
      <c r="E121" s="269"/>
      <c r="F121" s="174"/>
      <c r="G121" s="174"/>
      <c r="H121" s="302" t="s">
        <v>467</v>
      </c>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f>3*500000</f>
        <v>1500000</v>
      </c>
      <c r="AD121" s="110"/>
      <c r="AE121" s="108">
        <v>0</v>
      </c>
      <c r="AF121" s="108">
        <f t="shared" si="115"/>
        <v>1500000</v>
      </c>
      <c r="AG121" s="107"/>
      <c r="AH121" s="107"/>
      <c r="AI121" s="107"/>
      <c r="AJ121" s="111"/>
      <c r="AK121" s="111"/>
      <c r="AL121" s="111"/>
      <c r="AM121" s="108">
        <f>AG121*'1. Standard_Cost'!$B$27+'Incremental_Cost Year 5'!AH121*'1. Standard_Cost'!$C$27+'Incremental_Cost Year 5'!AI121*'1. Standard_Cost'!$D$27+'Incremental_Cost Year 5'!AJ121+'Incremental_Cost Year 5'!AL121+AK121</f>
        <v>0</v>
      </c>
      <c r="AN121" s="108">
        <f>AM121*'1. Standard_Cost'!$C$31</f>
        <v>0</v>
      </c>
      <c r="AO121" s="125" t="s">
        <v>335</v>
      </c>
      <c r="AQ121" s="14">
        <f t="shared" si="116"/>
        <v>0</v>
      </c>
      <c r="AR121" s="14">
        <f t="shared" si="117"/>
        <v>1500000</v>
      </c>
      <c r="AS121" s="14">
        <f t="shared" si="118"/>
        <v>0</v>
      </c>
      <c r="AT121" s="14">
        <f t="shared" si="120"/>
        <v>1500000</v>
      </c>
      <c r="AU121" s="15"/>
      <c r="AV121" s="15"/>
      <c r="AW121" s="15"/>
      <c r="AX121" s="15"/>
      <c r="AY121" s="15"/>
      <c r="AZ121" s="15">
        <v>1500000</v>
      </c>
      <c r="BA121" s="15"/>
      <c r="BB121" s="16">
        <f t="shared" si="119"/>
        <v>0</v>
      </c>
    </row>
    <row r="122" spans="1:54" ht="62.4" outlineLevel="2">
      <c r="A122" s="98"/>
      <c r="B122" s="102"/>
      <c r="C122" s="23"/>
      <c r="D122" s="269"/>
      <c r="E122" s="269"/>
      <c r="F122" s="269"/>
      <c r="G122" s="269"/>
      <c r="H122" s="302" t="s">
        <v>468</v>
      </c>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5"/>
        <v>0</v>
      </c>
      <c r="AG122" s="107"/>
      <c r="AH122" s="107"/>
      <c r="AI122" s="107"/>
      <c r="AJ122" s="111"/>
      <c r="AK122" s="111"/>
      <c r="AL122" s="111"/>
      <c r="AM122" s="108">
        <f>AG122*'1. Standard_Cost'!$B$27+'Incremental_Cost Year 5'!AH122*'1. Standard_Cost'!$C$27+'Incremental_Cost Year 5'!AI122*'1. Standard_Cost'!$D$27+'Incremental_Cost Year 5'!AJ122+'Incremental_Cost Year 5'!AL122+AK122</f>
        <v>0</v>
      </c>
      <c r="AN122" s="108">
        <f>AM122*'1. Standard_Cost'!$C$31</f>
        <v>0</v>
      </c>
      <c r="AO122" s="125" t="s">
        <v>355</v>
      </c>
      <c r="AQ122" s="14">
        <f t="shared" si="116"/>
        <v>0</v>
      </c>
      <c r="AR122" s="14">
        <f t="shared" si="117"/>
        <v>0</v>
      </c>
      <c r="AS122" s="14">
        <f t="shared" si="118"/>
        <v>0</v>
      </c>
      <c r="AT122" s="14">
        <f t="shared" si="120"/>
        <v>0</v>
      </c>
      <c r="AU122" s="15"/>
      <c r="AV122" s="15"/>
      <c r="AW122" s="15"/>
      <c r="AX122" s="15"/>
      <c r="AY122" s="15"/>
      <c r="AZ122" s="15"/>
      <c r="BA122" s="15"/>
      <c r="BB122" s="16">
        <f t="shared" si="119"/>
        <v>0</v>
      </c>
    </row>
    <row r="123" spans="1:54" ht="31.2" outlineLevel="2">
      <c r="A123" s="98"/>
      <c r="B123" s="102"/>
      <c r="C123" s="23"/>
      <c r="D123" s="269"/>
      <c r="E123" s="269"/>
      <c r="F123" s="269"/>
      <c r="G123" s="174"/>
      <c r="H123" s="302" t="s">
        <v>229</v>
      </c>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5"/>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16"/>
        <v>0</v>
      </c>
      <c r="AR123" s="14">
        <f t="shared" si="117"/>
        <v>0</v>
      </c>
      <c r="AS123" s="14">
        <f t="shared" si="118"/>
        <v>0</v>
      </c>
      <c r="AT123" s="14">
        <f t="shared" si="120"/>
        <v>0</v>
      </c>
      <c r="AU123" s="15"/>
      <c r="AV123" s="15"/>
      <c r="AW123" s="15"/>
      <c r="AX123" s="15"/>
      <c r="AY123" s="15"/>
      <c r="AZ123" s="15"/>
      <c r="BA123" s="15"/>
      <c r="BB123" s="16">
        <f t="shared" si="119"/>
        <v>0</v>
      </c>
    </row>
    <row r="124" spans="1:54" ht="93.6" outlineLevel="2">
      <c r="A124" s="98"/>
      <c r="B124" s="102"/>
      <c r="C124" s="23"/>
      <c r="D124" s="269"/>
      <c r="E124" s="269"/>
      <c r="F124" s="251"/>
      <c r="G124" s="250"/>
      <c r="H124" s="302" t="s">
        <v>469</v>
      </c>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c r="AD124" s="110"/>
      <c r="AE124" s="108">
        <f>SUM(AD124,AC124,AB124,Y124,U124,T124,S124,R124)*'1. Standard_Cost'!$B$31</f>
        <v>0</v>
      </c>
      <c r="AF124" s="108">
        <f t="shared" si="115"/>
        <v>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16"/>
        <v>0</v>
      </c>
      <c r="AR124" s="14">
        <f t="shared" si="117"/>
        <v>0</v>
      </c>
      <c r="AS124" s="14">
        <f t="shared" si="118"/>
        <v>0</v>
      </c>
      <c r="AT124" s="14">
        <f t="shared" si="120"/>
        <v>0</v>
      </c>
      <c r="AU124" s="15"/>
      <c r="AV124" s="15"/>
      <c r="AW124" s="15"/>
      <c r="AX124" s="15"/>
      <c r="AY124" s="15">
        <v>0</v>
      </c>
      <c r="AZ124" s="15">
        <v>0</v>
      </c>
      <c r="BA124" s="15"/>
      <c r="BB124" s="16">
        <f t="shared" si="119"/>
        <v>0</v>
      </c>
    </row>
    <row r="125" spans="1:54" ht="62.4" outlineLevel="2">
      <c r="A125" s="98"/>
      <c r="B125" s="102"/>
      <c r="C125" s="23"/>
      <c r="D125" s="269"/>
      <c r="E125" s="269"/>
      <c r="F125" s="269"/>
      <c r="G125" s="269"/>
      <c r="H125" s="302" t="s">
        <v>470</v>
      </c>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5"/>
        <v>0</v>
      </c>
      <c r="AG125" s="107"/>
      <c r="AH125" s="107"/>
      <c r="AI125" s="107"/>
      <c r="AJ125" s="111"/>
      <c r="AK125" s="111"/>
      <c r="AL125" s="111"/>
      <c r="AM125" s="108">
        <f>AG125*'1. Standard_Cost'!$B$27+'Incremental_Cost Year 5'!AH125*'1. Standard_Cost'!$C$27+'Incremental_Cost Year 5'!AI125*'1. Standard_Cost'!$D$27+'Incremental_Cost Year 5'!AJ125+'Incremental_Cost Year 5'!AL125+AK125</f>
        <v>0</v>
      </c>
      <c r="AN125" s="108">
        <f>AM125*'1. Standard_Cost'!$C$31</f>
        <v>0</v>
      </c>
      <c r="AO125" s="125" t="s">
        <v>358</v>
      </c>
      <c r="AQ125" s="14">
        <f t="shared" si="116"/>
        <v>0</v>
      </c>
      <c r="AR125" s="14">
        <f t="shared" si="117"/>
        <v>0</v>
      </c>
      <c r="AS125" s="14">
        <f t="shared" si="118"/>
        <v>0</v>
      </c>
      <c r="AT125" s="14">
        <f t="shared" si="120"/>
        <v>0</v>
      </c>
      <c r="AU125" s="15"/>
      <c r="AV125" s="15"/>
      <c r="AW125" s="15"/>
      <c r="AX125" s="15"/>
      <c r="AY125" s="15"/>
      <c r="AZ125" s="15"/>
      <c r="BA125" s="15"/>
      <c r="BB125" s="16">
        <f t="shared" si="119"/>
        <v>0</v>
      </c>
    </row>
    <row r="126" spans="1:54" ht="62.4" outlineLevel="2">
      <c r="A126" s="98"/>
      <c r="B126" s="102"/>
      <c r="C126" s="23"/>
      <c r="D126" s="269"/>
      <c r="E126" s="269"/>
      <c r="F126" s="269"/>
      <c r="G126" s="269"/>
      <c r="H126" s="302" t="s">
        <v>471</v>
      </c>
      <c r="I126" s="104"/>
      <c r="J126" s="105"/>
      <c r="K126" s="105"/>
      <c r="L126" s="106" t="str">
        <f>IF(I126&lt;&gt;0,((VLOOKUP(I126,'1. Standard_Cost'!$B$4:$D$11,2)+VLOOKUP(I126,'1. Standard_Cost'!$B$4:$D$11,3))*J126*K126),"0")</f>
        <v>0</v>
      </c>
      <c r="M126" s="106">
        <f>L126*'1. Standard_Cost'!$F$4</f>
        <v>0</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5"/>
        <v>0</v>
      </c>
      <c r="AG126" s="107"/>
      <c r="AH126" s="107"/>
      <c r="AI126" s="107"/>
      <c r="AJ126" s="111"/>
      <c r="AK126" s="111"/>
      <c r="AL126" s="111"/>
      <c r="AM126" s="108">
        <f>AG126*'1. Standard_Cost'!$B$27+'Incremental_Cost Year 5'!AH126*'1. Standard_Cost'!$C$27+'Incremental_Cost Year 5'!AI126*'1. Standard_Cost'!$D$27+'Incremental_Cost Year 5'!AJ126+'Incremental_Cost Year 5'!AL126+AK126</f>
        <v>0</v>
      </c>
      <c r="AN126" s="108">
        <f>AM126*'1. Standard_Cost'!$C$31</f>
        <v>0</v>
      </c>
      <c r="AO126" s="125" t="s">
        <v>359</v>
      </c>
      <c r="AQ126" s="14">
        <f t="shared" si="116"/>
        <v>0</v>
      </c>
      <c r="AR126" s="14">
        <f t="shared" si="117"/>
        <v>0</v>
      </c>
      <c r="AS126" s="14">
        <f t="shared" si="118"/>
        <v>0</v>
      </c>
      <c r="AT126" s="14">
        <f t="shared" si="120"/>
        <v>0</v>
      </c>
      <c r="AU126" s="15">
        <v>0</v>
      </c>
      <c r="AV126" s="15"/>
      <c r="AW126" s="15"/>
      <c r="AX126" s="15"/>
      <c r="AY126" s="15"/>
      <c r="AZ126" s="15"/>
      <c r="BA126" s="15"/>
      <c r="BB126" s="16">
        <f t="shared" si="119"/>
        <v>0</v>
      </c>
    </row>
    <row r="127" spans="1:54" ht="46.8" outlineLevel="2">
      <c r="A127" s="98"/>
      <c r="B127" s="102"/>
      <c r="C127" s="23"/>
      <c r="D127" s="269"/>
      <c r="E127" s="269"/>
      <c r="F127" s="174"/>
      <c r="G127" s="269"/>
      <c r="H127" s="302" t="s">
        <v>472</v>
      </c>
      <c r="I127" s="104"/>
      <c r="J127" s="105"/>
      <c r="K127" s="105"/>
      <c r="L127" s="106" t="str">
        <f>IF(I127&lt;&gt;0,((VLOOKUP(I127,'1. Standard_Cost'!$B$4:$D$11,2)+VLOOKUP(I127,'1. Standard_Cost'!$B$4:$D$11,3))*J127*K127),"0")</f>
        <v>0</v>
      </c>
      <c r="M127" s="106">
        <f>L127*'1. Standard_Cost'!$F$4</f>
        <v>0</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5"/>
        <v>0</v>
      </c>
      <c r="AG127" s="107"/>
      <c r="AH127" s="107"/>
      <c r="AI127" s="107"/>
      <c r="AJ127" s="111"/>
      <c r="AK127" s="111"/>
      <c r="AL127" s="111"/>
      <c r="AM127" s="108">
        <f>AG127*'1. Standard_Cost'!$B$27+'Incremental_Cost Year 5'!AH127*'1. Standard_Cost'!$C$27+'Incremental_Cost Year 5'!AI127*'1. Standard_Cost'!$D$27+'Incremental_Cost Year 5'!AJ127+'Incremental_Cost Year 5'!AL127+AK127</f>
        <v>0</v>
      </c>
      <c r="AN127" s="108">
        <f>AM127*'1. Standard_Cost'!$C$31</f>
        <v>0</v>
      </c>
      <c r="AO127" s="125" t="s">
        <v>349</v>
      </c>
      <c r="AQ127" s="14">
        <f t="shared" si="116"/>
        <v>0</v>
      </c>
      <c r="AR127" s="14">
        <f t="shared" si="117"/>
        <v>0</v>
      </c>
      <c r="AS127" s="14">
        <f t="shared" si="118"/>
        <v>0</v>
      </c>
      <c r="AT127" s="14">
        <f t="shared" si="120"/>
        <v>0</v>
      </c>
      <c r="AU127" s="15"/>
      <c r="AV127" s="15"/>
      <c r="AW127" s="15"/>
      <c r="AX127" s="15"/>
      <c r="AY127" s="15"/>
      <c r="AZ127" s="15"/>
      <c r="BA127" s="15"/>
      <c r="BB127" s="16">
        <f t="shared" si="119"/>
        <v>0</v>
      </c>
    </row>
    <row r="128" spans="1:54" ht="46.8" outlineLevel="2">
      <c r="A128" s="98"/>
      <c r="B128" s="102"/>
      <c r="C128" s="23"/>
      <c r="D128" s="269"/>
      <c r="E128" s="269"/>
      <c r="F128" s="174"/>
      <c r="G128" s="174"/>
      <c r="H128" s="302" t="s">
        <v>473</v>
      </c>
      <c r="I128" s="104"/>
      <c r="J128" s="105"/>
      <c r="K128" s="105"/>
      <c r="L128" s="106" t="str">
        <f>IF(I128&lt;&gt;0,((VLOOKUP(I128,'1. Standard_Cost'!$B$4:$D$11,2)+VLOOKUP(I128,'1. Standard_Cost'!$B$4:$D$11,3))*J128*K128),"0")</f>
        <v>0</v>
      </c>
      <c r="M128" s="106">
        <f>L128*'1. Standard_Cost'!$F$4</f>
        <v>0</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5"/>
        <v>0</v>
      </c>
      <c r="AG128" s="107"/>
      <c r="AH128" s="107"/>
      <c r="AI128" s="107"/>
      <c r="AJ128" s="111"/>
      <c r="AK128" s="111"/>
      <c r="AL128" s="111"/>
      <c r="AM128" s="108">
        <f>AG128*'1. Standard_Cost'!$B$27+'Incremental_Cost Year 5'!AH128*'1. Standard_Cost'!$C$27+'Incremental_Cost Year 5'!AI128*'1. Standard_Cost'!$D$27+'Incremental_Cost Year 5'!AJ128+'Incremental_Cost Year 5'!AL128+AK128</f>
        <v>0</v>
      </c>
      <c r="AN128" s="108">
        <f>AM128*'1. Standard_Cost'!$C$31</f>
        <v>0</v>
      </c>
      <c r="AO128" s="125" t="s">
        <v>360</v>
      </c>
      <c r="AQ128" s="14">
        <f t="shared" si="116"/>
        <v>0</v>
      </c>
      <c r="AR128" s="14">
        <f t="shared" si="117"/>
        <v>0</v>
      </c>
      <c r="AS128" s="14">
        <f t="shared" si="118"/>
        <v>0</v>
      </c>
      <c r="AT128" s="14">
        <f t="shared" si="120"/>
        <v>0</v>
      </c>
      <c r="AU128" s="15"/>
      <c r="AV128" s="15"/>
      <c r="AW128" s="15"/>
      <c r="AX128" s="15"/>
      <c r="AY128" s="15"/>
      <c r="AZ128" s="15"/>
      <c r="BA128" s="15"/>
      <c r="BB128" s="16">
        <f t="shared" si="119"/>
        <v>0</v>
      </c>
    </row>
    <row r="129" spans="1:54" ht="78" customHeight="1" outlineLevel="2">
      <c r="A129" s="98"/>
      <c r="B129" s="102"/>
      <c r="C129" s="23"/>
      <c r="D129" s="269"/>
      <c r="E129" s="269"/>
      <c r="F129" s="269"/>
      <c r="G129" s="269"/>
      <c r="H129" s="302" t="s">
        <v>474</v>
      </c>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5"/>
        <v>0</v>
      </c>
      <c r="AG129" s="107"/>
      <c r="AH129" s="107"/>
      <c r="AI129" s="107"/>
      <c r="AJ129" s="111"/>
      <c r="AK129" s="111"/>
      <c r="AL129" s="111"/>
      <c r="AM129" s="108">
        <f>AG129*'1. Standard_Cost'!$B$27+'Incremental_Cost Year 5'!AH129*'1. Standard_Cost'!$C$27+'Incremental_Cost Year 5'!AI129*'1. Standard_Cost'!$D$27+'Incremental_Cost Year 5'!AJ129+'Incremental_Cost Year 5'!AL129+AK129</f>
        <v>0</v>
      </c>
      <c r="AN129" s="108">
        <f>AM129*'1. Standard_Cost'!$C$31</f>
        <v>0</v>
      </c>
      <c r="AO129" s="125" t="s">
        <v>361</v>
      </c>
      <c r="AQ129" s="14">
        <f t="shared" si="116"/>
        <v>0</v>
      </c>
      <c r="AR129" s="14">
        <f t="shared" si="117"/>
        <v>0</v>
      </c>
      <c r="AS129" s="14">
        <f t="shared" si="118"/>
        <v>0</v>
      </c>
      <c r="AT129" s="14">
        <f t="shared" si="120"/>
        <v>0</v>
      </c>
      <c r="AU129" s="15"/>
      <c r="AV129" s="15"/>
      <c r="AW129" s="15"/>
      <c r="AX129" s="15"/>
      <c r="AY129" s="15"/>
      <c r="AZ129" s="15"/>
      <c r="BA129" s="15"/>
      <c r="BB129" s="16">
        <f t="shared" si="119"/>
        <v>0</v>
      </c>
    </row>
    <row r="130" spans="1:54" ht="202.8" outlineLevel="2">
      <c r="A130" s="98"/>
      <c r="B130" s="102"/>
      <c r="C130" s="23"/>
      <c r="D130" s="269"/>
      <c r="E130" s="269"/>
      <c r="F130" s="174"/>
      <c r="G130" s="174"/>
      <c r="H130" s="302" t="s">
        <v>475</v>
      </c>
      <c r="I130" s="104"/>
      <c r="J130" s="105"/>
      <c r="K130" s="105"/>
      <c r="L130" s="106" t="str">
        <f>IF(I130&lt;&gt;0,((VLOOKUP(I130,'1. Standard_Cost'!$B$4:$D$11,2)+VLOOKUP(I130,'1. Standard_Cost'!$B$4:$D$11,3))*J130*K130),"0")</f>
        <v>0</v>
      </c>
      <c r="M130" s="106">
        <f>L130*'1. Standard_Cost'!$F$4</f>
        <v>0</v>
      </c>
      <c r="N130" s="107"/>
      <c r="O130" s="107"/>
      <c r="P130" s="107"/>
      <c r="Q130" s="107"/>
      <c r="R130" s="108">
        <f>'1. Standard_Cost'!$B$15*N130*P130</f>
        <v>0</v>
      </c>
      <c r="S130" s="108">
        <f>N130*O130*P130*'1. Standard_Cost'!$C$15</f>
        <v>0</v>
      </c>
      <c r="T130" s="108">
        <f>N130*P130*Q130*'1. Standard_Cost'!$D$15</f>
        <v>0</v>
      </c>
      <c r="U130" s="108">
        <f>N130*O130*'1. Standard_Cost'!$E$15</f>
        <v>0</v>
      </c>
      <c r="V130" s="107"/>
      <c r="W130" s="107"/>
      <c r="X130" s="107"/>
      <c r="Y130" s="108">
        <f>+V130*((X130*'1. Standard_Cost'!$B$19)+(W130*X130*'1. Standard_Cost'!$C$19))</f>
        <v>0</v>
      </c>
      <c r="Z130" s="107"/>
      <c r="AA130" s="107"/>
      <c r="AB130" s="108">
        <f>+Z130*'1. Standard_Cost'!$B$23+AA130*'1. Standard_Cost'!$C$23</f>
        <v>0</v>
      </c>
      <c r="AC130" s="109"/>
      <c r="AD130" s="110"/>
      <c r="AE130" s="108">
        <f>SUM(AD130,AC130,AB130,Y130,U130,T130,S130,R130)*'1. Standard_Cost'!$B$31</f>
        <v>0</v>
      </c>
      <c r="AF130" s="108">
        <f t="shared" si="115"/>
        <v>0</v>
      </c>
      <c r="AG130" s="107"/>
      <c r="AH130" s="107"/>
      <c r="AI130" s="107"/>
      <c r="AJ130" s="111"/>
      <c r="AK130" s="111"/>
      <c r="AL130" s="111"/>
      <c r="AM130" s="108">
        <f>AG130*'1. Standard_Cost'!$B$27+'Incremental_Cost Year 5'!AH130*'1. Standard_Cost'!$C$27+'Incremental_Cost Year 5'!AI130*'1. Standard_Cost'!$D$27+'Incremental_Cost Year 5'!AJ130+'Incremental_Cost Year 5'!AL130+AK130</f>
        <v>0</v>
      </c>
      <c r="AN130" s="108">
        <f>AM130*'1. Standard_Cost'!$C$31</f>
        <v>0</v>
      </c>
      <c r="AO130" s="125" t="s">
        <v>362</v>
      </c>
      <c r="AQ130" s="14">
        <f t="shared" si="116"/>
        <v>0</v>
      </c>
      <c r="AR130" s="14">
        <f t="shared" si="117"/>
        <v>0</v>
      </c>
      <c r="AS130" s="14">
        <f t="shared" si="118"/>
        <v>0</v>
      </c>
      <c r="AT130" s="14">
        <f t="shared" si="120"/>
        <v>0</v>
      </c>
      <c r="AU130" s="15"/>
      <c r="AV130" s="15"/>
      <c r="AW130" s="15"/>
      <c r="AX130" s="15"/>
      <c r="AY130" s="15"/>
      <c r="AZ130" s="15"/>
      <c r="BA130" s="15"/>
      <c r="BB130" s="16">
        <f t="shared" si="119"/>
        <v>0</v>
      </c>
    </row>
    <row r="131" spans="1:54" ht="113.4" customHeight="1" outlineLevel="2">
      <c r="A131" s="98"/>
      <c r="B131" s="102"/>
      <c r="C131" s="23"/>
      <c r="D131" s="269"/>
      <c r="E131" s="269"/>
      <c r="F131" s="269"/>
      <c r="G131" s="269"/>
      <c r="H131" s="305" t="s">
        <v>442</v>
      </c>
      <c r="I131" s="104"/>
      <c r="J131" s="105"/>
      <c r="K131" s="105"/>
      <c r="L131" s="106" t="str">
        <f>IF(I131&lt;&gt;0,((VLOOKUP(I131,'[1]1. Standard_Cost'!$B$4:$D$11,2)+VLOOKUP(I131,'[1]1. Standard_Cost'!$B$4:$D$11,3))*J131*K131),"0")</f>
        <v>0</v>
      </c>
      <c r="M131" s="106">
        <f>L131*'[1]1. Standard_Cost'!$F$4</f>
        <v>0</v>
      </c>
      <c r="N131" s="107">
        <v>750</v>
      </c>
      <c r="O131" s="107">
        <v>1</v>
      </c>
      <c r="P131" s="107">
        <v>15</v>
      </c>
      <c r="Q131" s="107"/>
      <c r="R131" s="108">
        <v>0</v>
      </c>
      <c r="S131" s="108">
        <v>0</v>
      </c>
      <c r="T131" s="108">
        <f>N131*P131*Q131*'[1]1. Standard_Cost'!$D$15</f>
        <v>0</v>
      </c>
      <c r="U131" s="108">
        <v>0</v>
      </c>
      <c r="V131" s="107"/>
      <c r="W131" s="107"/>
      <c r="X131" s="107"/>
      <c r="Y131" s="108">
        <f>+V131*((X131*'[1]1. Standard_Cost'!$B$19)+(W131*X131*'[1]1. Standard_Cost'!$C$19))</f>
        <v>0</v>
      </c>
      <c r="Z131" s="107"/>
      <c r="AA131" s="107">
        <v>750</v>
      </c>
      <c r="AB131" s="108">
        <f>+Z131*'1. Standard_Cost'!$B$23+AA131*'1. Standard_Cost'!$F$23</f>
        <v>6750000</v>
      </c>
      <c r="AC131" s="109">
        <f>750*300</f>
        <v>225000</v>
      </c>
      <c r="AD131" s="110"/>
      <c r="AE131" s="108">
        <v>0</v>
      </c>
      <c r="AF131" s="108">
        <f t="shared" si="115"/>
        <v>6975000</v>
      </c>
      <c r="AG131" s="107"/>
      <c r="AH131" s="107"/>
      <c r="AI131" s="107"/>
      <c r="AJ131" s="111"/>
      <c r="AK131" s="111"/>
      <c r="AL131" s="111"/>
      <c r="AM131" s="108">
        <f>AG131*'[1]1. Standard_Cost'!$B$27+'[1]Incremental_Cost Year 5'!AH130*'[1]1. Standard_Cost'!$C$27+'[1]Incremental_Cost Year 5'!AI130*'[1]1. Standard_Cost'!$D$27+'[1]Incremental_Cost Year 5'!AJ130+'[1]Incremental_Cost Year 5'!AL130+AK131</f>
        <v>0</v>
      </c>
      <c r="AN131" s="108">
        <f>AM131*'[1]1. Standard_Cost'!$C$31</f>
        <v>0</v>
      </c>
      <c r="AO131" s="125" t="s">
        <v>656</v>
      </c>
      <c r="AQ131" s="14">
        <f t="shared" si="116"/>
        <v>0</v>
      </c>
      <c r="AR131" s="14">
        <f t="shared" si="117"/>
        <v>6975000</v>
      </c>
      <c r="AS131" s="14">
        <f t="shared" si="118"/>
        <v>0</v>
      </c>
      <c r="AT131" s="14">
        <f t="shared" si="120"/>
        <v>6975000</v>
      </c>
      <c r="AU131" s="15"/>
      <c r="AV131" s="15"/>
      <c r="AW131" s="15"/>
      <c r="AX131" s="15"/>
      <c r="AY131" s="15"/>
      <c r="AZ131" s="15">
        <v>6975000</v>
      </c>
      <c r="BA131" s="15"/>
      <c r="BB131" s="16">
        <f t="shared" si="119"/>
        <v>0</v>
      </c>
    </row>
    <row r="132" spans="1:54" ht="156" outlineLevel="2">
      <c r="A132" s="98"/>
      <c r="B132" s="102"/>
      <c r="C132" s="23"/>
      <c r="D132" s="269"/>
      <c r="E132" s="269"/>
      <c r="F132" s="174"/>
      <c r="G132" s="174"/>
      <c r="H132" s="302" t="s">
        <v>476</v>
      </c>
      <c r="I132" s="104" t="s">
        <v>4</v>
      </c>
      <c r="J132" s="105">
        <v>1</v>
      </c>
      <c r="K132" s="105">
        <v>2</v>
      </c>
      <c r="L132" s="106">
        <f>IF(I132&lt;&gt;0,((VLOOKUP(I132,'1. Standard_Cost'!$B$4:$D$11,2)+VLOOKUP(I132,'1. Standard_Cost'!$B$4:$D$11,3))*J132*K132),"0")</f>
        <v>161500</v>
      </c>
      <c r="M132" s="106">
        <f>L132*'1. Standard_Cost'!$F$4</f>
        <v>26970.5</v>
      </c>
      <c r="N132" s="107">
        <v>2</v>
      </c>
      <c r="O132" s="107">
        <v>2</v>
      </c>
      <c r="P132" s="107">
        <v>70</v>
      </c>
      <c r="Q132" s="107"/>
      <c r="R132" s="108">
        <v>0</v>
      </c>
      <c r="S132" s="108">
        <v>0</v>
      </c>
      <c r="T132" s="108">
        <f>N132*P132*Q132*'1. Standard_Cost'!$D$15</f>
        <v>0</v>
      </c>
      <c r="U132" s="108">
        <v>0</v>
      </c>
      <c r="V132" s="107"/>
      <c r="W132" s="107"/>
      <c r="X132" s="107"/>
      <c r="Y132" s="108">
        <f>+V132*((X132*'1. Standard_Cost'!$B$19)+(W132*X132*'1. Standard_Cost'!$C$19))</f>
        <v>0</v>
      </c>
      <c r="Z132" s="107"/>
      <c r="AA132" s="107">
        <v>5</v>
      </c>
      <c r="AB132" s="108">
        <f>+Z132*'1. Standard_Cost'!$B$23+AA132*'1. Standard_Cost'!$C$23</f>
        <v>95000</v>
      </c>
      <c r="AC132" s="109">
        <f>145*200</f>
        <v>29000</v>
      </c>
      <c r="AD132" s="110"/>
      <c r="AE132" s="108">
        <v>0</v>
      </c>
      <c r="AF132" s="108">
        <f t="shared" si="115"/>
        <v>124000</v>
      </c>
      <c r="AG132" s="107"/>
      <c r="AH132" s="107"/>
      <c r="AI132" s="107"/>
      <c r="AJ132" s="111"/>
      <c r="AK132" s="111"/>
      <c r="AL132" s="111"/>
      <c r="AM132" s="108">
        <f>AG132*'1. Standard_Cost'!$B$27+'Incremental_Cost Year 5'!AH132*'1. Standard_Cost'!$C$27+'Incremental_Cost Year 5'!AI132*'1. Standard_Cost'!$D$27+'Incremental_Cost Year 5'!AJ132+'Incremental_Cost Year 5'!AL132+AK132</f>
        <v>0</v>
      </c>
      <c r="AN132" s="108">
        <f>AM132*'1. Standard_Cost'!$C$31</f>
        <v>0</v>
      </c>
      <c r="AO132" s="125" t="s">
        <v>363</v>
      </c>
      <c r="AQ132" s="14">
        <f t="shared" si="116"/>
        <v>188470.5</v>
      </c>
      <c r="AR132" s="14">
        <f t="shared" si="117"/>
        <v>124000</v>
      </c>
      <c r="AS132" s="14">
        <f t="shared" si="118"/>
        <v>0</v>
      </c>
      <c r="AT132" s="14">
        <f t="shared" si="120"/>
        <v>312470.5</v>
      </c>
      <c r="AU132" s="15">
        <v>188470.5</v>
      </c>
      <c r="AV132" s="15"/>
      <c r="AW132" s="15"/>
      <c r="AX132" s="15"/>
      <c r="AY132" s="15"/>
      <c r="AZ132" s="15">
        <v>124000</v>
      </c>
      <c r="BA132" s="15"/>
      <c r="BB132" s="16">
        <f t="shared" si="119"/>
        <v>0</v>
      </c>
    </row>
    <row r="133" spans="1:54" ht="46.8" outlineLevel="2">
      <c r="A133" s="98"/>
      <c r="B133" s="102"/>
      <c r="C133" s="23"/>
      <c r="D133" s="269"/>
      <c r="E133" s="269"/>
      <c r="F133" s="174"/>
      <c r="G133" s="174"/>
      <c r="H133" s="302" t="s">
        <v>477</v>
      </c>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5"/>
        <v>0</v>
      </c>
      <c r="AG133" s="107"/>
      <c r="AH133" s="107"/>
      <c r="AI133" s="107"/>
      <c r="AJ133" s="111"/>
      <c r="AK133" s="111"/>
      <c r="AL133" s="111"/>
      <c r="AM133" s="108">
        <f>AG133*'1. Standard_Cost'!$B$27+'Incremental_Cost Year 5'!AH133*'1. Standard_Cost'!$C$27+'Incremental_Cost Year 5'!AI133*'1. Standard_Cost'!$D$27+'Incremental_Cost Year 5'!AJ133+'Incremental_Cost Year 5'!AL133+AK133</f>
        <v>0</v>
      </c>
      <c r="AN133" s="108">
        <f>AM133*'1. Standard_Cost'!$C$31</f>
        <v>0</v>
      </c>
      <c r="AO133" s="125" t="s">
        <v>364</v>
      </c>
      <c r="AQ133" s="14">
        <f t="shared" si="116"/>
        <v>0</v>
      </c>
      <c r="AR133" s="14">
        <f t="shared" si="117"/>
        <v>0</v>
      </c>
      <c r="AS133" s="14">
        <f t="shared" si="118"/>
        <v>0</v>
      </c>
      <c r="AT133" s="14">
        <f t="shared" si="120"/>
        <v>0</v>
      </c>
      <c r="AU133" s="15"/>
      <c r="AV133" s="15"/>
      <c r="AW133" s="15"/>
      <c r="AX133" s="15"/>
      <c r="AY133" s="15"/>
      <c r="AZ133" s="15"/>
      <c r="BA133" s="15"/>
      <c r="BB133" s="16">
        <f t="shared" si="119"/>
        <v>0</v>
      </c>
    </row>
    <row r="134" spans="1:54" ht="62.4" outlineLevel="2">
      <c r="A134" s="98"/>
      <c r="B134" s="102"/>
      <c r="C134" s="23"/>
      <c r="D134" s="269"/>
      <c r="E134" s="269"/>
      <c r="F134" s="174"/>
      <c r="G134" s="174"/>
      <c r="H134" s="302" t="s">
        <v>478</v>
      </c>
      <c r="I134" s="104" t="s">
        <v>5</v>
      </c>
      <c r="J134" s="105">
        <v>12</v>
      </c>
      <c r="K134" s="105">
        <v>4</v>
      </c>
      <c r="L134" s="106">
        <f>IF(I134&lt;&gt;0,((VLOOKUP(I134,'1. Standard_Cost'!$B$4:$D$11,2)+VLOOKUP(I134,'1. Standard_Cost'!$B$4:$D$11,3))*J134*K134),"0")</f>
        <v>3393600</v>
      </c>
      <c r="M134" s="106">
        <f>L134*'1. Standard_Cost'!$F$4</f>
        <v>566731.20000000007</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5"/>
        <v>0</v>
      </c>
      <c r="AG134" s="107"/>
      <c r="AH134" s="107"/>
      <c r="AI134" s="107"/>
      <c r="AJ134" s="111">
        <v>1000000</v>
      </c>
      <c r="AK134" s="111"/>
      <c r="AL134" s="111"/>
      <c r="AM134" s="108">
        <f>AG134*'1. Standard_Cost'!$B$27+'Incremental_Cost Year 5'!AH134*'1. Standard_Cost'!$C$27+'Incremental_Cost Year 5'!AI134*'1. Standard_Cost'!$D$27+'Incremental_Cost Year 5'!AJ134+'Incremental_Cost Year 5'!AL134+AK134</f>
        <v>1000000</v>
      </c>
      <c r="AN134" s="108">
        <f>AM134*'1. Standard_Cost'!$C$31</f>
        <v>150000</v>
      </c>
      <c r="AO134" s="125" t="s">
        <v>365</v>
      </c>
      <c r="AQ134" s="14">
        <f t="shared" si="116"/>
        <v>3960331.2</v>
      </c>
      <c r="AR134" s="14">
        <f t="shared" si="117"/>
        <v>0</v>
      </c>
      <c r="AS134" s="14">
        <f t="shared" si="118"/>
        <v>1150000</v>
      </c>
      <c r="AT134" s="14">
        <f t="shared" si="120"/>
        <v>5110331.2</v>
      </c>
      <c r="AU134" s="15">
        <v>3960331.2</v>
      </c>
      <c r="AV134" s="15"/>
      <c r="AW134" s="15"/>
      <c r="AX134" s="15"/>
      <c r="AY134" s="15"/>
      <c r="AZ134" s="15"/>
      <c r="BA134" s="15"/>
      <c r="BB134" s="16">
        <f t="shared" si="119"/>
        <v>-1150000</v>
      </c>
    </row>
    <row r="135" spans="1:54" ht="15.6" outlineLevel="2">
      <c r="A135" s="98"/>
      <c r="B135" s="102"/>
      <c r="C135" s="23"/>
      <c r="D135" s="269"/>
      <c r="E135" s="269"/>
      <c r="F135" s="251"/>
      <c r="G135" s="250"/>
      <c r="H135" s="302"/>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107"/>
      <c r="AB135" s="108">
        <f>+Z135*'1. Standard_Cost'!$B$23+AA135*'1. Standard_Cost'!$C$23</f>
        <v>0</v>
      </c>
      <c r="AC135" s="109"/>
      <c r="AD135" s="110"/>
      <c r="AE135" s="108">
        <f>SUM(AD135,AC135,AB135,Y135,U135,T135,S135,R135)*'1. Standard_Cost'!$B$31</f>
        <v>0</v>
      </c>
      <c r="AF135" s="108">
        <f t="shared" si="115"/>
        <v>0</v>
      </c>
      <c r="AG135" s="107"/>
      <c r="AH135" s="107"/>
      <c r="AI135" s="107"/>
      <c r="AJ135" s="111"/>
      <c r="AK135" s="111"/>
      <c r="AL135" s="111"/>
      <c r="AM135" s="108">
        <f>AG135*'1. Standard_Cost'!$B$27+'Incremental_Cost Year 2'!AH178*'1. Standard_Cost'!$C$27+'Incremental_Cost Year 2'!AI178*'1. Standard_Cost'!$D$27+'Incremental_Cost Year 2'!AJ178+'Incremental_Cost Year 2'!AL178+AK135</f>
        <v>0</v>
      </c>
      <c r="AN135" s="108">
        <f>AM135*'1. Standard_Cost'!$C$31</f>
        <v>0</v>
      </c>
      <c r="AO135" s="125" t="s">
        <v>366</v>
      </c>
      <c r="AQ135" s="14">
        <f t="shared" si="116"/>
        <v>0</v>
      </c>
      <c r="AR135" s="14">
        <f t="shared" si="117"/>
        <v>0</v>
      </c>
      <c r="AS135" s="14">
        <f t="shared" si="118"/>
        <v>0</v>
      </c>
      <c r="AT135" s="14">
        <f t="shared" si="120"/>
        <v>0</v>
      </c>
      <c r="AU135" s="15">
        <v>0</v>
      </c>
      <c r="AV135" s="15"/>
      <c r="AW135" s="15"/>
      <c r="AX135" s="15"/>
      <c r="AY135" s="15">
        <v>0</v>
      </c>
      <c r="AZ135" s="15">
        <v>0</v>
      </c>
      <c r="BA135" s="15"/>
      <c r="BB135" s="16">
        <f t="shared" si="119"/>
        <v>0</v>
      </c>
    </row>
    <row r="136" spans="1:54" ht="138" outlineLevel="1">
      <c r="A136" s="98"/>
      <c r="B136" s="102"/>
      <c r="C136" s="23"/>
      <c r="D136" s="346" t="s">
        <v>634</v>
      </c>
      <c r="E136" s="56" t="s">
        <v>228</v>
      </c>
      <c r="F136" s="253">
        <v>2021</v>
      </c>
      <c r="G136" s="254">
        <v>2026</v>
      </c>
      <c r="H136" s="277" t="s">
        <v>227</v>
      </c>
      <c r="I136" s="112"/>
      <c r="J136" s="112"/>
      <c r="K136" s="112"/>
      <c r="L136" s="113">
        <f>SUM(L114:L135)</f>
        <v>3716600</v>
      </c>
      <c r="M136" s="113">
        <f>SUM(M114:M135)</f>
        <v>620672.20000000007</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7453000</v>
      </c>
      <c r="AC136" s="113">
        <f>SUM(AC114:AC135)</f>
        <v>3554000</v>
      </c>
      <c r="AD136" s="113">
        <f>SUM(AD114:AD135)</f>
        <v>0</v>
      </c>
      <c r="AE136" s="113">
        <f>SUM(AE114:AE135)</f>
        <v>0</v>
      </c>
      <c r="AF136" s="113">
        <f>SUM(AF114:AF135)</f>
        <v>11007000</v>
      </c>
      <c r="AG136" s="112"/>
      <c r="AH136" s="112"/>
      <c r="AI136" s="112"/>
      <c r="AJ136" s="113">
        <f>SUM(AJ114:AJ135)</f>
        <v>1000000</v>
      </c>
      <c r="AK136" s="113">
        <f>SUM(AK114:AK135)</f>
        <v>0</v>
      </c>
      <c r="AL136" s="113">
        <f>SUM(AL114:AL135)</f>
        <v>0</v>
      </c>
      <c r="AM136" s="113">
        <f>SUM(AM114:AM135)</f>
        <v>1000000</v>
      </c>
      <c r="AN136" s="113">
        <f>SUM(AN114:AN135)</f>
        <v>150000</v>
      </c>
      <c r="AO136" s="131"/>
      <c r="AP136" s="17"/>
      <c r="AQ136" s="113">
        <f t="shared" ref="AQ136:BB136" si="121">SUM(AQ114:AQ135)</f>
        <v>4337272.2</v>
      </c>
      <c r="AR136" s="113">
        <f t="shared" si="121"/>
        <v>11007000</v>
      </c>
      <c r="AS136" s="113">
        <f t="shared" si="121"/>
        <v>1150000</v>
      </c>
      <c r="AT136" s="113">
        <f t="shared" si="121"/>
        <v>16494272.199999999</v>
      </c>
      <c r="AU136" s="113">
        <f t="shared" si="121"/>
        <v>4337272.2</v>
      </c>
      <c r="AV136" s="113">
        <f t="shared" si="121"/>
        <v>0</v>
      </c>
      <c r="AW136" s="113">
        <f t="shared" si="121"/>
        <v>0</v>
      </c>
      <c r="AX136" s="113">
        <f t="shared" si="121"/>
        <v>0</v>
      </c>
      <c r="AY136" s="113">
        <f t="shared" si="121"/>
        <v>0</v>
      </c>
      <c r="AZ136" s="113">
        <f t="shared" si="121"/>
        <v>11007000</v>
      </c>
      <c r="BA136" s="113">
        <f t="shared" si="121"/>
        <v>0</v>
      </c>
      <c r="BB136" s="113">
        <f t="shared" si="121"/>
        <v>-1150000</v>
      </c>
    </row>
    <row r="137" spans="1:54" ht="78" outlineLevel="2">
      <c r="A137" s="98"/>
      <c r="B137" s="102"/>
      <c r="C137" s="23"/>
      <c r="D137" s="269"/>
      <c r="E137" s="269"/>
      <c r="F137" s="174"/>
      <c r="G137" s="26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2">SUM(AE137,AD137,AC137,AB137,Y137,U137,T137,S137,R137)</f>
        <v>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23">L137+M137</f>
        <v>0</v>
      </c>
      <c r="AR137" s="14">
        <f t="shared" ref="AR137:AR138" si="124">AF137</f>
        <v>0</v>
      </c>
      <c r="AS137" s="14">
        <f t="shared" ref="AS137:AS138" si="125">AM137+AN137</f>
        <v>0</v>
      </c>
      <c r="AT137" s="14">
        <f t="shared" ref="AT137:AT138" si="126">SUM(AQ137,AR137,AS137)</f>
        <v>0</v>
      </c>
      <c r="AU137" s="15"/>
      <c r="AV137" s="15"/>
      <c r="AW137" s="15"/>
      <c r="AX137" s="15"/>
      <c r="AY137" s="15"/>
      <c r="AZ137" s="15"/>
      <c r="BA137" s="15"/>
      <c r="BB137" s="16">
        <f t="shared" ref="BB137:BB138" si="127">SUM(AU137:BA137)-AT137</f>
        <v>0</v>
      </c>
    </row>
    <row r="138" spans="1:54" ht="62.4" outlineLevel="2">
      <c r="A138" s="98"/>
      <c r="B138" s="102"/>
      <c r="C138" s="23"/>
      <c r="D138" s="269"/>
      <c r="E138" s="26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2"/>
        <v>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23"/>
        <v>0</v>
      </c>
      <c r="AR138" s="14">
        <f t="shared" si="124"/>
        <v>0</v>
      </c>
      <c r="AS138" s="14">
        <f t="shared" si="125"/>
        <v>0</v>
      </c>
      <c r="AT138" s="14">
        <f t="shared" si="126"/>
        <v>0</v>
      </c>
      <c r="AU138" s="15"/>
      <c r="AV138" s="15"/>
      <c r="AW138" s="15"/>
      <c r="AX138" s="15"/>
      <c r="AY138" s="15"/>
      <c r="AZ138" s="15"/>
      <c r="BA138" s="15"/>
      <c r="BB138" s="16">
        <f t="shared" si="127"/>
        <v>0</v>
      </c>
    </row>
    <row r="139" spans="1:54" ht="110.4" outlineLevel="1">
      <c r="A139" s="98"/>
      <c r="B139" s="102"/>
      <c r="C139" s="23"/>
      <c r="D139" s="56" t="s">
        <v>635</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8">SUM(R137:R138)</f>
        <v>0</v>
      </c>
      <c r="S139" s="113">
        <f t="shared" si="128"/>
        <v>0</v>
      </c>
      <c r="T139" s="113">
        <f t="shared" si="128"/>
        <v>0</v>
      </c>
      <c r="U139" s="113">
        <f t="shared" si="128"/>
        <v>0</v>
      </c>
      <c r="V139" s="112"/>
      <c r="W139" s="112"/>
      <c r="X139" s="112"/>
      <c r="Y139" s="113">
        <f>SUM(Y137:Y138)</f>
        <v>0</v>
      </c>
      <c r="Z139" s="112"/>
      <c r="AA139" s="112"/>
      <c r="AB139" s="113">
        <f t="shared" ref="AB139:AF139" si="129">SUM(AB137:AB138)</f>
        <v>0</v>
      </c>
      <c r="AC139" s="113">
        <f t="shared" ref="AC139:AD139" si="130">SUM(AC137:AC138)</f>
        <v>0</v>
      </c>
      <c r="AD139" s="113">
        <f t="shared" si="130"/>
        <v>0</v>
      </c>
      <c r="AE139" s="113">
        <f t="shared" si="129"/>
        <v>0</v>
      </c>
      <c r="AF139" s="113">
        <f t="shared" si="129"/>
        <v>0</v>
      </c>
      <c r="AG139" s="112"/>
      <c r="AH139" s="112"/>
      <c r="AI139" s="112"/>
      <c r="AJ139" s="113">
        <f t="shared" ref="AJ139:AL139" si="131">SUM(AJ137:AJ138)</f>
        <v>0</v>
      </c>
      <c r="AK139" s="113">
        <f t="shared" si="131"/>
        <v>0</v>
      </c>
      <c r="AL139" s="113">
        <f t="shared" si="131"/>
        <v>0</v>
      </c>
      <c r="AM139" s="113">
        <f t="shared" ref="AM139:AN139" si="132">SUM(AM137:AM138)</f>
        <v>0</v>
      </c>
      <c r="AN139" s="113">
        <f t="shared" si="132"/>
        <v>0</v>
      </c>
      <c r="AO139" s="131"/>
      <c r="AP139" s="17"/>
      <c r="AQ139" s="113">
        <f t="shared" ref="AQ139:BB139" si="133">SUM(AQ137:AQ138)</f>
        <v>0</v>
      </c>
      <c r="AR139" s="113">
        <f t="shared" si="133"/>
        <v>0</v>
      </c>
      <c r="AS139" s="113">
        <f t="shared" si="133"/>
        <v>0</v>
      </c>
      <c r="AT139" s="113">
        <f t="shared" si="133"/>
        <v>0</v>
      </c>
      <c r="AU139" s="113">
        <v>0</v>
      </c>
      <c r="AV139" s="113">
        <v>0</v>
      </c>
      <c r="AW139" s="113">
        <v>0</v>
      </c>
      <c r="AX139" s="113">
        <v>0</v>
      </c>
      <c r="AY139" s="113">
        <v>0</v>
      </c>
      <c r="AZ139" s="113">
        <v>0</v>
      </c>
      <c r="BA139" s="113">
        <f t="shared" si="133"/>
        <v>0</v>
      </c>
      <c r="BB139" s="113">
        <f t="shared" si="133"/>
        <v>0</v>
      </c>
    </row>
    <row r="140" spans="1:54" ht="93.6" outlineLevel="2">
      <c r="A140" s="98"/>
      <c r="B140" s="102"/>
      <c r="C140" s="23"/>
      <c r="D140" s="269"/>
      <c r="E140" s="269"/>
      <c r="F140" s="269"/>
      <c r="G140" s="269"/>
      <c r="H140" s="302" t="s">
        <v>481</v>
      </c>
      <c r="I140" s="104"/>
      <c r="J140" s="105"/>
      <c r="K140" s="105"/>
      <c r="L140" s="106" t="str">
        <f>IF(I140&lt;&gt;0,((VLOOKUP(I140,'1. Standard_Cost'!$B$4:$D$11,2)+VLOOKUP(I140,'1. Standard_Cost'!$B$4:$D$11,3))*J140*K140),"0")</f>
        <v>0</v>
      </c>
      <c r="M140" s="106">
        <f>L140*'1. Standard_Cost'!$F$4</f>
        <v>0</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c r="AB140" s="108">
        <f>+Z140*'1. Standard_Cost'!$B$23+AA140*'1. Standard_Cost'!$C$23</f>
        <v>0</v>
      </c>
      <c r="AC140" s="109"/>
      <c r="AD140" s="110"/>
      <c r="AE140" s="108">
        <f>SUM(AD140,AC140,AB140,Y140,U140,T140,S140,R140)*'1. Standard_Cost'!$B$31</f>
        <v>0</v>
      </c>
      <c r="AF140" s="108">
        <f t="shared" ref="AF140:AF141" si="134">SUM(AE140,AD140,AC140,AB140,Y140,U140,T140,S140,R140)</f>
        <v>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35">L140+M140</f>
        <v>0</v>
      </c>
      <c r="AR140" s="14">
        <f t="shared" ref="AR140:AR141" si="136">AF140</f>
        <v>0</v>
      </c>
      <c r="AS140" s="14">
        <f t="shared" ref="AS140:AS141" si="137">AM140+AN140</f>
        <v>0</v>
      </c>
      <c r="AT140" s="14">
        <f t="shared" ref="AT140:AT141" si="138">SUM(AQ140,AR140,AS140)</f>
        <v>0</v>
      </c>
      <c r="AU140" s="15">
        <v>0</v>
      </c>
      <c r="AV140" s="15"/>
      <c r="AW140" s="15"/>
      <c r="AX140" s="15"/>
      <c r="AY140" s="15">
        <v>0</v>
      </c>
      <c r="AZ140" s="15">
        <v>0</v>
      </c>
      <c r="BA140" s="15"/>
      <c r="BB140" s="16">
        <f t="shared" ref="BB140:BB141" si="139">SUM(AU140:BA140)-AT140</f>
        <v>0</v>
      </c>
    </row>
    <row r="141" spans="1:54" ht="109.2" outlineLevel="2">
      <c r="A141" s="98"/>
      <c r="B141" s="102"/>
      <c r="C141" s="23"/>
      <c r="D141" s="269"/>
      <c r="E141" s="269"/>
      <c r="F141" s="172"/>
      <c r="G141" s="173"/>
      <c r="H141" s="302" t="s">
        <v>482</v>
      </c>
      <c r="I141" s="104" t="s">
        <v>4</v>
      </c>
      <c r="J141" s="105">
        <v>1</v>
      </c>
      <c r="K141" s="105">
        <v>2</v>
      </c>
      <c r="L141" s="106">
        <f>IF(I141&lt;&gt;0,((VLOOKUP(I141,'1. Standard_Cost'!$B$4:$D$11,2)+VLOOKUP(I141,'1. Standard_Cost'!$B$4:$D$11,3))*J141*K141),"0")</f>
        <v>161500</v>
      </c>
      <c r="M141" s="106">
        <f>L141*'1. Standard_Cost'!$F$4</f>
        <v>26970.5</v>
      </c>
      <c r="N141" s="107">
        <v>5</v>
      </c>
      <c r="O141" s="107">
        <v>3</v>
      </c>
      <c r="P141" s="107">
        <v>25</v>
      </c>
      <c r="Q141" s="107"/>
      <c r="R141" s="108">
        <v>0</v>
      </c>
      <c r="S141" s="108">
        <f>N141*O141*P141*'1. Standard_Cost'!$C$15</f>
        <v>562500</v>
      </c>
      <c r="T141" s="108">
        <f>N141*P141*Q141*'1. Standard_Cost'!$D$15</f>
        <v>0</v>
      </c>
      <c r="U141" s="108">
        <v>0</v>
      </c>
      <c r="V141" s="107"/>
      <c r="W141" s="107"/>
      <c r="X141" s="107"/>
      <c r="Y141" s="108">
        <f>+V141*((X141*'1. Standard_Cost'!$B$19)+(W141*X141*'1. Standard_Cost'!$C$19))</f>
        <v>0</v>
      </c>
      <c r="Z141" s="107"/>
      <c r="AA141" s="107">
        <v>16</v>
      </c>
      <c r="AB141" s="108">
        <f>+Z141*'1. Standard_Cost'!$B$23+AA141*'1. Standard_Cost'!$C$23</f>
        <v>304000</v>
      </c>
      <c r="AC141" s="109"/>
      <c r="AD141" s="110"/>
      <c r="AE141" s="108">
        <v>0</v>
      </c>
      <c r="AF141" s="108">
        <f t="shared" si="134"/>
        <v>866500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35"/>
        <v>188470.5</v>
      </c>
      <c r="AR141" s="14">
        <f t="shared" si="136"/>
        <v>866500</v>
      </c>
      <c r="AS141" s="14">
        <f t="shared" si="137"/>
        <v>0</v>
      </c>
      <c r="AT141" s="14">
        <f t="shared" si="138"/>
        <v>1054970.5</v>
      </c>
      <c r="AU141" s="15">
        <v>750971</v>
      </c>
      <c r="AV141" s="15"/>
      <c r="AW141" s="15"/>
      <c r="AX141" s="15"/>
      <c r="AY141" s="15"/>
      <c r="AZ141" s="15"/>
      <c r="BA141" s="15"/>
      <c r="BB141" s="16">
        <f t="shared" si="139"/>
        <v>-303999.5</v>
      </c>
    </row>
    <row r="142" spans="1:54" ht="28.5" customHeight="1" outlineLevel="1">
      <c r="A142" s="98"/>
      <c r="B142" s="102"/>
      <c r="C142" s="23"/>
      <c r="D142" s="56" t="s">
        <v>636</v>
      </c>
      <c r="E142" s="56" t="s">
        <v>232</v>
      </c>
      <c r="F142" s="253">
        <v>2022</v>
      </c>
      <c r="G142" s="254">
        <v>2023</v>
      </c>
      <c r="H142" s="277" t="s">
        <v>230</v>
      </c>
      <c r="I142" s="112"/>
      <c r="J142" s="112"/>
      <c r="K142" s="112"/>
      <c r="L142" s="113">
        <f>SUM(L140:L141)</f>
        <v>161500</v>
      </c>
      <c r="M142" s="113">
        <f>SUM(M140:M141)</f>
        <v>26970.5</v>
      </c>
      <c r="N142" s="112"/>
      <c r="O142" s="112"/>
      <c r="P142" s="112"/>
      <c r="Q142" s="112"/>
      <c r="R142" s="113">
        <f t="shared" ref="R142:U142" si="140">SUM(R140:R141)</f>
        <v>0</v>
      </c>
      <c r="S142" s="113">
        <f t="shared" si="140"/>
        <v>562500</v>
      </c>
      <c r="T142" s="113">
        <f t="shared" si="140"/>
        <v>0</v>
      </c>
      <c r="U142" s="113">
        <f t="shared" si="140"/>
        <v>0</v>
      </c>
      <c r="V142" s="112"/>
      <c r="W142" s="112"/>
      <c r="X142" s="112"/>
      <c r="Y142" s="113">
        <f>SUM(Y140:Y141)</f>
        <v>0</v>
      </c>
      <c r="Z142" s="112"/>
      <c r="AA142" s="112"/>
      <c r="AB142" s="113">
        <f t="shared" ref="AB142:AF142" si="141">SUM(AB140:AB141)</f>
        <v>304000</v>
      </c>
      <c r="AC142" s="113">
        <f t="shared" ref="AC142:AD142" si="142">SUM(AC140:AC141)</f>
        <v>0</v>
      </c>
      <c r="AD142" s="113">
        <f t="shared" si="142"/>
        <v>0</v>
      </c>
      <c r="AE142" s="113">
        <f t="shared" si="141"/>
        <v>0</v>
      </c>
      <c r="AF142" s="113">
        <f t="shared" si="141"/>
        <v>866500</v>
      </c>
      <c r="AG142" s="112"/>
      <c r="AH142" s="112"/>
      <c r="AI142" s="112"/>
      <c r="AJ142" s="113">
        <f t="shared" ref="AJ142:AL142" si="143">SUM(AJ140:AJ141)</f>
        <v>0</v>
      </c>
      <c r="AK142" s="113">
        <f t="shared" si="143"/>
        <v>0</v>
      </c>
      <c r="AL142" s="113">
        <f t="shared" si="143"/>
        <v>0</v>
      </c>
      <c r="AM142" s="113">
        <f t="shared" ref="AM142:AN142" si="144">SUM(AM140:AM141)</f>
        <v>0</v>
      </c>
      <c r="AN142" s="113">
        <f t="shared" si="144"/>
        <v>0</v>
      </c>
      <c r="AO142" s="131"/>
      <c r="AP142" s="17"/>
      <c r="AQ142" s="113">
        <f t="shared" ref="AQ142" si="145">SUM(AQ140:AQ141)</f>
        <v>188470.5</v>
      </c>
      <c r="AR142" s="113">
        <f t="shared" ref="AR142:BB142" si="146">SUM(AR140:AR141)</f>
        <v>866500</v>
      </c>
      <c r="AS142" s="113">
        <f t="shared" si="146"/>
        <v>0</v>
      </c>
      <c r="AT142" s="113">
        <f t="shared" si="146"/>
        <v>1054970.5</v>
      </c>
      <c r="AU142" s="113">
        <f t="shared" si="146"/>
        <v>750971</v>
      </c>
      <c r="AV142" s="113">
        <f t="shared" si="146"/>
        <v>0</v>
      </c>
      <c r="AW142" s="113">
        <f t="shared" si="146"/>
        <v>0</v>
      </c>
      <c r="AX142" s="113">
        <f t="shared" si="146"/>
        <v>0</v>
      </c>
      <c r="AY142" s="113">
        <f t="shared" si="146"/>
        <v>0</v>
      </c>
      <c r="AZ142" s="113">
        <f t="shared" si="146"/>
        <v>0</v>
      </c>
      <c r="BA142" s="113">
        <f t="shared" si="146"/>
        <v>0</v>
      </c>
      <c r="BB142" s="113">
        <f t="shared" si="146"/>
        <v>-303999.5</v>
      </c>
    </row>
    <row r="143" spans="1:54" s="24" customFormat="1" ht="13.8" customHeight="1">
      <c r="A143" s="114"/>
      <c r="B143" s="115"/>
      <c r="C143" s="314" t="s">
        <v>233</v>
      </c>
      <c r="D143" s="314"/>
      <c r="E143" s="315"/>
      <c r="F143" s="246"/>
      <c r="G143" s="246"/>
      <c r="H143" s="278" t="s">
        <v>188</v>
      </c>
      <c r="I143" s="116"/>
      <c r="J143" s="116"/>
      <c r="K143" s="116"/>
      <c r="L143" s="117">
        <f>SUM(L168,L178)</f>
        <v>9140850</v>
      </c>
      <c r="M143" s="117">
        <f>SUM(M168,M178)</f>
        <v>1526521.9500000002</v>
      </c>
      <c r="N143" s="116"/>
      <c r="O143" s="116"/>
      <c r="P143" s="116"/>
      <c r="Q143" s="116"/>
      <c r="R143" s="117">
        <f t="shared" ref="R143:U143" si="147">SUM(R168,R178)</f>
        <v>400000</v>
      </c>
      <c r="S143" s="117">
        <f t="shared" si="147"/>
        <v>750000</v>
      </c>
      <c r="T143" s="117">
        <f t="shared" si="147"/>
        <v>875000</v>
      </c>
      <c r="U143" s="117">
        <f t="shared" si="147"/>
        <v>160000</v>
      </c>
      <c r="V143" s="116"/>
      <c r="W143" s="116"/>
      <c r="X143" s="116"/>
      <c r="Y143" s="117">
        <f>SUM(Y168,Y178)</f>
        <v>0</v>
      </c>
      <c r="Z143" s="117"/>
      <c r="AA143" s="117"/>
      <c r="AB143" s="117">
        <f t="shared" ref="AB143:AF143" si="148">SUM(AB168,AB178)</f>
        <v>1254000</v>
      </c>
      <c r="AC143" s="117">
        <f>SUM(AC168,AC178)</f>
        <v>72596350</v>
      </c>
      <c r="AD143" s="117">
        <f>SUM(AD168,AD178)</f>
        <v>0</v>
      </c>
      <c r="AE143" s="117">
        <f t="shared" si="148"/>
        <v>14340270</v>
      </c>
      <c r="AF143" s="117">
        <f t="shared" si="148"/>
        <v>90375620</v>
      </c>
      <c r="AG143" s="116"/>
      <c r="AH143" s="116"/>
      <c r="AI143" s="116"/>
      <c r="AJ143" s="117">
        <f>SUM(AJ168,AJ178)</f>
        <v>0</v>
      </c>
      <c r="AK143" s="117">
        <f>SUM(AK168,AK178)</f>
        <v>0</v>
      </c>
      <c r="AL143" s="117">
        <f>SUM(AL168,AL178)</f>
        <v>0</v>
      </c>
      <c r="AM143" s="117">
        <f t="shared" ref="AM143:AN143" si="149">SUM(AM168,AM178)</f>
        <v>0</v>
      </c>
      <c r="AN143" s="117">
        <f t="shared" si="149"/>
        <v>0</v>
      </c>
      <c r="AO143" s="132"/>
      <c r="AP143" s="25"/>
      <c r="AQ143" s="117">
        <f t="shared" ref="AQ143" si="150">SUM(AQ168,AQ178)</f>
        <v>10667371.949999999</v>
      </c>
      <c r="AR143" s="117">
        <f t="shared" ref="AR143:BB143" si="151">SUM(AR168,AR178)</f>
        <v>90375620</v>
      </c>
      <c r="AS143" s="117">
        <f t="shared" si="151"/>
        <v>0</v>
      </c>
      <c r="AT143" s="117">
        <f t="shared" si="151"/>
        <v>101042991.95</v>
      </c>
      <c r="AU143" s="117">
        <f t="shared" si="151"/>
        <v>94083391.950000003</v>
      </c>
      <c r="AV143" s="117">
        <f t="shared" si="151"/>
        <v>0</v>
      </c>
      <c r="AW143" s="117">
        <f t="shared" si="151"/>
        <v>0</v>
      </c>
      <c r="AX143" s="117">
        <f t="shared" si="151"/>
        <v>0</v>
      </c>
      <c r="AY143" s="117">
        <f t="shared" si="151"/>
        <v>0</v>
      </c>
      <c r="AZ143" s="117">
        <f t="shared" si="151"/>
        <v>1668000</v>
      </c>
      <c r="BA143" s="117">
        <f t="shared" si="151"/>
        <v>0</v>
      </c>
      <c r="BB143" s="117">
        <f t="shared" si="151"/>
        <v>-5291600</v>
      </c>
    </row>
    <row r="144" spans="1:54" ht="93.6" outlineLevel="2">
      <c r="A144" s="98"/>
      <c r="B144" s="102"/>
      <c r="C144" s="23"/>
      <c r="D144" s="257"/>
      <c r="E144" s="123"/>
      <c r="F144" s="249"/>
      <c r="G144" s="283"/>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152">SUM(AE144,AD144,AC144,AB144,Y144,U144,T144,S144,R144)</f>
        <v>1734000</v>
      </c>
      <c r="AG144" s="107"/>
      <c r="AH144" s="107"/>
      <c r="AI144" s="107"/>
      <c r="AJ144" s="111"/>
      <c r="AK144" s="111"/>
      <c r="AL144" s="111"/>
      <c r="AM144" s="108">
        <f>AG144*'1. Standard_Cost'!$B$27+'Incremental_Cost Year 5'!AH144*'1. Standard_Cost'!$C$27+'Incremental_Cost Year 5'!AI144*'1. Standard_Cost'!$D$27+'Incremental_Cost Year 5'!AJ144+'Incremental_Cost Year 5'!AL144+AK144</f>
        <v>0</v>
      </c>
      <c r="AN144" s="108">
        <f>AM144*'1. Standard_Cost'!$C$31</f>
        <v>0</v>
      </c>
      <c r="AO144" s="125" t="s">
        <v>370</v>
      </c>
      <c r="AQ144" s="14">
        <f t="shared" ref="AQ144:AQ167" si="153">L144+M144</f>
        <v>8028960</v>
      </c>
      <c r="AR144" s="14">
        <f t="shared" ref="AR144:AR167" si="154">AF144</f>
        <v>1734000</v>
      </c>
      <c r="AS144" s="14">
        <f t="shared" ref="AS144:AS167" si="155">AM144+AN144</f>
        <v>0</v>
      </c>
      <c r="AT144" s="14">
        <f>SUM(AQ144,AR144,AS144)</f>
        <v>9762960</v>
      </c>
      <c r="AU144" s="15">
        <v>9762960</v>
      </c>
      <c r="AV144" s="15"/>
      <c r="AW144" s="15"/>
      <c r="AX144" s="15"/>
      <c r="AY144" s="15"/>
      <c r="AZ144" s="15"/>
      <c r="BA144" s="15"/>
      <c r="BB144" s="16">
        <f t="shared" ref="BB144:BB167" si="156">SUM(AU144:BA144)-AT144</f>
        <v>0</v>
      </c>
    </row>
    <row r="145" spans="1:54" ht="21.6" customHeight="1" outlineLevel="2">
      <c r="A145" s="98"/>
      <c r="B145" s="102"/>
      <c r="C145" s="23"/>
      <c r="D145" s="269"/>
      <c r="E145" s="27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52"/>
        <v>0</v>
      </c>
      <c r="AG145" s="107"/>
      <c r="AH145" s="107"/>
      <c r="AI145" s="107"/>
      <c r="AJ145" s="111"/>
      <c r="AK145" s="111"/>
      <c r="AL145" s="111"/>
      <c r="AM145" s="108">
        <f>AG145*'[1]1. Standard_Cost'!$B$27+'[1]Incremental_Cost Year 5'!AH145*'[1]1. Standard_Cost'!$C$27+'[1]Incremental_Cost Year 5'!AI145*'[1]1. Standard_Cost'!$D$27+'[1]Incremental_Cost Year 5'!AJ145+'[1]Incremental_Cost Year 5'!AL145+AK145</f>
        <v>0</v>
      </c>
      <c r="AN145" s="108">
        <f>AM145*'[1]1. Standard_Cost'!$C$31</f>
        <v>0</v>
      </c>
      <c r="AO145" s="125"/>
      <c r="AQ145" s="14">
        <f t="shared" si="153"/>
        <v>621777.6</v>
      </c>
      <c r="AR145" s="14">
        <f t="shared" si="154"/>
        <v>0</v>
      </c>
      <c r="AS145" s="14">
        <f t="shared" si="155"/>
        <v>0</v>
      </c>
      <c r="AT145" s="14">
        <f>SUM(AQ145,AR145,AS145)</f>
        <v>621777.6</v>
      </c>
      <c r="AU145" s="15">
        <v>621777.6</v>
      </c>
      <c r="AV145" s="15"/>
      <c r="AW145" s="15"/>
      <c r="AX145" s="15"/>
      <c r="AY145" s="15"/>
      <c r="AZ145" s="15"/>
      <c r="BA145" s="15"/>
      <c r="BB145" s="16">
        <f t="shared" si="156"/>
        <v>0</v>
      </c>
    </row>
    <row r="146" spans="1:54" ht="19.95" customHeight="1" outlineLevel="2">
      <c r="A146" s="98"/>
      <c r="B146" s="102"/>
      <c r="C146" s="23"/>
      <c r="D146" s="269"/>
      <c r="E146" s="27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52"/>
        <v>0</v>
      </c>
      <c r="AG146" s="107"/>
      <c r="AH146" s="107"/>
      <c r="AI146" s="107"/>
      <c r="AJ146" s="111"/>
      <c r="AK146" s="111"/>
      <c r="AL146" s="111"/>
      <c r="AM146" s="108">
        <f>AG146*'[1]1. Standard_Cost'!$B$27+'[1]Incremental_Cost Year 5'!AH146*'[1]1. Standard_Cost'!$C$27+'[1]Incremental_Cost Year 5'!AI146*'[1]1. Standard_Cost'!$D$27+'[1]Incremental_Cost Year 5'!AJ146+'[1]Incremental_Cost Year 5'!AL146+AK146</f>
        <v>0</v>
      </c>
      <c r="AN146" s="108">
        <f>AM146*'[1]1. Standard_Cost'!$C$31</f>
        <v>0</v>
      </c>
      <c r="AO146" s="125"/>
      <c r="AQ146" s="14">
        <f t="shared" si="153"/>
        <v>1507764</v>
      </c>
      <c r="AR146" s="14">
        <f t="shared" si="154"/>
        <v>0</v>
      </c>
      <c r="AS146" s="14">
        <f t="shared" si="155"/>
        <v>0</v>
      </c>
      <c r="AT146" s="14">
        <f>SUM(AQ146,AR146,AS146)</f>
        <v>1507764</v>
      </c>
      <c r="AU146" s="15">
        <v>1507764</v>
      </c>
      <c r="AV146" s="15"/>
      <c r="AW146" s="15"/>
      <c r="AX146" s="15"/>
      <c r="AY146" s="15"/>
      <c r="AZ146" s="15"/>
      <c r="BA146" s="15"/>
      <c r="BB146" s="16">
        <f t="shared" si="156"/>
        <v>0</v>
      </c>
    </row>
    <row r="147" spans="1:54" ht="46.8" outlineLevel="2">
      <c r="A147" s="98"/>
      <c r="B147" s="102"/>
      <c r="C147" s="23"/>
      <c r="D147" s="269"/>
      <c r="E147" s="271"/>
      <c r="F147" s="250"/>
      <c r="G147" s="255"/>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52"/>
        <v>0</v>
      </c>
      <c r="AG147" s="107"/>
      <c r="AH147" s="107"/>
      <c r="AI147" s="107"/>
      <c r="AJ147" s="111"/>
      <c r="AK147" s="111"/>
      <c r="AL147" s="111"/>
      <c r="AM147" s="108">
        <f>AG147*'1. Standard_Cost'!$B$27+'Incremental_Cost Year 5'!AH147*'1. Standard_Cost'!$C$27+'Incremental_Cost Year 5'!AI147*'1. Standard_Cost'!$D$27+'Incremental_Cost Year 5'!AJ147+'Incremental_Cost Year 5'!AL147+AK147</f>
        <v>0</v>
      </c>
      <c r="AN147" s="108">
        <f>AM147*'1. Standard_Cost'!$C$31</f>
        <v>0</v>
      </c>
      <c r="AO147" s="125" t="s">
        <v>371</v>
      </c>
      <c r="AQ147" s="14">
        <f t="shared" si="153"/>
        <v>0</v>
      </c>
      <c r="AR147" s="14">
        <f t="shared" si="154"/>
        <v>0</v>
      </c>
      <c r="AS147" s="14">
        <f t="shared" si="155"/>
        <v>0</v>
      </c>
      <c r="AT147" s="14">
        <f t="shared" ref="AT147:AT167" si="157">SUM(AQ147,AR147,AS147)</f>
        <v>0</v>
      </c>
      <c r="AU147" s="15">
        <v>0</v>
      </c>
      <c r="AV147" s="15"/>
      <c r="AW147" s="15"/>
      <c r="AX147" s="15"/>
      <c r="AY147" s="15"/>
      <c r="AZ147" s="15"/>
      <c r="BA147" s="15"/>
      <c r="BB147" s="16">
        <f t="shared" si="156"/>
        <v>0</v>
      </c>
    </row>
    <row r="148" spans="1:54" ht="124.2" customHeight="1" outlineLevel="2">
      <c r="A148" s="98"/>
      <c r="B148" s="102"/>
      <c r="C148" s="23"/>
      <c r="D148" s="269"/>
      <c r="E148" s="27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c r="AD148" s="110"/>
      <c r="AE148" s="108">
        <v>0</v>
      </c>
      <c r="AF148" s="108">
        <f t="shared" si="152"/>
        <v>0</v>
      </c>
      <c r="AG148" s="107"/>
      <c r="AH148" s="107"/>
      <c r="AI148" s="107"/>
      <c r="AJ148" s="111"/>
      <c r="AK148" s="111"/>
      <c r="AL148" s="111"/>
      <c r="AM148" s="108">
        <f>AG148*'[1]1. Standard_Cost'!$B$27+'[1]Incremental_Cost Year 5'!AH148*'[1]1. Standard_Cost'!$C$27+'[1]Incremental_Cost Year 5'!AI148*'[1]1. Standard_Cost'!$D$27+'[1]Incremental_Cost Year 5'!AJ148+'[1]Incremental_Cost Year 5'!AL148+AK148</f>
        <v>0</v>
      </c>
      <c r="AN148" s="108">
        <f>AM148*'[1]1. Standard_Cost'!$C$31</f>
        <v>0</v>
      </c>
      <c r="AO148" s="125" t="s">
        <v>487</v>
      </c>
      <c r="AQ148" s="14">
        <f t="shared" si="153"/>
        <v>0</v>
      </c>
      <c r="AR148" s="14">
        <f t="shared" si="154"/>
        <v>0</v>
      </c>
      <c r="AS148" s="14">
        <f t="shared" si="155"/>
        <v>0</v>
      </c>
      <c r="AT148" s="14">
        <f t="shared" si="157"/>
        <v>0</v>
      </c>
      <c r="AU148" s="15"/>
      <c r="AV148" s="15"/>
      <c r="AW148" s="15"/>
      <c r="AX148" s="15"/>
      <c r="AY148" s="15">
        <v>0</v>
      </c>
      <c r="AZ148" s="15">
        <v>0</v>
      </c>
      <c r="BA148" s="15"/>
      <c r="BB148" s="16">
        <f t="shared" si="156"/>
        <v>0</v>
      </c>
    </row>
    <row r="149" spans="1:54" ht="93.6" outlineLevel="2">
      <c r="A149" s="98"/>
      <c r="B149" s="102"/>
      <c r="C149" s="23"/>
      <c r="D149" s="269"/>
      <c r="E149" s="271"/>
      <c r="F149" s="250"/>
      <c r="G149" s="255"/>
      <c r="H149" s="302" t="s">
        <v>492</v>
      </c>
      <c r="I149" s="104"/>
      <c r="J149" s="105"/>
      <c r="K149" s="105"/>
      <c r="L149" s="106" t="str">
        <f>IF(I149&lt;&gt;0,((VLOOKUP(I149,'1. Standard_Cost'!$B$4:$D$11,2)+VLOOKUP(I149,'1. Standard_Cost'!$B$4:$D$11,3))*J149*K149),"0")</f>
        <v>0</v>
      </c>
      <c r="M149" s="106">
        <f>L149*'1. Standard_Cost'!$F$4</f>
        <v>0</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c r="AB149" s="108">
        <f>+Z149*'1. Standard_Cost'!$B$23+AA149*'1. Standard_Cost'!$C$23</f>
        <v>0</v>
      </c>
      <c r="AC149" s="109"/>
      <c r="AD149" s="110"/>
      <c r="AE149" s="108">
        <f>SUM(AD149,AC149,AB149,Y149,U149,T149,S149,R149)*'1. Standard_Cost'!$B$31</f>
        <v>0</v>
      </c>
      <c r="AF149" s="108">
        <f t="shared" si="152"/>
        <v>0</v>
      </c>
      <c r="AG149" s="107"/>
      <c r="AH149" s="107"/>
      <c r="AI149" s="107"/>
      <c r="AJ149" s="111"/>
      <c r="AK149" s="111"/>
      <c r="AL149" s="111"/>
      <c r="AM149" s="108">
        <f>AG149*'1. Standard_Cost'!$B$27+'Incremental_Cost Year 5'!AH149*'1. Standard_Cost'!$C$27+'Incremental_Cost Year 5'!AI149*'1. Standard_Cost'!$D$27+'Incremental_Cost Year 5'!AJ149+'Incremental_Cost Year 5'!AL149+AK149</f>
        <v>0</v>
      </c>
      <c r="AN149" s="108">
        <f>AM149*'1. Standard_Cost'!$C$31</f>
        <v>0</v>
      </c>
      <c r="AO149" s="125" t="s">
        <v>372</v>
      </c>
      <c r="AQ149" s="14">
        <f t="shared" si="153"/>
        <v>0</v>
      </c>
      <c r="AR149" s="14">
        <f t="shared" si="154"/>
        <v>0</v>
      </c>
      <c r="AS149" s="14">
        <f t="shared" si="155"/>
        <v>0</v>
      </c>
      <c r="AT149" s="14">
        <f t="shared" si="157"/>
        <v>0</v>
      </c>
      <c r="AU149" s="15">
        <v>0</v>
      </c>
      <c r="AV149" s="15"/>
      <c r="AW149" s="15"/>
      <c r="AX149" s="15"/>
      <c r="AY149" s="15"/>
      <c r="AZ149" s="15"/>
      <c r="BA149" s="15"/>
      <c r="BB149" s="16">
        <f t="shared" si="156"/>
        <v>0</v>
      </c>
    </row>
    <row r="150" spans="1:54" ht="124.8" outlineLevel="2">
      <c r="A150" s="98"/>
      <c r="B150" s="102"/>
      <c r="C150" s="23"/>
      <c r="D150" s="269"/>
      <c r="E150" s="271"/>
      <c r="F150" s="250"/>
      <c r="G150" s="255"/>
      <c r="H150" s="302" t="s">
        <v>493</v>
      </c>
      <c r="I150" s="104"/>
      <c r="J150" s="105"/>
      <c r="K150" s="105"/>
      <c r="L150" s="106" t="str">
        <f>IF(I150&lt;&gt;0,((VLOOKUP(I150,'1. Standard_Cost'!$B$4:$D$11,2)+VLOOKUP(I150,'1. Standard_Cost'!$B$4:$D$11,3))*J150*K150),"0")</f>
        <v>0</v>
      </c>
      <c r="M150" s="106">
        <f>L150*'1. Standard_Cost'!$F$4</f>
        <v>0</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c r="AB150" s="108">
        <f>+Z150*'1. Standard_Cost'!$B$23+AA150*'1. Standard_Cost'!$C$23</f>
        <v>0</v>
      </c>
      <c r="AC150" s="109"/>
      <c r="AD150" s="110"/>
      <c r="AE150" s="108"/>
      <c r="AF150" s="108">
        <f t="shared" si="152"/>
        <v>0</v>
      </c>
      <c r="AG150" s="107"/>
      <c r="AH150" s="107"/>
      <c r="AI150" s="107"/>
      <c r="AJ150" s="111"/>
      <c r="AK150" s="111"/>
      <c r="AL150" s="111"/>
      <c r="AM150" s="108">
        <f>AG150*'1. Standard_Cost'!$B$27+'Incremental_Cost Year 5'!AH150*'1. Standard_Cost'!$C$27+'Incremental_Cost Year 5'!AI150*'1. Standard_Cost'!$D$27+'Incremental_Cost Year 5'!AJ150+'Incremental_Cost Year 5'!AL150+AK150</f>
        <v>0</v>
      </c>
      <c r="AN150" s="108">
        <f>AM150*'1. Standard_Cost'!$C$31</f>
        <v>0</v>
      </c>
      <c r="AO150" s="125" t="s">
        <v>373</v>
      </c>
      <c r="AQ150" s="14">
        <f t="shared" si="153"/>
        <v>0</v>
      </c>
      <c r="AR150" s="14">
        <f t="shared" si="154"/>
        <v>0</v>
      </c>
      <c r="AS150" s="14">
        <f t="shared" si="155"/>
        <v>0</v>
      </c>
      <c r="AT150" s="14">
        <f t="shared" si="157"/>
        <v>0</v>
      </c>
      <c r="AU150" s="15">
        <v>0</v>
      </c>
      <c r="AV150" s="15"/>
      <c r="AW150" s="15"/>
      <c r="AX150" s="15">
        <v>0</v>
      </c>
      <c r="AY150" s="15"/>
      <c r="AZ150" s="15"/>
      <c r="BA150" s="15"/>
      <c r="BB150" s="16">
        <f t="shared" si="156"/>
        <v>0</v>
      </c>
    </row>
    <row r="151" spans="1:54" ht="78" outlineLevel="2">
      <c r="A151" s="98"/>
      <c r="B151" s="102"/>
      <c r="C151" s="23"/>
      <c r="D151" s="269"/>
      <c r="E151" s="271"/>
      <c r="F151" s="250"/>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c r="AA151" s="107"/>
      <c r="AB151" s="108">
        <f>+Z151*'1. Standard_Cost'!$B$23+AA151*'1. Standard_Cost'!$C$23</f>
        <v>0</v>
      </c>
      <c r="AC151" s="109"/>
      <c r="AD151" s="110"/>
      <c r="AE151" s="108">
        <f>SUM(AD151,AC151,AB151,Y151,U151,T151,S151,R151)*'1. Standard_Cost'!$B$31</f>
        <v>0</v>
      </c>
      <c r="AF151" s="108">
        <f t="shared" si="152"/>
        <v>0</v>
      </c>
      <c r="AG151" s="107"/>
      <c r="AH151" s="107"/>
      <c r="AI151" s="107"/>
      <c r="AJ151" s="111"/>
      <c r="AK151" s="111"/>
      <c r="AL151" s="111"/>
      <c r="AM151" s="108">
        <f>AG151*'1. Standard_Cost'!$B$27+'Incremental_Cost Year 5'!AH151*'1. Standard_Cost'!$C$27+'Incremental_Cost Year 5'!AI151*'1. Standard_Cost'!$D$27+'Incremental_Cost Year 5'!AJ151+'Incremental_Cost Year 5'!AL151+AK151</f>
        <v>0</v>
      </c>
      <c r="AN151" s="108">
        <f>AM151*'1. Standard_Cost'!$C$31</f>
        <v>0</v>
      </c>
      <c r="AO151" s="125" t="s">
        <v>374</v>
      </c>
      <c r="AQ151" s="14">
        <f t="shared" si="153"/>
        <v>0</v>
      </c>
      <c r="AR151" s="14">
        <f t="shared" si="154"/>
        <v>0</v>
      </c>
      <c r="AS151" s="14">
        <f t="shared" si="155"/>
        <v>0</v>
      </c>
      <c r="AT151" s="14">
        <f t="shared" si="157"/>
        <v>0</v>
      </c>
      <c r="AU151" s="15"/>
      <c r="AV151" s="15"/>
      <c r="AW151" s="15"/>
      <c r="AX151" s="15">
        <v>0</v>
      </c>
      <c r="AY151" s="15"/>
      <c r="AZ151" s="15"/>
      <c r="BA151" s="15"/>
      <c r="BB151" s="16">
        <f t="shared" si="156"/>
        <v>0</v>
      </c>
    </row>
    <row r="152" spans="1:54" ht="41.4" customHeight="1" outlineLevel="2">
      <c r="A152" s="98"/>
      <c r="B152" s="102"/>
      <c r="C152" s="23"/>
      <c r="D152" s="269"/>
      <c r="E152" s="271"/>
      <c r="F152" s="161"/>
      <c r="G152" s="161"/>
      <c r="H152" s="303" t="s">
        <v>488</v>
      </c>
      <c r="I152" s="104"/>
      <c r="J152" s="105"/>
      <c r="K152" s="105"/>
      <c r="L152" s="106" t="str">
        <f>IF(I152&lt;&gt;0,((VLOOKUP(I152,'1. Standard_Cost'!$B$4:$D$11,2)+VLOOKUP(I152,'1. Standard_Cost'!$B$4:$D$11,3))*J152*K152),"0")</f>
        <v>0</v>
      </c>
      <c r="M152" s="106">
        <f>L152*'1. Standard_Cost'!$F$4</f>
        <v>0</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52"/>
        <v>0</v>
      </c>
      <c r="AG152" s="107"/>
      <c r="AH152" s="107"/>
      <c r="AI152" s="107"/>
      <c r="AJ152" s="111"/>
      <c r="AK152" s="111"/>
      <c r="AL152" s="111"/>
      <c r="AM152" s="108">
        <f>AG152*'[1]1. Standard_Cost'!$B$27+'[1]Incremental_Cost Year 5'!AH152*'[1]1. Standard_Cost'!$C$27+'[1]Incremental_Cost Year 5'!AI152*'[1]1. Standard_Cost'!$D$27+'[1]Incremental_Cost Year 5'!AJ152+'[1]Incremental_Cost Year 5'!AL152+AK152</f>
        <v>0</v>
      </c>
      <c r="AN152" s="108">
        <f>AM152*'[1]1. Standard_Cost'!$C$31</f>
        <v>0</v>
      </c>
      <c r="AO152" s="125" t="s">
        <v>374</v>
      </c>
      <c r="AQ152" s="14">
        <f t="shared" si="153"/>
        <v>0</v>
      </c>
      <c r="AR152" s="14">
        <f t="shared" si="154"/>
        <v>0</v>
      </c>
      <c r="AS152" s="14">
        <f t="shared" si="155"/>
        <v>0</v>
      </c>
      <c r="AT152" s="14">
        <f t="shared" si="157"/>
        <v>0</v>
      </c>
      <c r="AU152" s="15">
        <v>0</v>
      </c>
      <c r="AV152" s="15"/>
      <c r="AW152" s="15"/>
      <c r="AX152" s="15"/>
      <c r="AY152" s="15"/>
      <c r="AZ152" s="15"/>
      <c r="BA152" s="15"/>
      <c r="BB152" s="16">
        <f t="shared" si="156"/>
        <v>0</v>
      </c>
    </row>
    <row r="153" spans="1:54" ht="234" outlineLevel="2">
      <c r="A153" s="98"/>
      <c r="B153" s="102"/>
      <c r="C153" s="23"/>
      <c r="D153" s="269"/>
      <c r="E153" s="271"/>
      <c r="F153" s="250"/>
      <c r="G153" s="255"/>
      <c r="H153" s="302" t="s">
        <v>495</v>
      </c>
      <c r="I153" s="104" t="s">
        <v>4</v>
      </c>
      <c r="J153" s="105">
        <v>0.4</v>
      </c>
      <c r="K153" s="105">
        <v>3</v>
      </c>
      <c r="L153" s="106">
        <f>IF(I153&lt;&gt;0,((VLOOKUP(I153,'1. Standard_Cost'!$B$4:$D$11,2)+VLOOKUP(I153,'1. Standard_Cost'!$B$4:$D$11,3))*J153*K153),"0")</f>
        <v>96900</v>
      </c>
      <c r="M153" s="106">
        <f>L153*'1. Standard_Cost'!$F$4</f>
        <v>16182.300000000001</v>
      </c>
      <c r="N153" s="107">
        <v>10</v>
      </c>
      <c r="O153" s="107">
        <v>2</v>
      </c>
      <c r="P153" s="107">
        <v>10</v>
      </c>
      <c r="Q153" s="107"/>
      <c r="R153" s="108">
        <v>0</v>
      </c>
      <c r="S153" s="108">
        <v>0</v>
      </c>
      <c r="T153" s="108">
        <f>N153*P153*Q153*'1. Standard_Cost'!$D$15</f>
        <v>0</v>
      </c>
      <c r="U153" s="108">
        <v>0</v>
      </c>
      <c r="V153" s="107"/>
      <c r="W153" s="107"/>
      <c r="X153" s="107"/>
      <c r="Y153" s="108">
        <f>+V153*((X153*'1. Standard_Cost'!$B$19)+(W153*X153*'1. Standard_Cost'!$C$19))</f>
        <v>0</v>
      </c>
      <c r="Z153" s="107"/>
      <c r="AA153" s="107">
        <f>2*10+2</f>
        <v>22</v>
      </c>
      <c r="AB153" s="108">
        <f>+Z153*'1. Standard_Cost'!$B$23+AA153*'1. Standard_Cost'!$C$23</f>
        <v>418000</v>
      </c>
      <c r="AC153" s="109">
        <f>105*2*3500+105*2*300+700000+500000</f>
        <v>1998000</v>
      </c>
      <c r="AD153" s="110"/>
      <c r="AE153" s="108">
        <v>0</v>
      </c>
      <c r="AF153" s="108">
        <f t="shared" si="152"/>
        <v>2416000</v>
      </c>
      <c r="AG153" s="107"/>
      <c r="AH153" s="107"/>
      <c r="AI153" s="107"/>
      <c r="AJ153" s="111"/>
      <c r="AK153" s="111"/>
      <c r="AL153" s="111"/>
      <c r="AM153" s="108">
        <f>AG153*'1. Standard_Cost'!$B$27+'Incremental_Cost Year 5'!AH153*'1. Standard_Cost'!$C$27+'Incremental_Cost Year 5'!AI153*'1. Standard_Cost'!$D$27+'Incremental_Cost Year 5'!AJ153+'Incremental_Cost Year 5'!AL153+AK153</f>
        <v>0</v>
      </c>
      <c r="AN153" s="108">
        <f>AM153*'1. Standard_Cost'!$C$31</f>
        <v>0</v>
      </c>
      <c r="AO153" s="125" t="s">
        <v>313</v>
      </c>
      <c r="AQ153" s="14">
        <f t="shared" si="153"/>
        <v>113082.3</v>
      </c>
      <c r="AR153" s="14">
        <f t="shared" si="154"/>
        <v>2416000</v>
      </c>
      <c r="AS153" s="14">
        <f t="shared" si="155"/>
        <v>0</v>
      </c>
      <c r="AT153" s="14">
        <f t="shared" si="157"/>
        <v>2529082.2999999998</v>
      </c>
      <c r="AU153" s="15">
        <v>113082.3</v>
      </c>
      <c r="AV153" s="15"/>
      <c r="AW153" s="15"/>
      <c r="AX153" s="15"/>
      <c r="AY153" s="15">
        <v>0</v>
      </c>
      <c r="AZ153" s="15">
        <v>0</v>
      </c>
      <c r="BA153" s="15"/>
      <c r="BB153" s="16">
        <f t="shared" si="156"/>
        <v>-2416000</v>
      </c>
    </row>
    <row r="154" spans="1:54" ht="140.4" outlineLevel="2">
      <c r="A154" s="98"/>
      <c r="B154" s="102"/>
      <c r="C154" s="23"/>
      <c r="D154" s="269"/>
      <c r="E154" s="271"/>
      <c r="F154" s="250"/>
      <c r="G154" s="255"/>
      <c r="H154" s="302" t="s">
        <v>496</v>
      </c>
      <c r="I154" s="104"/>
      <c r="J154" s="105"/>
      <c r="K154" s="105"/>
      <c r="L154" s="106" t="str">
        <f>IF(I154&lt;&gt;0,((VLOOKUP(I154,'1. Standard_Cost'!$B$4:$D$11,2)+VLOOKUP(I154,'1. Standard_Cost'!$B$4:$D$11,3))*J154*K154),"0")</f>
        <v>0</v>
      </c>
      <c r="M154" s="106">
        <f>L154*'1. Standard_Cost'!$F$4</f>
        <v>0</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c r="AB154" s="108">
        <f>+Z154*'1. Standard_Cost'!$B$23+AA154*'1. Standard_Cost'!$C$23</f>
        <v>0</v>
      </c>
      <c r="AC154" s="109"/>
      <c r="AD154" s="110"/>
      <c r="AE154" s="108">
        <f>SUM(AD154,AC154,AB154,Y154,U154,T154,S154,R154)*'1. Standard_Cost'!$B$31</f>
        <v>0</v>
      </c>
      <c r="AF154" s="108">
        <f t="shared" si="152"/>
        <v>0</v>
      </c>
      <c r="AG154" s="107"/>
      <c r="AH154" s="107"/>
      <c r="AI154" s="107"/>
      <c r="AJ154" s="111"/>
      <c r="AK154" s="111"/>
      <c r="AL154" s="111"/>
      <c r="AM154" s="108">
        <f>AG154*'1. Standard_Cost'!$B$27+'Incremental_Cost Year 5'!AH154*'1. Standard_Cost'!$C$27+'Incremental_Cost Year 5'!AI154*'1. Standard_Cost'!$D$27+'Incremental_Cost Year 5'!AJ154+'Incremental_Cost Year 5'!AL154+AK154</f>
        <v>0</v>
      </c>
      <c r="AN154" s="108">
        <f>AM154*'1. Standard_Cost'!$C$31</f>
        <v>0</v>
      </c>
      <c r="AO154" s="125" t="s">
        <v>375</v>
      </c>
      <c r="AQ154" s="14">
        <f t="shared" si="153"/>
        <v>0</v>
      </c>
      <c r="AR154" s="14">
        <f t="shared" si="154"/>
        <v>0</v>
      </c>
      <c r="AS154" s="14">
        <f t="shared" si="155"/>
        <v>0</v>
      </c>
      <c r="AT154" s="14">
        <f t="shared" si="157"/>
        <v>0</v>
      </c>
      <c r="AU154" s="15">
        <v>0</v>
      </c>
      <c r="AV154" s="15"/>
      <c r="AW154" s="15"/>
      <c r="AX154" s="15"/>
      <c r="AY154" s="15"/>
      <c r="AZ154" s="15"/>
      <c r="BA154" s="15"/>
      <c r="BB154" s="16">
        <f t="shared" si="156"/>
        <v>0</v>
      </c>
    </row>
    <row r="155" spans="1:54" ht="31.2" outlineLevel="2">
      <c r="A155" s="98"/>
      <c r="B155" s="102"/>
      <c r="C155" s="23"/>
      <c r="D155" s="269"/>
      <c r="E155" s="271"/>
      <c r="F155" s="250"/>
      <c r="G155" s="255"/>
      <c r="H155" s="304" t="s">
        <v>489</v>
      </c>
      <c r="I155" s="104"/>
      <c r="J155" s="105"/>
      <c r="K155" s="105"/>
      <c r="L155" s="106" t="str">
        <f>IF(I155&lt;&gt;0,((VLOOKUP(I155,'1. Standard_Cost'!$B$4:$D$11,2)+VLOOKUP(I155,'1. Standard_Cost'!$B$4:$D$11,3))*J155*K155),"0")</f>
        <v>0</v>
      </c>
      <c r="M155" s="106">
        <f>L155*'1. Standard_Cost'!$F$4</f>
        <v>0</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c r="AB155" s="108">
        <f>+Z155*'[1]1. Standard_Cost'!$B$23+AA155*'[1]1. Standard_Cost'!$C$23</f>
        <v>0</v>
      </c>
      <c r="AC155" s="109"/>
      <c r="AD155" s="110"/>
      <c r="AE155" s="108">
        <f>SUM(AD155,AC155,AB155,Y155,U155,T155,S155,R155)*'[1]1. Standard_Cost'!$B$31</f>
        <v>0</v>
      </c>
      <c r="AF155" s="108">
        <f t="shared" si="152"/>
        <v>0</v>
      </c>
      <c r="AG155" s="107"/>
      <c r="AH155" s="107"/>
      <c r="AI155" s="107"/>
      <c r="AJ155" s="111"/>
      <c r="AK155" s="111"/>
      <c r="AL155" s="111"/>
      <c r="AM155" s="108">
        <f>AG155*'[1]1. Standard_Cost'!$B$27+'[1]Incremental_Cost Year 5'!AH155*'[1]1. Standard_Cost'!$C$27+'[1]Incremental_Cost Year 5'!AI155*'[1]1. Standard_Cost'!$D$27+'[1]Incremental_Cost Year 5'!AJ155+'[1]Incremental_Cost Year 5'!AL155+AK155</f>
        <v>0</v>
      </c>
      <c r="AN155" s="108">
        <f>AM155*'[1]1. Standard_Cost'!$C$31</f>
        <v>0</v>
      </c>
      <c r="AO155" s="125" t="s">
        <v>376</v>
      </c>
      <c r="AQ155" s="14">
        <f t="shared" si="153"/>
        <v>0</v>
      </c>
      <c r="AR155" s="14">
        <f t="shared" si="154"/>
        <v>0</v>
      </c>
      <c r="AS155" s="14">
        <f t="shared" si="155"/>
        <v>0</v>
      </c>
      <c r="AT155" s="14">
        <f t="shared" si="157"/>
        <v>0</v>
      </c>
      <c r="AU155" s="15">
        <v>0</v>
      </c>
      <c r="AV155" s="15"/>
      <c r="AW155" s="15"/>
      <c r="AX155" s="15"/>
      <c r="AY155" s="15"/>
      <c r="AZ155" s="15"/>
      <c r="BA155" s="15"/>
      <c r="BB155" s="16">
        <f t="shared" si="156"/>
        <v>0</v>
      </c>
    </row>
    <row r="156" spans="1:54" ht="78" outlineLevel="2">
      <c r="A156" s="98"/>
      <c r="B156" s="102"/>
      <c r="C156" s="23"/>
      <c r="D156" s="269"/>
      <c r="E156" s="271"/>
      <c r="F156" s="250"/>
      <c r="G156" s="255"/>
      <c r="H156" s="302" t="s">
        <v>497</v>
      </c>
      <c r="I156" s="104"/>
      <c r="J156" s="105"/>
      <c r="K156" s="105"/>
      <c r="L156" s="106" t="str">
        <f>IF(I156&lt;&gt;0,((VLOOKUP(I156,'1. Standard_Cost'!$B$4:$D$11,2)+VLOOKUP(I156,'1. Standard_Cost'!$B$4:$D$11,3))*J156*K156),"0")</f>
        <v>0</v>
      </c>
      <c r="M156" s="106">
        <f>L156*'1. Standard_Cost'!$F$4</f>
        <v>0</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c r="AB156" s="108">
        <f>+Z156*'1. Standard_Cost'!$B$23+AA156*'1. Standard_Cost'!$C$23</f>
        <v>0</v>
      </c>
      <c r="AC156" s="109"/>
      <c r="AD156" s="110"/>
      <c r="AE156" s="108">
        <f>SUM(AD156,AC156,AB156,Y156,U156,T156,S156,R156)*'1. Standard_Cost'!$B$31</f>
        <v>0</v>
      </c>
      <c r="AF156" s="108">
        <f t="shared" si="152"/>
        <v>0</v>
      </c>
      <c r="AG156" s="107"/>
      <c r="AH156" s="107"/>
      <c r="AI156" s="107"/>
      <c r="AJ156" s="111"/>
      <c r="AK156" s="111"/>
      <c r="AL156" s="111"/>
      <c r="AM156" s="108">
        <f>AG156*'1. Standard_Cost'!$B$27+'Incremental_Cost Year 5'!AH156*'1. Standard_Cost'!$C$27+'Incremental_Cost Year 5'!AI156*'1. Standard_Cost'!$D$27+'Incremental_Cost Year 5'!AJ156+'Incremental_Cost Year 5'!AL156+AK156</f>
        <v>0</v>
      </c>
      <c r="AN156" s="108">
        <f>AM156*'1. Standard_Cost'!$C$31</f>
        <v>0</v>
      </c>
      <c r="AO156" s="125" t="s">
        <v>377</v>
      </c>
      <c r="AQ156" s="14">
        <f t="shared" si="153"/>
        <v>0</v>
      </c>
      <c r="AR156" s="14">
        <f t="shared" si="154"/>
        <v>0</v>
      </c>
      <c r="AS156" s="14">
        <f t="shared" si="155"/>
        <v>0</v>
      </c>
      <c r="AT156" s="14">
        <f t="shared" si="157"/>
        <v>0</v>
      </c>
      <c r="AU156" s="15">
        <v>0</v>
      </c>
      <c r="AV156" s="15"/>
      <c r="AW156" s="15"/>
      <c r="AX156" s="15"/>
      <c r="AY156" s="15">
        <v>0</v>
      </c>
      <c r="AZ156" s="15">
        <v>0</v>
      </c>
      <c r="BA156" s="15"/>
      <c r="BB156" s="16">
        <f t="shared" si="156"/>
        <v>0</v>
      </c>
    </row>
    <row r="157" spans="1:54" ht="93.6" outlineLevel="2">
      <c r="A157" s="98"/>
      <c r="B157" s="102"/>
      <c r="C157" s="23"/>
      <c r="D157" s="269"/>
      <c r="E157" s="271"/>
      <c r="F157" s="250"/>
      <c r="G157" s="255"/>
      <c r="H157" s="302" t="s">
        <v>498</v>
      </c>
      <c r="I157" s="104"/>
      <c r="J157" s="105"/>
      <c r="K157" s="105"/>
      <c r="L157" s="106" t="str">
        <f>IF(I157&lt;&gt;0,((VLOOKUP(I157,'1. Standard_Cost'!$B$4:$D$11,2)+VLOOKUP(I157,'1. Standard_Cost'!$B$4:$D$11,3))*J157*K157),"0")</f>
        <v>0</v>
      </c>
      <c r="M157" s="106">
        <f>L157*'1. Standard_Cost'!$F$4</f>
        <v>0</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152"/>
        <v>0</v>
      </c>
      <c r="AG157" s="107"/>
      <c r="AH157" s="107"/>
      <c r="AI157" s="107"/>
      <c r="AJ157" s="111"/>
      <c r="AK157" s="111"/>
      <c r="AL157" s="111"/>
      <c r="AM157" s="108">
        <f>AG157*'1. Standard_Cost'!$B$27+'Incremental_Cost Year 5'!AH157*'1. Standard_Cost'!$C$27+'Incremental_Cost Year 5'!AI157*'1. Standard_Cost'!$D$27+'Incremental_Cost Year 5'!AJ157+'Incremental_Cost Year 5'!AL157+AK157</f>
        <v>0</v>
      </c>
      <c r="AN157" s="108">
        <f>AM157*'1. Standard_Cost'!$C$31</f>
        <v>0</v>
      </c>
      <c r="AO157" s="125" t="s">
        <v>378</v>
      </c>
      <c r="AQ157" s="14">
        <f t="shared" si="153"/>
        <v>0</v>
      </c>
      <c r="AR157" s="14">
        <f t="shared" si="154"/>
        <v>0</v>
      </c>
      <c r="AS157" s="14">
        <f t="shared" si="155"/>
        <v>0</v>
      </c>
      <c r="AT157" s="14">
        <f t="shared" si="157"/>
        <v>0</v>
      </c>
      <c r="AU157" s="15">
        <v>0</v>
      </c>
      <c r="AV157" s="15"/>
      <c r="AW157" s="15"/>
      <c r="AX157" s="15"/>
      <c r="AY157" s="15"/>
      <c r="AZ157" s="15"/>
      <c r="BA157" s="15"/>
      <c r="BB157" s="16">
        <f t="shared" si="156"/>
        <v>0</v>
      </c>
    </row>
    <row r="158" spans="1:54" ht="109.2" outlineLevel="2">
      <c r="A158" s="98"/>
      <c r="B158" s="102"/>
      <c r="C158" s="23"/>
      <c r="D158" s="269"/>
      <c r="E158" s="271"/>
      <c r="F158" s="250"/>
      <c r="G158" s="255"/>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12</v>
      </c>
      <c r="AB158" s="108">
        <f>+Z158*'1. Standard_Cost'!$B$23+AA158*'1. Standard_Cost'!$C$23</f>
        <v>228000</v>
      </c>
      <c r="AC158" s="109">
        <f>10*15*3500+10*15*300</f>
        <v>570000</v>
      </c>
      <c r="AD158" s="110"/>
      <c r="AE158" s="108">
        <f>SUM(AD158,AC158,AB158,Y158,U158,T158,S158,R158)*'1. Standard_Cost'!$B$31</f>
        <v>159600</v>
      </c>
      <c r="AF158" s="108">
        <f t="shared" si="152"/>
        <v>957600</v>
      </c>
      <c r="AG158" s="107"/>
      <c r="AH158" s="107"/>
      <c r="AI158" s="107"/>
      <c r="AJ158" s="111"/>
      <c r="AK158" s="111"/>
      <c r="AL158" s="111"/>
      <c r="AM158" s="108">
        <f>AG158*'1. Standard_Cost'!$B$27+'Incremental_Cost Year 5'!AH158*'1. Standard_Cost'!$C$27+'Incremental_Cost Year 5'!AI158*'1. Standard_Cost'!$D$27+'Incremental_Cost Year 5'!AJ158+'Incremental_Cost Year 5'!AL158+AK158</f>
        <v>0</v>
      </c>
      <c r="AN158" s="108">
        <f>AM158*'1. Standard_Cost'!$C$31</f>
        <v>0</v>
      </c>
      <c r="AO158" s="125" t="s">
        <v>379</v>
      </c>
      <c r="AQ158" s="14">
        <f t="shared" si="153"/>
        <v>37694.1</v>
      </c>
      <c r="AR158" s="14">
        <f t="shared" si="154"/>
        <v>957600</v>
      </c>
      <c r="AS158" s="14">
        <f t="shared" si="155"/>
        <v>0</v>
      </c>
      <c r="AT158" s="14">
        <f t="shared" si="157"/>
        <v>995294.1</v>
      </c>
      <c r="AU158" s="15">
        <v>37694.1</v>
      </c>
      <c r="AV158" s="15"/>
      <c r="AW158" s="15"/>
      <c r="AX158" s="15"/>
      <c r="AY158" s="15"/>
      <c r="AZ158" s="15"/>
      <c r="BA158" s="15"/>
      <c r="BB158" s="16">
        <f t="shared" si="156"/>
        <v>-957600</v>
      </c>
    </row>
    <row r="159" spans="1:54" ht="124.8" outlineLevel="2">
      <c r="A159" s="98"/>
      <c r="B159" s="102"/>
      <c r="C159" s="23"/>
      <c r="D159" s="269"/>
      <c r="E159" s="271"/>
      <c r="F159" s="250"/>
      <c r="G159" s="255"/>
      <c r="H159" s="302" t="s">
        <v>500</v>
      </c>
      <c r="I159" s="104"/>
      <c r="J159" s="105"/>
      <c r="K159" s="105"/>
      <c r="L159" s="106" t="str">
        <f>IF(I159&lt;&gt;0,((VLOOKUP(I159,'1. Standard_Cost'!$B$4:$D$11,2)+VLOOKUP(I159,'1. Standard_Cost'!$B$4:$D$11,3))*J159*K159),"0")</f>
        <v>0</v>
      </c>
      <c r="M159" s="106">
        <f>L159*'1. Standard_Cost'!$F$4</f>
        <v>0</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c r="AB159" s="108">
        <f>+Z159*'1. Standard_Cost'!$B$23+AA159*'1. Standard_Cost'!$C$23</f>
        <v>0</v>
      </c>
      <c r="AC159" s="109"/>
      <c r="AD159" s="110"/>
      <c r="AE159" s="108">
        <f>SUM(AD159,AC159,AB159,Y159,U159,T159,S159,R159)*'1. Standard_Cost'!$B$31</f>
        <v>0</v>
      </c>
      <c r="AF159" s="108">
        <f t="shared" si="152"/>
        <v>0</v>
      </c>
      <c r="AG159" s="107"/>
      <c r="AH159" s="107"/>
      <c r="AI159" s="107"/>
      <c r="AJ159" s="111"/>
      <c r="AK159" s="111"/>
      <c r="AL159" s="111"/>
      <c r="AM159" s="108">
        <f>AG159*'1. Standard_Cost'!$B$27+'Incremental_Cost Year 5'!AH159*'1. Standard_Cost'!$C$27+'Incremental_Cost Year 5'!AI159*'1. Standard_Cost'!$D$27+'Incremental_Cost Year 5'!AJ159+'Incremental_Cost Year 5'!AL159+AK159</f>
        <v>0</v>
      </c>
      <c r="AN159" s="108">
        <f>AM159*'1. Standard_Cost'!$C$31</f>
        <v>0</v>
      </c>
      <c r="AO159" s="125" t="s">
        <v>380</v>
      </c>
      <c r="AQ159" s="14">
        <f t="shared" si="153"/>
        <v>0</v>
      </c>
      <c r="AR159" s="14">
        <f t="shared" si="154"/>
        <v>0</v>
      </c>
      <c r="AS159" s="14">
        <f t="shared" si="155"/>
        <v>0</v>
      </c>
      <c r="AT159" s="14">
        <f t="shared" si="157"/>
        <v>0</v>
      </c>
      <c r="AU159" s="15">
        <v>0</v>
      </c>
      <c r="AV159" s="15"/>
      <c r="AW159" s="15"/>
      <c r="AX159" s="15"/>
      <c r="AY159" s="15"/>
      <c r="AZ159" s="15"/>
      <c r="BA159" s="15"/>
      <c r="BB159" s="16">
        <f t="shared" si="156"/>
        <v>0</v>
      </c>
    </row>
    <row r="160" spans="1:54" ht="62.4" outlineLevel="2">
      <c r="A160" s="98"/>
      <c r="B160" s="102"/>
      <c r="C160" s="23"/>
      <c r="D160" s="269"/>
      <c r="E160" s="271"/>
      <c r="F160" s="250"/>
      <c r="G160" s="177"/>
      <c r="H160" s="302" t="s">
        <v>501</v>
      </c>
      <c r="I160" s="104"/>
      <c r="J160" s="105"/>
      <c r="K160" s="105"/>
      <c r="L160" s="106" t="str">
        <f>IF(I160&lt;&gt;0,((VLOOKUP(I160,'1. Standard_Cost'!$B$4:$D$11,2)+VLOOKUP(I160,'1. Standard_Cost'!$B$4:$D$11,3))*J160*K160),"0")</f>
        <v>0</v>
      </c>
      <c r="M160" s="106">
        <f>L160*'1. Standard_Cost'!$F$4</f>
        <v>0</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c r="AB160" s="108">
        <f>+Z160*'1. Standard_Cost'!$B$23+AA160*'1. Standard_Cost'!$C$23</f>
        <v>0</v>
      </c>
      <c r="AC160" s="109"/>
      <c r="AD160" s="110"/>
      <c r="AE160" s="108">
        <f>SUM(AD160,AC160,AB160,Y160,U160,T160,S160,R160)*'1. Standard_Cost'!$B$31</f>
        <v>0</v>
      </c>
      <c r="AF160" s="108">
        <f t="shared" si="152"/>
        <v>0</v>
      </c>
      <c r="AG160" s="107"/>
      <c r="AH160" s="107"/>
      <c r="AI160" s="107"/>
      <c r="AJ160" s="111"/>
      <c r="AK160" s="111"/>
      <c r="AL160" s="111"/>
      <c r="AM160" s="108">
        <f>AG160*'1. Standard_Cost'!$B$27+'Incremental_Cost Year 5'!AH160*'1. Standard_Cost'!$C$27+'Incremental_Cost Year 5'!AI160*'1. Standard_Cost'!$D$27+'Incremental_Cost Year 5'!AJ160+'Incremental_Cost Year 5'!AL160+AK160</f>
        <v>0</v>
      </c>
      <c r="AN160" s="108">
        <f>AM160*'1. Standard_Cost'!$C$31</f>
        <v>0</v>
      </c>
      <c r="AO160" s="125" t="s">
        <v>381</v>
      </c>
      <c r="AQ160" s="14">
        <f t="shared" si="153"/>
        <v>0</v>
      </c>
      <c r="AR160" s="14">
        <f t="shared" si="154"/>
        <v>0</v>
      </c>
      <c r="AS160" s="14">
        <f t="shared" si="155"/>
        <v>0</v>
      </c>
      <c r="AT160" s="14">
        <f t="shared" si="157"/>
        <v>0</v>
      </c>
      <c r="AU160" s="15">
        <v>0</v>
      </c>
      <c r="AV160" s="15"/>
      <c r="AW160" s="15"/>
      <c r="AX160" s="15"/>
      <c r="AY160" s="15"/>
      <c r="AZ160" s="15"/>
      <c r="BA160" s="15"/>
      <c r="BB160" s="16">
        <f t="shared" si="156"/>
        <v>0</v>
      </c>
    </row>
    <row r="161" spans="1:54" ht="78" outlineLevel="2">
      <c r="A161" s="98"/>
      <c r="B161" s="102"/>
      <c r="C161" s="23"/>
      <c r="D161" s="269"/>
      <c r="E161" s="271"/>
      <c r="F161" s="250"/>
      <c r="G161" s="255"/>
      <c r="H161" s="302" t="s">
        <v>502</v>
      </c>
      <c r="I161" s="104"/>
      <c r="J161" s="105"/>
      <c r="K161" s="105"/>
      <c r="L161" s="106" t="str">
        <f>IF(I161&lt;&gt;0,((VLOOKUP(I161,'1. Standard_Cost'!$B$4:$D$11,2)+VLOOKUP(I161,'1. Standard_Cost'!$B$4:$D$11,3))*J161*K161),"0")</f>
        <v>0</v>
      </c>
      <c r="M161" s="106">
        <f>L161*'1. Standard_Cost'!$F$4</f>
        <v>0</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c r="AD161" s="110"/>
      <c r="AE161" s="108">
        <f>SUM(AD161,AC161,AB161,Y161,U161,T161,S161,R161)*'1. Standard_Cost'!$B$31</f>
        <v>0</v>
      </c>
      <c r="AF161" s="108">
        <f t="shared" si="152"/>
        <v>0</v>
      </c>
      <c r="AG161" s="107"/>
      <c r="AH161" s="107"/>
      <c r="AI161" s="107"/>
      <c r="AJ161" s="111"/>
      <c r="AK161" s="111"/>
      <c r="AL161" s="111"/>
      <c r="AM161" s="108">
        <f>AG161*'1. Standard_Cost'!$B$27+'Incremental_Cost Year 5'!AH161*'1. Standard_Cost'!$C$27+'Incremental_Cost Year 5'!AI161*'1. Standard_Cost'!$D$27+'Incremental_Cost Year 5'!AJ161+'Incremental_Cost Year 5'!AL161+AK161</f>
        <v>0</v>
      </c>
      <c r="AN161" s="108">
        <f>AM161*'1. Standard_Cost'!$C$31</f>
        <v>0</v>
      </c>
      <c r="AO161" s="125" t="s">
        <v>277</v>
      </c>
      <c r="AQ161" s="14">
        <f t="shared" si="153"/>
        <v>0</v>
      </c>
      <c r="AR161" s="14">
        <f t="shared" si="154"/>
        <v>0</v>
      </c>
      <c r="AS161" s="14">
        <f t="shared" si="155"/>
        <v>0</v>
      </c>
      <c r="AT161" s="14">
        <f t="shared" si="157"/>
        <v>0</v>
      </c>
      <c r="AU161" s="15">
        <v>0</v>
      </c>
      <c r="AV161" s="15"/>
      <c r="AW161" s="15"/>
      <c r="AX161" s="15"/>
      <c r="AY161" s="15"/>
      <c r="AZ161" s="15"/>
      <c r="BA161" s="15"/>
      <c r="BB161" s="16">
        <f t="shared" si="156"/>
        <v>0</v>
      </c>
    </row>
    <row r="162" spans="1:54" ht="93.6" outlineLevel="2">
      <c r="A162" s="98"/>
      <c r="B162" s="102"/>
      <c r="C162" s="23"/>
      <c r="D162" s="251"/>
      <c r="E162" s="251"/>
      <c r="F162" s="251"/>
      <c r="G162" s="250"/>
      <c r="H162" s="302" t="s">
        <v>503</v>
      </c>
      <c r="I162" s="104"/>
      <c r="J162" s="105"/>
      <c r="K162" s="105"/>
      <c r="L162" s="106" t="str">
        <f>IF(I162&lt;&gt;0,((VLOOKUP(I162,'1. Standard_Cost'!$B$4:$D$11,2)+VLOOKUP(I162,'1. Standard_Cost'!$B$4:$D$11,3))*J162*K162),"0")</f>
        <v>0</v>
      </c>
      <c r="M162" s="106">
        <f>L162*'1. Standard_Cost'!$F$4</f>
        <v>0</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c r="AB162" s="108">
        <f>+Z162*'1. Standard_Cost'!$B$23+AA162*'1. Standard_Cost'!$C$23</f>
        <v>0</v>
      </c>
      <c r="AC162" s="109"/>
      <c r="AD162" s="110"/>
      <c r="AE162" s="108">
        <f>SUM(AD162,AC162,AB162,Y162,U162,T162,S162,R162)*'1. Standard_Cost'!$B$31</f>
        <v>0</v>
      </c>
      <c r="AF162" s="108">
        <f t="shared" si="152"/>
        <v>0</v>
      </c>
      <c r="AG162" s="107"/>
      <c r="AH162" s="107"/>
      <c r="AI162" s="107"/>
      <c r="AJ162" s="111"/>
      <c r="AK162" s="111"/>
      <c r="AL162" s="111"/>
      <c r="AM162" s="108">
        <f>AG162*'1. Standard_Cost'!$B$27+'Incremental_Cost Year 5'!AH162*'1. Standard_Cost'!$C$27+'Incremental_Cost Year 5'!AI162*'1. Standard_Cost'!$D$27+'Incremental_Cost Year 5'!AJ162+'Incremental_Cost Year 5'!AL162+AK162</f>
        <v>0</v>
      </c>
      <c r="AN162" s="108">
        <f>AM162*'1. Standard_Cost'!$C$31</f>
        <v>0</v>
      </c>
      <c r="AO162" s="125" t="s">
        <v>382</v>
      </c>
      <c r="AQ162" s="14">
        <f t="shared" si="153"/>
        <v>0</v>
      </c>
      <c r="AR162" s="14">
        <f t="shared" si="154"/>
        <v>0</v>
      </c>
      <c r="AS162" s="14">
        <f t="shared" si="155"/>
        <v>0</v>
      </c>
      <c r="AT162" s="14">
        <f t="shared" si="157"/>
        <v>0</v>
      </c>
      <c r="AU162" s="15">
        <v>0</v>
      </c>
      <c r="AV162" s="15"/>
      <c r="AW162" s="15"/>
      <c r="AX162" s="15"/>
      <c r="AY162" s="15"/>
      <c r="AZ162" s="15"/>
      <c r="BA162" s="15"/>
      <c r="BB162" s="16">
        <f t="shared" si="156"/>
        <v>0</v>
      </c>
    </row>
    <row r="163" spans="1:54" ht="32.25" customHeight="1" outlineLevel="2">
      <c r="A163" s="98"/>
      <c r="B163" s="102"/>
      <c r="C163" s="23"/>
      <c r="D163" s="251"/>
      <c r="E163" s="251"/>
      <c r="F163" s="251"/>
      <c r="G163" s="250"/>
      <c r="H163" s="302" t="s">
        <v>504</v>
      </c>
      <c r="I163" s="104"/>
      <c r="J163" s="105"/>
      <c r="K163" s="105"/>
      <c r="L163" s="106" t="str">
        <f>IF(I163&lt;&gt;0,((VLOOKUP(I163,'1. Standard_Cost'!$B$4:$D$11,2)+VLOOKUP(I163,'1. Standard_Cost'!$B$4:$D$11,3))*J163*K163),"0")</f>
        <v>0</v>
      </c>
      <c r="M163" s="106">
        <f>L163*'1. Standard_Cost'!$F$4</f>
        <v>0</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152"/>
        <v>0</v>
      </c>
      <c r="AG163" s="107"/>
      <c r="AH163" s="107"/>
      <c r="AI163" s="107"/>
      <c r="AJ163" s="111"/>
      <c r="AK163" s="111"/>
      <c r="AL163" s="111"/>
      <c r="AM163" s="108">
        <f>AG163*'1. Standard_Cost'!$B$27+'Incremental_Cost Year 5'!AH163*'1. Standard_Cost'!$C$27+'Incremental_Cost Year 5'!AI163*'1. Standard_Cost'!$D$27+'Incremental_Cost Year 5'!AJ163+'Incremental_Cost Year 5'!AL163+AK163</f>
        <v>0</v>
      </c>
      <c r="AN163" s="108">
        <f>AM163*'1. Standard_Cost'!$C$31</f>
        <v>0</v>
      </c>
      <c r="AO163" s="125" t="s">
        <v>383</v>
      </c>
      <c r="AQ163" s="14">
        <f t="shared" si="153"/>
        <v>0</v>
      </c>
      <c r="AR163" s="14">
        <f t="shared" si="154"/>
        <v>0</v>
      </c>
      <c r="AS163" s="14">
        <f t="shared" si="155"/>
        <v>0</v>
      </c>
      <c r="AT163" s="14">
        <f t="shared" si="157"/>
        <v>0</v>
      </c>
      <c r="AU163" s="15">
        <v>0</v>
      </c>
      <c r="AV163" s="15"/>
      <c r="AW163" s="15"/>
      <c r="AX163" s="15"/>
      <c r="AY163" s="15"/>
      <c r="AZ163" s="15"/>
      <c r="BA163" s="15"/>
      <c r="BB163" s="16">
        <f t="shared" si="156"/>
        <v>0</v>
      </c>
    </row>
    <row r="164" spans="1:54" ht="45" customHeight="1" outlineLevel="2">
      <c r="A164" s="98"/>
      <c r="B164" s="102"/>
      <c r="C164" s="23"/>
      <c r="D164" s="251"/>
      <c r="E164" s="251"/>
      <c r="F164" s="251"/>
      <c r="G164" s="250"/>
      <c r="H164" s="302" t="s">
        <v>505</v>
      </c>
      <c r="I164" s="104"/>
      <c r="J164" s="105"/>
      <c r="K164" s="105"/>
      <c r="L164" s="106" t="str">
        <f>IF(I164&lt;&gt;0,((VLOOKUP(I164,'1. Standard_Cost'!$B$4:$D$11,2)+VLOOKUP(I164,'1. Standard_Cost'!$B$4:$D$11,3))*J164*K164),"0")</f>
        <v>0</v>
      </c>
      <c r="M164" s="106">
        <f>L164*'1. Standard_Cost'!$F$4</f>
        <v>0</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c r="AB164" s="108">
        <f>+Z164*'1. Standard_Cost'!$B$23+AA164*'1. Standard_Cost'!$C$23</f>
        <v>0</v>
      </c>
      <c r="AC164" s="109"/>
      <c r="AD164" s="110"/>
      <c r="AE164" s="108">
        <f>SUM(AD164,AC164,AB164,Y164,U164,T164,S164,R164)*'1. Standard_Cost'!$B$31</f>
        <v>0</v>
      </c>
      <c r="AF164" s="108">
        <f t="shared" si="152"/>
        <v>0</v>
      </c>
      <c r="AG164" s="107"/>
      <c r="AH164" s="107"/>
      <c r="AI164" s="107"/>
      <c r="AJ164" s="111"/>
      <c r="AK164" s="111"/>
      <c r="AL164" s="111"/>
      <c r="AM164" s="108">
        <f>AG164*'1. Standard_Cost'!$B$27+'Incremental_Cost Year 5'!AH164*'1. Standard_Cost'!$C$27+'Incremental_Cost Year 5'!AI164*'1. Standard_Cost'!$D$27+'Incremental_Cost Year 5'!AJ164+'Incremental_Cost Year 5'!AL164+AK164</f>
        <v>0</v>
      </c>
      <c r="AN164" s="108">
        <f>AM164*'1. Standard_Cost'!$C$31</f>
        <v>0</v>
      </c>
      <c r="AO164" s="125" t="s">
        <v>384</v>
      </c>
      <c r="AQ164" s="14">
        <f t="shared" si="153"/>
        <v>0</v>
      </c>
      <c r="AR164" s="14">
        <f t="shared" si="154"/>
        <v>0</v>
      </c>
      <c r="AS164" s="14">
        <f t="shared" si="155"/>
        <v>0</v>
      </c>
      <c r="AT164" s="14">
        <f t="shared" si="157"/>
        <v>0</v>
      </c>
      <c r="AU164" s="15">
        <v>0</v>
      </c>
      <c r="AV164" s="15"/>
      <c r="AW164" s="15"/>
      <c r="AX164" s="15"/>
      <c r="AY164" s="15"/>
      <c r="AZ164" s="15"/>
      <c r="BA164" s="15"/>
      <c r="BB164" s="16">
        <f t="shared" si="156"/>
        <v>0</v>
      </c>
    </row>
    <row r="165" spans="1:54" ht="124.8" outlineLevel="2">
      <c r="A165" s="98"/>
      <c r="B165" s="102"/>
      <c r="C165" s="23"/>
      <c r="D165" s="251"/>
      <c r="E165" s="251"/>
      <c r="F165" s="251"/>
      <c r="G165" s="250"/>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f>56000000*1.05*1.05*1.05*1.05</f>
        <v>68068350</v>
      </c>
      <c r="AD165" s="110"/>
      <c r="AE165" s="108">
        <f>SUM(AD165,AC165,AB165,Y165,U165,T165,S165,R165)*'1. Standard_Cost'!$B$31</f>
        <v>13613670</v>
      </c>
      <c r="AF165" s="108">
        <f t="shared" si="152"/>
        <v>81682020</v>
      </c>
      <c r="AG165" s="107">
        <v>0</v>
      </c>
      <c r="AH165" s="107"/>
      <c r="AI165" s="107"/>
      <c r="AJ165" s="111"/>
      <c r="AK165" s="111"/>
      <c r="AL165" s="111"/>
      <c r="AM165" s="108">
        <f>AG165*'1. Standard_Cost'!$B$27+'Incremental_Cost Year 5'!AH165*'1. Standard_Cost'!$C$27+'Incremental_Cost Year 5'!AI165*'1. Standard_Cost'!$D$27+'Incremental_Cost Year 5'!AJ165+'Incremental_Cost Year 5'!AL165+AK165</f>
        <v>0</v>
      </c>
      <c r="AN165" s="108">
        <f>AM165*'1. Standard_Cost'!$C$31</f>
        <v>0</v>
      </c>
      <c r="AO165" s="125" t="s">
        <v>385</v>
      </c>
      <c r="AQ165" s="14">
        <f t="shared" si="153"/>
        <v>282705.75</v>
      </c>
      <c r="AR165" s="14">
        <f t="shared" si="154"/>
        <v>81682020</v>
      </c>
      <c r="AS165" s="14">
        <f t="shared" si="155"/>
        <v>0</v>
      </c>
      <c r="AT165" s="14">
        <f t="shared" si="157"/>
        <v>81964725.75</v>
      </c>
      <c r="AU165" s="15">
        <v>81964725.75</v>
      </c>
      <c r="AV165" s="15"/>
      <c r="AW165" s="15"/>
      <c r="AX165" s="15"/>
      <c r="AY165" s="15"/>
      <c r="AZ165" s="15"/>
      <c r="BA165" s="15"/>
      <c r="BB165" s="16">
        <f t="shared" si="156"/>
        <v>0</v>
      </c>
    </row>
    <row r="166" spans="1:54" ht="161.4" customHeight="1" outlineLevel="2">
      <c r="A166" s="98"/>
      <c r="B166" s="102"/>
      <c r="C166" s="23"/>
      <c r="D166" s="251"/>
      <c r="E166" s="251"/>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0</v>
      </c>
      <c r="AD166" s="110"/>
      <c r="AE166" s="108">
        <f>SUM(AD166,AC166,AB166,Y166,U166,T166,S166,R166)*'[1]1. Standard_Cost'!$B$31</f>
        <v>0</v>
      </c>
      <c r="AF166" s="108">
        <f t="shared" si="152"/>
        <v>0</v>
      </c>
      <c r="AG166" s="107"/>
      <c r="AH166" s="107"/>
      <c r="AI166" s="107"/>
      <c r="AJ166" s="111"/>
      <c r="AK166" s="111"/>
      <c r="AL166" s="111"/>
      <c r="AM166" s="108">
        <f>AG166*'[1]1. Standard_Cost'!$B$27+'[1]Incremental_Cost Year 5'!AH166*'[1]1. Standard_Cost'!$C$27+'[1]Incremental_Cost Year 5'!AI166*'[1]1. Standard_Cost'!$D$27+'[1]Incremental_Cost Year 5'!AJ166+'[1]Incremental_Cost Year 5'!AL166+AK166</f>
        <v>0</v>
      </c>
      <c r="AN166" s="108">
        <f>AM166*'[1]1. Standard_Cost'!$C$31</f>
        <v>0</v>
      </c>
      <c r="AO166" s="125" t="s">
        <v>509</v>
      </c>
      <c r="AQ166" s="14">
        <f t="shared" si="153"/>
        <v>0</v>
      </c>
      <c r="AR166" s="14">
        <f t="shared" si="154"/>
        <v>0</v>
      </c>
      <c r="AS166" s="14">
        <f t="shared" si="155"/>
        <v>0</v>
      </c>
      <c r="AT166" s="14">
        <f t="shared" si="157"/>
        <v>0</v>
      </c>
      <c r="AU166" s="15"/>
      <c r="AV166" s="15"/>
      <c r="AW166" s="15"/>
      <c r="AX166" s="15"/>
      <c r="AY166" s="15">
        <v>0</v>
      </c>
      <c r="AZ166" s="15">
        <v>0</v>
      </c>
      <c r="BA166" s="15"/>
      <c r="BB166" s="16">
        <f t="shared" si="156"/>
        <v>0</v>
      </c>
    </row>
    <row r="167" spans="1:54" ht="32.25" customHeight="1" outlineLevel="2">
      <c r="A167" s="98"/>
      <c r="B167" s="102"/>
      <c r="C167" s="23"/>
      <c r="D167" s="251"/>
      <c r="E167" s="251"/>
      <c r="F167" s="251"/>
      <c r="G167" s="250"/>
      <c r="H167" s="302" t="s">
        <v>508</v>
      </c>
      <c r="I167" s="104"/>
      <c r="J167" s="105"/>
      <c r="K167" s="105"/>
      <c r="L167" s="106" t="str">
        <f>IF(I167&lt;&gt;0,((VLOOKUP(I167,'1. Standard_Cost'!$B$4:$D$11,2)+VLOOKUP(I167,'1. Standard_Cost'!$B$4:$D$11,3))*J167*K167),"0")</f>
        <v>0</v>
      </c>
      <c r="M167" s="106">
        <f>L167*'1. Standard_Cost'!$F$4</f>
        <v>0</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c r="AB167" s="108">
        <f>+Z167*'1. Standard_Cost'!$B$23+AA167*'1. Standard_Cost'!$C$23</f>
        <v>0</v>
      </c>
      <c r="AC167" s="109">
        <v>0</v>
      </c>
      <c r="AD167" s="110"/>
      <c r="AE167" s="108">
        <f>SUM(AD167,AC167,AB167,Y167,U167,T167,S167,R167)*'1. Standard_Cost'!$B$31</f>
        <v>0</v>
      </c>
      <c r="AF167" s="108">
        <f t="shared" si="152"/>
        <v>0</v>
      </c>
      <c r="AG167" s="107"/>
      <c r="AH167" s="107"/>
      <c r="AI167" s="107"/>
      <c r="AJ167" s="111"/>
      <c r="AK167" s="111"/>
      <c r="AL167" s="111"/>
      <c r="AM167" s="108">
        <f>AG167*'1. Standard_Cost'!$B$27+'Incremental_Cost Year 5'!AH167*'1. Standard_Cost'!$C$27+'Incremental_Cost Year 5'!AI167*'1. Standard_Cost'!$D$27+'Incremental_Cost Year 5'!AJ167+'Incremental_Cost Year 5'!AL167+AK167</f>
        <v>0</v>
      </c>
      <c r="AN167" s="108">
        <f>AM167*'1. Standard_Cost'!$C$31</f>
        <v>0</v>
      </c>
      <c r="AO167" s="137" t="s">
        <v>386</v>
      </c>
      <c r="AQ167" s="14">
        <f t="shared" si="153"/>
        <v>0</v>
      </c>
      <c r="AR167" s="14">
        <f t="shared" si="154"/>
        <v>0</v>
      </c>
      <c r="AS167" s="14">
        <f t="shared" si="155"/>
        <v>0</v>
      </c>
      <c r="AT167" s="14">
        <f t="shared" si="157"/>
        <v>0</v>
      </c>
      <c r="AU167" s="15">
        <v>0</v>
      </c>
      <c r="AV167" s="15"/>
      <c r="AW167" s="15"/>
      <c r="AX167" s="15"/>
      <c r="AY167" s="15"/>
      <c r="AZ167" s="15"/>
      <c r="BA167" s="15"/>
      <c r="BB167" s="16">
        <f t="shared" si="156"/>
        <v>0</v>
      </c>
    </row>
    <row r="168" spans="1:54" ht="110.4" outlineLevel="1">
      <c r="A168" s="98"/>
      <c r="B168" s="102"/>
      <c r="C168" s="23"/>
      <c r="D168" s="56" t="s">
        <v>637</v>
      </c>
      <c r="E168" s="56" t="s">
        <v>234</v>
      </c>
      <c r="F168" s="253">
        <v>2021</v>
      </c>
      <c r="G168" s="254">
        <v>2026</v>
      </c>
      <c r="H168" s="279" t="s">
        <v>189</v>
      </c>
      <c r="I168" s="112"/>
      <c r="J168" s="112"/>
      <c r="K168" s="112"/>
      <c r="L168" s="113">
        <f>SUM(L144:L167)</f>
        <v>9076250</v>
      </c>
      <c r="M168" s="113">
        <f>SUM(M144:M167)</f>
        <v>1515733.7500000002</v>
      </c>
      <c r="N168" s="112"/>
      <c r="O168" s="112"/>
      <c r="P168" s="112"/>
      <c r="Q168" s="112"/>
      <c r="R168" s="113">
        <f t="shared" ref="R168:U168" si="158">SUM(R144:R167)</f>
        <v>100000</v>
      </c>
      <c r="S168" s="113">
        <f t="shared" si="158"/>
        <v>300000</v>
      </c>
      <c r="T168" s="113">
        <f t="shared" si="158"/>
        <v>125000</v>
      </c>
      <c r="U168" s="113">
        <f t="shared" si="158"/>
        <v>160000</v>
      </c>
      <c r="V168" s="112"/>
      <c r="W168" s="112"/>
      <c r="X168" s="112"/>
      <c r="Y168" s="113">
        <f>SUM(Y144:Y167)</f>
        <v>0</v>
      </c>
      <c r="Z168" s="113"/>
      <c r="AA168" s="112"/>
      <c r="AB168" s="113">
        <f t="shared" ref="AB168:AF168" si="159">SUM(AB144:AB167)</f>
        <v>646000</v>
      </c>
      <c r="AC168" s="113">
        <f t="shared" si="159"/>
        <v>71396350</v>
      </c>
      <c r="AD168" s="113">
        <f t="shared" si="159"/>
        <v>0</v>
      </c>
      <c r="AE168" s="113">
        <f t="shared" si="159"/>
        <v>14062270</v>
      </c>
      <c r="AF168" s="113">
        <f t="shared" si="159"/>
        <v>86789620</v>
      </c>
      <c r="AG168" s="112"/>
      <c r="AH168" s="112"/>
      <c r="AI168" s="112"/>
      <c r="AJ168" s="113">
        <f t="shared" ref="AJ168:AL168" si="160">SUM(AJ144:AJ167)</f>
        <v>0</v>
      </c>
      <c r="AK168" s="113">
        <f t="shared" si="160"/>
        <v>0</v>
      </c>
      <c r="AL168" s="113">
        <f t="shared" si="160"/>
        <v>0</v>
      </c>
      <c r="AM168" s="113">
        <f t="shared" ref="AM168:AN168" si="161">SUM(AM144:AM167)</f>
        <v>0</v>
      </c>
      <c r="AN168" s="113">
        <f t="shared" si="161"/>
        <v>0</v>
      </c>
      <c r="AO168" s="131"/>
      <c r="AP168" s="17"/>
      <c r="AQ168" s="113">
        <f t="shared" ref="AQ168:BB168" si="162">SUM(AQ144:AQ167)</f>
        <v>10591983.75</v>
      </c>
      <c r="AR168" s="113">
        <f t="shared" si="162"/>
        <v>86789620</v>
      </c>
      <c r="AS168" s="113">
        <f t="shared" si="162"/>
        <v>0</v>
      </c>
      <c r="AT168" s="113">
        <f t="shared" si="162"/>
        <v>97381603.75</v>
      </c>
      <c r="AU168" s="113">
        <f t="shared" si="162"/>
        <v>94008003.75</v>
      </c>
      <c r="AV168" s="113">
        <f t="shared" si="162"/>
        <v>0</v>
      </c>
      <c r="AW168" s="113">
        <f t="shared" si="162"/>
        <v>0</v>
      </c>
      <c r="AX168" s="113">
        <f t="shared" si="162"/>
        <v>0</v>
      </c>
      <c r="AY168" s="113">
        <f t="shared" si="162"/>
        <v>0</v>
      </c>
      <c r="AZ168" s="113">
        <f t="shared" si="162"/>
        <v>0</v>
      </c>
      <c r="BA168" s="113">
        <f t="shared" si="162"/>
        <v>0</v>
      </c>
      <c r="BB168" s="113">
        <f t="shared" si="162"/>
        <v>-3373600</v>
      </c>
    </row>
    <row r="169" spans="1:54" ht="93.6" outlineLevel="2">
      <c r="A169" s="98"/>
      <c r="B169" s="102"/>
      <c r="C169" s="23"/>
      <c r="D169" s="257"/>
      <c r="E169" s="123"/>
      <c r="F169" s="249"/>
      <c r="G169" s="283"/>
      <c r="H169" s="302" t="s">
        <v>511</v>
      </c>
      <c r="I169" s="104"/>
      <c r="J169" s="105"/>
      <c r="K169" s="105"/>
      <c r="L169" s="106" t="str">
        <f>IF(I169&lt;&gt;0,((VLOOKUP(I169,'1. Standard_Cost'!$B$4:$D$11,2)+VLOOKUP(I169,'1. Standard_Cost'!$B$4:$D$11,3))*J169*K169),"0")</f>
        <v>0</v>
      </c>
      <c r="M169" s="106">
        <f>L169*'1. Standard_Cost'!$F$4</f>
        <v>0</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c r="AB169" s="108">
        <f>+Z169*'1. Standard_Cost'!$B$23+AA169*'1. Standard_Cost'!$C$23</f>
        <v>0</v>
      </c>
      <c r="AC169" s="109"/>
      <c r="AD169" s="110"/>
      <c r="AE169" s="108">
        <f>SUM(AD169,AC169,AB169,Y169,U169,T169,S169,R169)*'1. Standard_Cost'!$B$31</f>
        <v>0</v>
      </c>
      <c r="AF169" s="108">
        <f t="shared" ref="AF169:AF177" si="163">SUM(AE169,AD169,AC169,AB169,Y169,U169,T169,S169,R169)</f>
        <v>0</v>
      </c>
      <c r="AG169" s="107"/>
      <c r="AH169" s="107"/>
      <c r="AI169" s="107"/>
      <c r="AJ169" s="111"/>
      <c r="AK169" s="111"/>
      <c r="AL169" s="111"/>
      <c r="AM169" s="108">
        <f>AG169*'1. Standard_Cost'!$B$27+'Incremental_Cost Year 5'!AH169*'1. Standard_Cost'!$C$27+'Incremental_Cost Year 5'!AI169*'1. Standard_Cost'!$D$27+'Incremental_Cost Year 5'!AJ169+'Incremental_Cost Year 5'!AL169+AK169</f>
        <v>0</v>
      </c>
      <c r="AN169" s="108">
        <f>AM169*'1. Standard_Cost'!$C$31</f>
        <v>0</v>
      </c>
      <c r="AO169" s="125" t="s">
        <v>387</v>
      </c>
      <c r="AQ169" s="14">
        <f t="shared" ref="AQ169:AQ177" si="164">L169+M169</f>
        <v>0</v>
      </c>
      <c r="AR169" s="14">
        <f t="shared" ref="AR169:AR177" si="165">AF169</f>
        <v>0</v>
      </c>
      <c r="AS169" s="14">
        <f t="shared" ref="AS169:AS177" si="166">AM169+AN169</f>
        <v>0</v>
      </c>
      <c r="AT169" s="14">
        <f>SUM(AQ169,AR169,AS169)</f>
        <v>0</v>
      </c>
      <c r="AU169" s="15">
        <v>0</v>
      </c>
      <c r="AV169" s="15"/>
      <c r="AW169" s="15"/>
      <c r="AX169" s="15"/>
      <c r="AY169" s="15"/>
      <c r="AZ169" s="15"/>
      <c r="BA169" s="15"/>
      <c r="BB169" s="16">
        <f t="shared" ref="BB169:BB177" si="167">SUM(AU169:BA169)-AT169</f>
        <v>0</v>
      </c>
    </row>
    <row r="170" spans="1:54" ht="46.8" outlineLevel="2">
      <c r="A170" s="98"/>
      <c r="B170" s="102"/>
      <c r="C170" s="23"/>
      <c r="D170" s="269"/>
      <c r="E170" s="271"/>
      <c r="F170" s="250"/>
      <c r="G170" s="255"/>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63"/>
        <v>0</v>
      </c>
      <c r="AG170" s="107"/>
      <c r="AH170" s="107"/>
      <c r="AI170" s="107"/>
      <c r="AJ170" s="111"/>
      <c r="AK170" s="111"/>
      <c r="AL170" s="111"/>
      <c r="AM170" s="108">
        <f>AG170*'1. Standard_Cost'!$B$27+'Incremental_Cost Year 5'!AH170*'1. Standard_Cost'!$C$27+'Incremental_Cost Year 5'!AI170*'1. Standard_Cost'!$D$27+'Incremental_Cost Year 5'!AJ170+'Incremental_Cost Year 5'!AL170+AK170</f>
        <v>0</v>
      </c>
      <c r="AN170" s="108">
        <f>AM170*'1. Standard_Cost'!$C$31</f>
        <v>0</v>
      </c>
      <c r="AO170" s="125" t="s">
        <v>388</v>
      </c>
      <c r="AQ170" s="14">
        <f t="shared" si="164"/>
        <v>0</v>
      </c>
      <c r="AR170" s="14">
        <f t="shared" si="165"/>
        <v>0</v>
      </c>
      <c r="AS170" s="14">
        <f t="shared" si="166"/>
        <v>0</v>
      </c>
      <c r="AT170" s="14">
        <f t="shared" ref="AT170:AT177" si="168">SUM(AQ170,AR170,AS170)</f>
        <v>0</v>
      </c>
      <c r="AU170" s="15"/>
      <c r="AV170" s="15"/>
      <c r="AW170" s="15"/>
      <c r="AX170" s="15"/>
      <c r="AY170" s="15"/>
      <c r="AZ170" s="15"/>
      <c r="BA170" s="15"/>
      <c r="BB170" s="16">
        <f t="shared" si="167"/>
        <v>0</v>
      </c>
    </row>
    <row r="171" spans="1:54" ht="78" outlineLevel="2">
      <c r="A171" s="98"/>
      <c r="B171" s="102"/>
      <c r="C171" s="23"/>
      <c r="D171" s="269"/>
      <c r="E171" s="271"/>
      <c r="F171" s="250"/>
      <c r="G171" s="255"/>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63"/>
        <v>0</v>
      </c>
      <c r="AG171" s="107"/>
      <c r="AH171" s="107"/>
      <c r="AI171" s="107"/>
      <c r="AJ171" s="111"/>
      <c r="AK171" s="111"/>
      <c r="AL171" s="111"/>
      <c r="AM171" s="108">
        <f>AG171*'1. Standard_Cost'!$B$27+'Incremental_Cost Year 5'!AH171*'1. Standard_Cost'!$C$27+'Incremental_Cost Year 5'!AI171*'1. Standard_Cost'!$D$27+'Incremental_Cost Year 5'!AJ171+'Incremental_Cost Year 5'!AL171+AK171</f>
        <v>0</v>
      </c>
      <c r="AN171" s="108">
        <f>AM171*'1. Standard_Cost'!$C$31</f>
        <v>0</v>
      </c>
      <c r="AO171" s="125" t="s">
        <v>389</v>
      </c>
      <c r="AQ171" s="14">
        <f t="shared" si="164"/>
        <v>0</v>
      </c>
      <c r="AR171" s="14">
        <f t="shared" si="165"/>
        <v>0</v>
      </c>
      <c r="AS171" s="14">
        <f t="shared" si="166"/>
        <v>0</v>
      </c>
      <c r="AT171" s="14">
        <f t="shared" si="168"/>
        <v>0</v>
      </c>
      <c r="AU171" s="15"/>
      <c r="AV171" s="15"/>
      <c r="AW171" s="15"/>
      <c r="AX171" s="15"/>
      <c r="AY171" s="15"/>
      <c r="AZ171" s="15"/>
      <c r="BA171" s="15"/>
      <c r="BB171" s="16">
        <f t="shared" si="167"/>
        <v>0</v>
      </c>
    </row>
    <row r="172" spans="1:54" ht="46.8" outlineLevel="2">
      <c r="A172" s="98"/>
      <c r="B172" s="102"/>
      <c r="C172" s="23"/>
      <c r="D172" s="269"/>
      <c r="E172" s="271"/>
      <c r="F172" s="250"/>
      <c r="G172" s="255"/>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63"/>
        <v>0</v>
      </c>
      <c r="AG172" s="107"/>
      <c r="AH172" s="107"/>
      <c r="AI172" s="107"/>
      <c r="AJ172" s="111"/>
      <c r="AK172" s="111"/>
      <c r="AL172" s="111"/>
      <c r="AM172" s="108">
        <f>AG172*'1. Standard_Cost'!$B$27+'Incremental_Cost Year 5'!AH172*'1. Standard_Cost'!$C$27+'Incremental_Cost Year 5'!AI172*'1. Standard_Cost'!$D$27+'Incremental_Cost Year 5'!AJ172+'Incremental_Cost Year 5'!AL172+AK172</f>
        <v>0</v>
      </c>
      <c r="AN172" s="108">
        <f>AM172*'1. Standard_Cost'!$C$31</f>
        <v>0</v>
      </c>
      <c r="AO172" s="125" t="s">
        <v>390</v>
      </c>
      <c r="AQ172" s="14">
        <f t="shared" si="164"/>
        <v>0</v>
      </c>
      <c r="AR172" s="14">
        <f t="shared" si="165"/>
        <v>0</v>
      </c>
      <c r="AS172" s="14">
        <f t="shared" si="166"/>
        <v>0</v>
      </c>
      <c r="AT172" s="14">
        <f t="shared" si="168"/>
        <v>0</v>
      </c>
      <c r="AU172" s="15"/>
      <c r="AV172" s="15"/>
      <c r="AW172" s="15"/>
      <c r="AX172" s="15"/>
      <c r="AY172" s="15"/>
      <c r="AZ172" s="15"/>
      <c r="BA172" s="15"/>
      <c r="BB172" s="16">
        <f t="shared" si="167"/>
        <v>0</v>
      </c>
    </row>
    <row r="173" spans="1:54" ht="46.8" outlineLevel="2">
      <c r="A173" s="98"/>
      <c r="B173" s="102"/>
      <c r="C173" s="23"/>
      <c r="D173" s="269"/>
      <c r="E173" s="271"/>
      <c r="F173" s="250"/>
      <c r="G173" s="255"/>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63"/>
        <v>0</v>
      </c>
      <c r="AG173" s="107"/>
      <c r="AH173" s="107"/>
      <c r="AI173" s="107"/>
      <c r="AJ173" s="111"/>
      <c r="AK173" s="111"/>
      <c r="AL173" s="111"/>
      <c r="AM173" s="108">
        <f>AG173*'1. Standard_Cost'!$B$27+'Incremental_Cost Year 5'!AH173*'1. Standard_Cost'!$C$27+'Incremental_Cost Year 5'!AI173*'1. Standard_Cost'!$D$27+'Incremental_Cost Year 5'!AJ173+'Incremental_Cost Year 5'!AL173+AK173</f>
        <v>0</v>
      </c>
      <c r="AN173" s="108">
        <f>AM173*'1. Standard_Cost'!$C$31</f>
        <v>0</v>
      </c>
      <c r="AO173" s="125" t="s">
        <v>391</v>
      </c>
      <c r="AQ173" s="14">
        <f t="shared" si="164"/>
        <v>0</v>
      </c>
      <c r="AR173" s="14">
        <f t="shared" si="165"/>
        <v>0</v>
      </c>
      <c r="AS173" s="14">
        <f t="shared" si="166"/>
        <v>0</v>
      </c>
      <c r="AT173" s="14">
        <f t="shared" si="168"/>
        <v>0</v>
      </c>
      <c r="AU173" s="15"/>
      <c r="AV173" s="15"/>
      <c r="AW173" s="15"/>
      <c r="AX173" s="15"/>
      <c r="AY173" s="15"/>
      <c r="AZ173" s="15"/>
      <c r="BA173" s="15"/>
      <c r="BB173" s="16">
        <f t="shared" si="167"/>
        <v>0</v>
      </c>
    </row>
    <row r="174" spans="1:54" ht="78" outlineLevel="2">
      <c r="A174" s="98"/>
      <c r="B174" s="102"/>
      <c r="C174" s="23"/>
      <c r="D174" s="269"/>
      <c r="E174" s="271"/>
      <c r="F174" s="250"/>
      <c r="G174" s="255"/>
      <c r="H174" s="302" t="s">
        <v>512</v>
      </c>
      <c r="I174" s="104"/>
      <c r="J174" s="105"/>
      <c r="K174" s="105"/>
      <c r="L174" s="106" t="str">
        <f>IF(I174&lt;&gt;0,((VLOOKUP(I174,'1. Standard_Cost'!$B$4:$D$11,2)+VLOOKUP(I174,'1. Standard_Cost'!$B$4:$D$11,3))*J174*K174),"0")</f>
        <v>0</v>
      </c>
      <c r="M174" s="106">
        <f>L174*'1. Standard_Cost'!$F$4</f>
        <v>0</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c r="AB174" s="108">
        <f>+Z174*'1. Standard_Cost'!$B$23+AA174*'1. Standard_Cost'!$C$23</f>
        <v>0</v>
      </c>
      <c r="AC174" s="109"/>
      <c r="AD174" s="110"/>
      <c r="AE174" s="108">
        <f>SUM(AD174,AC174,AB174,Y174,U174,T174,S174,R174)*'1. Standard_Cost'!$B$31</f>
        <v>0</v>
      </c>
      <c r="AF174" s="108">
        <f t="shared" si="163"/>
        <v>0</v>
      </c>
      <c r="AG174" s="107"/>
      <c r="AH174" s="107"/>
      <c r="AI174" s="107"/>
      <c r="AJ174" s="111"/>
      <c r="AK174" s="111"/>
      <c r="AL174" s="111"/>
      <c r="AM174" s="108">
        <f>AG174*'1. Standard_Cost'!$B$27+'Incremental_Cost Year 5'!AH174*'1. Standard_Cost'!$C$27+'Incremental_Cost Year 5'!AI174*'1. Standard_Cost'!$D$27+'Incremental_Cost Year 5'!AJ174+'Incremental_Cost Year 5'!AL174+AK174</f>
        <v>0</v>
      </c>
      <c r="AN174" s="108">
        <f>AM174*'1. Standard_Cost'!$C$31</f>
        <v>0</v>
      </c>
      <c r="AO174" s="125" t="s">
        <v>392</v>
      </c>
      <c r="AQ174" s="14">
        <f t="shared" si="164"/>
        <v>0</v>
      </c>
      <c r="AR174" s="14">
        <f t="shared" si="165"/>
        <v>0</v>
      </c>
      <c r="AS174" s="14">
        <f t="shared" si="166"/>
        <v>0</v>
      </c>
      <c r="AT174" s="14">
        <f t="shared" si="168"/>
        <v>0</v>
      </c>
      <c r="AU174" s="15">
        <v>0</v>
      </c>
      <c r="AV174" s="15"/>
      <c r="AW174" s="15"/>
      <c r="AX174" s="15"/>
      <c r="AY174" s="15"/>
      <c r="AZ174" s="15"/>
      <c r="BA174" s="15"/>
      <c r="BB174" s="16">
        <f t="shared" si="167"/>
        <v>0</v>
      </c>
    </row>
    <row r="175" spans="1:54" ht="140.4" outlineLevel="2">
      <c r="A175" s="98"/>
      <c r="B175" s="102"/>
      <c r="C175" s="23"/>
      <c r="D175" s="269"/>
      <c r="E175" s="271"/>
      <c r="F175" s="250"/>
      <c r="G175" s="255"/>
      <c r="H175" s="302" t="s">
        <v>513</v>
      </c>
      <c r="I175" s="104" t="s">
        <v>4</v>
      </c>
      <c r="J175" s="105">
        <v>0.4</v>
      </c>
      <c r="K175" s="105">
        <v>1</v>
      </c>
      <c r="L175" s="106">
        <f>IF(I175&lt;&gt;0,((VLOOKUP(I175,'1. Standard_Cost'!$B$4:$D$11,2)+VLOOKUP(I175,'1. Standard_Cost'!$B$4:$D$11,3))*J175*K175),"0")</f>
        <v>32300</v>
      </c>
      <c r="M175" s="106">
        <f>L175*'1. Standard_Cost'!$F$4</f>
        <v>5394.1</v>
      </c>
      <c r="N175" s="107">
        <v>10</v>
      </c>
      <c r="O175" s="107">
        <v>2</v>
      </c>
      <c r="P175" s="107">
        <v>15</v>
      </c>
      <c r="Q175" s="107">
        <v>1</v>
      </c>
      <c r="R175" s="108">
        <f>'1. Standard_Cost'!$B$15*N175*P175</f>
        <v>300000</v>
      </c>
      <c r="S175" s="108">
        <f>N175*O175*P175*'1. Standard_Cost'!$C$15</f>
        <v>450000</v>
      </c>
      <c r="T175" s="108">
        <f>N175*P175*Q175*'1. Standard_Cost'!$D$15</f>
        <v>750000</v>
      </c>
      <c r="U175" s="108">
        <v>0</v>
      </c>
      <c r="V175" s="107"/>
      <c r="W175" s="107"/>
      <c r="X175" s="107"/>
      <c r="Y175" s="108">
        <f>+V175*((X175*'1. Standard_Cost'!$B$19)+(W175*X175*'1. Standard_Cost'!$C$19))</f>
        <v>0</v>
      </c>
      <c r="Z175" s="107"/>
      <c r="AA175" s="107"/>
      <c r="AB175" s="108">
        <f>+Z175*'1. Standard_Cost'!$B$23+AA175*'1. Standard_Cost'!$C$23</f>
        <v>0</v>
      </c>
      <c r="AC175" s="109"/>
      <c r="AD175" s="110"/>
      <c r="AE175" s="108">
        <v>0</v>
      </c>
      <c r="AF175" s="108">
        <f t="shared" si="163"/>
        <v>1500000</v>
      </c>
      <c r="AG175" s="107"/>
      <c r="AH175" s="107"/>
      <c r="AI175" s="107"/>
      <c r="AJ175" s="111"/>
      <c r="AK175" s="111"/>
      <c r="AL175" s="111"/>
      <c r="AM175" s="108">
        <f>AG175*'1. Standard_Cost'!$B$27+'Incremental_Cost Year 5'!AH175*'1. Standard_Cost'!$C$27+'Incremental_Cost Year 5'!AI175*'1. Standard_Cost'!$D$27+'Incremental_Cost Year 5'!AJ175+'Incremental_Cost Year 5'!AL175+AK175</f>
        <v>0</v>
      </c>
      <c r="AN175" s="108">
        <f>AM175*'1. Standard_Cost'!$C$31</f>
        <v>0</v>
      </c>
      <c r="AO175" s="125" t="s">
        <v>393</v>
      </c>
      <c r="AQ175" s="14">
        <f t="shared" si="164"/>
        <v>37694.1</v>
      </c>
      <c r="AR175" s="14">
        <f t="shared" si="165"/>
        <v>1500000</v>
      </c>
      <c r="AS175" s="14">
        <f t="shared" si="166"/>
        <v>0</v>
      </c>
      <c r="AT175" s="14">
        <f t="shared" si="168"/>
        <v>1537694.1</v>
      </c>
      <c r="AU175" s="15">
        <v>37694.1</v>
      </c>
      <c r="AV175" s="15"/>
      <c r="AW175" s="15"/>
      <c r="AX175" s="15"/>
      <c r="AY175" s="15"/>
      <c r="AZ175" s="15"/>
      <c r="BA175" s="15"/>
      <c r="BB175" s="16">
        <f t="shared" si="167"/>
        <v>-1500000</v>
      </c>
    </row>
    <row r="176" spans="1:54" ht="25.2" customHeight="1" outlineLevel="2">
      <c r="A176" s="98"/>
      <c r="B176" s="102"/>
      <c r="C176" s="23"/>
      <c r="D176" s="269"/>
      <c r="E176" s="271"/>
      <c r="F176" s="27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v>22</v>
      </c>
      <c r="AB176" s="108">
        <f>+Z176*'[1]1. Standard_Cost'!$B$23+AA176*'[1]1. Standard_Cost'!$C$23</f>
        <v>418000</v>
      </c>
      <c r="AC176" s="109"/>
      <c r="AD176" s="110"/>
      <c r="AE176" s="108">
        <v>0</v>
      </c>
      <c r="AF176" s="108">
        <f t="shared" si="163"/>
        <v>418000</v>
      </c>
      <c r="AG176" s="107"/>
      <c r="AH176" s="107"/>
      <c r="AI176" s="107"/>
      <c r="AJ176" s="111"/>
      <c r="AK176" s="111"/>
      <c r="AL176" s="111"/>
      <c r="AM176" s="108">
        <f>AG176*'[1]1. Standard_Cost'!$B$27+'[1]Incremental_Cost Year 5'!AH176*'[1]1. Standard_Cost'!$C$27+'[1]Incremental_Cost Year 5'!AI176*'[1]1. Standard_Cost'!$D$27+'[1]Incremental_Cost Year 5'!AJ176+'[1]Incremental_Cost Year 5'!AL176+AK176</f>
        <v>0</v>
      </c>
      <c r="AN176" s="108">
        <f>AM176*'[1]1. Standard_Cost'!$C$31</f>
        <v>0</v>
      </c>
      <c r="AO176" s="125" t="s">
        <v>393</v>
      </c>
      <c r="AQ176" s="14">
        <f t="shared" si="164"/>
        <v>0</v>
      </c>
      <c r="AR176" s="14">
        <f t="shared" si="165"/>
        <v>418000</v>
      </c>
      <c r="AS176" s="14">
        <f t="shared" si="166"/>
        <v>0</v>
      </c>
      <c r="AT176" s="14">
        <f t="shared" si="168"/>
        <v>418000</v>
      </c>
      <c r="AU176" s="15"/>
      <c r="AV176" s="15"/>
      <c r="AW176" s="15"/>
      <c r="AX176" s="15"/>
      <c r="AY176" s="15"/>
      <c r="AZ176" s="15"/>
      <c r="BA176" s="15"/>
      <c r="BB176" s="16">
        <f t="shared" si="167"/>
        <v>-418000</v>
      </c>
    </row>
    <row r="177" spans="1:54" ht="156" outlineLevel="2">
      <c r="A177" s="98"/>
      <c r="B177" s="102"/>
      <c r="C177" s="23"/>
      <c r="D177" s="269"/>
      <c r="E177" s="271"/>
      <c r="F177" s="250"/>
      <c r="G177" s="255"/>
      <c r="H177" s="302" t="s">
        <v>514</v>
      </c>
      <c r="I177" s="104" t="s">
        <v>4</v>
      </c>
      <c r="J177" s="105">
        <v>0.4</v>
      </c>
      <c r="K177" s="105">
        <v>1</v>
      </c>
      <c r="L177" s="106">
        <f>IF(I177&lt;&gt;0,((VLOOKUP(I177,'1. Standard_Cost'!$B$4:$D$11,2)+VLOOKUP(I177,'1. Standard_Cost'!$B$4:$D$11,3))*J177*K177),"0")</f>
        <v>32300</v>
      </c>
      <c r="M177" s="106">
        <f>L177*'1. Standard_Cost'!$F$4</f>
        <v>5394.1</v>
      </c>
      <c r="N177" s="107">
        <v>10</v>
      </c>
      <c r="O177" s="107">
        <v>2</v>
      </c>
      <c r="P177" s="107">
        <v>15</v>
      </c>
      <c r="Q177" s="107">
        <v>1</v>
      </c>
      <c r="R177" s="108">
        <v>0</v>
      </c>
      <c r="S177" s="108">
        <v>0</v>
      </c>
      <c r="T177" s="108">
        <v>0</v>
      </c>
      <c r="U177" s="108">
        <v>0</v>
      </c>
      <c r="V177" s="107"/>
      <c r="W177" s="107"/>
      <c r="X177" s="107"/>
      <c r="Y177" s="108">
        <f>+V177*((X177*'1. Standard_Cost'!$B$19)+(W177*X177*'1. Standard_Cost'!$C$19))</f>
        <v>0</v>
      </c>
      <c r="Z177" s="107"/>
      <c r="AA177" s="107">
        <v>10</v>
      </c>
      <c r="AB177" s="108">
        <f>+Z177*'1. Standard_Cost'!$B$23+AA177*'1. Standard_Cost'!$C$23</f>
        <v>190000</v>
      </c>
      <c r="AC177" s="109">
        <f>150*3500*2+150*500*2</f>
        <v>1200000</v>
      </c>
      <c r="AD177" s="110"/>
      <c r="AE177" s="108">
        <f>SUM(AD177,AC177,AB177,Y177,U177,T177,S177,R177)*'1. Standard_Cost'!$B$31</f>
        <v>278000</v>
      </c>
      <c r="AF177" s="108">
        <f t="shared" si="163"/>
        <v>1668000</v>
      </c>
      <c r="AG177" s="107"/>
      <c r="AH177" s="107"/>
      <c r="AI177" s="107"/>
      <c r="AJ177" s="111"/>
      <c r="AK177" s="111"/>
      <c r="AL177" s="111"/>
      <c r="AM177" s="108">
        <f>AG177*'1. Standard_Cost'!$B$27+'Incremental_Cost Year 5'!AH177*'1. Standard_Cost'!$C$27+'Incremental_Cost Year 5'!AI177*'1. Standard_Cost'!$D$27+'Incremental_Cost Year 5'!AJ177+'Incremental_Cost Year 5'!AL177+AK177</f>
        <v>0</v>
      </c>
      <c r="AN177" s="108">
        <f>AM177*'1. Standard_Cost'!$C$31</f>
        <v>0</v>
      </c>
      <c r="AO177" s="125" t="s">
        <v>394</v>
      </c>
      <c r="AQ177" s="14">
        <f t="shared" si="164"/>
        <v>37694.1</v>
      </c>
      <c r="AR177" s="14">
        <f t="shared" si="165"/>
        <v>1668000</v>
      </c>
      <c r="AS177" s="14">
        <f t="shared" si="166"/>
        <v>0</v>
      </c>
      <c r="AT177" s="14">
        <f t="shared" si="168"/>
        <v>1705694.1</v>
      </c>
      <c r="AU177" s="15">
        <v>37694.1</v>
      </c>
      <c r="AV177" s="15"/>
      <c r="AW177" s="15"/>
      <c r="AX177" s="15"/>
      <c r="AY177" s="15"/>
      <c r="AZ177" s="15">
        <v>1668000</v>
      </c>
      <c r="BA177" s="15"/>
      <c r="BB177" s="16">
        <f t="shared" si="167"/>
        <v>0</v>
      </c>
    </row>
    <row r="178" spans="1:54" ht="27.6" outlineLevel="1">
      <c r="A178" s="98"/>
      <c r="B178" s="102"/>
      <c r="C178" s="23"/>
      <c r="D178" s="31" t="s">
        <v>638</v>
      </c>
      <c r="E178" s="56" t="s">
        <v>239</v>
      </c>
      <c r="F178" s="253">
        <v>2021</v>
      </c>
      <c r="G178" s="254">
        <v>2026</v>
      </c>
      <c r="H178" s="279" t="s">
        <v>240</v>
      </c>
      <c r="I178" s="112"/>
      <c r="J178" s="112"/>
      <c r="K178" s="112"/>
      <c r="L178" s="113">
        <f>SUM(L169:L177)</f>
        <v>64600</v>
      </c>
      <c r="M178" s="113">
        <f>SUM(M169:M177)</f>
        <v>10788.2</v>
      </c>
      <c r="N178" s="112"/>
      <c r="O178" s="112"/>
      <c r="P178" s="112"/>
      <c r="Q178" s="112"/>
      <c r="R178" s="113">
        <f>SUM(R169:R177)</f>
        <v>300000</v>
      </c>
      <c r="S178" s="113">
        <f>SUM(S169:S177)</f>
        <v>450000</v>
      </c>
      <c r="T178" s="113">
        <f>SUM(T169:T177)</f>
        <v>750000</v>
      </c>
      <c r="U178" s="113">
        <f>SUM(U169:U177)</f>
        <v>0</v>
      </c>
      <c r="V178" s="112"/>
      <c r="W178" s="112"/>
      <c r="X178" s="112"/>
      <c r="Y178" s="113">
        <f>SUM(Y169:Y177)</f>
        <v>0</v>
      </c>
      <c r="Z178" s="113"/>
      <c r="AA178" s="112"/>
      <c r="AB178" s="113">
        <f>SUM(AB169:AB177)</f>
        <v>608000</v>
      </c>
      <c r="AC178" s="113">
        <f>SUM(AC169:AC177)</f>
        <v>1200000</v>
      </c>
      <c r="AD178" s="113">
        <f>SUM(AD169:AD177)</f>
        <v>0</v>
      </c>
      <c r="AE178" s="113">
        <f>SUM(AE169:AE177)</f>
        <v>278000</v>
      </c>
      <c r="AF178" s="113">
        <f>SUM(AF169:AF177)</f>
        <v>3586000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 si="169">SUM(AQ169:AQ177)</f>
        <v>75388.2</v>
      </c>
      <c r="AR178" s="113">
        <f t="shared" ref="AR178:BB178" si="170">SUM(AR169:AR177)</f>
        <v>3586000</v>
      </c>
      <c r="AS178" s="113">
        <f t="shared" si="170"/>
        <v>0</v>
      </c>
      <c r="AT178" s="113">
        <f t="shared" si="170"/>
        <v>3661388.2</v>
      </c>
      <c r="AU178" s="113">
        <f t="shared" si="170"/>
        <v>75388.2</v>
      </c>
      <c r="AV178" s="113">
        <f t="shared" si="170"/>
        <v>0</v>
      </c>
      <c r="AW178" s="113">
        <f t="shared" si="170"/>
        <v>0</v>
      </c>
      <c r="AX178" s="113">
        <f t="shared" si="170"/>
        <v>0</v>
      </c>
      <c r="AY178" s="113">
        <f t="shared" si="170"/>
        <v>0</v>
      </c>
      <c r="AZ178" s="113">
        <f t="shared" si="170"/>
        <v>1668000</v>
      </c>
      <c r="BA178" s="113">
        <f t="shared" si="170"/>
        <v>0</v>
      </c>
      <c r="BB178" s="113">
        <f t="shared" si="170"/>
        <v>-1918000</v>
      </c>
    </row>
    <row r="179" spans="1:54" s="24" customFormat="1" ht="13.8" customHeight="1">
      <c r="A179" s="114"/>
      <c r="B179" s="115"/>
      <c r="C179" s="314" t="s">
        <v>241</v>
      </c>
      <c r="D179" s="314"/>
      <c r="E179" s="315"/>
      <c r="F179" s="246"/>
      <c r="G179" s="246"/>
      <c r="H179" s="278" t="s">
        <v>242</v>
      </c>
      <c r="I179" s="116"/>
      <c r="J179" s="116"/>
      <c r="K179" s="116"/>
      <c r="L179" s="117">
        <f>SUM(L201)</f>
        <v>18542250</v>
      </c>
      <c r="M179" s="117">
        <f>SUM(M201)</f>
        <v>3096555.75</v>
      </c>
      <c r="N179" s="116"/>
      <c r="O179" s="116"/>
      <c r="P179" s="116"/>
      <c r="Q179" s="116"/>
      <c r="R179" s="117">
        <f t="shared" ref="R179:U179" si="171">SUM(R201)</f>
        <v>440000</v>
      </c>
      <c r="S179" s="117">
        <f t="shared" si="171"/>
        <v>660000</v>
      </c>
      <c r="T179" s="117">
        <f t="shared" si="171"/>
        <v>1100000</v>
      </c>
      <c r="U179" s="117">
        <f t="shared" si="171"/>
        <v>0</v>
      </c>
      <c r="V179" s="116"/>
      <c r="W179" s="116"/>
      <c r="X179" s="116"/>
      <c r="Y179" s="117">
        <f>SUM(Y201)</f>
        <v>0</v>
      </c>
      <c r="Z179" s="117"/>
      <c r="AA179" s="117"/>
      <c r="AB179" s="117">
        <f t="shared" ref="AB179:AF179" si="172">SUM(AB201)</f>
        <v>2660000</v>
      </c>
      <c r="AC179" s="117">
        <f t="shared" ref="AC179:AD179" si="173">SUM(AC201)</f>
        <v>4776000</v>
      </c>
      <c r="AD179" s="117">
        <f t="shared" si="173"/>
        <v>0</v>
      </c>
      <c r="AE179" s="117">
        <f t="shared" si="172"/>
        <v>281200</v>
      </c>
      <c r="AF179" s="117">
        <f t="shared" si="172"/>
        <v>9917200</v>
      </c>
      <c r="AG179" s="116"/>
      <c r="AH179" s="116"/>
      <c r="AI179" s="116"/>
      <c r="AJ179" s="117">
        <f t="shared" ref="AJ179:AL179" si="174">SUM(AJ201)</f>
        <v>0</v>
      </c>
      <c r="AK179" s="117">
        <f t="shared" si="174"/>
        <v>0</v>
      </c>
      <c r="AL179" s="117">
        <f t="shared" si="174"/>
        <v>0</v>
      </c>
      <c r="AM179" s="117">
        <f t="shared" ref="AM179:AN179" si="175">SUM(AM201)</f>
        <v>0</v>
      </c>
      <c r="AN179" s="117">
        <f t="shared" si="175"/>
        <v>0</v>
      </c>
      <c r="AO179" s="132"/>
      <c r="AP179" s="25"/>
      <c r="AQ179" s="117">
        <f t="shared" ref="AQ179" si="176">SUM(AQ201)</f>
        <v>21638805.750000004</v>
      </c>
      <c r="AR179" s="117">
        <f t="shared" ref="AR179:BB179" si="177">SUM(AR201)</f>
        <v>9917200</v>
      </c>
      <c r="AS179" s="117">
        <f t="shared" si="177"/>
        <v>0</v>
      </c>
      <c r="AT179" s="117">
        <f t="shared" si="177"/>
        <v>31556005.750000004</v>
      </c>
      <c r="AU179" s="117">
        <f t="shared" si="177"/>
        <v>21638805.750000004</v>
      </c>
      <c r="AV179" s="117">
        <f t="shared" si="177"/>
        <v>0</v>
      </c>
      <c r="AW179" s="117">
        <f t="shared" si="177"/>
        <v>0</v>
      </c>
      <c r="AX179" s="117">
        <f t="shared" si="177"/>
        <v>0</v>
      </c>
      <c r="AY179" s="117">
        <f t="shared" si="177"/>
        <v>0</v>
      </c>
      <c r="AZ179" s="117">
        <f t="shared" si="177"/>
        <v>471176.25</v>
      </c>
      <c r="BA179" s="117">
        <f t="shared" si="177"/>
        <v>0</v>
      </c>
      <c r="BB179" s="117">
        <f t="shared" si="177"/>
        <v>-9446023.75</v>
      </c>
    </row>
    <row r="180" spans="1:54" ht="124.8" outlineLevel="2">
      <c r="A180" s="98"/>
      <c r="B180" s="102"/>
      <c r="C180" s="23"/>
      <c r="D180" s="257"/>
      <c r="E180" s="123"/>
      <c r="F180" s="249"/>
      <c r="G180" s="283"/>
      <c r="H180" s="302" t="s">
        <v>516</v>
      </c>
      <c r="I180" s="104"/>
      <c r="J180" s="105"/>
      <c r="K180" s="105"/>
      <c r="L180" s="106" t="str">
        <f>IF(I180&lt;&gt;0,((VLOOKUP(I180,'1. Standard_Cost'!$B$4:$D$11,2)+VLOOKUP(I180,'1. Standard_Cost'!$B$4:$D$11,3))*J180*K180),"0")</f>
        <v>0</v>
      </c>
      <c r="M180" s="106">
        <f>L180*'1. Standard_Cost'!$F$4</f>
        <v>0</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c r="AB180" s="108">
        <f>+Z180*'1. Standard_Cost'!$B$23+AA180*'1. Standard_Cost'!$C$23</f>
        <v>0</v>
      </c>
      <c r="AC180" s="109"/>
      <c r="AD180" s="110"/>
      <c r="AE180" s="108">
        <f>SUM(AD180,AC180,AB180,Y180,U180,T180,S180,R180)*'1. Standard_Cost'!$B$31</f>
        <v>0</v>
      </c>
      <c r="AF180" s="108">
        <f t="shared" ref="AF180:AF200" si="178">SUM(AE180,AD180,AC180,AB180,Y180,U180,T180,S180,R180)</f>
        <v>0</v>
      </c>
      <c r="AG180" s="107"/>
      <c r="AH180" s="107"/>
      <c r="AI180" s="107"/>
      <c r="AJ180" s="111"/>
      <c r="AK180" s="111"/>
      <c r="AL180" s="111"/>
      <c r="AM180" s="108">
        <f>AG180*'1. Standard_Cost'!$B$27+'Incremental_Cost Year 5'!AH180*'1. Standard_Cost'!$C$27+'Incremental_Cost Year 5'!AI180*'1. Standard_Cost'!$D$27+'Incremental_Cost Year 5'!AJ180+'Incremental_Cost Year 5'!AL180+AK180</f>
        <v>0</v>
      </c>
      <c r="AN180" s="108">
        <f>AM180*'1. Standard_Cost'!$C$31</f>
        <v>0</v>
      </c>
      <c r="AO180" s="125" t="s">
        <v>395</v>
      </c>
      <c r="AQ180" s="14">
        <f t="shared" ref="AQ180:AQ200" si="179">L180+M180</f>
        <v>0</v>
      </c>
      <c r="AR180" s="14">
        <f t="shared" ref="AR180:AR200" si="180">AF180</f>
        <v>0</v>
      </c>
      <c r="AS180" s="14">
        <f t="shared" ref="AS180:AS200" si="181">AM180+AN180</f>
        <v>0</v>
      </c>
      <c r="AT180" s="14">
        <f>SUM(AQ180,AR180,AS180)</f>
        <v>0</v>
      </c>
      <c r="AU180" s="15">
        <v>0</v>
      </c>
      <c r="AV180" s="15"/>
      <c r="AW180" s="15"/>
      <c r="AX180" s="15"/>
      <c r="AY180" s="15"/>
      <c r="AZ180" s="15"/>
      <c r="BA180" s="15"/>
      <c r="BB180" s="16">
        <f t="shared" ref="BB180:BB200" si="182">SUM(AU180:BA180)-AT180</f>
        <v>0</v>
      </c>
    </row>
    <row r="181" spans="1:54" ht="187.2" customHeight="1" outlineLevel="2">
      <c r="A181" s="98"/>
      <c r="B181" s="102"/>
      <c r="C181" s="23"/>
      <c r="D181" s="269"/>
      <c r="E181" s="271"/>
      <c r="F181" s="250"/>
      <c r="G181" s="255"/>
      <c r="H181" s="302" t="s">
        <v>517</v>
      </c>
      <c r="I181" s="104"/>
      <c r="J181" s="105"/>
      <c r="K181" s="105"/>
      <c r="L181" s="106" t="str">
        <f>IF(I181&lt;&gt;0,((VLOOKUP(I181,'1. Standard_Cost'!$B$4:$D$11,2)+VLOOKUP(I181,'1. Standard_Cost'!$B$4:$D$11,3))*J181*K181),"0")</f>
        <v>0</v>
      </c>
      <c r="M181" s="106">
        <f>L181*'1. Standard_Cost'!$F$4</f>
        <v>0</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c r="AB181" s="108">
        <f>+Z181*'1. Standard_Cost'!$B$23+AA181*'1. Standard_Cost'!$C$23</f>
        <v>0</v>
      </c>
      <c r="AC181" s="109"/>
      <c r="AD181" s="110"/>
      <c r="AE181" s="108">
        <f>SUM(AD181,AC181,AB181,Y181,U181,T181,S181,R181)*'1. Standard_Cost'!$B$31</f>
        <v>0</v>
      </c>
      <c r="AF181" s="108">
        <f t="shared" si="178"/>
        <v>0</v>
      </c>
      <c r="AG181" s="107"/>
      <c r="AH181" s="107"/>
      <c r="AI181" s="107"/>
      <c r="AJ181" s="111"/>
      <c r="AK181" s="111"/>
      <c r="AL181" s="111"/>
      <c r="AM181" s="108">
        <f>AG181*'1. Standard_Cost'!$B$27+'Incremental_Cost Year 5'!AH181*'1. Standard_Cost'!$C$27+'Incremental_Cost Year 5'!AI181*'1. Standard_Cost'!$D$27+'Incremental_Cost Year 5'!AJ181+'Incremental_Cost Year 5'!AL181+AK181</f>
        <v>0</v>
      </c>
      <c r="AN181" s="108">
        <f>AM181*'1. Standard_Cost'!$C$31</f>
        <v>0</v>
      </c>
      <c r="AO181" s="125" t="s">
        <v>396</v>
      </c>
      <c r="AQ181" s="14">
        <f t="shared" si="179"/>
        <v>0</v>
      </c>
      <c r="AR181" s="14">
        <f t="shared" si="180"/>
        <v>0</v>
      </c>
      <c r="AS181" s="14">
        <f t="shared" si="181"/>
        <v>0</v>
      </c>
      <c r="AT181" s="14">
        <f t="shared" ref="AT181:AT200" si="183">SUM(AQ181,AR181,AS181)</f>
        <v>0</v>
      </c>
      <c r="AU181" s="15">
        <v>0</v>
      </c>
      <c r="AV181" s="15"/>
      <c r="AW181" s="15"/>
      <c r="AX181" s="15"/>
      <c r="AY181" s="15"/>
      <c r="AZ181" s="15"/>
      <c r="BA181" s="15"/>
      <c r="BB181" s="16">
        <f t="shared" si="182"/>
        <v>0</v>
      </c>
    </row>
    <row r="182" spans="1:54" ht="124.8" outlineLevel="2">
      <c r="A182" s="98"/>
      <c r="B182" s="102"/>
      <c r="C182" s="23"/>
      <c r="D182" s="269"/>
      <c r="E182" s="271"/>
      <c r="F182" s="250"/>
      <c r="G182" s="255"/>
      <c r="H182" s="302" t="s">
        <v>518</v>
      </c>
      <c r="I182" s="104"/>
      <c r="J182" s="105"/>
      <c r="K182" s="105"/>
      <c r="L182" s="106" t="str">
        <f>IF(I182&lt;&gt;0,((VLOOKUP(I182,'1. Standard_Cost'!$B$4:$D$11,2)+VLOOKUP(I182,'1. Standard_Cost'!$B$4:$D$11,3))*J182*K182),"0")</f>
        <v>0</v>
      </c>
      <c r="M182" s="106">
        <f>L182*'1. Standard_Cost'!$F$4</f>
        <v>0</v>
      </c>
      <c r="N182" s="107"/>
      <c r="O182" s="107"/>
      <c r="P182" s="107"/>
      <c r="Q182" s="107"/>
      <c r="R182" s="108">
        <f>'1. Standard_Cost'!$B$15*N182*P182</f>
        <v>0</v>
      </c>
      <c r="S182" s="108">
        <f>N182*O182*P182*'1. Standard_Cost'!$C$15</f>
        <v>0</v>
      </c>
      <c r="T182" s="108">
        <f>N182*P182*Q182*'1. Standard_Cost'!$D$15</f>
        <v>0</v>
      </c>
      <c r="U182" s="108">
        <f>N182*O182*'1. Standard_Cost'!$E$15</f>
        <v>0</v>
      </c>
      <c r="V182" s="107"/>
      <c r="W182" s="107"/>
      <c r="X182" s="107"/>
      <c r="Y182" s="108">
        <f>+V182*((X182*'1. Standard_Cost'!$B$19)+(W182*X182*'1. Standard_Cost'!$C$19))</f>
        <v>0</v>
      </c>
      <c r="Z182" s="107"/>
      <c r="AA182" s="107"/>
      <c r="AB182" s="108">
        <f>+Z182*'1. Standard_Cost'!$B$23+AA182*'1. Standard_Cost'!$C$23</f>
        <v>0</v>
      </c>
      <c r="AC182" s="109"/>
      <c r="AD182" s="110"/>
      <c r="AE182" s="108">
        <f>SUM(AD182,AC182,AB182,Y182,U182,T182,S182,R182)*'1. Standard_Cost'!$B$31</f>
        <v>0</v>
      </c>
      <c r="AF182" s="108">
        <f t="shared" si="178"/>
        <v>0</v>
      </c>
      <c r="AG182" s="107"/>
      <c r="AH182" s="107"/>
      <c r="AI182" s="107"/>
      <c r="AJ182" s="111"/>
      <c r="AK182" s="111"/>
      <c r="AL182" s="111"/>
      <c r="AM182" s="108">
        <f>AG182*'1. Standard_Cost'!$B$27+'Incremental_Cost Year 5'!AH182*'1. Standard_Cost'!$C$27+'Incremental_Cost Year 5'!AI182*'1. Standard_Cost'!$D$27+'Incremental_Cost Year 5'!AJ182+'Incremental_Cost Year 5'!AL182+AK182</f>
        <v>0</v>
      </c>
      <c r="AN182" s="108">
        <f>AM182*'1. Standard_Cost'!$C$31</f>
        <v>0</v>
      </c>
      <c r="AO182" s="125" t="s">
        <v>397</v>
      </c>
      <c r="AQ182" s="14">
        <f t="shared" si="179"/>
        <v>0</v>
      </c>
      <c r="AR182" s="14">
        <f t="shared" si="180"/>
        <v>0</v>
      </c>
      <c r="AS182" s="14">
        <f t="shared" si="181"/>
        <v>0</v>
      </c>
      <c r="AT182" s="14">
        <f t="shared" si="183"/>
        <v>0</v>
      </c>
      <c r="AU182" s="15">
        <v>0</v>
      </c>
      <c r="AV182" s="15"/>
      <c r="AW182" s="15"/>
      <c r="AX182" s="15"/>
      <c r="AY182" s="15"/>
      <c r="AZ182" s="15"/>
      <c r="BA182" s="15"/>
      <c r="BB182" s="16">
        <f t="shared" si="182"/>
        <v>0</v>
      </c>
    </row>
    <row r="183" spans="1:54" ht="93.6" outlineLevel="2">
      <c r="A183" s="98"/>
      <c r="B183" s="102"/>
      <c r="C183" s="23"/>
      <c r="D183" s="269"/>
      <c r="E183" s="271"/>
      <c r="F183" s="250"/>
      <c r="G183" s="255"/>
      <c r="H183" s="302" t="s">
        <v>519</v>
      </c>
      <c r="I183" s="104" t="s">
        <v>4</v>
      </c>
      <c r="J183" s="105">
        <v>1</v>
      </c>
      <c r="K183" s="105">
        <v>3</v>
      </c>
      <c r="L183" s="106">
        <f>IF(I183&lt;&gt;0,((VLOOKUP(I183,'1. Standard_Cost'!$B$4:$D$11,2)+VLOOKUP(I183,'1. Standard_Cost'!$B$4:$D$11,3))*J183*K183),"0")</f>
        <v>242250</v>
      </c>
      <c r="M183" s="106">
        <f>L183*'1. Standard_Cost'!$F$4</f>
        <v>40455.75</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f>50000+2*200000+4000*30</f>
        <v>570000</v>
      </c>
      <c r="AD183" s="110"/>
      <c r="AE183" s="108">
        <f>SUM(AD183,AC183,AB183,Y183,U183,T183,S183,R183)*'1. Standard_Cost'!$B$31</f>
        <v>114000</v>
      </c>
      <c r="AF183" s="108">
        <f t="shared" si="178"/>
        <v>684000</v>
      </c>
      <c r="AG183" s="107"/>
      <c r="AH183" s="107"/>
      <c r="AI183" s="107"/>
      <c r="AJ183" s="111"/>
      <c r="AK183" s="111"/>
      <c r="AL183" s="111"/>
      <c r="AM183" s="108">
        <f>AG183*'1. Standard_Cost'!$B$27+'Incremental_Cost Year 5'!AH183*'1. Standard_Cost'!$C$27+'Incremental_Cost Year 5'!AI183*'1. Standard_Cost'!$D$27+'Incremental_Cost Year 5'!AJ183+'Incremental_Cost Year 5'!AL183+AK183</f>
        <v>0</v>
      </c>
      <c r="AN183" s="108">
        <f>AM183*'1. Standard_Cost'!$C$31</f>
        <v>0</v>
      </c>
      <c r="AO183" s="125" t="s">
        <v>398</v>
      </c>
      <c r="AQ183" s="14">
        <f t="shared" si="179"/>
        <v>282705.75</v>
      </c>
      <c r="AR183" s="14">
        <f t="shared" si="180"/>
        <v>684000</v>
      </c>
      <c r="AS183" s="14">
        <f t="shared" si="181"/>
        <v>0</v>
      </c>
      <c r="AT183" s="14">
        <f t="shared" si="183"/>
        <v>966705.75</v>
      </c>
      <c r="AU183" s="15">
        <v>282705.75</v>
      </c>
      <c r="AV183" s="15"/>
      <c r="AW183" s="15"/>
      <c r="AX183" s="15"/>
      <c r="AY183" s="15"/>
      <c r="AZ183" s="15"/>
      <c r="BA183" s="15"/>
      <c r="BB183" s="16">
        <f t="shared" si="182"/>
        <v>-684000</v>
      </c>
    </row>
    <row r="184" spans="1:54" ht="171.6" outlineLevel="2">
      <c r="A184" s="98"/>
      <c r="B184" s="102"/>
      <c r="C184" s="23"/>
      <c r="D184" s="269"/>
      <c r="E184" s="271"/>
      <c r="F184" s="250"/>
      <c r="G184" s="255"/>
      <c r="H184" s="302" t="s">
        <v>520</v>
      </c>
      <c r="I184" s="104" t="s">
        <v>4</v>
      </c>
      <c r="J184" s="105">
        <v>1</v>
      </c>
      <c r="K184" s="105">
        <v>2</v>
      </c>
      <c r="L184" s="106">
        <f>IF(I184&lt;&gt;0,((VLOOKUP(I184,'1. Standard_Cost'!$B$4:$D$11,2)+VLOOKUP(I184,'1. Standard_Cost'!$B$4:$D$11,3))*J184*K184),"0")</f>
        <v>161500</v>
      </c>
      <c r="M184" s="106">
        <f>L184*'1. Standard_Cost'!$F$4</f>
        <v>26970.5</v>
      </c>
      <c r="N184" s="107">
        <v>10</v>
      </c>
      <c r="O184" s="107">
        <v>2</v>
      </c>
      <c r="P184" s="107">
        <v>10</v>
      </c>
      <c r="Q184" s="107">
        <v>1</v>
      </c>
      <c r="R184" s="108">
        <f>'1. Standard_Cost'!$B$15*N184*P184</f>
        <v>200000</v>
      </c>
      <c r="S184" s="108">
        <f>N184*O184*P184*'1. Standard_Cost'!$C$15</f>
        <v>300000</v>
      </c>
      <c r="T184" s="108">
        <f>N184*P184*Q184*'1. Standard_Cost'!$D$15</f>
        <v>500000</v>
      </c>
      <c r="U184" s="108">
        <v>0</v>
      </c>
      <c r="V184" s="107"/>
      <c r="W184" s="107"/>
      <c r="X184" s="107"/>
      <c r="Y184" s="108">
        <f>+V184*((X184*'1. Standard_Cost'!$B$19)+(W184*X184*'1. Standard_Cost'!$C$19))</f>
        <v>0</v>
      </c>
      <c r="Z184" s="107"/>
      <c r="AA184" s="107">
        <v>10</v>
      </c>
      <c r="AB184" s="108">
        <f>+Z184*'1. Standard_Cost'!$B$23+AA184*'1. Standard_Cost'!$C$23</f>
        <v>190000</v>
      </c>
      <c r="AC184" s="109"/>
      <c r="AD184" s="110"/>
      <c r="AE184" s="108">
        <v>0</v>
      </c>
      <c r="AF184" s="108">
        <f t="shared" si="178"/>
        <v>1190000</v>
      </c>
      <c r="AG184" s="107"/>
      <c r="AH184" s="107"/>
      <c r="AI184" s="107"/>
      <c r="AJ184" s="111"/>
      <c r="AK184" s="111"/>
      <c r="AL184" s="111"/>
      <c r="AM184" s="108">
        <f>AG184*'1. Standard_Cost'!$B$27+'Incremental_Cost Year 5'!AH184*'1. Standard_Cost'!$C$27+'Incremental_Cost Year 5'!AI184*'1. Standard_Cost'!$D$27+'Incremental_Cost Year 5'!AJ184+'Incremental_Cost Year 5'!AL184+AK184</f>
        <v>0</v>
      </c>
      <c r="AN184" s="108">
        <f>AM184*'1. Standard_Cost'!$C$31</f>
        <v>0</v>
      </c>
      <c r="AO184" s="125" t="s">
        <v>399</v>
      </c>
      <c r="AQ184" s="14">
        <f t="shared" si="179"/>
        <v>188470.5</v>
      </c>
      <c r="AR184" s="14">
        <f t="shared" si="180"/>
        <v>1190000</v>
      </c>
      <c r="AS184" s="14">
        <f t="shared" si="181"/>
        <v>0</v>
      </c>
      <c r="AT184" s="14">
        <f t="shared" si="183"/>
        <v>1378470.5</v>
      </c>
      <c r="AU184" s="15">
        <v>188470.5</v>
      </c>
      <c r="AV184" s="15"/>
      <c r="AW184" s="15"/>
      <c r="AX184" s="15"/>
      <c r="AY184" s="15">
        <v>0</v>
      </c>
      <c r="AZ184" s="15">
        <v>0</v>
      </c>
      <c r="BA184" s="15"/>
      <c r="BB184" s="16">
        <f t="shared" si="182"/>
        <v>-1190000</v>
      </c>
    </row>
    <row r="185" spans="1:54" ht="124.8" outlineLevel="2">
      <c r="A185" s="98"/>
      <c r="B185" s="102"/>
      <c r="C185" s="23"/>
      <c r="D185" s="269"/>
      <c r="E185" s="271"/>
      <c r="F185" s="250"/>
      <c r="G185" s="255"/>
      <c r="H185" s="302" t="s">
        <v>521</v>
      </c>
      <c r="I185" s="104"/>
      <c r="J185" s="105"/>
      <c r="K185" s="105"/>
      <c r="L185" s="106" t="str">
        <f>IF(I185&lt;&gt;0,((VLOOKUP(I185,'1. Standard_Cost'!$B$4:$D$11,2)+VLOOKUP(I185,'1. Standard_Cost'!$B$4:$D$11,3))*J185*K185),"0")</f>
        <v>0</v>
      </c>
      <c r="M185" s="106">
        <f>L185*'1. Standard_Cost'!$F$4</f>
        <v>0</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c r="AD185" s="110"/>
      <c r="AE185" s="108">
        <f>SUM(AD185,AC185,AB185,Y185,U185,T185,S185,R185)*'1. Standard_Cost'!$B$31</f>
        <v>0</v>
      </c>
      <c r="AF185" s="108">
        <f t="shared" si="178"/>
        <v>0</v>
      </c>
      <c r="AG185" s="107"/>
      <c r="AH185" s="107"/>
      <c r="AI185" s="107"/>
      <c r="AJ185" s="111"/>
      <c r="AK185" s="111"/>
      <c r="AL185" s="111"/>
      <c r="AM185" s="108">
        <f>AG185*'1. Standard_Cost'!$B$27+'Incremental_Cost Year 5'!AH185*'1. Standard_Cost'!$C$27+'Incremental_Cost Year 5'!AI185*'1. Standard_Cost'!$D$27+'Incremental_Cost Year 5'!AJ185+'Incremental_Cost Year 5'!AL185+AK185</f>
        <v>0</v>
      </c>
      <c r="AN185" s="108">
        <f>AM185*'1. Standard_Cost'!$C$31</f>
        <v>0</v>
      </c>
      <c r="AO185" s="125" t="s">
        <v>400</v>
      </c>
      <c r="AQ185" s="14">
        <f t="shared" si="179"/>
        <v>0</v>
      </c>
      <c r="AR185" s="14">
        <f t="shared" si="180"/>
        <v>0</v>
      </c>
      <c r="AS185" s="14">
        <f t="shared" si="181"/>
        <v>0</v>
      </c>
      <c r="AT185" s="14">
        <f t="shared" si="183"/>
        <v>0</v>
      </c>
      <c r="AU185" s="15">
        <v>0</v>
      </c>
      <c r="AV185" s="15"/>
      <c r="AW185" s="15"/>
      <c r="AX185" s="15"/>
      <c r="AY185" s="15">
        <v>0</v>
      </c>
      <c r="AZ185" s="15">
        <v>0</v>
      </c>
      <c r="BA185" s="15"/>
      <c r="BB185" s="16">
        <f t="shared" si="182"/>
        <v>0</v>
      </c>
    </row>
    <row r="186" spans="1:54" ht="62.4" outlineLevel="2">
      <c r="A186" s="98"/>
      <c r="B186" s="102"/>
      <c r="C186" s="23"/>
      <c r="D186" s="269"/>
      <c r="E186" s="271"/>
      <c r="F186" s="250"/>
      <c r="G186" s="255"/>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78"/>
        <v>0</v>
      </c>
      <c r="AG186" s="107"/>
      <c r="AH186" s="107"/>
      <c r="AI186" s="107"/>
      <c r="AJ186" s="111"/>
      <c r="AK186" s="111"/>
      <c r="AL186" s="111"/>
      <c r="AM186" s="108">
        <f>AG186*'1. Standard_Cost'!$B$27+'Incremental_Cost Year 5'!AH186*'1. Standard_Cost'!$C$27+'Incremental_Cost Year 5'!AI186*'1. Standard_Cost'!$D$27+'Incremental_Cost Year 5'!AJ186+'Incremental_Cost Year 5'!AL186+AK186</f>
        <v>0</v>
      </c>
      <c r="AN186" s="108">
        <f>AM186*'1. Standard_Cost'!$C$31</f>
        <v>0</v>
      </c>
      <c r="AO186" s="125" t="s">
        <v>401</v>
      </c>
      <c r="AQ186" s="14">
        <f t="shared" si="179"/>
        <v>0</v>
      </c>
      <c r="AR186" s="14">
        <f t="shared" si="180"/>
        <v>0</v>
      </c>
      <c r="AS186" s="14">
        <f t="shared" si="181"/>
        <v>0</v>
      </c>
      <c r="AT186" s="14">
        <f t="shared" si="183"/>
        <v>0</v>
      </c>
      <c r="AU186" s="15">
        <v>0</v>
      </c>
      <c r="AV186" s="15"/>
      <c r="AW186" s="15"/>
      <c r="AX186" s="15"/>
      <c r="AY186" s="15"/>
      <c r="AZ186" s="15"/>
      <c r="BA186" s="15"/>
      <c r="BB186" s="16">
        <f t="shared" si="182"/>
        <v>0</v>
      </c>
    </row>
    <row r="187" spans="1:54" ht="109.2" outlineLevel="2">
      <c r="A187" s="98"/>
      <c r="B187" s="102"/>
      <c r="C187" s="23"/>
      <c r="D187" s="269"/>
      <c r="E187" s="271"/>
      <c r="F187" s="250"/>
      <c r="G187" s="255"/>
      <c r="H187" s="302" t="s">
        <v>523</v>
      </c>
      <c r="I187" s="104" t="s">
        <v>4</v>
      </c>
      <c r="J187" s="105">
        <v>0.4</v>
      </c>
      <c r="K187" s="105">
        <v>2</v>
      </c>
      <c r="L187" s="106">
        <f>IF(I187&lt;&gt;0,((VLOOKUP(I187,'1. Standard_Cost'!$B$4:$D$11,2)+VLOOKUP(I187,'1. Standard_Cost'!$B$4:$D$11,3))*J187*K187),"0")</f>
        <v>64600</v>
      </c>
      <c r="M187" s="106">
        <f>L187*'1. Standard_Cost'!$F$4</f>
        <v>10788.2</v>
      </c>
      <c r="N187" s="107">
        <v>4</v>
      </c>
      <c r="O187" s="107">
        <v>2</v>
      </c>
      <c r="P187" s="107">
        <v>30</v>
      </c>
      <c r="Q187" s="107">
        <v>1</v>
      </c>
      <c r="R187" s="108">
        <f>'1. Standard_Cost'!$B$15*N187*P187</f>
        <v>240000</v>
      </c>
      <c r="S187" s="108">
        <f>N187*O187*P187*'1. Standard_Cost'!$C$15</f>
        <v>360000</v>
      </c>
      <c r="T187" s="108">
        <f>N187*P187*Q187*'1. Standard_Cost'!$D$15</f>
        <v>600000</v>
      </c>
      <c r="U187" s="108">
        <v>0</v>
      </c>
      <c r="V187" s="107"/>
      <c r="W187" s="107"/>
      <c r="X187" s="107"/>
      <c r="Y187" s="108">
        <f>+V187*((X187*'1. Standard_Cost'!$B$19)+(W187*X187*'1. Standard_Cost'!$C$19))</f>
        <v>0</v>
      </c>
      <c r="Z187" s="107"/>
      <c r="AA187" s="107">
        <v>29</v>
      </c>
      <c r="AB187" s="108">
        <f>+Z187*'1. Standard_Cost'!$B$23+AA187*'1. Standard_Cost'!$C$23</f>
        <v>551000</v>
      </c>
      <c r="AC187" s="109">
        <f>120*300</f>
        <v>36000</v>
      </c>
      <c r="AD187" s="110"/>
      <c r="AE187" s="108">
        <v>0</v>
      </c>
      <c r="AF187" s="108">
        <f t="shared" si="178"/>
        <v>1787000</v>
      </c>
      <c r="AG187" s="107"/>
      <c r="AH187" s="107"/>
      <c r="AI187" s="107"/>
      <c r="AJ187" s="111"/>
      <c r="AK187" s="111"/>
      <c r="AL187" s="111"/>
      <c r="AM187" s="108">
        <f>AG187*'1. Standard_Cost'!$B$27+'Incremental_Cost Year 5'!AH187*'1. Standard_Cost'!$C$27+'Incremental_Cost Year 5'!AI187*'1. Standard_Cost'!$D$27+'Incremental_Cost Year 5'!AJ187+'Incremental_Cost Year 5'!AL187+AK187</f>
        <v>0</v>
      </c>
      <c r="AN187" s="108">
        <f>AM187*'1. Standard_Cost'!$C$31</f>
        <v>0</v>
      </c>
      <c r="AO187" s="125" t="s">
        <v>402</v>
      </c>
      <c r="AQ187" s="14">
        <f t="shared" si="179"/>
        <v>75388.2</v>
      </c>
      <c r="AR187" s="14">
        <f t="shared" si="180"/>
        <v>1787000</v>
      </c>
      <c r="AS187" s="14">
        <f t="shared" si="181"/>
        <v>0</v>
      </c>
      <c r="AT187" s="14">
        <f t="shared" si="183"/>
        <v>1862388.2</v>
      </c>
      <c r="AU187" s="15">
        <v>75388.2</v>
      </c>
      <c r="AV187" s="15"/>
      <c r="AW187" s="15"/>
      <c r="AX187" s="15"/>
      <c r="AY187" s="15"/>
      <c r="AZ187" s="15"/>
      <c r="BA187" s="15"/>
      <c r="BB187" s="16">
        <f t="shared" si="182"/>
        <v>-1787000</v>
      </c>
    </row>
    <row r="188" spans="1:54" ht="124.8" outlineLevel="2">
      <c r="A188" s="98"/>
      <c r="B188" s="102"/>
      <c r="C188" s="23"/>
      <c r="D188" s="269"/>
      <c r="E188" s="271"/>
      <c r="F188" s="250"/>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v>0</v>
      </c>
      <c r="AF188" s="108">
        <f t="shared" si="178"/>
        <v>570000</v>
      </c>
      <c r="AG188" s="107"/>
      <c r="AH188" s="107"/>
      <c r="AI188" s="107"/>
      <c r="AJ188" s="111"/>
      <c r="AK188" s="111"/>
      <c r="AL188" s="111"/>
      <c r="AM188" s="108">
        <f>AG188*'1. Standard_Cost'!$B$27+'Incremental_Cost Year 5'!AH188*'1. Standard_Cost'!$C$27+'Incremental_Cost Year 5'!AI188*'1. Standard_Cost'!$D$27+'Incremental_Cost Year 5'!AJ188+'Incremental_Cost Year 5'!AL188+AK188</f>
        <v>0</v>
      </c>
      <c r="AN188" s="108">
        <f>AM188*'1. Standard_Cost'!$C$31</f>
        <v>0</v>
      </c>
      <c r="AO188" s="125" t="s">
        <v>335</v>
      </c>
      <c r="AQ188" s="14">
        <f t="shared" si="179"/>
        <v>282705.75</v>
      </c>
      <c r="AR188" s="14">
        <f t="shared" si="180"/>
        <v>570000</v>
      </c>
      <c r="AS188" s="14">
        <f t="shared" si="181"/>
        <v>0</v>
      </c>
      <c r="AT188" s="14">
        <f t="shared" si="183"/>
        <v>852705.75</v>
      </c>
      <c r="AU188" s="15">
        <v>282705.75</v>
      </c>
      <c r="AV188" s="15"/>
      <c r="AW188" s="15"/>
      <c r="AX188" s="15"/>
      <c r="AY188" s="15"/>
      <c r="AZ188" s="15"/>
      <c r="BA188" s="15"/>
      <c r="BB188" s="16">
        <f t="shared" si="182"/>
        <v>-570000</v>
      </c>
    </row>
    <row r="189" spans="1:54" ht="46.8" outlineLevel="2">
      <c r="A189" s="98"/>
      <c r="B189" s="102"/>
      <c r="C189" s="23"/>
      <c r="D189" s="269"/>
      <c r="E189" s="271"/>
      <c r="F189" s="250"/>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78"/>
        <v>0</v>
      </c>
      <c r="AG189" s="107"/>
      <c r="AH189" s="107"/>
      <c r="AI189" s="107"/>
      <c r="AJ189" s="111"/>
      <c r="AK189" s="111"/>
      <c r="AL189" s="111"/>
      <c r="AM189" s="108">
        <f>AG189*'1. Standard_Cost'!$B$27+'Incremental_Cost Year 5'!AH189*'1. Standard_Cost'!$C$27+'Incremental_Cost Year 5'!AI189*'1. Standard_Cost'!$D$27+'Incremental_Cost Year 5'!AJ189+'Incremental_Cost Year 5'!AL189+AK189</f>
        <v>0</v>
      </c>
      <c r="AN189" s="108">
        <f>AM189*'1. Standard_Cost'!$C$31</f>
        <v>0</v>
      </c>
      <c r="AO189" s="125" t="s">
        <v>403</v>
      </c>
      <c r="AQ189" s="14">
        <f t="shared" si="179"/>
        <v>423621</v>
      </c>
      <c r="AR189" s="14">
        <f t="shared" si="180"/>
        <v>0</v>
      </c>
      <c r="AS189" s="14">
        <f t="shared" si="181"/>
        <v>0</v>
      </c>
      <c r="AT189" s="14">
        <f t="shared" si="183"/>
        <v>423621</v>
      </c>
      <c r="AU189" s="15">
        <v>423621</v>
      </c>
      <c r="AV189" s="15"/>
      <c r="AW189" s="15"/>
      <c r="AX189" s="15"/>
      <c r="AY189" s="15"/>
      <c r="AZ189" s="15"/>
      <c r="BA189" s="15"/>
      <c r="BB189" s="16">
        <f t="shared" si="182"/>
        <v>0</v>
      </c>
    </row>
    <row r="190" spans="1:54" ht="124.8" outlineLevel="2">
      <c r="A190" s="98"/>
      <c r="B190" s="102"/>
      <c r="C190" s="23"/>
      <c r="D190" s="269"/>
      <c r="E190" s="271"/>
      <c r="F190" s="250"/>
      <c r="G190" s="255"/>
      <c r="H190" s="302" t="s">
        <v>526</v>
      </c>
      <c r="I190" s="104" t="s">
        <v>4</v>
      </c>
      <c r="J190" s="105">
        <v>0.4</v>
      </c>
      <c r="K190" s="105">
        <v>1</v>
      </c>
      <c r="L190" s="106">
        <f>IF(I190&lt;&gt;0,((VLOOKUP(I190,'1. Standard_Cost'!$B$4:$D$11,2)+VLOOKUP(I190,'1. Standard_Cost'!$B$4:$D$11,3))*J190*K190),"0")</f>
        <v>32300</v>
      </c>
      <c r="M190" s="106">
        <f>L190*'1. Standard_Cost'!$F$4</f>
        <v>5394.1</v>
      </c>
      <c r="N190" s="107">
        <v>10</v>
      </c>
      <c r="O190" s="107">
        <v>2</v>
      </c>
      <c r="P190" s="107">
        <v>15</v>
      </c>
      <c r="Q190" s="107">
        <v>0</v>
      </c>
      <c r="R190" s="108">
        <v>0</v>
      </c>
      <c r="S190" s="108">
        <v>0</v>
      </c>
      <c r="T190" s="108">
        <f>N190*P190*Q190*'1. Standard_Cost'!$D$15</f>
        <v>0</v>
      </c>
      <c r="U190" s="108">
        <v>0</v>
      </c>
      <c r="V190" s="107"/>
      <c r="W190" s="107"/>
      <c r="X190" s="107"/>
      <c r="Y190" s="108">
        <f>+V190*((X190*'1. Standard_Cost'!$B$19)+(W190*X190*'1. Standard_Cost'!$C$19))</f>
        <v>0</v>
      </c>
      <c r="Z190" s="107"/>
      <c r="AA190" s="107">
        <f>20+22</f>
        <v>42</v>
      </c>
      <c r="AB190" s="108">
        <f>+Z190*'1. Standard_Cost'!$B$23+AA190*'1. Standard_Cost'!$C$23</f>
        <v>798000</v>
      </c>
      <c r="AC190" s="109">
        <f>150*3500*2+150*500*2</f>
        <v>1200000</v>
      </c>
      <c r="AD190" s="110"/>
      <c r="AE190" s="108">
        <v>0</v>
      </c>
      <c r="AF190" s="108">
        <f t="shared" si="178"/>
        <v>1998000</v>
      </c>
      <c r="AG190" s="107"/>
      <c r="AH190" s="107"/>
      <c r="AI190" s="107"/>
      <c r="AJ190" s="111"/>
      <c r="AK190" s="111"/>
      <c r="AL190" s="111"/>
      <c r="AM190" s="108">
        <f>AG190*'1. Standard_Cost'!$B$27+'Incremental_Cost Year 5'!AH190*'1. Standard_Cost'!$C$27+'Incremental_Cost Year 5'!AI190*'1. Standard_Cost'!$D$27+'Incremental_Cost Year 5'!AJ190+'Incremental_Cost Year 5'!AL190+AK190</f>
        <v>0</v>
      </c>
      <c r="AN190" s="108">
        <f>AM190*'1. Standard_Cost'!$C$31</f>
        <v>0</v>
      </c>
      <c r="AO190" s="125" t="s">
        <v>404</v>
      </c>
      <c r="AQ190" s="14">
        <f t="shared" si="179"/>
        <v>37694.1</v>
      </c>
      <c r="AR190" s="14">
        <f t="shared" si="180"/>
        <v>1998000</v>
      </c>
      <c r="AS190" s="14">
        <f t="shared" si="181"/>
        <v>0</v>
      </c>
      <c r="AT190" s="14">
        <f t="shared" si="183"/>
        <v>2035694.1</v>
      </c>
      <c r="AU190" s="15">
        <v>37694.1</v>
      </c>
      <c r="AV190" s="15"/>
      <c r="AW190" s="15"/>
      <c r="AX190" s="15"/>
      <c r="AY190" s="15"/>
      <c r="AZ190" s="15"/>
      <c r="BA190" s="15"/>
      <c r="BB190" s="16">
        <f t="shared" si="182"/>
        <v>-1998000</v>
      </c>
    </row>
    <row r="191" spans="1:54" ht="109.2" outlineLevel="2">
      <c r="A191" s="98"/>
      <c r="B191" s="102"/>
      <c r="C191" s="23"/>
      <c r="D191" s="269"/>
      <c r="E191" s="271"/>
      <c r="F191" s="250"/>
      <c r="G191" s="255"/>
      <c r="H191" s="302" t="s">
        <v>527</v>
      </c>
      <c r="I191" s="104"/>
      <c r="J191" s="105"/>
      <c r="K191" s="105"/>
      <c r="L191" s="106" t="str">
        <f>IF(I191&lt;&gt;0,((VLOOKUP(I191,'1. Standard_Cost'!$B$4:$D$11,2)+VLOOKUP(I191,'1. Standard_Cost'!$B$4:$D$11,3))*J191*K191),"0")</f>
        <v>0</v>
      </c>
      <c r="M191" s="106">
        <f>L191*'1. Standard_Cost'!$F$4</f>
        <v>0</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c r="AB191" s="108">
        <f>+Z191*'1. Standard_Cost'!$B$23+AA191*'1. Standard_Cost'!$C$23</f>
        <v>0</v>
      </c>
      <c r="AC191" s="109"/>
      <c r="AD191" s="110"/>
      <c r="AE191" s="108">
        <f>SUM(AD191,AC191,AB191,Y191,U191,T191,S191,R191)*'1. Standard_Cost'!$B$31</f>
        <v>0</v>
      </c>
      <c r="AF191" s="108">
        <f t="shared" si="178"/>
        <v>0</v>
      </c>
      <c r="AG191" s="107"/>
      <c r="AH191" s="107"/>
      <c r="AI191" s="107"/>
      <c r="AJ191" s="111"/>
      <c r="AK191" s="111"/>
      <c r="AL191" s="111"/>
      <c r="AM191" s="108">
        <f>AG191*'1. Standard_Cost'!$B$27+'Incremental_Cost Year 5'!AH191*'1. Standard_Cost'!$C$27+'Incremental_Cost Year 5'!AI191*'1. Standard_Cost'!$D$27+'Incremental_Cost Year 5'!AJ191+'Incremental_Cost Year 5'!AL191+AK191</f>
        <v>0</v>
      </c>
      <c r="AN191" s="108">
        <f>AM191*'1. Standard_Cost'!$C$31</f>
        <v>0</v>
      </c>
      <c r="AO191" s="125" t="s">
        <v>405</v>
      </c>
      <c r="AQ191" s="14">
        <f t="shared" si="179"/>
        <v>0</v>
      </c>
      <c r="AR191" s="14">
        <f t="shared" si="180"/>
        <v>0</v>
      </c>
      <c r="AS191" s="14">
        <f t="shared" si="181"/>
        <v>0</v>
      </c>
      <c r="AT191" s="14">
        <f t="shared" si="183"/>
        <v>0</v>
      </c>
      <c r="AU191" s="15">
        <v>0</v>
      </c>
      <c r="AV191" s="15"/>
      <c r="AW191" s="15"/>
      <c r="AX191" s="15"/>
      <c r="AY191" s="15"/>
      <c r="AZ191" s="15"/>
      <c r="BA191" s="15"/>
      <c r="BB191" s="16">
        <f t="shared" si="182"/>
        <v>0</v>
      </c>
    </row>
    <row r="192" spans="1:54" ht="62.4" outlineLevel="2">
      <c r="A192" s="98"/>
      <c r="B192" s="102"/>
      <c r="C192" s="23"/>
      <c r="D192" s="269"/>
      <c r="E192" s="271"/>
      <c r="F192" s="250"/>
      <c r="G192" s="255"/>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78"/>
        <v>0</v>
      </c>
      <c r="AG192" s="107"/>
      <c r="AH192" s="107"/>
      <c r="AI192" s="107"/>
      <c r="AJ192" s="111"/>
      <c r="AK192" s="111"/>
      <c r="AL192" s="111"/>
      <c r="AM192" s="108">
        <f>AG192*'1. Standard_Cost'!$B$27+'Incremental_Cost Year 5'!AH192*'1. Standard_Cost'!$C$27+'Incremental_Cost Year 5'!AI192*'1. Standard_Cost'!$D$27+'Incremental_Cost Year 5'!AJ192+'Incremental_Cost Year 5'!AL192+AK192</f>
        <v>0</v>
      </c>
      <c r="AN192" s="108">
        <f>AM192*'1. Standard_Cost'!$C$31</f>
        <v>0</v>
      </c>
      <c r="AO192" s="125" t="s">
        <v>406</v>
      </c>
      <c r="AQ192" s="14">
        <f t="shared" si="179"/>
        <v>19801656</v>
      </c>
      <c r="AR192" s="14">
        <f t="shared" si="180"/>
        <v>0</v>
      </c>
      <c r="AS192" s="14">
        <f t="shared" si="181"/>
        <v>0</v>
      </c>
      <c r="AT192" s="14">
        <f t="shared" si="183"/>
        <v>19801656</v>
      </c>
      <c r="AU192" s="15">
        <v>19801656</v>
      </c>
      <c r="AV192" s="15"/>
      <c r="AW192" s="15"/>
      <c r="AX192" s="15"/>
      <c r="AY192" s="15"/>
      <c r="AZ192" s="15"/>
      <c r="BA192" s="15"/>
      <c r="BB192" s="16">
        <f t="shared" si="182"/>
        <v>0</v>
      </c>
    </row>
    <row r="193" spans="1:54" ht="78" outlineLevel="2">
      <c r="A193" s="98"/>
      <c r="B193" s="102"/>
      <c r="C193" s="23"/>
      <c r="D193" s="269"/>
      <c r="E193" s="271"/>
      <c r="F193" s="250"/>
      <c r="G193" s="255"/>
      <c r="H193" s="302" t="s">
        <v>529</v>
      </c>
      <c r="I193" s="104"/>
      <c r="J193" s="105"/>
      <c r="K193" s="105"/>
      <c r="L193" s="106" t="str">
        <f>IF(I193&lt;&gt;0,((VLOOKUP(I193,'1. Standard_Cost'!$B$4:$D$11,2)+VLOOKUP(I193,'1. Standard_Cost'!$B$4:$D$11,3))*J193*K193),"0")</f>
        <v>0</v>
      </c>
      <c r="M193" s="106">
        <f>L193*'1. Standard_Cost'!$F$4</f>
        <v>0</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c r="AB193" s="108">
        <f>+Z193*'1. Standard_Cost'!$B$23+AA193*'1. Standard_Cost'!$C$23</f>
        <v>0</v>
      </c>
      <c r="AC193" s="109"/>
      <c r="AD193" s="110"/>
      <c r="AE193" s="108">
        <f>SUM(AD193,AC193,AB193,Y193,U193,T193,S193,R193)*'1. Standard_Cost'!$B$31</f>
        <v>0</v>
      </c>
      <c r="AF193" s="108">
        <f t="shared" si="178"/>
        <v>0</v>
      </c>
      <c r="AG193" s="107"/>
      <c r="AH193" s="107"/>
      <c r="AI193" s="107"/>
      <c r="AJ193" s="111"/>
      <c r="AK193" s="111"/>
      <c r="AL193" s="111"/>
      <c r="AM193" s="108">
        <f>AG193*'1. Standard_Cost'!$B$27+'Incremental_Cost Year 5'!AH193*'1. Standard_Cost'!$C$27+'Incremental_Cost Year 5'!AI193*'1. Standard_Cost'!$D$27+'Incremental_Cost Year 5'!AJ193+'Incremental_Cost Year 5'!AL193+AK193</f>
        <v>0</v>
      </c>
      <c r="AN193" s="108">
        <f>AM193*'1. Standard_Cost'!$C$31</f>
        <v>0</v>
      </c>
      <c r="AO193" s="125" t="s">
        <v>407</v>
      </c>
      <c r="AQ193" s="14">
        <f t="shared" si="179"/>
        <v>0</v>
      </c>
      <c r="AR193" s="14">
        <f t="shared" si="180"/>
        <v>0</v>
      </c>
      <c r="AS193" s="14">
        <f t="shared" si="181"/>
        <v>0</v>
      </c>
      <c r="AT193" s="14">
        <f t="shared" si="183"/>
        <v>0</v>
      </c>
      <c r="AU193" s="15">
        <v>0</v>
      </c>
      <c r="AV193" s="15"/>
      <c r="AW193" s="15"/>
      <c r="AX193" s="15"/>
      <c r="AY193" s="15"/>
      <c r="AZ193" s="15"/>
      <c r="BA193" s="15"/>
      <c r="BB193" s="16">
        <f t="shared" si="182"/>
        <v>0</v>
      </c>
    </row>
    <row r="194" spans="1:54" ht="36" customHeight="1" outlineLevel="2">
      <c r="A194" s="98"/>
      <c r="B194" s="102"/>
      <c r="C194" s="23"/>
      <c r="D194" s="251"/>
      <c r="E194" s="251"/>
      <c r="F194" s="251"/>
      <c r="G194" s="250"/>
      <c r="H194" s="302" t="s">
        <v>530</v>
      </c>
      <c r="I194" s="104" t="s">
        <v>4</v>
      </c>
      <c r="J194" s="105">
        <v>0.4</v>
      </c>
      <c r="K194" s="105">
        <v>1</v>
      </c>
      <c r="L194" s="106">
        <f>IF(I194&lt;&gt;0,((VLOOKUP(I194,'1. Standard_Cost'!$B$4:$D$11,2)+VLOOKUP(I194,'1. Standard_Cost'!$B$4:$D$11,3))*J194*K194),"0")</f>
        <v>32300</v>
      </c>
      <c r="M194" s="106">
        <f>L194*'1. Standard_Cost'!$F$4</f>
        <v>5394.1</v>
      </c>
      <c r="N194" s="107">
        <v>10</v>
      </c>
      <c r="O194" s="107">
        <v>2</v>
      </c>
      <c r="P194" s="107">
        <v>15</v>
      </c>
      <c r="Q194" s="107"/>
      <c r="R194" s="108">
        <v>0</v>
      </c>
      <c r="S194" s="108">
        <v>0</v>
      </c>
      <c r="T194" s="108">
        <f>N194*P194*Q194*'1. Standard_Cost'!$D$15</f>
        <v>0</v>
      </c>
      <c r="U194" s="108">
        <v>0</v>
      </c>
      <c r="V194" s="107"/>
      <c r="W194" s="107"/>
      <c r="X194" s="107"/>
      <c r="Y194" s="108">
        <f>+V194*((X194*'1. Standard_Cost'!$B$19)+(W194*X194*'1. Standard_Cost'!$C$19))</f>
        <v>0</v>
      </c>
      <c r="Z194" s="107"/>
      <c r="AA194" s="107">
        <v>15</v>
      </c>
      <c r="AB194" s="108">
        <f>+Z194*'1. Standard_Cost'!$B$23+AA194*'1. Standard_Cost'!$C$23</f>
        <v>285000</v>
      </c>
      <c r="AC194" s="109">
        <f>150*2*3500+150*2*500</f>
        <v>1200000</v>
      </c>
      <c r="AD194" s="110"/>
      <c r="AE194" s="108">
        <v>0</v>
      </c>
      <c r="AF194" s="108">
        <f t="shared" si="178"/>
        <v>1485000</v>
      </c>
      <c r="AG194" s="107"/>
      <c r="AH194" s="107"/>
      <c r="AI194" s="107"/>
      <c r="AJ194" s="111"/>
      <c r="AK194" s="111"/>
      <c r="AL194" s="111"/>
      <c r="AM194" s="108">
        <f>AG194*'1. Standard_Cost'!$B$27+'Incremental_Cost Year 5'!AH194*'1. Standard_Cost'!$C$27+'Incremental_Cost Year 5'!AI194*'1. Standard_Cost'!$D$27+'Incremental_Cost Year 5'!AJ194+'Incremental_Cost Year 5'!AL194+AK194</f>
        <v>0</v>
      </c>
      <c r="AN194" s="108">
        <f>AM194*'1. Standard_Cost'!$C$31</f>
        <v>0</v>
      </c>
      <c r="AO194" s="125" t="s">
        <v>408</v>
      </c>
      <c r="AQ194" s="14">
        <f t="shared" si="179"/>
        <v>37694.1</v>
      </c>
      <c r="AR194" s="14">
        <f t="shared" si="180"/>
        <v>1485000</v>
      </c>
      <c r="AS194" s="14">
        <f t="shared" si="181"/>
        <v>0</v>
      </c>
      <c r="AT194" s="14">
        <f t="shared" si="183"/>
        <v>1522694.1</v>
      </c>
      <c r="AU194" s="15">
        <v>37694.1</v>
      </c>
      <c r="AV194" s="15"/>
      <c r="AW194" s="15"/>
      <c r="AX194" s="15"/>
      <c r="AY194" s="15"/>
      <c r="AZ194" s="15"/>
      <c r="BA194" s="15"/>
      <c r="BB194" s="16">
        <f t="shared" si="182"/>
        <v>-1485000</v>
      </c>
    </row>
    <row r="195" spans="1:54" ht="28.95" customHeight="1" outlineLevel="2">
      <c r="A195" s="98"/>
      <c r="B195" s="102"/>
      <c r="C195" s="23"/>
      <c r="D195" s="251"/>
      <c r="E195" s="251"/>
      <c r="F195" s="269"/>
      <c r="G195" s="27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v>22</v>
      </c>
      <c r="AB195" s="108">
        <f>+Z195*'[1]1. Standard_Cost'!$B$23+AA195*'[1]1. Standard_Cost'!$C$23</f>
        <v>418000</v>
      </c>
      <c r="AC195" s="109"/>
      <c r="AD195" s="110"/>
      <c r="AE195" s="108">
        <f>SUM(AD195,AC195,AB195,Y195,U195,T195,S195,R195)*'[1]1. Standard_Cost'!$B$31</f>
        <v>83600</v>
      </c>
      <c r="AF195" s="108">
        <f t="shared" si="178"/>
        <v>501600</v>
      </c>
      <c r="AG195" s="107"/>
      <c r="AH195" s="107"/>
      <c r="AI195" s="107"/>
      <c r="AJ195" s="111"/>
      <c r="AK195" s="111"/>
      <c r="AL195" s="111"/>
      <c r="AM195" s="108">
        <f>AG195*'[1]1. Standard_Cost'!$B$27+'[1]Incremental_Cost Year 5'!AH195*'[1]1. Standard_Cost'!$C$27+'[1]Incremental_Cost Year 5'!AI195*'[1]1. Standard_Cost'!$D$27+'[1]Incremental_Cost Year 5'!AJ195+'[1]Incremental_Cost Year 5'!AL195+AK195</f>
        <v>0</v>
      </c>
      <c r="AN195" s="108">
        <f>AM195*'[1]1. Standard_Cost'!$C$31</f>
        <v>0</v>
      </c>
      <c r="AO195" s="125" t="s">
        <v>408</v>
      </c>
      <c r="AQ195" s="14">
        <f t="shared" si="179"/>
        <v>0</v>
      </c>
      <c r="AR195" s="14">
        <f t="shared" si="180"/>
        <v>501600</v>
      </c>
      <c r="AS195" s="14">
        <f t="shared" si="181"/>
        <v>0</v>
      </c>
      <c r="AT195" s="14">
        <f t="shared" si="183"/>
        <v>501600</v>
      </c>
      <c r="AU195" s="15"/>
      <c r="AV195" s="15"/>
      <c r="AW195" s="15"/>
      <c r="AX195" s="15"/>
      <c r="AY195" s="15"/>
      <c r="AZ195" s="15"/>
      <c r="BA195" s="15"/>
      <c r="BB195" s="16">
        <f t="shared" si="182"/>
        <v>-501600</v>
      </c>
    </row>
    <row r="196" spans="1:54" ht="32.25" customHeight="1" outlineLevel="2">
      <c r="A196" s="98"/>
      <c r="B196" s="102"/>
      <c r="C196" s="23"/>
      <c r="D196" s="251"/>
      <c r="E196" s="251"/>
      <c r="F196" s="251"/>
      <c r="G196" s="250"/>
      <c r="H196" s="302" t="s">
        <v>531</v>
      </c>
      <c r="I196" s="104"/>
      <c r="J196" s="105"/>
      <c r="K196" s="105"/>
      <c r="L196" s="106" t="str">
        <f>IF(I196&lt;&gt;0,((VLOOKUP(I196,'1. Standard_Cost'!$B$4:$D$11,2)+VLOOKUP(I196,'1. Standard_Cost'!$B$4:$D$11,3))*J196*K196),"0")</f>
        <v>0</v>
      </c>
      <c r="M196" s="106">
        <f>L196*'1. Standard_Cost'!$F$4</f>
        <v>0</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c r="AB196" s="108">
        <f>+Z196*'1. Standard_Cost'!$B$23+AA196*'1. Standard_Cost'!$C$23</f>
        <v>0</v>
      </c>
      <c r="AC196" s="109"/>
      <c r="AD196" s="110"/>
      <c r="AE196" s="108">
        <f>SUM(AD196,AC196,AB196,Y196,U196,T196,S196,R196)*'1. Standard_Cost'!$B$31</f>
        <v>0</v>
      </c>
      <c r="AF196" s="108">
        <f t="shared" si="178"/>
        <v>0</v>
      </c>
      <c r="AG196" s="107"/>
      <c r="AH196" s="107"/>
      <c r="AI196" s="107"/>
      <c r="AJ196" s="111"/>
      <c r="AK196" s="111"/>
      <c r="AL196" s="111"/>
      <c r="AM196" s="108">
        <f>AG196*'1. Standard_Cost'!$B$27+'Incremental_Cost Year 5'!AH196*'1. Standard_Cost'!$C$27+'Incremental_Cost Year 5'!AI196*'1. Standard_Cost'!$D$27+'Incremental_Cost Year 5'!AJ196+'Incremental_Cost Year 5'!AL196+AK196</f>
        <v>0</v>
      </c>
      <c r="AN196" s="108">
        <f>AM196*'1. Standard_Cost'!$C$31</f>
        <v>0</v>
      </c>
      <c r="AO196" s="125" t="s">
        <v>409</v>
      </c>
      <c r="AQ196" s="14">
        <f t="shared" si="179"/>
        <v>0</v>
      </c>
      <c r="AR196" s="14">
        <f t="shared" si="180"/>
        <v>0</v>
      </c>
      <c r="AS196" s="14">
        <f t="shared" si="181"/>
        <v>0</v>
      </c>
      <c r="AT196" s="14">
        <f t="shared" si="183"/>
        <v>0</v>
      </c>
      <c r="AU196" s="15">
        <v>0</v>
      </c>
      <c r="AV196" s="15"/>
      <c r="AW196" s="15"/>
      <c r="AX196" s="15"/>
      <c r="AY196" s="15"/>
      <c r="AZ196" s="15"/>
      <c r="BA196" s="15"/>
      <c r="BB196" s="16">
        <f t="shared" si="182"/>
        <v>0</v>
      </c>
    </row>
    <row r="197" spans="1:54" ht="45" customHeight="1" outlineLevel="2">
      <c r="A197" s="98"/>
      <c r="B197" s="102"/>
      <c r="C197" s="23"/>
      <c r="D197" s="251"/>
      <c r="E197" s="251"/>
      <c r="F197" s="251"/>
      <c r="G197" s="250"/>
      <c r="H197" s="302" t="s">
        <v>532</v>
      </c>
      <c r="I197" s="104" t="s">
        <v>4</v>
      </c>
      <c r="J197" s="105">
        <v>0.4</v>
      </c>
      <c r="K197" s="105">
        <v>1</v>
      </c>
      <c r="L197" s="106">
        <f>IF(I197&lt;&gt;0,((VLOOKUP(I197,'1. Standard_Cost'!$B$4:$D$11,2)+VLOOKUP(I197,'1. Standard_Cost'!$B$4:$D$11,3))*J197*K197),"0")</f>
        <v>32300</v>
      </c>
      <c r="M197" s="106">
        <f>L197*'1. Standard_Cost'!$F$4</f>
        <v>5394.1</v>
      </c>
      <c r="N197" s="107">
        <v>10</v>
      </c>
      <c r="O197" s="107">
        <v>2</v>
      </c>
      <c r="P197" s="107">
        <v>15</v>
      </c>
      <c r="Q197" s="107"/>
      <c r="R197" s="108">
        <v>0</v>
      </c>
      <c r="S197" s="108">
        <v>0</v>
      </c>
      <c r="T197" s="108">
        <f>N197*P197*Q197*'1. Standard_Cost'!$D$15</f>
        <v>0</v>
      </c>
      <c r="U197" s="108">
        <v>0</v>
      </c>
      <c r="V197" s="107"/>
      <c r="W197" s="107"/>
      <c r="X197" s="107"/>
      <c r="Y197" s="108">
        <f>+V197*((X197*'1. Standard_Cost'!$B$19)+(W197*X197*'1. Standard_Cost'!$C$19))</f>
        <v>0</v>
      </c>
      <c r="Z197" s="107"/>
      <c r="AA197" s="107"/>
      <c r="AB197" s="108">
        <f>+Z197*'1. Standard_Cost'!$B$23+AA197*'1. Standard_Cost'!$C$23</f>
        <v>0</v>
      </c>
      <c r="AC197" s="109">
        <f>150*3500*2+150*500*2</f>
        <v>1200000</v>
      </c>
      <c r="AD197" s="110"/>
      <c r="AE197" s="108">
        <v>0</v>
      </c>
      <c r="AF197" s="108">
        <f t="shared" si="178"/>
        <v>1200000</v>
      </c>
      <c r="AG197" s="107"/>
      <c r="AH197" s="107"/>
      <c r="AI197" s="107"/>
      <c r="AJ197" s="111"/>
      <c r="AK197" s="111"/>
      <c r="AL197" s="111"/>
      <c r="AM197" s="108">
        <f>AG197*'1. Standard_Cost'!$B$27+'Incremental_Cost Year 5'!AH197*'1. Standard_Cost'!$C$27+'Incremental_Cost Year 5'!AI197*'1. Standard_Cost'!$D$27+'Incremental_Cost Year 5'!AJ197+'Incremental_Cost Year 5'!AL197+AK197</f>
        <v>0</v>
      </c>
      <c r="AN197" s="108">
        <f>AM197*'1. Standard_Cost'!$C$31</f>
        <v>0</v>
      </c>
      <c r="AO197" s="125" t="s">
        <v>410</v>
      </c>
      <c r="AQ197" s="14">
        <f t="shared" si="179"/>
        <v>37694.1</v>
      </c>
      <c r="AR197" s="14">
        <f t="shared" si="180"/>
        <v>1200000</v>
      </c>
      <c r="AS197" s="14">
        <f t="shared" si="181"/>
        <v>0</v>
      </c>
      <c r="AT197" s="14">
        <f t="shared" si="183"/>
        <v>1237694.1000000001</v>
      </c>
      <c r="AU197" s="15">
        <v>37694.1</v>
      </c>
      <c r="AV197" s="15"/>
      <c r="AW197" s="15"/>
      <c r="AX197" s="15"/>
      <c r="AY197" s="15"/>
      <c r="AZ197" s="15"/>
      <c r="BA197" s="15"/>
      <c r="BB197" s="16">
        <f t="shared" si="182"/>
        <v>-1200000</v>
      </c>
    </row>
    <row r="198" spans="1:54" ht="34.950000000000003" customHeight="1" outlineLevel="2">
      <c r="A198" s="98"/>
      <c r="B198" s="102"/>
      <c r="C198" s="23"/>
      <c r="D198" s="251"/>
      <c r="E198" s="251"/>
      <c r="F198" s="269"/>
      <c r="G198" s="27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v>22</v>
      </c>
      <c r="AB198" s="108">
        <f>+Z198*'[1]1. Standard_Cost'!$B$23+AA198*'[1]1. Standard_Cost'!$C$23</f>
        <v>418000</v>
      </c>
      <c r="AC198" s="109"/>
      <c r="AD198" s="110"/>
      <c r="AE198" s="108">
        <f>SUM(AD198,AC198,AB198,Y198,U198,T198,S198,R198)*'[1]1. Standard_Cost'!$B$31</f>
        <v>83600</v>
      </c>
      <c r="AF198" s="108">
        <f t="shared" si="178"/>
        <v>501600</v>
      </c>
      <c r="AG198" s="107"/>
      <c r="AH198" s="107"/>
      <c r="AI198" s="107"/>
      <c r="AJ198" s="111"/>
      <c r="AK198" s="111"/>
      <c r="AL198" s="111"/>
      <c r="AM198" s="108">
        <f>AG198*'[1]1. Standard_Cost'!$B$27+'[1]Incremental_Cost Year 5'!AH197*'[1]1. Standard_Cost'!$C$27+'[1]Incremental_Cost Year 5'!AI197*'[1]1. Standard_Cost'!$D$27+'[1]Incremental_Cost Year 5'!AJ197+'[1]Incremental_Cost Year 5'!AL197+AK198</f>
        <v>0</v>
      </c>
      <c r="AN198" s="108">
        <f>AM198*'[1]1. Standard_Cost'!$C$31</f>
        <v>0</v>
      </c>
      <c r="AO198" s="125" t="s">
        <v>410</v>
      </c>
      <c r="AQ198" s="14">
        <f t="shared" si="179"/>
        <v>0</v>
      </c>
      <c r="AR198" s="14">
        <f t="shared" si="180"/>
        <v>501600</v>
      </c>
      <c r="AS198" s="14">
        <f t="shared" si="181"/>
        <v>0</v>
      </c>
      <c r="AT198" s="14">
        <f t="shared" si="183"/>
        <v>501600</v>
      </c>
      <c r="AU198" s="15"/>
      <c r="AV198" s="15"/>
      <c r="AW198" s="15"/>
      <c r="AX198" s="15"/>
      <c r="AY198" s="15"/>
      <c r="AZ198" s="15"/>
      <c r="BA198" s="15"/>
      <c r="BB198" s="16">
        <f t="shared" si="182"/>
        <v>-501600</v>
      </c>
    </row>
    <row r="199" spans="1:54" ht="140.4" outlineLevel="2">
      <c r="A199" s="98"/>
      <c r="B199" s="102"/>
      <c r="C199" s="23"/>
      <c r="D199" s="251"/>
      <c r="E199" s="251"/>
      <c r="F199" s="251"/>
      <c r="G199" s="250"/>
      <c r="H199" s="302" t="s">
        <v>533</v>
      </c>
      <c r="I199" s="104"/>
      <c r="J199" s="105"/>
      <c r="K199" s="105"/>
      <c r="L199" s="106" t="str">
        <f>IF(I199&lt;&gt;0,((VLOOKUP(I199,'1. Standard_Cost'!$B$4:$D$11,2)+VLOOKUP(I199,'1. Standard_Cost'!$B$4:$D$11,3))*J199*K199),"0")</f>
        <v>0</v>
      </c>
      <c r="M199" s="106">
        <f>L199*'1. Standard_Cost'!$F$4</f>
        <v>0</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c r="AB199" s="108">
        <f>+Z199*'1. Standard_Cost'!$B$23+AA199*'1. Standard_Cost'!$C$23</f>
        <v>0</v>
      </c>
      <c r="AC199" s="109"/>
      <c r="AD199" s="110"/>
      <c r="AE199" s="108">
        <f>SUM(AD199,AC199,AB199,Y199,U199,T199,S199,R199)*'1. Standard_Cost'!$B$31</f>
        <v>0</v>
      </c>
      <c r="AF199" s="108">
        <f t="shared" si="178"/>
        <v>0</v>
      </c>
      <c r="AG199" s="107"/>
      <c r="AH199" s="107"/>
      <c r="AI199" s="107"/>
      <c r="AJ199" s="111"/>
      <c r="AK199" s="111"/>
      <c r="AL199" s="111"/>
      <c r="AM199" s="108">
        <f>AG199*'1. Standard_Cost'!$B$27+'Incremental_Cost Year 5'!AH199*'1. Standard_Cost'!$C$27+'Incremental_Cost Year 5'!AI199*'1. Standard_Cost'!$D$27+'Incremental_Cost Year 5'!AJ199+'Incremental_Cost Year 5'!AL199+AK199</f>
        <v>0</v>
      </c>
      <c r="AN199" s="108">
        <f>AM199*'1. Standard_Cost'!$C$31</f>
        <v>0</v>
      </c>
      <c r="AO199" s="125" t="s">
        <v>411</v>
      </c>
      <c r="AQ199" s="14">
        <f t="shared" si="179"/>
        <v>0</v>
      </c>
      <c r="AR199" s="14">
        <f t="shared" si="180"/>
        <v>0</v>
      </c>
      <c r="AS199" s="14">
        <f t="shared" si="181"/>
        <v>0</v>
      </c>
      <c r="AT199" s="14">
        <f t="shared" si="183"/>
        <v>0</v>
      </c>
      <c r="AU199" s="15">
        <v>0</v>
      </c>
      <c r="AV199" s="15"/>
      <c r="AW199" s="15"/>
      <c r="AX199" s="15"/>
      <c r="AY199" s="15">
        <v>0</v>
      </c>
      <c r="AZ199" s="15">
        <v>0</v>
      </c>
      <c r="BA199" s="15"/>
      <c r="BB199" s="16">
        <f t="shared" si="182"/>
        <v>0</v>
      </c>
    </row>
    <row r="200" spans="1:54" ht="32.25" customHeight="1" outlineLevel="2">
      <c r="A200" s="98"/>
      <c r="B200" s="102"/>
      <c r="C200" s="23"/>
      <c r="D200" s="251"/>
      <c r="E200" s="251"/>
      <c r="F200" s="172"/>
      <c r="G200" s="250"/>
      <c r="H200" s="302" t="s">
        <v>534</v>
      </c>
      <c r="I200" s="104" t="s">
        <v>4</v>
      </c>
      <c r="J200" s="105">
        <v>1</v>
      </c>
      <c r="K200" s="105">
        <v>5</v>
      </c>
      <c r="L200" s="106">
        <f>IF(I200&lt;&gt;0,((VLOOKUP(I200,'1. Standard_Cost'!$B$4:$D$11,2)+VLOOKUP(I200,'1. Standard_Cost'!$B$4:$D$11,3))*J200*K200),"0")</f>
        <v>403750</v>
      </c>
      <c r="M200" s="106">
        <f>L200*'1. Standard_Cost'!$F$4</f>
        <v>67426.25</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c r="AB200" s="108">
        <f>+Z200*'1. Standard_Cost'!$B$23+AA200*'1. Standard_Cost'!$C$23</f>
        <v>0</v>
      </c>
      <c r="AC200" s="109"/>
      <c r="AD200" s="110"/>
      <c r="AE200" s="108">
        <f>SUM(AD200,AC200,AB200,Y200,U200,T200,S200,R200)*'1. Standard_Cost'!$B$31</f>
        <v>0</v>
      </c>
      <c r="AF200" s="108">
        <f t="shared" si="178"/>
        <v>0</v>
      </c>
      <c r="AG200" s="107"/>
      <c r="AH200" s="107"/>
      <c r="AI200" s="107"/>
      <c r="AJ200" s="111"/>
      <c r="AK200" s="111"/>
      <c r="AL200" s="111"/>
      <c r="AM200" s="108">
        <f>AG200*'1. Standard_Cost'!$B$27+'Incremental_Cost Year 5'!AH200*'1. Standard_Cost'!$C$27+'Incremental_Cost Year 5'!AI200*'1. Standard_Cost'!$D$27+'Incremental_Cost Year 5'!AJ200+'Incremental_Cost Year 5'!AL200+AK200</f>
        <v>0</v>
      </c>
      <c r="AN200" s="108">
        <f>AM200*'1. Standard_Cost'!$C$31</f>
        <v>0</v>
      </c>
      <c r="AO200" s="137" t="s">
        <v>412</v>
      </c>
      <c r="AQ200" s="14">
        <f t="shared" si="179"/>
        <v>471176.25</v>
      </c>
      <c r="AR200" s="14">
        <f t="shared" si="180"/>
        <v>0</v>
      </c>
      <c r="AS200" s="14">
        <f t="shared" si="181"/>
        <v>0</v>
      </c>
      <c r="AT200" s="14">
        <f t="shared" si="183"/>
        <v>471176.25</v>
      </c>
      <c r="AU200" s="15">
        <v>471176.25</v>
      </c>
      <c r="AV200" s="15"/>
      <c r="AW200" s="15"/>
      <c r="AX200" s="15"/>
      <c r="AY200" s="15"/>
      <c r="AZ200" s="15">
        <v>471176.25</v>
      </c>
      <c r="BA200" s="15"/>
      <c r="BB200" s="16">
        <f t="shared" si="182"/>
        <v>471176.25</v>
      </c>
    </row>
    <row r="201" spans="1:54" ht="193.2" outlineLevel="1">
      <c r="A201" s="98"/>
      <c r="B201" s="102"/>
      <c r="C201" s="23"/>
      <c r="D201" s="31" t="s">
        <v>639</v>
      </c>
      <c r="E201" s="56" t="s">
        <v>243</v>
      </c>
      <c r="F201" s="253"/>
      <c r="G201" s="254"/>
      <c r="H201" s="279" t="s">
        <v>244</v>
      </c>
      <c r="I201" s="112"/>
      <c r="J201" s="112"/>
      <c r="K201" s="112"/>
      <c r="L201" s="113">
        <f>SUM(L180:L200)</f>
        <v>18542250</v>
      </c>
      <c r="M201" s="113">
        <f>SUM(M180:M200)</f>
        <v>3096555.75</v>
      </c>
      <c r="N201" s="112"/>
      <c r="O201" s="112"/>
      <c r="P201" s="112"/>
      <c r="Q201" s="112"/>
      <c r="R201" s="113">
        <f>SUM(R180:R200)</f>
        <v>440000</v>
      </c>
      <c r="S201" s="113">
        <f>SUM(S180:S200)</f>
        <v>660000</v>
      </c>
      <c r="T201" s="113">
        <f>SUM(T180:T200)</f>
        <v>1100000</v>
      </c>
      <c r="U201" s="113">
        <f>SUM(U180:U200)</f>
        <v>0</v>
      </c>
      <c r="V201" s="112"/>
      <c r="W201" s="112"/>
      <c r="X201" s="112"/>
      <c r="Y201" s="113">
        <f>SUM(Y180:Y200)</f>
        <v>0</v>
      </c>
      <c r="Z201" s="113"/>
      <c r="AA201" s="112"/>
      <c r="AB201" s="113">
        <f>SUM(AB180:AB200)</f>
        <v>2660000</v>
      </c>
      <c r="AC201" s="113">
        <f>SUM(AC180:AC200)</f>
        <v>4776000</v>
      </c>
      <c r="AD201" s="113">
        <f>SUM(AD180:AD200)</f>
        <v>0</v>
      </c>
      <c r="AE201" s="113">
        <f>SUM(AE180:AE200)</f>
        <v>281200</v>
      </c>
      <c r="AF201" s="113">
        <f>SUM(AF180:AF200)</f>
        <v>9917200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 si="184">SUM(AQ180:AQ200)</f>
        <v>21638805.750000004</v>
      </c>
      <c r="AR201" s="113">
        <f t="shared" ref="AR201:BB201" si="185">SUM(AR180:AR200)</f>
        <v>9917200</v>
      </c>
      <c r="AS201" s="113">
        <f t="shared" si="185"/>
        <v>0</v>
      </c>
      <c r="AT201" s="113">
        <f t="shared" si="185"/>
        <v>31556005.750000004</v>
      </c>
      <c r="AU201" s="113">
        <f t="shared" si="185"/>
        <v>21638805.750000004</v>
      </c>
      <c r="AV201" s="113">
        <f t="shared" si="185"/>
        <v>0</v>
      </c>
      <c r="AW201" s="113">
        <f t="shared" si="185"/>
        <v>0</v>
      </c>
      <c r="AX201" s="113">
        <f t="shared" si="185"/>
        <v>0</v>
      </c>
      <c r="AY201" s="113">
        <f t="shared" si="185"/>
        <v>0</v>
      </c>
      <c r="AZ201" s="113">
        <f t="shared" si="185"/>
        <v>471176.25</v>
      </c>
      <c r="BA201" s="113">
        <f t="shared" si="185"/>
        <v>0</v>
      </c>
      <c r="BB201" s="113">
        <f t="shared" si="185"/>
        <v>-9446023.75</v>
      </c>
    </row>
    <row r="202" spans="1:54" s="24" customFormat="1" ht="13.8" customHeight="1">
      <c r="A202" s="114"/>
      <c r="B202" s="115"/>
      <c r="C202" s="314" t="s">
        <v>246</v>
      </c>
      <c r="D202" s="314"/>
      <c r="E202" s="315"/>
      <c r="F202" s="246"/>
      <c r="G202" s="246"/>
      <c r="H202" s="278" t="s">
        <v>245</v>
      </c>
      <c r="I202" s="116"/>
      <c r="J202" s="116"/>
      <c r="K202" s="116"/>
      <c r="L202" s="117">
        <f>SUM(L222)</f>
        <v>3926550</v>
      </c>
      <c r="M202" s="117">
        <f>SUM(M222)</f>
        <v>655733.85000000021</v>
      </c>
      <c r="N202" s="116"/>
      <c r="O202" s="116"/>
      <c r="P202" s="116"/>
      <c r="Q202" s="116"/>
      <c r="R202" s="117">
        <f t="shared" ref="R202:U202" si="186">SUM(R222)</f>
        <v>26000</v>
      </c>
      <c r="S202" s="117">
        <f t="shared" si="186"/>
        <v>58500</v>
      </c>
      <c r="T202" s="117">
        <f t="shared" si="186"/>
        <v>0</v>
      </c>
      <c r="U202" s="117">
        <f t="shared" si="186"/>
        <v>0</v>
      </c>
      <c r="V202" s="116"/>
      <c r="W202" s="116"/>
      <c r="X202" s="116"/>
      <c r="Y202" s="117">
        <f>SUM(Y222)</f>
        <v>0</v>
      </c>
      <c r="Z202" s="117"/>
      <c r="AA202" s="117"/>
      <c r="AB202" s="117">
        <f t="shared" ref="AB202:AF202" si="187">SUM(AB222)</f>
        <v>570000</v>
      </c>
      <c r="AC202" s="117">
        <f t="shared" ref="AC202:AD202" si="188">SUM(AC222)</f>
        <v>465800</v>
      </c>
      <c r="AD202" s="117">
        <f t="shared" si="188"/>
        <v>0</v>
      </c>
      <c r="AE202" s="117">
        <f t="shared" si="187"/>
        <v>43000</v>
      </c>
      <c r="AF202" s="117">
        <f t="shared" si="187"/>
        <v>1163300</v>
      </c>
      <c r="AG202" s="116"/>
      <c r="AH202" s="116"/>
      <c r="AI202" s="116"/>
      <c r="AJ202" s="117">
        <f t="shared" ref="AJ202:AL202" si="189">SUM(AJ222)</f>
        <v>0</v>
      </c>
      <c r="AK202" s="117">
        <f t="shared" si="189"/>
        <v>0</v>
      </c>
      <c r="AL202" s="117">
        <f t="shared" si="189"/>
        <v>0</v>
      </c>
      <c r="AM202" s="117">
        <f t="shared" ref="AM202:AN202" si="190">SUM(AM222)</f>
        <v>0</v>
      </c>
      <c r="AN202" s="117">
        <f t="shared" si="190"/>
        <v>0</v>
      </c>
      <c r="AO202" s="132"/>
      <c r="AP202" s="25"/>
      <c r="AQ202" s="117">
        <f t="shared" ref="AQ202" si="191">SUM(AQ222)</f>
        <v>4582283.8499999996</v>
      </c>
      <c r="AR202" s="117">
        <f t="shared" ref="AR202:BB202" si="192">SUM(AR222)</f>
        <v>1163300</v>
      </c>
      <c r="AS202" s="117">
        <f t="shared" si="192"/>
        <v>0</v>
      </c>
      <c r="AT202" s="117">
        <f t="shared" si="192"/>
        <v>5745583.8499999996</v>
      </c>
      <c r="AU202" s="117">
        <f t="shared" si="192"/>
        <v>4582283.8499999996</v>
      </c>
      <c r="AV202" s="117">
        <f t="shared" si="192"/>
        <v>0</v>
      </c>
      <c r="AW202" s="117">
        <f t="shared" si="192"/>
        <v>0</v>
      </c>
      <c r="AX202" s="117">
        <f t="shared" si="192"/>
        <v>655900</v>
      </c>
      <c r="AY202" s="117">
        <f t="shared" si="192"/>
        <v>0</v>
      </c>
      <c r="AZ202" s="117">
        <f t="shared" si="192"/>
        <v>0</v>
      </c>
      <c r="BA202" s="117">
        <f t="shared" si="192"/>
        <v>0</v>
      </c>
      <c r="BB202" s="117">
        <f t="shared" si="192"/>
        <v>-507400</v>
      </c>
    </row>
    <row r="203" spans="1:54" ht="78" outlineLevel="2">
      <c r="A203" s="98"/>
      <c r="B203" s="102"/>
      <c r="C203" s="23"/>
      <c r="D203" s="257"/>
      <c r="E203" s="123"/>
      <c r="F203" s="249"/>
      <c r="G203" s="283"/>
      <c r="H203" s="302" t="s">
        <v>538</v>
      </c>
      <c r="I203" s="104"/>
      <c r="J203" s="105"/>
      <c r="K203" s="105"/>
      <c r="L203" s="106" t="str">
        <f>IF(I203&lt;&gt;0,((VLOOKUP(I203,'1. Standard_Cost'!$B$4:$D$11,2)+VLOOKUP(I203,'1. Standard_Cost'!$B$4:$D$11,3))*J203*K203),"0")</f>
        <v>0</v>
      </c>
      <c r="M203" s="106">
        <f>L203*'1. Standard_Cost'!$F$4</f>
        <v>0</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c r="AB203" s="108">
        <f>+Z203*'1. Standard_Cost'!$B$23+AA203*'1. Standard_Cost'!$C$23</f>
        <v>0</v>
      </c>
      <c r="AC203" s="109"/>
      <c r="AD203" s="110"/>
      <c r="AE203" s="108">
        <f>SUM(AD203,AC203,AB203,Y203,U203,T203,S203,R203)*'1. Standard_Cost'!$B$31</f>
        <v>0</v>
      </c>
      <c r="AF203" s="108">
        <f t="shared" ref="AF203:AF221" si="193">SUM(AE203,AD203,AC203,AB203,Y203,U203,T203,S203,R203)</f>
        <v>0</v>
      </c>
      <c r="AG203" s="107"/>
      <c r="AH203" s="107"/>
      <c r="AI203" s="107"/>
      <c r="AJ203" s="111"/>
      <c r="AK203" s="111"/>
      <c r="AL203" s="111"/>
      <c r="AM203" s="108">
        <f>AG203*'1. Standard_Cost'!$B$27+'Incremental_Cost Year 5'!AH203*'1. Standard_Cost'!$C$27+'Incremental_Cost Year 5'!AI203*'1. Standard_Cost'!$D$27+'Incremental_Cost Year 5'!AJ203+'Incremental_Cost Year 5'!AL203+AK203</f>
        <v>0</v>
      </c>
      <c r="AN203" s="108">
        <f>AM203*'1. Standard_Cost'!$C$31</f>
        <v>0</v>
      </c>
      <c r="AO203" s="125" t="s">
        <v>413</v>
      </c>
      <c r="AQ203" s="14">
        <f t="shared" ref="AQ203:AQ221" si="194">L203+M203</f>
        <v>0</v>
      </c>
      <c r="AR203" s="14">
        <f t="shared" ref="AR203:AR221" si="195">AF203</f>
        <v>0</v>
      </c>
      <c r="AS203" s="14">
        <f t="shared" ref="AS203:AS221" si="196">AM203+AN203</f>
        <v>0</v>
      </c>
      <c r="AT203" s="14">
        <f>SUM(AQ203,AR203,AS203)</f>
        <v>0</v>
      </c>
      <c r="AU203" s="15">
        <v>0</v>
      </c>
      <c r="AV203" s="15"/>
      <c r="AW203" s="15"/>
      <c r="AX203" s="15"/>
      <c r="AY203" s="15"/>
      <c r="AZ203" s="15"/>
      <c r="BA203" s="15"/>
      <c r="BB203" s="16">
        <f t="shared" ref="BB203:BB221" si="197">SUM(AU203:BA203)-AT203</f>
        <v>0</v>
      </c>
    </row>
    <row r="204" spans="1:54" ht="140.4" outlineLevel="2">
      <c r="A204" s="98"/>
      <c r="B204" s="102"/>
      <c r="C204" s="23"/>
      <c r="D204" s="269"/>
      <c r="E204" s="271"/>
      <c r="F204" s="250"/>
      <c r="G204" s="255"/>
      <c r="H204" s="302" t="s">
        <v>539</v>
      </c>
      <c r="I204" s="104" t="s">
        <v>5</v>
      </c>
      <c r="J204" s="105">
        <v>4</v>
      </c>
      <c r="K204" s="105">
        <v>12</v>
      </c>
      <c r="L204" s="106">
        <f>IF(I204&lt;&gt;0,((VLOOKUP(I204,'1. Standard_Cost'!$B$4:$D$11,2)+VLOOKUP(I204,'1. Standard_Cost'!$B$4:$D$11,3))*J204*K204),"0")</f>
        <v>3393600</v>
      </c>
      <c r="M204" s="106">
        <f>L204*'1. Standard_Cost'!$F$4</f>
        <v>566731.20000000007</v>
      </c>
      <c r="N204" s="107">
        <v>1</v>
      </c>
      <c r="O204" s="107">
        <v>2</v>
      </c>
      <c r="P204" s="107">
        <v>12</v>
      </c>
      <c r="Q204" s="107"/>
      <c r="R204" s="108">
        <v>0</v>
      </c>
      <c r="S204" s="108">
        <v>0</v>
      </c>
      <c r="T204" s="108">
        <f>N204*P204*Q204*'1. Standard_Cost'!$D$15</f>
        <v>0</v>
      </c>
      <c r="U204" s="108">
        <v>0</v>
      </c>
      <c r="V204" s="107"/>
      <c r="W204" s="107"/>
      <c r="X204" s="107"/>
      <c r="Y204" s="108">
        <f>+V204*((X204*'1. Standard_Cost'!$B$19)+(W204*X204*'1. Standard_Cost'!$C$19))</f>
        <v>0</v>
      </c>
      <c r="Z204" s="107"/>
      <c r="AA204" s="107">
        <v>10</v>
      </c>
      <c r="AB204" s="108">
        <f>+Z204*'1. Standard_Cost'!$B$23+AA204*'1. Standard_Cost'!$C$23</f>
        <v>190000</v>
      </c>
      <c r="AC204" s="109">
        <f>13*3500*2+13*2*500</f>
        <v>104000</v>
      </c>
      <c r="AD204" s="110"/>
      <c r="AE204" s="108">
        <v>0</v>
      </c>
      <c r="AF204" s="108">
        <f t="shared" si="193"/>
        <v>294000</v>
      </c>
      <c r="AG204" s="107"/>
      <c r="AH204" s="107"/>
      <c r="AI204" s="107"/>
      <c r="AJ204" s="111"/>
      <c r="AK204" s="111"/>
      <c r="AL204" s="111"/>
      <c r="AM204" s="108">
        <f>AG204*'1. Standard_Cost'!$B$27+'Incremental_Cost Year 5'!AH204*'1. Standard_Cost'!$C$27+'Incremental_Cost Year 5'!AI204*'1. Standard_Cost'!$D$27+'Incremental_Cost Year 5'!AJ204+'Incremental_Cost Year 5'!AL204+AK204</f>
        <v>0</v>
      </c>
      <c r="AN204" s="108">
        <f>AM204*'1. Standard_Cost'!$C$31</f>
        <v>0</v>
      </c>
      <c r="AO204" s="125" t="s">
        <v>414</v>
      </c>
      <c r="AQ204" s="14">
        <f t="shared" si="194"/>
        <v>3960331.2</v>
      </c>
      <c r="AR204" s="14">
        <f t="shared" si="195"/>
        <v>294000</v>
      </c>
      <c r="AS204" s="14">
        <f t="shared" si="196"/>
        <v>0</v>
      </c>
      <c r="AT204" s="14">
        <f t="shared" ref="AT204:AT221" si="198">SUM(AQ204,AR204,AS204)</f>
        <v>4254331.2</v>
      </c>
      <c r="AU204" s="15">
        <v>3960331.2</v>
      </c>
      <c r="AV204" s="15"/>
      <c r="AW204" s="15"/>
      <c r="AX204" s="15">
        <v>294000</v>
      </c>
      <c r="AY204" s="15"/>
      <c r="AZ204" s="15"/>
      <c r="BA204" s="15"/>
      <c r="BB204" s="16">
        <f t="shared" si="197"/>
        <v>0</v>
      </c>
    </row>
    <row r="205" spans="1:54" ht="31.2" customHeight="1" outlineLevel="2">
      <c r="A205" s="98"/>
      <c r="B205" s="102"/>
      <c r="C205" s="23"/>
      <c r="D205" s="269"/>
      <c r="E205" s="271"/>
      <c r="F205" s="27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v>2</v>
      </c>
      <c r="AB205" s="108">
        <f>+Z205*'[1]1. Standard_Cost'!$B$23+AA205*'[1]1. Standard_Cost'!$C$23</f>
        <v>38000</v>
      </c>
      <c r="AC205" s="109"/>
      <c r="AD205" s="110"/>
      <c r="AE205" s="108">
        <f>SUM(AD205,AC205,AB205,Y205,U205,T205,S205,R205)*'[1]1. Standard_Cost'!$B$31</f>
        <v>7600</v>
      </c>
      <c r="AF205" s="108">
        <f t="shared" si="193"/>
        <v>45600</v>
      </c>
      <c r="AG205" s="107"/>
      <c r="AH205" s="107"/>
      <c r="AI205" s="107"/>
      <c r="AJ205" s="111"/>
      <c r="AK205" s="111"/>
      <c r="AL205" s="111"/>
      <c r="AM205" s="108">
        <f>AG205*'[1]1. Standard_Cost'!$B$27+'[1]Incremental_Cost Year 5'!AH205*'[1]1. Standard_Cost'!$C$27+'[1]Incremental_Cost Year 5'!AI205*'[1]1. Standard_Cost'!$D$27+'[1]Incremental_Cost Year 5'!AJ205+'[1]Incremental_Cost Year 5'!AL205+AK205</f>
        <v>0</v>
      </c>
      <c r="AN205" s="108">
        <f>AM205*'[1]1. Standard_Cost'!$C$31</f>
        <v>0</v>
      </c>
      <c r="AO205" s="125"/>
      <c r="AQ205" s="14">
        <f t="shared" si="194"/>
        <v>0</v>
      </c>
      <c r="AR205" s="14">
        <f t="shared" si="195"/>
        <v>45600</v>
      </c>
      <c r="AS205" s="14">
        <f t="shared" si="196"/>
        <v>0</v>
      </c>
      <c r="AT205" s="14">
        <f t="shared" si="198"/>
        <v>45600</v>
      </c>
      <c r="AU205" s="15"/>
      <c r="AV205" s="15"/>
      <c r="AW205" s="15"/>
      <c r="AX205" s="15">
        <v>45600</v>
      </c>
      <c r="AY205" s="15"/>
      <c r="AZ205" s="15"/>
      <c r="BA205" s="15"/>
      <c r="BB205" s="16">
        <f t="shared" si="197"/>
        <v>0</v>
      </c>
    </row>
    <row r="206" spans="1:54" ht="62.4" outlineLevel="2">
      <c r="A206" s="98"/>
      <c r="B206" s="102"/>
      <c r="C206" s="23"/>
      <c r="D206" s="269"/>
      <c r="E206" s="271"/>
      <c r="F206" s="250"/>
      <c r="G206" s="255"/>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193"/>
        <v>0</v>
      </c>
      <c r="AG206" s="107"/>
      <c r="AH206" s="107"/>
      <c r="AI206" s="107"/>
      <c r="AJ206" s="111"/>
      <c r="AK206" s="111"/>
      <c r="AL206" s="111"/>
      <c r="AM206" s="108">
        <f>AG206*'1. Standard_Cost'!$B$27+'Incremental_Cost Year 5'!AH206*'1. Standard_Cost'!$C$27+'Incremental_Cost Year 5'!AI206*'1. Standard_Cost'!$D$27+'Incremental_Cost Year 5'!AJ206+'Incremental_Cost Year 5'!AL206+AK206</f>
        <v>0</v>
      </c>
      <c r="AN206" s="108">
        <f>AM206*'1. Standard_Cost'!$C$31</f>
        <v>0</v>
      </c>
      <c r="AO206" s="125" t="s">
        <v>415</v>
      </c>
      <c r="AQ206" s="14">
        <f t="shared" si="194"/>
        <v>0</v>
      </c>
      <c r="AR206" s="14">
        <f t="shared" si="195"/>
        <v>0</v>
      </c>
      <c r="AS206" s="14">
        <f t="shared" si="196"/>
        <v>0</v>
      </c>
      <c r="AT206" s="14">
        <f t="shared" si="198"/>
        <v>0</v>
      </c>
      <c r="AU206" s="15"/>
      <c r="AV206" s="15"/>
      <c r="AW206" s="15"/>
      <c r="AX206" s="15"/>
      <c r="AY206" s="15"/>
      <c r="AZ206" s="15"/>
      <c r="BA206" s="15"/>
      <c r="BB206" s="16">
        <f t="shared" si="197"/>
        <v>0</v>
      </c>
    </row>
    <row r="207" spans="1:54" ht="36" customHeight="1" outlineLevel="2">
      <c r="A207" s="98"/>
      <c r="B207" s="102"/>
      <c r="C207" s="23"/>
      <c r="D207" s="269"/>
      <c r="E207" s="271"/>
      <c r="F207" s="250"/>
      <c r="G207" s="255"/>
      <c r="H207" s="302" t="s">
        <v>541</v>
      </c>
      <c r="I207" s="104" t="s">
        <v>4</v>
      </c>
      <c r="J207" s="105">
        <v>0.4</v>
      </c>
      <c r="K207" s="105">
        <v>3</v>
      </c>
      <c r="L207" s="106">
        <f>IF(I207&lt;&gt;0,((VLOOKUP(I207,'1. Standard_Cost'!$B$4:$D$11,2)+VLOOKUP(I207,'1. Standard_Cost'!$B$4:$D$11,3))*J207*K207),"0")</f>
        <v>96900</v>
      </c>
      <c r="M207" s="106">
        <f>L207*'1. Standard_Cost'!$F$4</f>
        <v>16182.300000000001</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c r="AB207" s="108">
        <f>+Z207*'1. Standard_Cost'!$B$23+AA207*'1. Standard_Cost'!$C$23</f>
        <v>0</v>
      </c>
      <c r="AC207" s="109">
        <f>2*10*300</f>
        <v>6000</v>
      </c>
      <c r="AD207" s="110"/>
      <c r="AE207" s="108">
        <v>0</v>
      </c>
      <c r="AF207" s="108">
        <f t="shared" si="193"/>
        <v>6000</v>
      </c>
      <c r="AG207" s="107"/>
      <c r="AH207" s="107"/>
      <c r="AI207" s="107"/>
      <c r="AJ207" s="111"/>
      <c r="AK207" s="111"/>
      <c r="AL207" s="111"/>
      <c r="AM207" s="108">
        <f>AG207*'1. Standard_Cost'!$B$27+'Incremental_Cost Year 5'!AH207*'1. Standard_Cost'!$C$27+'Incremental_Cost Year 5'!AI207*'1. Standard_Cost'!$D$27+'Incremental_Cost Year 5'!AJ207+'Incremental_Cost Year 5'!AL207+AK207</f>
        <v>0</v>
      </c>
      <c r="AN207" s="108">
        <f>AM207*'1. Standard_Cost'!$C$31</f>
        <v>0</v>
      </c>
      <c r="AO207" s="125" t="s">
        <v>416</v>
      </c>
      <c r="AQ207" s="14">
        <f t="shared" si="194"/>
        <v>113082.3</v>
      </c>
      <c r="AR207" s="14">
        <f t="shared" si="195"/>
        <v>6000</v>
      </c>
      <c r="AS207" s="14">
        <f t="shared" si="196"/>
        <v>0</v>
      </c>
      <c r="AT207" s="14">
        <f t="shared" si="198"/>
        <v>119082.3</v>
      </c>
      <c r="AU207" s="15">
        <v>113082.3</v>
      </c>
      <c r="AV207" s="15"/>
      <c r="AW207" s="15"/>
      <c r="AX207" s="15"/>
      <c r="AY207" s="15"/>
      <c r="AZ207" s="15"/>
      <c r="BA207" s="15"/>
      <c r="BB207" s="16">
        <f t="shared" si="197"/>
        <v>-6000</v>
      </c>
    </row>
    <row r="208" spans="1:54" ht="109.2" outlineLevel="2">
      <c r="A208" s="98"/>
      <c r="B208" s="102"/>
      <c r="C208" s="23"/>
      <c r="D208" s="269"/>
      <c r="E208" s="271"/>
      <c r="F208" s="250"/>
      <c r="G208" s="255"/>
      <c r="H208" s="302" t="s">
        <v>542</v>
      </c>
      <c r="I208" s="104"/>
      <c r="J208" s="105"/>
      <c r="K208" s="105"/>
      <c r="L208" s="106" t="str">
        <f>IF(I208&lt;&gt;0,((VLOOKUP(I208,'1. Standard_Cost'!$B$4:$D$11,2)+VLOOKUP(I208,'1. Standard_Cost'!$B$4:$D$11,3))*J208*K208),"0")</f>
        <v>0</v>
      </c>
      <c r="M208" s="106">
        <f>L208*'1. Standard_Cost'!$F$4</f>
        <v>0</v>
      </c>
      <c r="N208" s="107">
        <v>3</v>
      </c>
      <c r="O208" s="107">
        <v>1</v>
      </c>
      <c r="P208" s="107">
        <v>13</v>
      </c>
      <c r="Q208" s="107"/>
      <c r="R208" s="108">
        <v>0</v>
      </c>
      <c r="S208" s="108">
        <v>0</v>
      </c>
      <c r="T208" s="108">
        <f>N208*P208*Q208*'1. Standard_Cost'!$D$15</f>
        <v>0</v>
      </c>
      <c r="U208" s="108">
        <v>0</v>
      </c>
      <c r="V208" s="107"/>
      <c r="W208" s="107"/>
      <c r="X208" s="107"/>
      <c r="Y208" s="108">
        <f>+V208*((X208*'1. Standard_Cost'!$B$19)+(W208*X208*'1. Standard_Cost'!$C$19))</f>
        <v>0</v>
      </c>
      <c r="Z208" s="107"/>
      <c r="AA208" s="107"/>
      <c r="AB208" s="108">
        <f>+Z208*'1. Standard_Cost'!$B$23+AA208*'1. Standard_Cost'!$C$23</f>
        <v>0</v>
      </c>
      <c r="AC208" s="109">
        <f>13*3500*3+13*500*3</f>
        <v>156000</v>
      </c>
      <c r="AD208" s="110"/>
      <c r="AE208" s="108">
        <v>0</v>
      </c>
      <c r="AF208" s="108">
        <f t="shared" si="193"/>
        <v>156000</v>
      </c>
      <c r="AG208" s="107"/>
      <c r="AH208" s="107"/>
      <c r="AI208" s="107"/>
      <c r="AJ208" s="111"/>
      <c r="AK208" s="111"/>
      <c r="AL208" s="111"/>
      <c r="AM208" s="108">
        <f>AG208*'1. Standard_Cost'!$B$27+'Incremental_Cost Year 5'!AH208*'1. Standard_Cost'!$C$27+'Incremental_Cost Year 5'!AI208*'1. Standard_Cost'!$D$27+'Incremental_Cost Year 5'!AJ208+'Incremental_Cost Year 5'!AL208+AK208</f>
        <v>0</v>
      </c>
      <c r="AN208" s="108">
        <f>AM208*'1. Standard_Cost'!$C$31</f>
        <v>0</v>
      </c>
      <c r="AO208" s="125" t="s">
        <v>417</v>
      </c>
      <c r="AQ208" s="14">
        <f t="shared" si="194"/>
        <v>0</v>
      </c>
      <c r="AR208" s="14">
        <f t="shared" si="195"/>
        <v>156000</v>
      </c>
      <c r="AS208" s="14">
        <f t="shared" si="196"/>
        <v>0</v>
      </c>
      <c r="AT208" s="14">
        <f t="shared" si="198"/>
        <v>156000</v>
      </c>
      <c r="AU208" s="15"/>
      <c r="AV208" s="15"/>
      <c r="AW208" s="15"/>
      <c r="AX208" s="15"/>
      <c r="AY208" s="15"/>
      <c r="AZ208" s="15"/>
      <c r="BA208" s="15"/>
      <c r="BB208" s="16">
        <f t="shared" si="197"/>
        <v>-156000</v>
      </c>
    </row>
    <row r="209" spans="1:54" ht="15.6" outlineLevel="2">
      <c r="A209" s="98"/>
      <c r="B209" s="102"/>
      <c r="C209" s="23"/>
      <c r="D209" s="269"/>
      <c r="E209" s="271"/>
      <c r="F209" s="27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v>3</v>
      </c>
      <c r="AB209" s="108">
        <f>+Z209*'[1]1. Standard_Cost'!$B$23+AA209*'[1]1. Standard_Cost'!$C$23</f>
        <v>57000</v>
      </c>
      <c r="AC209" s="109"/>
      <c r="AD209" s="110"/>
      <c r="AE209" s="108">
        <v>0</v>
      </c>
      <c r="AF209" s="108">
        <f t="shared" si="193"/>
        <v>57000</v>
      </c>
      <c r="AG209" s="107"/>
      <c r="AH209" s="107"/>
      <c r="AI209" s="107"/>
      <c r="AJ209" s="111"/>
      <c r="AK209" s="111"/>
      <c r="AL209" s="111"/>
      <c r="AM209" s="108">
        <f>AG209*'[1]1. Standard_Cost'!$B$27+'[1]Incremental_Cost Year 5'!AH209*'[1]1. Standard_Cost'!$C$27+'[1]Incremental_Cost Year 5'!AI209*'[1]1. Standard_Cost'!$D$27+'[1]Incremental_Cost Year 5'!AJ209+'[1]Incremental_Cost Year 5'!AL209+AK209</f>
        <v>0</v>
      </c>
      <c r="AN209" s="108">
        <f>AM209*'[1]1. Standard_Cost'!$C$31</f>
        <v>0</v>
      </c>
      <c r="AO209" s="125" t="s">
        <v>418</v>
      </c>
      <c r="AQ209" s="14">
        <f t="shared" si="194"/>
        <v>0</v>
      </c>
      <c r="AR209" s="14">
        <f t="shared" si="195"/>
        <v>57000</v>
      </c>
      <c r="AS209" s="14">
        <f t="shared" si="196"/>
        <v>0</v>
      </c>
      <c r="AT209" s="14">
        <f t="shared" si="198"/>
        <v>57000</v>
      </c>
      <c r="AU209" s="15"/>
      <c r="AV209" s="15"/>
      <c r="AW209" s="15"/>
      <c r="AX209" s="15"/>
      <c r="AY209" s="15"/>
      <c r="AZ209" s="15"/>
      <c r="BA209" s="15"/>
      <c r="BB209" s="16">
        <f t="shared" si="197"/>
        <v>-57000</v>
      </c>
    </row>
    <row r="210" spans="1:54" ht="109.2" outlineLevel="2">
      <c r="A210" s="98"/>
      <c r="B210" s="102"/>
      <c r="C210" s="23"/>
      <c r="D210" s="269"/>
      <c r="E210" s="271"/>
      <c r="F210" s="250"/>
      <c r="G210" s="255"/>
      <c r="H210" s="302" t="s">
        <v>543</v>
      </c>
      <c r="I210" s="104" t="s">
        <v>4</v>
      </c>
      <c r="J210" s="105">
        <v>1</v>
      </c>
      <c r="K210" s="105">
        <v>3</v>
      </c>
      <c r="L210" s="106">
        <f>IF(I210&lt;&gt;0,((VLOOKUP(I210,'1. Standard_Cost'!$B$4:$D$11,2)+VLOOKUP(I210,'1. Standard_Cost'!$B$4:$D$11,3))*J210*K210),"0")</f>
        <v>242250</v>
      </c>
      <c r="M210" s="106">
        <f>L210*'1. Standard_Cost'!$F$4</f>
        <v>40455.75</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v>9</v>
      </c>
      <c r="AB210" s="108">
        <f>+Z210*'1. Standard_Cost'!$B$23+AA210*'1. Standard_Cost'!$C$23</f>
        <v>171000</v>
      </c>
      <c r="AC210" s="109">
        <f>2*10*300</f>
        <v>6000</v>
      </c>
      <c r="AD210" s="110"/>
      <c r="AE210" s="108">
        <f>SUM(AD210,AC210,AB210,Y210,U210,T210,S210,R210)*'1. Standard_Cost'!$B$31</f>
        <v>35400</v>
      </c>
      <c r="AF210" s="108">
        <f t="shared" si="193"/>
        <v>212400</v>
      </c>
      <c r="AG210" s="107"/>
      <c r="AH210" s="107"/>
      <c r="AI210" s="107"/>
      <c r="AJ210" s="111"/>
      <c r="AK210" s="111"/>
      <c r="AL210" s="111"/>
      <c r="AM210" s="108">
        <f>AG210*'1. Standard_Cost'!$B$27+'Incremental_Cost Year 5'!AH210*'1. Standard_Cost'!$C$27+'Incremental_Cost Year 5'!AI210*'1. Standard_Cost'!$D$27+'Incremental_Cost Year 5'!AJ210+'Incremental_Cost Year 5'!AL210+AK210</f>
        <v>0</v>
      </c>
      <c r="AN210" s="108">
        <f>AM210*'1. Standard_Cost'!$C$31</f>
        <v>0</v>
      </c>
      <c r="AO210" s="125" t="s">
        <v>418</v>
      </c>
      <c r="AQ210" s="14">
        <f t="shared" si="194"/>
        <v>282705.75</v>
      </c>
      <c r="AR210" s="14">
        <f t="shared" si="195"/>
        <v>212400</v>
      </c>
      <c r="AS210" s="14">
        <f t="shared" si="196"/>
        <v>0</v>
      </c>
      <c r="AT210" s="14">
        <f t="shared" si="198"/>
        <v>495105.75</v>
      </c>
      <c r="AU210" s="15">
        <v>282705.75</v>
      </c>
      <c r="AV210" s="15"/>
      <c r="AW210" s="15"/>
      <c r="AX210" s="15"/>
      <c r="AY210" s="15"/>
      <c r="AZ210" s="15"/>
      <c r="BA210" s="15"/>
      <c r="BB210" s="16">
        <f t="shared" si="197"/>
        <v>-212400</v>
      </c>
    </row>
    <row r="211" spans="1:54" ht="78" outlineLevel="2">
      <c r="A211" s="98"/>
      <c r="B211" s="102"/>
      <c r="C211" s="23"/>
      <c r="D211" s="269"/>
      <c r="E211" s="271"/>
      <c r="F211" s="250"/>
      <c r="G211" s="255"/>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c r="AD211" s="110"/>
      <c r="AE211" s="108">
        <f>SUM(AD211,AC211,AB211,Y211,U211,T211,S211,R211)*'1. Standard_Cost'!$B$31</f>
        <v>0</v>
      </c>
      <c r="AF211" s="108">
        <f t="shared" si="193"/>
        <v>0</v>
      </c>
      <c r="AG211" s="107"/>
      <c r="AH211" s="107"/>
      <c r="AI211" s="107"/>
      <c r="AJ211" s="111"/>
      <c r="AK211" s="111"/>
      <c r="AL211" s="111"/>
      <c r="AM211" s="108">
        <f>AG211*'1. Standard_Cost'!$B$27+'Incremental_Cost Year 5'!AH211*'1. Standard_Cost'!$C$27+'Incremental_Cost Year 5'!AI211*'1. Standard_Cost'!$D$27+'Incremental_Cost Year 5'!AJ211+'Incremental_Cost Year 5'!AL211+AK211</f>
        <v>0</v>
      </c>
      <c r="AN211" s="108">
        <f>AM211*'1. Standard_Cost'!$C$31</f>
        <v>0</v>
      </c>
      <c r="AO211" s="125" t="s">
        <v>419</v>
      </c>
      <c r="AQ211" s="14">
        <f t="shared" si="194"/>
        <v>0</v>
      </c>
      <c r="AR211" s="14">
        <f t="shared" si="195"/>
        <v>0</v>
      </c>
      <c r="AS211" s="14">
        <f t="shared" si="196"/>
        <v>0</v>
      </c>
      <c r="AT211" s="14">
        <f t="shared" si="198"/>
        <v>0</v>
      </c>
      <c r="AU211" s="15"/>
      <c r="AV211" s="15"/>
      <c r="AW211" s="15"/>
      <c r="AX211" s="15"/>
      <c r="AY211" s="15"/>
      <c r="AZ211" s="15"/>
      <c r="BA211" s="15"/>
      <c r="BB211" s="16">
        <f t="shared" si="197"/>
        <v>0</v>
      </c>
    </row>
    <row r="212" spans="1:54" ht="109.2" outlineLevel="2">
      <c r="A212" s="98"/>
      <c r="B212" s="102"/>
      <c r="C212" s="23"/>
      <c r="D212" s="269"/>
      <c r="E212" s="271"/>
      <c r="F212" s="250"/>
      <c r="G212" s="255"/>
      <c r="H212" s="302" t="s">
        <v>545</v>
      </c>
      <c r="I212" s="104"/>
      <c r="J212" s="105"/>
      <c r="K212" s="105"/>
      <c r="L212" s="106" t="str">
        <f>IF(I212&lt;&gt;0,((VLOOKUP(I212,'1. Standard_Cost'!$B$4:$D$11,2)+VLOOKUP(I212,'1. Standard_Cost'!$B$4:$D$11,3))*J212*K212),"0")</f>
        <v>0</v>
      </c>
      <c r="M212" s="106">
        <f>L212*'1. Standard_Cost'!$F$4</f>
        <v>0</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c r="AB212" s="108">
        <f>+Z212*'1. Standard_Cost'!$B$23+AA212*'1. Standard_Cost'!$C$23</f>
        <v>0</v>
      </c>
      <c r="AC212" s="109"/>
      <c r="AD212" s="110"/>
      <c r="AE212" s="108">
        <f>SUM(AD212,AC212,AB212,Y212,U212,T212,S212,R212)*'1. Standard_Cost'!$B$31</f>
        <v>0</v>
      </c>
      <c r="AF212" s="108">
        <f t="shared" si="193"/>
        <v>0</v>
      </c>
      <c r="AG212" s="107"/>
      <c r="AH212" s="107"/>
      <c r="AI212" s="107"/>
      <c r="AJ212" s="111"/>
      <c r="AK212" s="111"/>
      <c r="AL212" s="111"/>
      <c r="AM212" s="108">
        <f>AG212*'1. Standard_Cost'!$B$27+'Incremental_Cost Year 5'!AH212*'1. Standard_Cost'!$C$27+'Incremental_Cost Year 5'!AI212*'1. Standard_Cost'!$D$27+'Incremental_Cost Year 5'!AJ212+'Incremental_Cost Year 5'!AL212+AK212</f>
        <v>0</v>
      </c>
      <c r="AN212" s="108">
        <f>AM212*'1. Standard_Cost'!$C$31</f>
        <v>0</v>
      </c>
      <c r="AO212" s="125" t="s">
        <v>300</v>
      </c>
      <c r="AQ212" s="14">
        <f t="shared" si="194"/>
        <v>0</v>
      </c>
      <c r="AR212" s="14">
        <f t="shared" si="195"/>
        <v>0</v>
      </c>
      <c r="AS212" s="14">
        <f t="shared" si="196"/>
        <v>0</v>
      </c>
      <c r="AT212" s="14">
        <f t="shared" si="198"/>
        <v>0</v>
      </c>
      <c r="AU212" s="15">
        <v>0</v>
      </c>
      <c r="AV212" s="15"/>
      <c r="AW212" s="15"/>
      <c r="AX212" s="15"/>
      <c r="AY212" s="15"/>
      <c r="AZ212" s="15"/>
      <c r="BA212" s="15"/>
      <c r="BB212" s="16">
        <f t="shared" si="197"/>
        <v>0</v>
      </c>
    </row>
    <row r="213" spans="1:54" ht="93.6" outlineLevel="2">
      <c r="A213" s="98"/>
      <c r="B213" s="102"/>
      <c r="C213" s="23"/>
      <c r="D213" s="269"/>
      <c r="E213" s="271"/>
      <c r="F213" s="250"/>
      <c r="G213" s="255"/>
      <c r="H213" s="302" t="s">
        <v>546</v>
      </c>
      <c r="I213" s="104" t="s">
        <v>4</v>
      </c>
      <c r="J213" s="105">
        <v>0.2</v>
      </c>
      <c r="K213" s="105">
        <v>1</v>
      </c>
      <c r="L213" s="106">
        <f>IF(I213&lt;&gt;0,((VLOOKUP(I213,'1. Standard_Cost'!$B$4:$D$11,2)+VLOOKUP(I213,'1. Standard_Cost'!$B$4:$D$11,3))*J213*K213),"0")</f>
        <v>16150</v>
      </c>
      <c r="M213" s="106">
        <f>L213*'1. Standard_Cost'!$F$4</f>
        <v>2697.05</v>
      </c>
      <c r="N213" s="107">
        <v>1</v>
      </c>
      <c r="O213" s="107">
        <v>3</v>
      </c>
      <c r="P213" s="107">
        <v>13</v>
      </c>
      <c r="Q213" s="107">
        <v>0</v>
      </c>
      <c r="R213" s="108">
        <f>'1. Standard_Cost'!$B$15*N213*P213</f>
        <v>26000</v>
      </c>
      <c r="S213" s="108">
        <f>N213*O213*P213*'1. Standard_Cost'!$C$15</f>
        <v>58500</v>
      </c>
      <c r="T213" s="108">
        <f>N213*P213*Q213*'1. Standard_Cost'!$D$15</f>
        <v>0</v>
      </c>
      <c r="U213" s="108">
        <v>0</v>
      </c>
      <c r="V213" s="107"/>
      <c r="W213" s="107"/>
      <c r="X213" s="107"/>
      <c r="Y213" s="108">
        <f>+V213*((X213*'1. Standard_Cost'!$B$19)+(W213*X213*'1. Standard_Cost'!$C$19))</f>
        <v>0</v>
      </c>
      <c r="Z213" s="107"/>
      <c r="AA213" s="107"/>
      <c r="AB213" s="108">
        <f>+Z213*'1. Standard_Cost'!$B$23+AA213*'1. Standard_Cost'!$C$23</f>
        <v>0</v>
      </c>
      <c r="AC213" s="109"/>
      <c r="AD213" s="110"/>
      <c r="AE213" s="108">
        <v>0</v>
      </c>
      <c r="AF213" s="108">
        <f t="shared" si="193"/>
        <v>84500</v>
      </c>
      <c r="AG213" s="107"/>
      <c r="AH213" s="107"/>
      <c r="AI213" s="107"/>
      <c r="AJ213" s="111"/>
      <c r="AK213" s="111"/>
      <c r="AL213" s="111"/>
      <c r="AM213" s="108">
        <f>AG213*'1. Standard_Cost'!$B$27+'Incremental_Cost Year 5'!AH213*'1. Standard_Cost'!$C$27+'Incremental_Cost Year 5'!AI213*'1. Standard_Cost'!$D$27+'Incremental_Cost Year 5'!AJ213+'Incremental_Cost Year 5'!AL213+AK213</f>
        <v>0</v>
      </c>
      <c r="AN213" s="108">
        <f>AM213*'1. Standard_Cost'!$C$31</f>
        <v>0</v>
      </c>
      <c r="AO213" s="125" t="s">
        <v>420</v>
      </c>
      <c r="AQ213" s="14">
        <f t="shared" si="194"/>
        <v>18847.05</v>
      </c>
      <c r="AR213" s="14">
        <f t="shared" si="195"/>
        <v>84500</v>
      </c>
      <c r="AS213" s="14">
        <f t="shared" si="196"/>
        <v>0</v>
      </c>
      <c r="AT213" s="14">
        <f t="shared" si="198"/>
        <v>103347.05</v>
      </c>
      <c r="AU213" s="15">
        <v>18847.05</v>
      </c>
      <c r="AV213" s="15"/>
      <c r="AW213" s="15"/>
      <c r="AX213" s="15">
        <v>84500</v>
      </c>
      <c r="AY213" s="15"/>
      <c r="AZ213" s="15"/>
      <c r="BA213" s="15"/>
      <c r="BB213" s="16">
        <f t="shared" si="197"/>
        <v>0</v>
      </c>
    </row>
    <row r="214" spans="1:54" ht="21" customHeight="1" outlineLevel="2">
      <c r="A214" s="98"/>
      <c r="B214" s="102"/>
      <c r="C214" s="23"/>
      <c r="D214" s="269"/>
      <c r="E214" s="271"/>
      <c r="F214" s="27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v>4</v>
      </c>
      <c r="AB214" s="108">
        <f>+Z214*'[1]1. Standard_Cost'!$B$23+AA214*'[1]1. Standard_Cost'!$C$23</f>
        <v>76000</v>
      </c>
      <c r="AC214" s="109"/>
      <c r="AD214" s="110"/>
      <c r="AE214" s="108">
        <v>0</v>
      </c>
      <c r="AF214" s="108">
        <f t="shared" si="193"/>
        <v>76000</v>
      </c>
      <c r="AG214" s="107"/>
      <c r="AH214" s="107"/>
      <c r="AI214" s="107"/>
      <c r="AJ214" s="111"/>
      <c r="AK214" s="111"/>
      <c r="AL214" s="111"/>
      <c r="AM214" s="108">
        <f>AG214*'[1]1. Standard_Cost'!$B$27+'[1]Incremental_Cost Year 5'!AH214*'[1]1. Standard_Cost'!$C$27+'[1]Incremental_Cost Year 5'!AI214*'[1]1. Standard_Cost'!$D$27+'[1]Incremental_Cost Year 5'!AJ214+'[1]Incremental_Cost Year 5'!AL214+AK214</f>
        <v>0</v>
      </c>
      <c r="AN214" s="108">
        <f>AM214*'[1]1. Standard_Cost'!$C$31</f>
        <v>0</v>
      </c>
      <c r="AO214" s="125" t="s">
        <v>421</v>
      </c>
      <c r="AQ214" s="14">
        <f t="shared" si="194"/>
        <v>0</v>
      </c>
      <c r="AR214" s="14">
        <f t="shared" si="195"/>
        <v>76000</v>
      </c>
      <c r="AS214" s="14">
        <f t="shared" si="196"/>
        <v>0</v>
      </c>
      <c r="AT214" s="14">
        <f t="shared" si="198"/>
        <v>76000</v>
      </c>
      <c r="AU214" s="15"/>
      <c r="AV214" s="15"/>
      <c r="AW214" s="15"/>
      <c r="AX214" s="15"/>
      <c r="AY214" s="15"/>
      <c r="AZ214" s="15"/>
      <c r="BA214" s="15"/>
      <c r="BB214" s="16">
        <f t="shared" si="197"/>
        <v>-76000</v>
      </c>
    </row>
    <row r="215" spans="1:54" ht="187.2" outlineLevel="2">
      <c r="A215" s="98"/>
      <c r="B215" s="102"/>
      <c r="C215" s="23"/>
      <c r="D215" s="269"/>
      <c r="E215" s="271"/>
      <c r="F215" s="250"/>
      <c r="G215" s="255"/>
      <c r="H215" s="302" t="s">
        <v>547</v>
      </c>
      <c r="I215" s="104" t="s">
        <v>4</v>
      </c>
      <c r="J215" s="105">
        <v>0.2</v>
      </c>
      <c r="K215" s="105">
        <v>1</v>
      </c>
      <c r="L215" s="106">
        <f>IF(I215&lt;&gt;0,((VLOOKUP(I215,'1. Standard_Cost'!$B$4:$D$11,2)+VLOOKUP(I215,'1. Standard_Cost'!$B$4:$D$11,3))*J215*K215),"0")</f>
        <v>16150</v>
      </c>
      <c r="M215" s="106">
        <f>L215*'1. Standard_Cost'!$F$4</f>
        <v>2697.05</v>
      </c>
      <c r="N215" s="107">
        <v>1</v>
      </c>
      <c r="O215" s="107">
        <v>1</v>
      </c>
      <c r="P215" s="107">
        <v>50</v>
      </c>
      <c r="Q215" s="107"/>
      <c r="R215" s="108">
        <v>0</v>
      </c>
      <c r="S215" s="108">
        <v>0</v>
      </c>
      <c r="T215" s="108">
        <f>N215*P215*Q215*'1. Standard_Cost'!$D$15</f>
        <v>0</v>
      </c>
      <c r="U215" s="108">
        <v>0</v>
      </c>
      <c r="V215" s="107"/>
      <c r="W215" s="107"/>
      <c r="X215" s="107"/>
      <c r="Y215" s="108">
        <f>+V215*((X215*'1. Standard_Cost'!$B$19)+(W215*X215*'1. Standard_Cost'!$C$19))</f>
        <v>0</v>
      </c>
      <c r="Z215" s="107"/>
      <c r="AA215" s="107">
        <v>2</v>
      </c>
      <c r="AB215" s="108">
        <f>+Z215*'1. Standard_Cost'!$B$23+AA215*'1. Standard_Cost'!$C$23</f>
        <v>38000</v>
      </c>
      <c r="AC215" s="109">
        <f>51*3500+51*300</f>
        <v>193800</v>
      </c>
      <c r="AD215" s="110"/>
      <c r="AE215" s="108">
        <v>0</v>
      </c>
      <c r="AF215" s="108">
        <f t="shared" si="193"/>
        <v>231800</v>
      </c>
      <c r="AG215" s="107"/>
      <c r="AH215" s="107"/>
      <c r="AI215" s="107"/>
      <c r="AJ215" s="111"/>
      <c r="AK215" s="111"/>
      <c r="AL215" s="111"/>
      <c r="AM215" s="108">
        <f>AG215*'1. Standard_Cost'!$B$27+'Incremental_Cost Year 5'!AH215*'1. Standard_Cost'!$C$27+'Incremental_Cost Year 5'!AI215*'1. Standard_Cost'!$D$27+'Incremental_Cost Year 5'!AJ215+'Incremental_Cost Year 5'!AL215+AK215</f>
        <v>0</v>
      </c>
      <c r="AN215" s="108">
        <f>AM215*'1. Standard_Cost'!$C$31</f>
        <v>0</v>
      </c>
      <c r="AO215" s="125" t="s">
        <v>421</v>
      </c>
      <c r="AQ215" s="14">
        <f t="shared" si="194"/>
        <v>18847.05</v>
      </c>
      <c r="AR215" s="14">
        <f t="shared" si="195"/>
        <v>231800</v>
      </c>
      <c r="AS215" s="14">
        <f t="shared" si="196"/>
        <v>0</v>
      </c>
      <c r="AT215" s="14">
        <f t="shared" si="198"/>
        <v>250647.05</v>
      </c>
      <c r="AU215" s="15">
        <v>18847.05</v>
      </c>
      <c r="AV215" s="15"/>
      <c r="AW215" s="15"/>
      <c r="AX215" s="15">
        <v>231800</v>
      </c>
      <c r="AY215" s="15"/>
      <c r="AZ215" s="15"/>
      <c r="BA215" s="15"/>
      <c r="BB215" s="16">
        <f t="shared" si="197"/>
        <v>0</v>
      </c>
    </row>
    <row r="216" spans="1:54" ht="41.4" outlineLevel="2">
      <c r="A216" s="98"/>
      <c r="B216" s="102"/>
      <c r="C216" s="23"/>
      <c r="D216" s="269"/>
      <c r="E216" s="271"/>
      <c r="F216" s="250"/>
      <c r="G216" s="255"/>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93"/>
        <v>0</v>
      </c>
      <c r="AG216" s="107"/>
      <c r="AH216" s="107"/>
      <c r="AI216" s="107"/>
      <c r="AJ216" s="111"/>
      <c r="AK216" s="111"/>
      <c r="AL216" s="111"/>
      <c r="AM216" s="108">
        <f>AG216*'1. Standard_Cost'!$B$27+'Incremental_Cost Year 5'!AH216*'1. Standard_Cost'!$C$27+'Incremental_Cost Year 5'!AI216*'1. Standard_Cost'!$D$27+'Incremental_Cost Year 5'!AJ216+'Incremental_Cost Year 5'!AL216+AK216</f>
        <v>0</v>
      </c>
      <c r="AN216" s="108">
        <f>AM216*'1. Standard_Cost'!$C$31</f>
        <v>0</v>
      </c>
      <c r="AO216" s="125" t="s">
        <v>422</v>
      </c>
      <c r="AQ216" s="14">
        <f t="shared" si="194"/>
        <v>0</v>
      </c>
      <c r="AR216" s="14">
        <f t="shared" si="195"/>
        <v>0</v>
      </c>
      <c r="AS216" s="14">
        <f t="shared" si="196"/>
        <v>0</v>
      </c>
      <c r="AT216" s="14">
        <f t="shared" si="198"/>
        <v>0</v>
      </c>
      <c r="AU216" s="15"/>
      <c r="AV216" s="15"/>
      <c r="AW216" s="15"/>
      <c r="AX216" s="15"/>
      <c r="AY216" s="15"/>
      <c r="AZ216" s="15"/>
      <c r="BA216" s="15"/>
      <c r="BB216" s="16">
        <f t="shared" si="197"/>
        <v>0</v>
      </c>
    </row>
    <row r="217" spans="1:54" ht="124.8" outlineLevel="2">
      <c r="A217" s="98"/>
      <c r="B217" s="102"/>
      <c r="C217" s="23"/>
      <c r="D217" s="269"/>
      <c r="E217" s="271"/>
      <c r="F217" s="250"/>
      <c r="G217" s="255"/>
      <c r="H217" s="302" t="s">
        <v>548</v>
      </c>
      <c r="I217" s="104"/>
      <c r="J217" s="105"/>
      <c r="K217" s="105"/>
      <c r="L217" s="106" t="str">
        <f>IF(I217&lt;&gt;0,((VLOOKUP(I217,'1. Standard_Cost'!$B$4:$D$11,2)+VLOOKUP(I217,'1. Standard_Cost'!$B$4:$D$11,3))*J217*K217),"0")</f>
        <v>0</v>
      </c>
      <c r="M217" s="106">
        <f>L217*'1. Standard_Cost'!$F$4</f>
        <v>0</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c r="AB217" s="108">
        <f>+Z217*'1. Standard_Cost'!$B$23+AA217*'1. Standard_Cost'!$C$23</f>
        <v>0</v>
      </c>
      <c r="AC217" s="109"/>
      <c r="AD217" s="110"/>
      <c r="AE217" s="108">
        <f>SUM(AD217,AC217,AB217,Y217,U217,T217,S217,R217)*'1. Standard_Cost'!$B$31</f>
        <v>0</v>
      </c>
      <c r="AF217" s="108">
        <f t="shared" si="193"/>
        <v>0</v>
      </c>
      <c r="AG217" s="107"/>
      <c r="AH217" s="107"/>
      <c r="AI217" s="107"/>
      <c r="AJ217" s="111"/>
      <c r="AK217" s="111"/>
      <c r="AL217" s="111"/>
      <c r="AM217" s="108">
        <f>AG217*'1. Standard_Cost'!$B$27+'Incremental_Cost Year 5'!AH217*'1. Standard_Cost'!$C$27+'Incremental_Cost Year 5'!AI217*'1. Standard_Cost'!$D$27+'Incremental_Cost Year 5'!AJ217+'Incremental_Cost Year 5'!AL217+AK217</f>
        <v>0</v>
      </c>
      <c r="AN217" s="108">
        <f>AM217*'1. Standard_Cost'!$C$31</f>
        <v>0</v>
      </c>
      <c r="AO217" s="125" t="s">
        <v>423</v>
      </c>
      <c r="AQ217" s="14">
        <f t="shared" si="194"/>
        <v>0</v>
      </c>
      <c r="AR217" s="14">
        <f t="shared" si="195"/>
        <v>0</v>
      </c>
      <c r="AS217" s="14">
        <f t="shared" si="196"/>
        <v>0</v>
      </c>
      <c r="AT217" s="14">
        <f t="shared" si="198"/>
        <v>0</v>
      </c>
      <c r="AU217" s="15">
        <v>0</v>
      </c>
      <c r="AV217" s="15"/>
      <c r="AW217" s="15"/>
      <c r="AX217" s="15">
        <v>0</v>
      </c>
      <c r="AY217" s="15"/>
      <c r="AZ217" s="15"/>
      <c r="BA217" s="15"/>
      <c r="BB217" s="16">
        <f t="shared" si="197"/>
        <v>0</v>
      </c>
    </row>
    <row r="218" spans="1:54" ht="234" outlineLevel="2">
      <c r="A218" s="98"/>
      <c r="B218" s="102"/>
      <c r="C218" s="23"/>
      <c r="D218" s="269"/>
      <c r="E218" s="271"/>
      <c r="F218" s="250"/>
      <c r="G218" s="255"/>
      <c r="H218" s="302" t="s">
        <v>549</v>
      </c>
      <c r="I218" s="104"/>
      <c r="J218" s="105"/>
      <c r="K218" s="105"/>
      <c r="L218" s="106" t="str">
        <f>IF(I218&lt;&gt;0,((VLOOKUP(I218,'1. Standard_Cost'!$B$4:$D$11,2)+VLOOKUP(I218,'1. Standard_Cost'!$B$4:$D$11,3))*J218*K218),"0")</f>
        <v>0</v>
      </c>
      <c r="M218" s="106">
        <f>L218*'1. Standard_Cost'!$F$4</f>
        <v>0</v>
      </c>
      <c r="N218" s="107">
        <v>0</v>
      </c>
      <c r="O218" s="107">
        <v>0</v>
      </c>
      <c r="P218" s="107">
        <v>0</v>
      </c>
      <c r="Q218" s="107"/>
      <c r="R218" s="108">
        <f>'1. Standard_Cost'!$B$15*N218*P218</f>
        <v>0</v>
      </c>
      <c r="S218" s="108">
        <f>N218*O218*P218*'1. Standard_Cost'!$C$15</f>
        <v>0</v>
      </c>
      <c r="T218" s="108">
        <f>N218*P218*Q218*'1. Standard_Cost'!$D$15</f>
        <v>0</v>
      </c>
      <c r="U218" s="108">
        <f>N218*O218*'1. Standard_Cost'!$E$15</f>
        <v>0</v>
      </c>
      <c r="V218" s="107"/>
      <c r="W218" s="107"/>
      <c r="X218" s="107"/>
      <c r="Y218" s="108">
        <f>+V218*((X218*'1. Standard_Cost'!$B$19)+(W218*X218*'1. Standard_Cost'!$C$19))</f>
        <v>0</v>
      </c>
      <c r="Z218" s="107"/>
      <c r="AA218" s="107"/>
      <c r="AB218" s="108">
        <f>+Z218*'1. Standard_Cost'!$B$23+AA218*'1. Standard_Cost'!$C$23</f>
        <v>0</v>
      </c>
      <c r="AC218" s="109"/>
      <c r="AD218" s="110"/>
      <c r="AE218" s="108">
        <f>SUM(AD218,AC218,AB218,Y218,U218,T218,S218,R218)*'1. Standard_Cost'!$B$31</f>
        <v>0</v>
      </c>
      <c r="AF218" s="108">
        <f t="shared" si="193"/>
        <v>0</v>
      </c>
      <c r="AG218" s="107"/>
      <c r="AH218" s="107"/>
      <c r="AI218" s="107"/>
      <c r="AJ218" s="111"/>
      <c r="AK218" s="111"/>
      <c r="AL218" s="111"/>
      <c r="AM218" s="108">
        <f>AG218*'1. Standard_Cost'!$B$27+'Incremental_Cost Year 5'!AH218*'1. Standard_Cost'!$C$27+'Incremental_Cost Year 5'!AI218*'1. Standard_Cost'!$D$27+'Incremental_Cost Year 5'!AJ218+'Incremental_Cost Year 5'!AL218+AK218</f>
        <v>0</v>
      </c>
      <c r="AN218" s="108">
        <f>AM218*'1. Standard_Cost'!$C$31</f>
        <v>0</v>
      </c>
      <c r="AO218" s="125" t="s">
        <v>424</v>
      </c>
      <c r="AQ218" s="14">
        <f t="shared" si="194"/>
        <v>0</v>
      </c>
      <c r="AR218" s="14">
        <f t="shared" si="195"/>
        <v>0</v>
      </c>
      <c r="AS218" s="14">
        <f t="shared" si="196"/>
        <v>0</v>
      </c>
      <c r="AT218" s="14">
        <f t="shared" si="198"/>
        <v>0</v>
      </c>
      <c r="AU218" s="15">
        <v>0</v>
      </c>
      <c r="AV218" s="15"/>
      <c r="AW218" s="15"/>
      <c r="AX218" s="15">
        <v>0</v>
      </c>
      <c r="AY218" s="15"/>
      <c r="AZ218" s="15"/>
      <c r="BA218" s="15"/>
      <c r="BB218" s="16">
        <f t="shared" si="197"/>
        <v>0</v>
      </c>
    </row>
    <row r="219" spans="1:54" ht="36" customHeight="1" outlineLevel="2">
      <c r="A219" s="98"/>
      <c r="B219" s="102"/>
      <c r="C219" s="23"/>
      <c r="D219" s="251"/>
      <c r="E219" s="251"/>
      <c r="F219" s="251"/>
      <c r="G219" s="250"/>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93"/>
        <v>0</v>
      </c>
      <c r="AG219" s="107"/>
      <c r="AH219" s="107"/>
      <c r="AI219" s="107"/>
      <c r="AJ219" s="111"/>
      <c r="AK219" s="111"/>
      <c r="AL219" s="111"/>
      <c r="AM219" s="108">
        <f>AG219*'1. Standard_Cost'!$B$27+'Incremental_Cost Year 5'!AH219*'1. Standard_Cost'!$C$27+'Incremental_Cost Year 5'!AI219*'1. Standard_Cost'!$D$27+'Incremental_Cost Year 5'!AJ219+'Incremental_Cost Year 5'!AL219+AK219</f>
        <v>0</v>
      </c>
      <c r="AN219" s="108">
        <f>AM219*'1. Standard_Cost'!$C$31</f>
        <v>0</v>
      </c>
      <c r="AO219" s="125" t="s">
        <v>425</v>
      </c>
      <c r="AQ219" s="14">
        <f t="shared" si="194"/>
        <v>0</v>
      </c>
      <c r="AR219" s="14">
        <f t="shared" si="195"/>
        <v>0</v>
      </c>
      <c r="AS219" s="14">
        <f t="shared" si="196"/>
        <v>0</v>
      </c>
      <c r="AT219" s="14">
        <f t="shared" si="198"/>
        <v>0</v>
      </c>
      <c r="AU219" s="15"/>
      <c r="AV219" s="15"/>
      <c r="AW219" s="15"/>
      <c r="AX219" s="15"/>
      <c r="AY219" s="15"/>
      <c r="AZ219" s="15"/>
      <c r="BA219" s="15"/>
      <c r="BB219" s="16">
        <f t="shared" si="197"/>
        <v>0</v>
      </c>
    </row>
    <row r="220" spans="1:54" ht="32.25" customHeight="1" outlineLevel="2">
      <c r="A220" s="98"/>
      <c r="B220" s="102"/>
      <c r="C220" s="23"/>
      <c r="D220" s="251"/>
      <c r="E220" s="251"/>
      <c r="F220" s="251"/>
      <c r="G220" s="250"/>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93"/>
        <v>0</v>
      </c>
      <c r="AG220" s="107"/>
      <c r="AH220" s="107"/>
      <c r="AI220" s="107"/>
      <c r="AJ220" s="111"/>
      <c r="AK220" s="111"/>
      <c r="AL220" s="111"/>
      <c r="AM220" s="108">
        <f>AG220*'1. Standard_Cost'!$B$27+'Incremental_Cost Year 5'!AH220*'1. Standard_Cost'!$C$27+'Incremental_Cost Year 5'!AI220*'1. Standard_Cost'!$D$27+'Incremental_Cost Year 5'!AJ220+'Incremental_Cost Year 5'!AL220+AK220</f>
        <v>0</v>
      </c>
      <c r="AN220" s="108">
        <f>AM220*'1. Standard_Cost'!$C$31</f>
        <v>0</v>
      </c>
      <c r="AO220" s="125" t="s">
        <v>426</v>
      </c>
      <c r="AQ220" s="14">
        <f t="shared" si="194"/>
        <v>0</v>
      </c>
      <c r="AR220" s="14">
        <f t="shared" si="195"/>
        <v>0</v>
      </c>
      <c r="AS220" s="14">
        <f t="shared" si="196"/>
        <v>0</v>
      </c>
      <c r="AT220" s="14">
        <f t="shared" si="198"/>
        <v>0</v>
      </c>
      <c r="AU220" s="15"/>
      <c r="AV220" s="15"/>
      <c r="AW220" s="15"/>
      <c r="AX220" s="15"/>
      <c r="AY220" s="15"/>
      <c r="AZ220" s="15"/>
      <c r="BA220" s="15"/>
      <c r="BB220" s="16">
        <f t="shared" si="197"/>
        <v>0</v>
      </c>
    </row>
    <row r="221" spans="1:54" ht="45" customHeight="1" outlineLevel="2">
      <c r="A221" s="98"/>
      <c r="B221" s="102"/>
      <c r="C221" s="23"/>
      <c r="D221" s="251"/>
      <c r="E221" s="251"/>
      <c r="F221" s="251"/>
      <c r="G221" s="250"/>
      <c r="H221" s="302" t="s">
        <v>550</v>
      </c>
      <c r="I221" s="104" t="s">
        <v>4</v>
      </c>
      <c r="J221" s="105">
        <v>1</v>
      </c>
      <c r="K221" s="105">
        <v>2</v>
      </c>
      <c r="L221" s="106">
        <f>IF(I221&lt;&gt;0,((VLOOKUP(I221,'1. Standard_Cost'!$B$4:$D$11,2)+VLOOKUP(I221,'1. Standard_Cost'!$B$4:$D$11,3))*J221*K221),"0")</f>
        <v>161500</v>
      </c>
      <c r="M221" s="106">
        <f>L221*'1. Standard_Cost'!$F$4</f>
        <v>26970.5</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93"/>
        <v>0</v>
      </c>
      <c r="AG221" s="107"/>
      <c r="AH221" s="107"/>
      <c r="AI221" s="107"/>
      <c r="AJ221" s="111"/>
      <c r="AK221" s="111"/>
      <c r="AL221" s="111"/>
      <c r="AM221" s="108">
        <f>AG221*'1. Standard_Cost'!$B$27+'Incremental_Cost Year 5'!AH221*'1. Standard_Cost'!$C$27+'Incremental_Cost Year 5'!AI221*'1. Standard_Cost'!$D$27+'Incremental_Cost Year 5'!AJ221+'Incremental_Cost Year 5'!AL221+AK221</f>
        <v>0</v>
      </c>
      <c r="AN221" s="108">
        <f>AM221*'1. Standard_Cost'!$C$31</f>
        <v>0</v>
      </c>
      <c r="AO221" s="125" t="s">
        <v>427</v>
      </c>
      <c r="AQ221" s="14">
        <f t="shared" si="194"/>
        <v>188470.5</v>
      </c>
      <c r="AR221" s="14">
        <f t="shared" si="195"/>
        <v>0</v>
      </c>
      <c r="AS221" s="14">
        <f t="shared" si="196"/>
        <v>0</v>
      </c>
      <c r="AT221" s="14">
        <f t="shared" si="198"/>
        <v>188470.5</v>
      </c>
      <c r="AU221" s="15">
        <v>188470.5</v>
      </c>
      <c r="AV221" s="15"/>
      <c r="AW221" s="15"/>
      <c r="AX221" s="15"/>
      <c r="AY221" s="15"/>
      <c r="AZ221" s="15"/>
      <c r="BA221" s="15"/>
      <c r="BB221" s="16">
        <f t="shared" si="197"/>
        <v>0</v>
      </c>
    </row>
    <row r="222" spans="1:54" ht="82.8" outlineLevel="1">
      <c r="A222" s="98"/>
      <c r="B222" s="102"/>
      <c r="C222" s="23"/>
      <c r="D222" s="31" t="s">
        <v>712</v>
      </c>
      <c r="E222" s="56" t="s">
        <v>247</v>
      </c>
      <c r="F222" s="253">
        <v>2021</v>
      </c>
      <c r="G222" s="254">
        <v>2026</v>
      </c>
      <c r="H222" s="279" t="s">
        <v>248</v>
      </c>
      <c r="I222" s="112"/>
      <c r="J222" s="112"/>
      <c r="K222" s="112"/>
      <c r="L222" s="113">
        <f>SUM(L203:L221)</f>
        <v>3926550</v>
      </c>
      <c r="M222" s="113">
        <f>SUM(M203:M221)</f>
        <v>655733.85000000021</v>
      </c>
      <c r="N222" s="112"/>
      <c r="O222" s="112"/>
      <c r="P222" s="112"/>
      <c r="Q222" s="112"/>
      <c r="R222" s="113">
        <f>SUM(R203:R221)</f>
        <v>26000</v>
      </c>
      <c r="S222" s="113">
        <f>SUM(S203:S221)</f>
        <v>58500</v>
      </c>
      <c r="T222" s="113">
        <f>SUM(T203:T221)</f>
        <v>0</v>
      </c>
      <c r="U222" s="113">
        <f>SUM(U203:U221)</f>
        <v>0</v>
      </c>
      <c r="V222" s="112"/>
      <c r="W222" s="112"/>
      <c r="X222" s="112"/>
      <c r="Y222" s="113">
        <f>SUM(Y203:Y221)</f>
        <v>0</v>
      </c>
      <c r="Z222" s="113"/>
      <c r="AA222" s="112"/>
      <c r="AB222" s="113">
        <f>SUM(AB203:AB221)</f>
        <v>570000</v>
      </c>
      <c r="AC222" s="113">
        <f>SUM(AC203:AC221)</f>
        <v>465800</v>
      </c>
      <c r="AD222" s="113">
        <f>SUM(AD203:AD221)</f>
        <v>0</v>
      </c>
      <c r="AE222" s="113">
        <f>SUM(AE203:AE221)</f>
        <v>43000</v>
      </c>
      <c r="AF222" s="113">
        <f>SUM(AF203:AF221)</f>
        <v>1163300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 si="199">SUM(AQ203:AQ221)</f>
        <v>4582283.8499999996</v>
      </c>
      <c r="AR222" s="113">
        <f t="shared" ref="AR222:BB222" si="200">SUM(AR203:AR221)</f>
        <v>1163300</v>
      </c>
      <c r="AS222" s="113">
        <f t="shared" si="200"/>
        <v>0</v>
      </c>
      <c r="AT222" s="113">
        <f t="shared" si="200"/>
        <v>5745583.8499999996</v>
      </c>
      <c r="AU222" s="113">
        <f t="shared" si="200"/>
        <v>4582283.8499999996</v>
      </c>
      <c r="AV222" s="113">
        <f t="shared" si="200"/>
        <v>0</v>
      </c>
      <c r="AW222" s="113">
        <f t="shared" si="200"/>
        <v>0</v>
      </c>
      <c r="AX222" s="113">
        <f t="shared" si="200"/>
        <v>655900</v>
      </c>
      <c r="AY222" s="113">
        <f t="shared" si="200"/>
        <v>0</v>
      </c>
      <c r="AZ222" s="113">
        <f t="shared" si="200"/>
        <v>0</v>
      </c>
      <c r="BA222" s="113">
        <f t="shared" si="200"/>
        <v>0</v>
      </c>
      <c r="BB222" s="113">
        <f t="shared" si="200"/>
        <v>-507400</v>
      </c>
    </row>
    <row r="223" spans="1:54" s="13" customFormat="1" ht="13.8" customHeight="1">
      <c r="A223" s="101"/>
      <c r="B223" s="316" t="s">
        <v>253</v>
      </c>
      <c r="C223" s="317"/>
      <c r="D223" s="317"/>
      <c r="E223" s="318"/>
      <c r="F223" s="241"/>
      <c r="G223" s="241"/>
      <c r="H223" s="241" t="s">
        <v>252</v>
      </c>
      <c r="I223" s="40"/>
      <c r="J223" s="40"/>
      <c r="K223" s="40"/>
      <c r="L223" s="41">
        <f>SUM(L224)</f>
        <v>96900</v>
      </c>
      <c r="M223" s="41">
        <f>SUM(M224)</f>
        <v>16182.3</v>
      </c>
      <c r="N223" s="40"/>
      <c r="O223" s="40"/>
      <c r="P223" s="40"/>
      <c r="Q223" s="40"/>
      <c r="R223" s="41">
        <f t="shared" ref="R223:U223" si="201">SUM(R224)</f>
        <v>0</v>
      </c>
      <c r="S223" s="41">
        <f t="shared" si="201"/>
        <v>0</v>
      </c>
      <c r="T223" s="41">
        <f t="shared" si="201"/>
        <v>0</v>
      </c>
      <c r="U223" s="41">
        <f t="shared" si="201"/>
        <v>0</v>
      </c>
      <c r="V223" s="40"/>
      <c r="W223" s="40"/>
      <c r="X223" s="40"/>
      <c r="Y223" s="41">
        <f t="shared" ref="Y223" si="202">SUM(Y224)</f>
        <v>0</v>
      </c>
      <c r="Z223" s="41">
        <f t="shared" ref="Z223" si="203">SUM(Z224)</f>
        <v>0</v>
      </c>
      <c r="AA223" s="40"/>
      <c r="AB223" s="41">
        <f t="shared" ref="AB223:AF223" si="204">SUM(AB224)</f>
        <v>228000</v>
      </c>
      <c r="AC223" s="41">
        <f t="shared" ref="AC223:AD223" si="205">SUM(AC224)</f>
        <v>630000</v>
      </c>
      <c r="AD223" s="41">
        <f t="shared" si="205"/>
        <v>0</v>
      </c>
      <c r="AE223" s="41">
        <f t="shared" si="204"/>
        <v>171600</v>
      </c>
      <c r="AF223" s="41">
        <f t="shared" si="204"/>
        <v>1029600</v>
      </c>
      <c r="AG223" s="40"/>
      <c r="AH223" s="40"/>
      <c r="AI223" s="40"/>
      <c r="AJ223" s="41">
        <f t="shared" ref="AJ223:AL223" si="206">SUM(AJ224)</f>
        <v>0</v>
      </c>
      <c r="AK223" s="41">
        <f t="shared" si="206"/>
        <v>0</v>
      </c>
      <c r="AL223" s="41">
        <f t="shared" si="206"/>
        <v>0</v>
      </c>
      <c r="AM223" s="41">
        <f t="shared" ref="AM223:AN223" si="207">SUM(AM224)</f>
        <v>0</v>
      </c>
      <c r="AN223" s="41">
        <f t="shared" si="207"/>
        <v>0</v>
      </c>
      <c r="AO223" s="129"/>
      <c r="AQ223" s="41">
        <f t="shared" ref="AQ223:BB223" si="208">SUM(AQ224)</f>
        <v>113082.3</v>
      </c>
      <c r="AR223" s="41">
        <f t="shared" si="208"/>
        <v>1029600</v>
      </c>
      <c r="AS223" s="41">
        <f t="shared" si="208"/>
        <v>0</v>
      </c>
      <c r="AT223" s="41">
        <f t="shared" si="208"/>
        <v>1142682.3</v>
      </c>
      <c r="AU223" s="41">
        <f t="shared" si="208"/>
        <v>113082.3</v>
      </c>
      <c r="AV223" s="41">
        <f t="shared" si="208"/>
        <v>0</v>
      </c>
      <c r="AW223" s="41">
        <f t="shared" si="208"/>
        <v>0</v>
      </c>
      <c r="AX223" s="41">
        <f t="shared" si="208"/>
        <v>0</v>
      </c>
      <c r="AY223" s="41">
        <f t="shared" si="208"/>
        <v>0</v>
      </c>
      <c r="AZ223" s="41">
        <f t="shared" si="208"/>
        <v>0</v>
      </c>
      <c r="BA223" s="41">
        <f t="shared" si="208"/>
        <v>0</v>
      </c>
      <c r="BB223" s="41">
        <f t="shared" si="208"/>
        <v>-1029600</v>
      </c>
    </row>
    <row r="224" spans="1:54" s="24" customFormat="1" ht="13.8" customHeight="1">
      <c r="A224" s="114"/>
      <c r="B224" s="115"/>
      <c r="C224" s="314" t="s">
        <v>254</v>
      </c>
      <c r="D224" s="314"/>
      <c r="E224" s="315"/>
      <c r="F224" s="246"/>
      <c r="G224" s="246"/>
      <c r="H224" s="278" t="s">
        <v>255</v>
      </c>
      <c r="I224" s="116"/>
      <c r="J224" s="116"/>
      <c r="K224" s="116"/>
      <c r="L224" s="117">
        <f>SUM(L232,L236,L242)</f>
        <v>96900</v>
      </c>
      <c r="M224" s="117">
        <f>SUM(M232,M236,M242)</f>
        <v>16182.3</v>
      </c>
      <c r="N224" s="116"/>
      <c r="O224" s="116"/>
      <c r="P224" s="116"/>
      <c r="Q224" s="116"/>
      <c r="R224" s="117">
        <f t="shared" ref="R224:U224" si="209">SUM(R232,R236,R242)</f>
        <v>0</v>
      </c>
      <c r="S224" s="117">
        <f t="shared" si="209"/>
        <v>0</v>
      </c>
      <c r="T224" s="117">
        <f t="shared" si="209"/>
        <v>0</v>
      </c>
      <c r="U224" s="117">
        <f t="shared" si="209"/>
        <v>0</v>
      </c>
      <c r="V224" s="116"/>
      <c r="W224" s="116"/>
      <c r="X224" s="116"/>
      <c r="Y224" s="117">
        <f>SUM(Y232,Y236,Y242)</f>
        <v>0</v>
      </c>
      <c r="Z224" s="116"/>
      <c r="AA224" s="116"/>
      <c r="AB224" s="117">
        <f t="shared" ref="AB224:AF224" si="210">SUM(AB232,AB236,AB242)</f>
        <v>228000</v>
      </c>
      <c r="AC224" s="117">
        <f t="shared" si="210"/>
        <v>630000</v>
      </c>
      <c r="AD224" s="117">
        <f t="shared" si="210"/>
        <v>0</v>
      </c>
      <c r="AE224" s="117">
        <f t="shared" si="210"/>
        <v>171600</v>
      </c>
      <c r="AF224" s="117">
        <f t="shared" si="210"/>
        <v>1029600</v>
      </c>
      <c r="AG224" s="116"/>
      <c r="AH224" s="116"/>
      <c r="AI224" s="116"/>
      <c r="AJ224" s="117">
        <f t="shared" ref="AJ224:AL224" si="211">SUM(AJ232,AJ236,AJ242)</f>
        <v>0</v>
      </c>
      <c r="AK224" s="117">
        <f t="shared" si="211"/>
        <v>0</v>
      </c>
      <c r="AL224" s="117">
        <f t="shared" si="211"/>
        <v>0</v>
      </c>
      <c r="AM224" s="117">
        <f t="shared" ref="AM224:AN224" si="212">SUM(AM232,AM236,AM242)</f>
        <v>0</v>
      </c>
      <c r="AN224" s="117">
        <f t="shared" si="212"/>
        <v>0</v>
      </c>
      <c r="AO224" s="132"/>
      <c r="AP224" s="25"/>
      <c r="AQ224" s="117">
        <f t="shared" ref="AQ224" si="213">SUM(AQ232,AQ236,AQ242)</f>
        <v>113082.3</v>
      </c>
      <c r="AR224" s="117">
        <f t="shared" ref="AR224:BB224" si="214">SUM(AR232,AR236,AR242)</f>
        <v>1029600</v>
      </c>
      <c r="AS224" s="117">
        <f t="shared" si="214"/>
        <v>0</v>
      </c>
      <c r="AT224" s="117">
        <f t="shared" si="214"/>
        <v>1142682.3</v>
      </c>
      <c r="AU224" s="117">
        <f t="shared" si="214"/>
        <v>113082.3</v>
      </c>
      <c r="AV224" s="117">
        <f t="shared" si="214"/>
        <v>0</v>
      </c>
      <c r="AW224" s="117">
        <f t="shared" si="214"/>
        <v>0</v>
      </c>
      <c r="AX224" s="117">
        <f t="shared" si="214"/>
        <v>0</v>
      </c>
      <c r="AY224" s="117">
        <f t="shared" si="214"/>
        <v>0</v>
      </c>
      <c r="AZ224" s="117">
        <f t="shared" si="214"/>
        <v>0</v>
      </c>
      <c r="BA224" s="117">
        <f t="shared" si="214"/>
        <v>0</v>
      </c>
      <c r="BB224" s="117">
        <f t="shared" si="214"/>
        <v>-1029600</v>
      </c>
    </row>
    <row r="225" spans="1:54" ht="46.8" outlineLevel="2">
      <c r="A225" s="98"/>
      <c r="B225" s="102"/>
      <c r="C225" s="23"/>
      <c r="D225" s="257"/>
      <c r="E225" s="257"/>
      <c r="F225" s="257"/>
      <c r="G225" s="257"/>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215">SUM(AE225,AD225,AC225,AB225,Y225,U225,T225,S225,R225)</f>
        <v>0</v>
      </c>
      <c r="AG225" s="107"/>
      <c r="AH225" s="107"/>
      <c r="AI225" s="107"/>
      <c r="AJ225" s="111"/>
      <c r="AK225" s="111"/>
      <c r="AL225" s="111"/>
      <c r="AM225" s="108">
        <f>AG225*'1. Standard_Cost'!$B$27+'Incremental_Cost Year 5'!AH225*'1. Standard_Cost'!$C$27+'Incremental_Cost Year 5'!AI225*'1. Standard_Cost'!$D$27+'Incremental_Cost Year 5'!AJ225+'Incremental_Cost Year 5'!AL225+AK225</f>
        <v>0</v>
      </c>
      <c r="AN225" s="108">
        <f>AM225*'1. Standard_Cost'!$C$31</f>
        <v>0</v>
      </c>
      <c r="AO225" s="125" t="s">
        <v>428</v>
      </c>
      <c r="AQ225" s="14">
        <f t="shared" ref="AQ225:AQ231" si="216">L225+M225</f>
        <v>0</v>
      </c>
      <c r="AR225" s="14">
        <f t="shared" ref="AR225:AR231" si="217">AF225</f>
        <v>0</v>
      </c>
      <c r="AS225" s="14">
        <f t="shared" ref="AS225:AS231" si="218">AM225+AN225</f>
        <v>0</v>
      </c>
      <c r="AT225" s="14">
        <f>SUM(AQ225,AR225,AS225)</f>
        <v>0</v>
      </c>
      <c r="AU225" s="15"/>
      <c r="AV225" s="15"/>
      <c r="AW225" s="15"/>
      <c r="AX225" s="15"/>
      <c r="AY225" s="15"/>
      <c r="AZ225" s="15"/>
      <c r="BA225" s="15"/>
      <c r="BB225" s="16">
        <f t="shared" ref="BB225:BB231" si="219">SUM(AU225:BA225)-AT225</f>
        <v>0</v>
      </c>
    </row>
    <row r="226" spans="1:54" ht="202.8" outlineLevel="2">
      <c r="A226" s="98"/>
      <c r="B226" s="102"/>
      <c r="C226" s="23"/>
      <c r="D226" s="269"/>
      <c r="E226" s="269"/>
      <c r="F226" s="269"/>
      <c r="G226" s="269"/>
      <c r="H226" s="302" t="s">
        <v>552</v>
      </c>
      <c r="I226" s="104"/>
      <c r="J226" s="105"/>
      <c r="K226" s="105"/>
      <c r="L226" s="106" t="str">
        <f>IF(I226&lt;&gt;0,((VLOOKUP(I226,'1. Standard_Cost'!$B$4:$D$11,2)+VLOOKUP(I226,'1. Standard_Cost'!$B$4:$D$11,3))*J226*K226),"0")</f>
        <v>0</v>
      </c>
      <c r="M226" s="106">
        <f>L226*'1. Standard_Cost'!$F$4</f>
        <v>0</v>
      </c>
      <c r="N226" s="107"/>
      <c r="O226" s="107"/>
      <c r="P226" s="107"/>
      <c r="Q226" s="107"/>
      <c r="R226" s="108">
        <f>'1. Standard_Cost'!$B$15*N226*P226</f>
        <v>0</v>
      </c>
      <c r="S226" s="108">
        <f>N226*O226*P226*'1. Standard_Cost'!$C$15</f>
        <v>0</v>
      </c>
      <c r="T226" s="108">
        <f>N226*P226*Q226*'1. Standard_Cost'!$D$15</f>
        <v>0</v>
      </c>
      <c r="U226" s="108">
        <f>N226*O226*'1. Standard_Cost'!$E$15</f>
        <v>0</v>
      </c>
      <c r="V226" s="107"/>
      <c r="W226" s="107"/>
      <c r="X226" s="107"/>
      <c r="Y226" s="108">
        <f>+V226*((X226*'1. Standard_Cost'!$B$19)+(W226*X226*'1. Standard_Cost'!$C$19))</f>
        <v>0</v>
      </c>
      <c r="Z226" s="107"/>
      <c r="AA226" s="107"/>
      <c r="AB226" s="108">
        <f>+Z226*'1. Standard_Cost'!$B$23+AA226*'1. Standard_Cost'!$C$23</f>
        <v>0</v>
      </c>
      <c r="AC226" s="109"/>
      <c r="AD226" s="110"/>
      <c r="AE226" s="108">
        <f>SUM(AD226,AC226,AB226,Y226,U226,T226,S226,R226)*'1. Standard_Cost'!$B$31</f>
        <v>0</v>
      </c>
      <c r="AF226" s="108">
        <f t="shared" si="215"/>
        <v>0</v>
      </c>
      <c r="AG226" s="107"/>
      <c r="AH226" s="107"/>
      <c r="AI226" s="107"/>
      <c r="AJ226" s="111"/>
      <c r="AK226" s="111"/>
      <c r="AL226" s="111"/>
      <c r="AM226" s="108">
        <f>AG226*'1. Standard_Cost'!$B$27+'Incremental_Cost Year 5'!AH226*'1. Standard_Cost'!$C$27+'Incremental_Cost Year 5'!AI226*'1. Standard_Cost'!$D$27+'Incremental_Cost Year 5'!AJ226+'Incremental_Cost Year 5'!AL226+AK226</f>
        <v>0</v>
      </c>
      <c r="AN226" s="108">
        <f>AM226*'1. Standard_Cost'!$C$31</f>
        <v>0</v>
      </c>
      <c r="AO226" s="125" t="s">
        <v>429</v>
      </c>
      <c r="AQ226" s="14">
        <f t="shared" si="216"/>
        <v>0</v>
      </c>
      <c r="AR226" s="14">
        <f t="shared" si="217"/>
        <v>0</v>
      </c>
      <c r="AS226" s="14">
        <f t="shared" si="218"/>
        <v>0</v>
      </c>
      <c r="AT226" s="14">
        <f t="shared" ref="AT226:AT231" si="220">SUM(AQ226,AR226,AS226)</f>
        <v>0</v>
      </c>
      <c r="AU226" s="15"/>
      <c r="AV226" s="15"/>
      <c r="AW226" s="15"/>
      <c r="AX226" s="15">
        <v>0</v>
      </c>
      <c r="AY226" s="15"/>
      <c r="AZ226" s="15"/>
      <c r="BA226" s="15"/>
      <c r="BB226" s="16">
        <f t="shared" si="219"/>
        <v>0</v>
      </c>
    </row>
    <row r="227" spans="1:54" ht="27.6" outlineLevel="2">
      <c r="A227" s="98"/>
      <c r="B227" s="102"/>
      <c r="C227" s="23"/>
      <c r="D227" s="269"/>
      <c r="E227" s="269"/>
      <c r="F227" s="269"/>
      <c r="G227" s="269"/>
      <c r="H227" s="305" t="s">
        <v>551</v>
      </c>
      <c r="I227" s="104"/>
      <c r="J227" s="105"/>
      <c r="K227" s="105"/>
      <c r="L227" s="106" t="str">
        <f>IF(I227&lt;&gt;0,((VLOOKUP(I227,'[1]1. Standard_Cost'!$B$4:$D$11,2)+VLOOKUP(I227,'[1]1. Standard_Cost'!$B$4:$D$11,3))*J227*K227),"0")</f>
        <v>0</v>
      </c>
      <c r="M227" s="106">
        <f>L227*'[1]1. Standard_Cost'!$F$4</f>
        <v>0</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215"/>
        <v>0</v>
      </c>
      <c r="AG227" s="107"/>
      <c r="AH227" s="107"/>
      <c r="AI227" s="107"/>
      <c r="AJ227" s="111"/>
      <c r="AK227" s="111"/>
      <c r="AL227" s="111"/>
      <c r="AM227" s="108">
        <f>AG227*'[1]1. Standard_Cost'!$B$27+'[1]Incremental_Cost Year 5'!AH227*'[1]1. Standard_Cost'!$C$27+'[1]Incremental_Cost Year 5'!AI227*'[1]1. Standard_Cost'!$D$27+'[1]Incremental_Cost Year 5'!AJ227+'[1]Incremental_Cost Year 5'!AL227+AK227</f>
        <v>0</v>
      </c>
      <c r="AN227" s="108">
        <f>AM227*'[1]1. Standard_Cost'!$C$31</f>
        <v>0</v>
      </c>
      <c r="AO227" s="125" t="s">
        <v>430</v>
      </c>
      <c r="AQ227" s="14">
        <f t="shared" si="216"/>
        <v>0</v>
      </c>
      <c r="AR227" s="14">
        <f t="shared" si="217"/>
        <v>0</v>
      </c>
      <c r="AS227" s="14">
        <f t="shared" si="218"/>
        <v>0</v>
      </c>
      <c r="AT227" s="14">
        <f t="shared" si="220"/>
        <v>0</v>
      </c>
      <c r="AU227" s="15">
        <v>0</v>
      </c>
      <c r="AV227" s="15"/>
      <c r="AW227" s="15"/>
      <c r="AX227" s="15"/>
      <c r="AY227" s="15"/>
      <c r="AZ227" s="15"/>
      <c r="BA227" s="15"/>
      <c r="BB227" s="16">
        <f t="shared" si="219"/>
        <v>0</v>
      </c>
    </row>
    <row r="228" spans="1:54" ht="78" outlineLevel="2">
      <c r="A228" s="98"/>
      <c r="B228" s="102"/>
      <c r="C228" s="23"/>
      <c r="D228" s="269"/>
      <c r="E228" s="269"/>
      <c r="F228" s="269"/>
      <c r="G228" s="26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215"/>
        <v>0</v>
      </c>
      <c r="AG228" s="107"/>
      <c r="AH228" s="107"/>
      <c r="AI228" s="107"/>
      <c r="AJ228" s="111"/>
      <c r="AK228" s="111"/>
      <c r="AL228" s="111"/>
      <c r="AM228" s="108">
        <f>AG228*'1. Standard_Cost'!$B$27+'Incremental_Cost Year 5'!AH228*'1. Standard_Cost'!$C$27+'Incremental_Cost Year 5'!AI228*'1. Standard_Cost'!$D$27+'Incremental_Cost Year 5'!AJ228+'Incremental_Cost Year 5'!AL228+AK228</f>
        <v>0</v>
      </c>
      <c r="AN228" s="108">
        <f>AM228*'1. Standard_Cost'!$C$31</f>
        <v>0</v>
      </c>
      <c r="AO228" s="125" t="s">
        <v>430</v>
      </c>
      <c r="AQ228" s="14">
        <f t="shared" si="216"/>
        <v>0</v>
      </c>
      <c r="AR228" s="14">
        <f t="shared" si="217"/>
        <v>0</v>
      </c>
      <c r="AS228" s="14">
        <f t="shared" si="218"/>
        <v>0</v>
      </c>
      <c r="AT228" s="14">
        <f t="shared" si="220"/>
        <v>0</v>
      </c>
      <c r="AU228" s="15"/>
      <c r="AV228" s="15"/>
      <c r="AW228" s="15"/>
      <c r="AX228" s="15"/>
      <c r="AY228" s="15"/>
      <c r="AZ228" s="15"/>
      <c r="BA228" s="15"/>
      <c r="BB228" s="16">
        <f t="shared" si="219"/>
        <v>0</v>
      </c>
    </row>
    <row r="229" spans="1:54" ht="31.2" outlineLevel="2">
      <c r="A229" s="98"/>
      <c r="B229" s="102"/>
      <c r="C229" s="23"/>
      <c r="D229" s="269"/>
      <c r="E229" s="269"/>
      <c r="F229" s="269"/>
      <c r="G229" s="26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215"/>
        <v>0</v>
      </c>
      <c r="AG229" s="107"/>
      <c r="AH229" s="107"/>
      <c r="AI229" s="107"/>
      <c r="AJ229" s="111"/>
      <c r="AK229" s="111"/>
      <c r="AL229" s="111"/>
      <c r="AM229" s="108">
        <f>AG229*'1. Standard_Cost'!$B$27+'Incremental_Cost Year 5'!AH229*'1. Standard_Cost'!$C$27+'Incremental_Cost Year 5'!AI229*'1. Standard_Cost'!$D$27+'Incremental_Cost Year 5'!AJ229+'Incremental_Cost Year 5'!AL229+AK229</f>
        <v>0</v>
      </c>
      <c r="AN229" s="108">
        <f>AM229*'1. Standard_Cost'!$C$31</f>
        <v>0</v>
      </c>
      <c r="AO229" s="125" t="s">
        <v>431</v>
      </c>
      <c r="AQ229" s="14">
        <f t="shared" si="216"/>
        <v>0</v>
      </c>
      <c r="AR229" s="14">
        <f t="shared" si="217"/>
        <v>0</v>
      </c>
      <c r="AS229" s="14">
        <f t="shared" si="218"/>
        <v>0</v>
      </c>
      <c r="AT229" s="14">
        <f t="shared" si="220"/>
        <v>0</v>
      </c>
      <c r="AU229" s="15"/>
      <c r="AV229" s="15"/>
      <c r="AW229" s="15"/>
      <c r="AX229" s="15"/>
      <c r="AY229" s="15"/>
      <c r="AZ229" s="15"/>
      <c r="BA229" s="15"/>
      <c r="BB229" s="16">
        <f t="shared" si="219"/>
        <v>0</v>
      </c>
    </row>
    <row r="230" spans="1:54" ht="78" outlineLevel="2">
      <c r="A230" s="98"/>
      <c r="B230" s="102"/>
      <c r="C230" s="23"/>
      <c r="D230" s="269"/>
      <c r="E230" s="269"/>
      <c r="F230" s="269"/>
      <c r="G230" s="269"/>
      <c r="H230" s="302" t="s">
        <v>553</v>
      </c>
      <c r="I230" s="104" t="s">
        <v>4</v>
      </c>
      <c r="J230" s="105">
        <v>0.2</v>
      </c>
      <c r="K230" s="105">
        <v>5</v>
      </c>
      <c r="L230" s="106">
        <f>IF(I230&lt;&gt;0,((VLOOKUP(I230,'1. Standard_Cost'!$B$4:$D$11,2)+VLOOKUP(I230,'1. Standard_Cost'!$B$4:$D$11,3))*J230*K230),"0")</f>
        <v>80750</v>
      </c>
      <c r="M230" s="106">
        <f>L230*'1. Standard_Cost'!$F$4</f>
        <v>13485.25</v>
      </c>
      <c r="N230" s="107">
        <v>2</v>
      </c>
      <c r="O230" s="107">
        <v>3</v>
      </c>
      <c r="P230" s="107">
        <v>10</v>
      </c>
      <c r="Q230" s="107"/>
      <c r="R230" s="108">
        <v>0</v>
      </c>
      <c r="S230" s="108">
        <v>0</v>
      </c>
      <c r="T230" s="108">
        <f>N230*P230*Q230*'1. Standard_Cost'!$D$15</f>
        <v>0</v>
      </c>
      <c r="U230" s="108">
        <v>0</v>
      </c>
      <c r="V230" s="107"/>
      <c r="W230" s="107"/>
      <c r="X230" s="107"/>
      <c r="Y230" s="108">
        <f>+V230*((X230*'1. Standard_Cost'!$B$19)+(W230*X230*'1. Standard_Cost'!$C$19))</f>
        <v>0</v>
      </c>
      <c r="Z230" s="107"/>
      <c r="AA230" s="107"/>
      <c r="AB230" s="108">
        <f>+Z230*'1. Standard_Cost'!$B$23+AA230*'1. Standard_Cost'!$C$23</f>
        <v>0</v>
      </c>
      <c r="AC230" s="109">
        <f>20*3500*3+20*500*3</f>
        <v>240000</v>
      </c>
      <c r="AD230" s="110"/>
      <c r="AE230" s="108">
        <f>SUM(AD230,AC230,AB230,Y230,U230,T230,S230,R230)*'1. Standard_Cost'!$B$31</f>
        <v>48000</v>
      </c>
      <c r="AF230" s="108">
        <f t="shared" si="215"/>
        <v>288000</v>
      </c>
      <c r="AG230" s="107"/>
      <c r="AH230" s="107"/>
      <c r="AI230" s="107"/>
      <c r="AJ230" s="111"/>
      <c r="AK230" s="111"/>
      <c r="AL230" s="111"/>
      <c r="AM230" s="108">
        <f>AG230*'1. Standard_Cost'!$B$27+'Incremental_Cost Year 5'!AH230*'1. Standard_Cost'!$C$27+'Incremental_Cost Year 5'!AI230*'1. Standard_Cost'!$D$27+'Incremental_Cost Year 5'!AJ230+'Incremental_Cost Year 5'!AL230+AK230</f>
        <v>0</v>
      </c>
      <c r="AN230" s="108">
        <f>AM230*'1. Standard_Cost'!$C$31</f>
        <v>0</v>
      </c>
      <c r="AO230" s="125" t="s">
        <v>432</v>
      </c>
      <c r="AQ230" s="14">
        <f t="shared" si="216"/>
        <v>94235.25</v>
      </c>
      <c r="AR230" s="14">
        <f t="shared" si="217"/>
        <v>288000</v>
      </c>
      <c r="AS230" s="14">
        <f t="shared" si="218"/>
        <v>0</v>
      </c>
      <c r="AT230" s="14">
        <f t="shared" si="220"/>
        <v>382235.25</v>
      </c>
      <c r="AU230" s="15">
        <v>94235.25</v>
      </c>
      <c r="AV230" s="15"/>
      <c r="AW230" s="15"/>
      <c r="AX230" s="15"/>
      <c r="AY230" s="15"/>
      <c r="AZ230" s="15"/>
      <c r="BA230" s="15"/>
      <c r="BB230" s="16">
        <f t="shared" si="219"/>
        <v>-288000</v>
      </c>
    </row>
    <row r="231" spans="1:54" ht="78" outlineLevel="2">
      <c r="A231" s="98"/>
      <c r="B231" s="102"/>
      <c r="C231" s="23"/>
      <c r="D231" s="269"/>
      <c r="E231" s="269"/>
      <c r="F231" s="269"/>
      <c r="G231" s="26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7</v>
      </c>
      <c r="AB231" s="108">
        <f>+Z231*'1. Standard_Cost'!$B$23+AA231*'1. Standard_Cost'!$C$23</f>
        <v>133000</v>
      </c>
      <c r="AC231" s="109"/>
      <c r="AD231" s="110"/>
      <c r="AE231" s="108">
        <f>SUM(AD231,AC231,AB231,Y231,U231,T231,S231,R231)*'1. Standard_Cost'!$B$31</f>
        <v>26600</v>
      </c>
      <c r="AF231" s="108">
        <f t="shared" si="215"/>
        <v>159600</v>
      </c>
      <c r="AG231" s="107"/>
      <c r="AH231" s="107"/>
      <c r="AI231" s="107"/>
      <c r="AJ231" s="111"/>
      <c r="AK231" s="111"/>
      <c r="AL231" s="111"/>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16"/>
        <v>0</v>
      </c>
      <c r="AR231" s="14">
        <f t="shared" si="217"/>
        <v>159600</v>
      </c>
      <c r="AS231" s="14">
        <f t="shared" si="218"/>
        <v>0</v>
      </c>
      <c r="AT231" s="14">
        <f t="shared" si="220"/>
        <v>159600</v>
      </c>
      <c r="AU231" s="15"/>
      <c r="AV231" s="15"/>
      <c r="AW231" s="15"/>
      <c r="AX231" s="15"/>
      <c r="AY231" s="15"/>
      <c r="AZ231" s="15"/>
      <c r="BA231" s="15"/>
      <c r="BB231" s="16">
        <f t="shared" si="219"/>
        <v>-159600</v>
      </c>
    </row>
    <row r="232" spans="1:54" ht="82.8" outlineLevel="1">
      <c r="A232" s="98"/>
      <c r="B232" s="102"/>
      <c r="C232" s="23"/>
      <c r="D232" s="31" t="s">
        <v>640</v>
      </c>
      <c r="E232" s="56" t="s">
        <v>259</v>
      </c>
      <c r="F232" s="253">
        <v>2021</v>
      </c>
      <c r="G232" s="254">
        <v>2026</v>
      </c>
      <c r="H232" s="277" t="s">
        <v>260</v>
      </c>
      <c r="I232" s="112"/>
      <c r="J232" s="112"/>
      <c r="K232" s="112"/>
      <c r="L232" s="113">
        <f>SUM(L225:L231)</f>
        <v>80750</v>
      </c>
      <c r="M232" s="113">
        <f>SUM(M225:M231)</f>
        <v>13485.25</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133000</v>
      </c>
      <c r="AC232" s="113">
        <f>SUM(AC225:AC231)</f>
        <v>240000</v>
      </c>
      <c r="AD232" s="113">
        <f>SUM(AD225:AD231)</f>
        <v>0</v>
      </c>
      <c r="AE232" s="113">
        <f>SUM(AE225:AE231)</f>
        <v>74600</v>
      </c>
      <c r="AF232" s="113">
        <f>SUM(AF225:AF231)</f>
        <v>447600</v>
      </c>
      <c r="AG232" s="112"/>
      <c r="AH232" s="112"/>
      <c r="AI232" s="112"/>
      <c r="AJ232" s="113">
        <f>SUM(AJ225:AJ231)</f>
        <v>0</v>
      </c>
      <c r="AK232" s="113">
        <f>SUM(AK225:AK231)</f>
        <v>0</v>
      </c>
      <c r="AL232" s="113">
        <f>SUM(AL225:AL231)</f>
        <v>0</v>
      </c>
      <c r="AM232" s="113">
        <f>SUM(AM225:AM231)</f>
        <v>0</v>
      </c>
      <c r="AN232" s="113">
        <f>SUM(AN225:AN231)</f>
        <v>0</v>
      </c>
      <c r="AO232" s="131"/>
      <c r="AP232" s="17"/>
      <c r="AQ232" s="113">
        <f t="shared" ref="AQ232:BB232" si="221">SUM(AQ225:AQ231)</f>
        <v>94235.25</v>
      </c>
      <c r="AR232" s="113">
        <f t="shared" si="221"/>
        <v>447600</v>
      </c>
      <c r="AS232" s="113">
        <f t="shared" si="221"/>
        <v>0</v>
      </c>
      <c r="AT232" s="113">
        <f t="shared" si="221"/>
        <v>541835.25</v>
      </c>
      <c r="AU232" s="113">
        <f t="shared" si="221"/>
        <v>94235.25</v>
      </c>
      <c r="AV232" s="113">
        <f t="shared" si="221"/>
        <v>0</v>
      </c>
      <c r="AW232" s="113">
        <f t="shared" si="221"/>
        <v>0</v>
      </c>
      <c r="AX232" s="113">
        <f t="shared" si="221"/>
        <v>0</v>
      </c>
      <c r="AY232" s="113">
        <f t="shared" si="221"/>
        <v>0</v>
      </c>
      <c r="AZ232" s="113">
        <f t="shared" si="221"/>
        <v>0</v>
      </c>
      <c r="BA232" s="113">
        <f t="shared" si="221"/>
        <v>0</v>
      </c>
      <c r="BB232" s="113">
        <f t="shared" si="221"/>
        <v>-447600</v>
      </c>
    </row>
    <row r="233" spans="1:54" ht="156" outlineLevel="2">
      <c r="A233" s="98"/>
      <c r="B233" s="102"/>
      <c r="C233" s="23"/>
      <c r="D233" s="257"/>
      <c r="E233" s="257"/>
      <c r="F233" s="257"/>
      <c r="G233" s="257"/>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222">SUM(AE233,AD233,AC233,AB233,Y233,U233,T233,S233,R233)</f>
        <v>0</v>
      </c>
      <c r="AG233" s="107"/>
      <c r="AH233" s="107"/>
      <c r="AI233" s="107"/>
      <c r="AJ233" s="111"/>
      <c r="AK233" s="111"/>
      <c r="AL233" s="111"/>
      <c r="AM233" s="108">
        <f>AG233*'1. Standard_Cost'!$B$27+'Incremental_Cost Year 5'!AH233*'1. Standard_Cost'!$C$27+'Incremental_Cost Year 5'!AI233*'1. Standard_Cost'!$D$27+'Incremental_Cost Year 5'!AJ233+'Incremental_Cost Year 5'!AL233+AK233</f>
        <v>0</v>
      </c>
      <c r="AN233" s="108">
        <f>AM233*'1. Standard_Cost'!$C$31</f>
        <v>0</v>
      </c>
      <c r="AO233" s="125" t="s">
        <v>434</v>
      </c>
      <c r="AQ233" s="14">
        <f t="shared" ref="AQ233:AQ235" si="223">L233+M233</f>
        <v>0</v>
      </c>
      <c r="AR233" s="14">
        <f t="shared" ref="AR233:AR235" si="224">AF233</f>
        <v>0</v>
      </c>
      <c r="AS233" s="14">
        <f t="shared" ref="AS233:AS235" si="225">AM233+AN233</f>
        <v>0</v>
      </c>
      <c r="AT233" s="14">
        <f>SUM(AQ233,AR233,AS233)</f>
        <v>0</v>
      </c>
      <c r="AU233" s="15"/>
      <c r="AV233" s="15"/>
      <c r="AW233" s="15"/>
      <c r="AX233" s="15"/>
      <c r="AY233" s="15"/>
      <c r="AZ233" s="15"/>
      <c r="BA233" s="15"/>
      <c r="BB233" s="16">
        <f t="shared" ref="BB233:BB235" si="226">SUM(AU233:BA233)-AT233</f>
        <v>0</v>
      </c>
    </row>
    <row r="234" spans="1:54" ht="62.4" outlineLevel="2">
      <c r="A234" s="98"/>
      <c r="B234" s="102"/>
      <c r="C234" s="23"/>
      <c r="D234" s="269"/>
      <c r="E234" s="269"/>
      <c r="F234" s="269"/>
      <c r="G234" s="26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222"/>
        <v>0</v>
      </c>
      <c r="AG234" s="107"/>
      <c r="AH234" s="107"/>
      <c r="AI234" s="107"/>
      <c r="AJ234" s="111"/>
      <c r="AK234" s="111"/>
      <c r="AL234" s="111"/>
      <c r="AM234" s="108">
        <f>AG234*'1. Standard_Cost'!$B$27+'Incremental_Cost Year 5'!AH234*'1. Standard_Cost'!$C$27+'Incremental_Cost Year 5'!AI234*'1. Standard_Cost'!$D$27+'Incremental_Cost Year 5'!AJ234+'Incremental_Cost Year 5'!AL234+AK234</f>
        <v>0</v>
      </c>
      <c r="AN234" s="108">
        <f>AM234*'1. Standard_Cost'!$C$31</f>
        <v>0</v>
      </c>
      <c r="AO234" s="125" t="s">
        <v>435</v>
      </c>
      <c r="AQ234" s="14">
        <f t="shared" si="223"/>
        <v>0</v>
      </c>
      <c r="AR234" s="14">
        <f t="shared" si="224"/>
        <v>0</v>
      </c>
      <c r="AS234" s="14">
        <f t="shared" si="225"/>
        <v>0</v>
      </c>
      <c r="AT234" s="14">
        <f t="shared" ref="AT234:AT235" si="227">SUM(AQ234,AR234,AS234)</f>
        <v>0</v>
      </c>
      <c r="AU234" s="15"/>
      <c r="AV234" s="15"/>
      <c r="AW234" s="15"/>
      <c r="AX234" s="15"/>
      <c r="AY234" s="15"/>
      <c r="AZ234" s="15"/>
      <c r="BA234" s="15"/>
      <c r="BB234" s="16">
        <f t="shared" si="226"/>
        <v>0</v>
      </c>
    </row>
    <row r="235" spans="1:54" ht="124.8" outlineLevel="2">
      <c r="A235" s="98"/>
      <c r="B235" s="102"/>
      <c r="C235" s="23"/>
      <c r="D235" s="269"/>
      <c r="E235" s="269"/>
      <c r="F235" s="269"/>
      <c r="G235" s="174"/>
      <c r="H235" s="302" t="s">
        <v>555</v>
      </c>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222"/>
        <v>0</v>
      </c>
      <c r="AG235" s="107"/>
      <c r="AH235" s="107"/>
      <c r="AI235" s="107"/>
      <c r="AJ235" s="111"/>
      <c r="AK235" s="111"/>
      <c r="AL235" s="111"/>
      <c r="AM235" s="108">
        <f>AG235*'1. Standard_Cost'!$B$27+'Incremental_Cost Year 5'!AH235*'1. Standard_Cost'!$C$27+'Incremental_Cost Year 5'!AI235*'1. Standard_Cost'!$D$27+'Incremental_Cost Year 5'!AJ235+'Incremental_Cost Year 5'!AL235+AK235</f>
        <v>0</v>
      </c>
      <c r="AN235" s="108">
        <f>AM235*'1. Standard_Cost'!$C$31</f>
        <v>0</v>
      </c>
      <c r="AO235" s="125" t="s">
        <v>436</v>
      </c>
      <c r="AQ235" s="14">
        <f t="shared" si="223"/>
        <v>0</v>
      </c>
      <c r="AR235" s="14">
        <f t="shared" si="224"/>
        <v>0</v>
      </c>
      <c r="AS235" s="14">
        <f t="shared" si="225"/>
        <v>0</v>
      </c>
      <c r="AT235" s="14">
        <f t="shared" si="227"/>
        <v>0</v>
      </c>
      <c r="AU235" s="15">
        <v>0</v>
      </c>
      <c r="AV235" s="15"/>
      <c r="AW235" s="15"/>
      <c r="AX235" s="15"/>
      <c r="AY235" s="15"/>
      <c r="AZ235" s="15"/>
      <c r="BA235" s="15"/>
      <c r="BB235" s="16">
        <f t="shared" si="226"/>
        <v>0</v>
      </c>
    </row>
    <row r="236" spans="1:54" ht="110.4" outlineLevel="1">
      <c r="A236" s="98"/>
      <c r="B236" s="102"/>
      <c r="C236" s="23"/>
      <c r="D236" s="347" t="s">
        <v>641</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28">SUM(AQ233:AQ235)</f>
        <v>0</v>
      </c>
      <c r="AR236" s="113">
        <f t="shared" si="228"/>
        <v>0</v>
      </c>
      <c r="AS236" s="113">
        <f t="shared" si="228"/>
        <v>0</v>
      </c>
      <c r="AT236" s="113">
        <f t="shared" si="228"/>
        <v>0</v>
      </c>
      <c r="AU236" s="113">
        <f t="shared" si="228"/>
        <v>0</v>
      </c>
      <c r="AV236" s="113">
        <f t="shared" si="228"/>
        <v>0</v>
      </c>
      <c r="AW236" s="113">
        <f t="shared" si="228"/>
        <v>0</v>
      </c>
      <c r="AX236" s="113">
        <f t="shared" si="228"/>
        <v>0</v>
      </c>
      <c r="AY236" s="113">
        <f t="shared" si="228"/>
        <v>0</v>
      </c>
      <c r="AZ236" s="113">
        <f t="shared" si="228"/>
        <v>0</v>
      </c>
      <c r="BA236" s="113">
        <f t="shared" si="228"/>
        <v>0</v>
      </c>
      <c r="BB236" s="113">
        <f t="shared" si="228"/>
        <v>0</v>
      </c>
    </row>
    <row r="237" spans="1:54"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29">SUM(AE237,AD237,AC237,AB237,Y237,U237,T237,S237,R237)</f>
        <v>0</v>
      </c>
      <c r="AG237" s="107"/>
      <c r="AH237" s="107"/>
      <c r="AI237" s="107"/>
      <c r="AJ237" s="111"/>
      <c r="AK237" s="111"/>
      <c r="AL237" s="111"/>
      <c r="AM237" s="108">
        <f>AG237*'1. Standard_Cost'!$B$27+'Incremental_Cost Year 5'!AH237*'1. Standard_Cost'!$C$27+'Incremental_Cost Year 5'!AI237*'1. Standard_Cost'!$D$27+'Incremental_Cost Year 5'!AJ237+'Incremental_Cost Year 5'!AL237+AK237</f>
        <v>0</v>
      </c>
      <c r="AN237" s="108">
        <f>AM237*'1. Standard_Cost'!$C$31</f>
        <v>0</v>
      </c>
      <c r="AO237" s="125" t="s">
        <v>437</v>
      </c>
      <c r="AQ237" s="14">
        <f t="shared" ref="AQ237:AQ241" si="230">L237+M237</f>
        <v>0</v>
      </c>
      <c r="AR237" s="14">
        <f t="shared" ref="AR237:AR241" si="231">AF237</f>
        <v>0</v>
      </c>
      <c r="AS237" s="14">
        <f t="shared" ref="AS237:AS241" si="232">AM237+AN237</f>
        <v>0</v>
      </c>
      <c r="AT237" s="14">
        <f>SUM(AQ237,AR237,AS237)</f>
        <v>0</v>
      </c>
      <c r="AU237" s="15"/>
      <c r="AV237" s="15"/>
      <c r="AW237" s="15"/>
      <c r="AX237" s="15"/>
      <c r="AY237" s="15"/>
      <c r="AZ237" s="15"/>
      <c r="BA237" s="15"/>
      <c r="BB237" s="16">
        <f t="shared" ref="BB237:BB241" si="233">SUM(AU237:BA237)-AT237</f>
        <v>0</v>
      </c>
    </row>
    <row r="238" spans="1:54" ht="46.8" outlineLevel="2">
      <c r="A238" s="98"/>
      <c r="B238" s="102"/>
      <c r="C238" s="23"/>
      <c r="D238" s="269"/>
      <c r="E238" s="269"/>
      <c r="F238" s="269"/>
      <c r="G238" s="26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29"/>
        <v>0</v>
      </c>
      <c r="AG238" s="107"/>
      <c r="AH238" s="107"/>
      <c r="AI238" s="107"/>
      <c r="AJ238" s="111"/>
      <c r="AK238" s="111"/>
      <c r="AL238" s="111"/>
      <c r="AM238" s="108">
        <f>AG238*'1. Standard_Cost'!$B$27+'Incremental_Cost Year 5'!AH238*'1. Standard_Cost'!$C$27+'Incremental_Cost Year 5'!AI238*'1. Standard_Cost'!$D$27+'Incremental_Cost Year 5'!AJ238+'Incremental_Cost Year 5'!AL238+AK238</f>
        <v>0</v>
      </c>
      <c r="AN238" s="108">
        <f>AM238*'1. Standard_Cost'!$C$31</f>
        <v>0</v>
      </c>
      <c r="AO238" s="125" t="s">
        <v>438</v>
      </c>
      <c r="AQ238" s="14">
        <f t="shared" si="230"/>
        <v>0</v>
      </c>
      <c r="AR238" s="14">
        <f t="shared" si="231"/>
        <v>0</v>
      </c>
      <c r="AS238" s="14">
        <f t="shared" si="232"/>
        <v>0</v>
      </c>
      <c r="AT238" s="14">
        <f t="shared" ref="AT238:AT241" si="234">SUM(AQ238,AR238,AS238)</f>
        <v>0</v>
      </c>
      <c r="AU238" s="15"/>
      <c r="AV238" s="15"/>
      <c r="AW238" s="15"/>
      <c r="AX238" s="15"/>
      <c r="AY238" s="15"/>
      <c r="AZ238" s="15"/>
      <c r="BA238" s="15"/>
      <c r="BB238" s="16">
        <f t="shared" si="233"/>
        <v>0</v>
      </c>
    </row>
    <row r="239" spans="1:54" ht="62.4" outlineLevel="2">
      <c r="A239" s="98"/>
      <c r="B239" s="102"/>
      <c r="C239" s="23"/>
      <c r="D239" s="269"/>
      <c r="E239" s="269"/>
      <c r="F239" s="269"/>
      <c r="G239" s="26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29"/>
        <v>0</v>
      </c>
      <c r="AG239" s="107"/>
      <c r="AH239" s="107"/>
      <c r="AI239" s="107"/>
      <c r="AJ239" s="111"/>
      <c r="AK239" s="111"/>
      <c r="AL239" s="111"/>
      <c r="AM239" s="108">
        <f>AG239*'1. Standard_Cost'!$B$27+'Incremental_Cost Year 5'!AH239*'1. Standard_Cost'!$C$27+'Incremental_Cost Year 5'!AI239*'1. Standard_Cost'!$D$27+'Incremental_Cost Year 5'!AJ239+'Incremental_Cost Year 5'!AL239+AK239</f>
        <v>0</v>
      </c>
      <c r="AN239" s="108">
        <f>AM239*'1. Standard_Cost'!$C$31</f>
        <v>0</v>
      </c>
      <c r="AO239" s="125" t="s">
        <v>439</v>
      </c>
      <c r="AQ239" s="14">
        <f t="shared" si="230"/>
        <v>0</v>
      </c>
      <c r="AR239" s="14">
        <f t="shared" si="231"/>
        <v>0</v>
      </c>
      <c r="AS239" s="14">
        <f t="shared" si="232"/>
        <v>0</v>
      </c>
      <c r="AT239" s="14">
        <f t="shared" si="234"/>
        <v>0</v>
      </c>
      <c r="AU239" s="15"/>
      <c r="AV239" s="15"/>
      <c r="AW239" s="15"/>
      <c r="AX239" s="15"/>
      <c r="AY239" s="15"/>
      <c r="AZ239" s="15"/>
      <c r="BA239" s="15"/>
      <c r="BB239" s="16">
        <f t="shared" si="233"/>
        <v>0</v>
      </c>
    </row>
    <row r="240" spans="1:54" ht="109.2" outlineLevel="2">
      <c r="A240" s="98"/>
      <c r="B240" s="102"/>
      <c r="C240" s="23"/>
      <c r="D240" s="269"/>
      <c r="E240" s="269"/>
      <c r="F240" s="269"/>
      <c r="G240" s="269"/>
      <c r="H240" s="302" t="s">
        <v>556</v>
      </c>
      <c r="I240" s="104"/>
      <c r="J240" s="105"/>
      <c r="K240" s="105"/>
      <c r="L240" s="106" t="str">
        <f>IF(I240&lt;&gt;0,((VLOOKUP(I240,'1. Standard_Cost'!$B$4:$D$11,2)+VLOOKUP(I240,'1. Standard_Cost'!$B$4:$D$11,3))*J240*K240),"0")</f>
        <v>0</v>
      </c>
      <c r="M240" s="106">
        <f>L240*'1. Standard_Cost'!$F$4</f>
        <v>0</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c r="AB240" s="108">
        <f>+Z240*'1. Standard_Cost'!$B$23+AA240*'1. Standard_Cost'!$C$23</f>
        <v>0</v>
      </c>
      <c r="AC240" s="109"/>
      <c r="AD240" s="110"/>
      <c r="AE240" s="108">
        <f>SUM(AD240,AC240,AB240,Y240,U240,T240,S240,R240)*'1. Standard_Cost'!$B$31</f>
        <v>0</v>
      </c>
      <c r="AF240" s="108">
        <f t="shared" si="229"/>
        <v>0</v>
      </c>
      <c r="AG240" s="107"/>
      <c r="AH240" s="107"/>
      <c r="AI240" s="107"/>
      <c r="AJ240" s="111"/>
      <c r="AK240" s="111"/>
      <c r="AL240" s="111"/>
      <c r="AM240" s="108">
        <f>AG240*'1. Standard_Cost'!$B$27+'Incremental_Cost Year 5'!AH240*'1. Standard_Cost'!$C$27+'Incremental_Cost Year 5'!AI240*'1. Standard_Cost'!$D$27+'Incremental_Cost Year 5'!AJ240+'Incremental_Cost Year 5'!AL240+AK240</f>
        <v>0</v>
      </c>
      <c r="AN240" s="108">
        <f>AM240*'1. Standard_Cost'!$C$31</f>
        <v>0</v>
      </c>
      <c r="AO240" s="125" t="s">
        <v>440</v>
      </c>
      <c r="AQ240" s="14">
        <f t="shared" si="230"/>
        <v>0</v>
      </c>
      <c r="AR240" s="14">
        <f t="shared" si="231"/>
        <v>0</v>
      </c>
      <c r="AS240" s="14">
        <f t="shared" si="232"/>
        <v>0</v>
      </c>
      <c r="AT240" s="14">
        <f t="shared" si="234"/>
        <v>0</v>
      </c>
      <c r="AU240" s="15">
        <v>0</v>
      </c>
      <c r="AV240" s="15"/>
      <c r="AW240" s="15"/>
      <c r="AX240" s="15"/>
      <c r="AY240" s="15"/>
      <c r="AZ240" s="15"/>
      <c r="BA240" s="15"/>
      <c r="BB240" s="16">
        <f t="shared" si="233"/>
        <v>0</v>
      </c>
    </row>
    <row r="241" spans="1:54" ht="140.4" outlineLevel="2">
      <c r="A241" s="98"/>
      <c r="B241" s="102"/>
      <c r="C241" s="23"/>
      <c r="D241" s="269"/>
      <c r="E241" s="269"/>
      <c r="F241" s="269"/>
      <c r="G241" s="269"/>
      <c r="H241" s="302" t="s">
        <v>557</v>
      </c>
      <c r="I241" s="104" t="s">
        <v>4</v>
      </c>
      <c r="J241" s="105">
        <v>0.2</v>
      </c>
      <c r="K241" s="105">
        <v>1</v>
      </c>
      <c r="L241" s="106">
        <f>IF(I241&lt;&gt;0,((VLOOKUP(I241,'1. Standard_Cost'!$B$4:$D$11,2)+VLOOKUP(I241,'1. Standard_Cost'!$B$4:$D$11,3))*J241*K241),"0")</f>
        <v>16150</v>
      </c>
      <c r="M241" s="106">
        <f>L241*'1. Standard_Cost'!$F$4</f>
        <v>2697.05</v>
      </c>
      <c r="N241" s="107">
        <v>2</v>
      </c>
      <c r="O241" s="107">
        <v>2</v>
      </c>
      <c r="P241" s="107">
        <v>25</v>
      </c>
      <c r="Q241" s="107"/>
      <c r="R241" s="108">
        <v>0</v>
      </c>
      <c r="S241" s="108">
        <v>0</v>
      </c>
      <c r="T241" s="108">
        <f>N241*P241*Q241*'1. Standard_Cost'!$D$15</f>
        <v>0</v>
      </c>
      <c r="U241" s="108">
        <v>0</v>
      </c>
      <c r="V241" s="107"/>
      <c r="W241" s="107"/>
      <c r="X241" s="107"/>
      <c r="Y241" s="108">
        <f>+V241*((X241*'1. Standard_Cost'!$B$19)+(W241*X241*'1. Standard_Cost'!$C$19))</f>
        <v>0</v>
      </c>
      <c r="Z241" s="107"/>
      <c r="AA241" s="107">
        <v>5</v>
      </c>
      <c r="AB241" s="108">
        <f>+Z241*'1. Standard_Cost'!$B$23+AA241*'1. Standard_Cost'!$C$23</f>
        <v>95000</v>
      </c>
      <c r="AC241" s="109">
        <f>50*2*3500+50*2*400</f>
        <v>390000</v>
      </c>
      <c r="AD241" s="110"/>
      <c r="AE241" s="108">
        <f>SUM(AD241,AC241,AB241,Y241,U241,T241,S241,R241)*'1. Standard_Cost'!$B$31</f>
        <v>97000</v>
      </c>
      <c r="AF241" s="108">
        <f t="shared" si="229"/>
        <v>582000</v>
      </c>
      <c r="AG241" s="107"/>
      <c r="AH241" s="107"/>
      <c r="AI241" s="107"/>
      <c r="AJ241" s="111"/>
      <c r="AK241" s="111"/>
      <c r="AL241" s="111"/>
      <c r="AM241" s="108">
        <f>AG241*'1. Standard_Cost'!$B$27+'Incremental_Cost Year 5'!AH241*'1. Standard_Cost'!$C$27+'Incremental_Cost Year 5'!AI241*'1. Standard_Cost'!$D$27+'Incremental_Cost Year 5'!AJ241+'Incremental_Cost Year 5'!AL241+AK241</f>
        <v>0</v>
      </c>
      <c r="AN241" s="108">
        <f>AM241*'1. Standard_Cost'!$C$31</f>
        <v>0</v>
      </c>
      <c r="AO241" s="125" t="s">
        <v>441</v>
      </c>
      <c r="AQ241" s="14">
        <f t="shared" si="230"/>
        <v>18847.05</v>
      </c>
      <c r="AR241" s="14">
        <f t="shared" si="231"/>
        <v>582000</v>
      </c>
      <c r="AS241" s="14">
        <f t="shared" si="232"/>
        <v>0</v>
      </c>
      <c r="AT241" s="14">
        <f t="shared" si="234"/>
        <v>600847.05000000005</v>
      </c>
      <c r="AU241" s="15">
        <v>18847.05</v>
      </c>
      <c r="AV241" s="15"/>
      <c r="AW241" s="15"/>
      <c r="AX241" s="15"/>
      <c r="AY241" s="15"/>
      <c r="AZ241" s="15"/>
      <c r="BA241" s="15"/>
      <c r="BB241" s="16">
        <f t="shared" si="233"/>
        <v>-582000</v>
      </c>
    </row>
    <row r="242" spans="1:54" ht="69" outlineLevel="1">
      <c r="A242" s="98"/>
      <c r="B242" s="102"/>
      <c r="C242" s="23"/>
      <c r="D242" s="56" t="s">
        <v>713</v>
      </c>
      <c r="E242" s="56" t="s">
        <v>265</v>
      </c>
      <c r="F242" s="253">
        <v>2021</v>
      </c>
      <c r="G242" s="254">
        <v>2026</v>
      </c>
      <c r="H242" s="277" t="s">
        <v>269</v>
      </c>
      <c r="I242" s="112"/>
      <c r="J242" s="112"/>
      <c r="K242" s="112"/>
      <c r="L242" s="113">
        <f>SUM(L237:L241)</f>
        <v>16150</v>
      </c>
      <c r="M242" s="113">
        <f>SUM(M237:M241)</f>
        <v>2697.05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95000</v>
      </c>
      <c r="AC242" s="113">
        <f>SUM(AC237:AC241)</f>
        <v>390000</v>
      </c>
      <c r="AD242" s="113">
        <f>SUM(AD237:AD241)</f>
        <v>0</v>
      </c>
      <c r="AE242" s="113">
        <f>SUM(AE237:AE241)</f>
        <v>97000</v>
      </c>
      <c r="AF242" s="113">
        <f>SUM(AF237:AF241)</f>
        <v>582000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35">SUM(AQ237:AQ241)</f>
        <v>18847.05</v>
      </c>
      <c r="AR242" s="113">
        <f t="shared" si="235"/>
        <v>582000</v>
      </c>
      <c r="AS242" s="113">
        <f t="shared" si="235"/>
        <v>0</v>
      </c>
      <c r="AT242" s="113">
        <f t="shared" si="235"/>
        <v>600847.05000000005</v>
      </c>
      <c r="AU242" s="113">
        <f t="shared" si="235"/>
        <v>18847.05</v>
      </c>
      <c r="AV242" s="113">
        <f t="shared" si="235"/>
        <v>0</v>
      </c>
      <c r="AW242" s="113">
        <f t="shared" si="235"/>
        <v>0</v>
      </c>
      <c r="AX242" s="113">
        <f t="shared" si="235"/>
        <v>0</v>
      </c>
      <c r="AY242" s="113">
        <f t="shared" si="235"/>
        <v>0</v>
      </c>
      <c r="AZ242" s="113">
        <f t="shared" si="235"/>
        <v>0</v>
      </c>
      <c r="BA242" s="113">
        <f t="shared" si="235"/>
        <v>0</v>
      </c>
      <c r="BB242" s="113">
        <f t="shared" si="235"/>
        <v>-582000</v>
      </c>
    </row>
  </sheetData>
  <mergeCells count="17">
    <mergeCell ref="B223:E223"/>
    <mergeCell ref="C224:E224"/>
    <mergeCell ref="B31:E31"/>
    <mergeCell ref="C32:E32"/>
    <mergeCell ref="C40:E40"/>
    <mergeCell ref="B92:E92"/>
    <mergeCell ref="C93:E93"/>
    <mergeCell ref="C143:E143"/>
    <mergeCell ref="C179:E179"/>
    <mergeCell ref="C202:E202"/>
    <mergeCell ref="AQ2:BB2"/>
    <mergeCell ref="C80:E80"/>
    <mergeCell ref="B1:L1"/>
    <mergeCell ref="B2:E2"/>
    <mergeCell ref="B3:E3"/>
    <mergeCell ref="B5:E5"/>
    <mergeCell ref="C6:E6"/>
  </mergeCells>
  <conditionalFormatting sqref="BB243:BB286 BB288:BB291 BB293:BB302 BB305:BB308 BB33 BB81:BB82 BB94:BB100 BB7:BB10 BB26:BB29 BB24 BB36:BB38 BB85:BB90 BB16:BB20 BA17 BB60:BB78 BB183:BB185 BB144:BB146 BB154:BB160 BB162:BB167">
    <cfRule type="cellIs" dxfId="1053" priority="175" operator="lessThan">
      <formula>0</formula>
    </cfRule>
    <cfRule type="cellIs" dxfId="1052" priority="176" operator="lessThan">
      <formula>-105575</formula>
    </cfRule>
  </conditionalFormatting>
  <conditionalFormatting sqref="BB311:BB314 BB316:BB320">
    <cfRule type="cellIs" dxfId="1051" priority="173" operator="lessThan">
      <formula>0</formula>
    </cfRule>
    <cfRule type="cellIs" dxfId="1050" priority="174" operator="lessThan">
      <formula>-105575</formula>
    </cfRule>
  </conditionalFormatting>
  <conditionalFormatting sqref="BB321:BB325">
    <cfRule type="cellIs" dxfId="1049" priority="171" operator="lessThan">
      <formula>0</formula>
    </cfRule>
    <cfRule type="cellIs" dxfId="1048" priority="172" operator="lessThan">
      <formula>-105575</formula>
    </cfRule>
  </conditionalFormatting>
  <conditionalFormatting sqref="BB326:BB330">
    <cfRule type="cellIs" dxfId="1047" priority="169" operator="lessThan">
      <formula>0</formula>
    </cfRule>
    <cfRule type="cellIs" dxfId="1046" priority="170" operator="lessThan">
      <formula>-105575</formula>
    </cfRule>
  </conditionalFormatting>
  <conditionalFormatting sqref="BB332:BB335 BB337:BB341">
    <cfRule type="cellIs" dxfId="1045" priority="167" operator="lessThan">
      <formula>0</formula>
    </cfRule>
    <cfRule type="cellIs" dxfId="1044" priority="168" operator="lessThan">
      <formula>-105575</formula>
    </cfRule>
  </conditionalFormatting>
  <conditionalFormatting sqref="BB342:BB346">
    <cfRule type="cellIs" dxfId="1043" priority="165" operator="lessThan">
      <formula>0</formula>
    </cfRule>
    <cfRule type="cellIs" dxfId="1042" priority="166" operator="lessThan">
      <formula>-105575</formula>
    </cfRule>
  </conditionalFormatting>
  <conditionalFormatting sqref="BB347:BB351">
    <cfRule type="cellIs" dxfId="1041" priority="163" operator="lessThan">
      <formula>0</formula>
    </cfRule>
    <cfRule type="cellIs" dxfId="1040" priority="164" operator="lessThan">
      <formula>-105575</formula>
    </cfRule>
  </conditionalFormatting>
  <conditionalFormatting sqref="BB353:BB356 BB358:BB362">
    <cfRule type="cellIs" dxfId="1039" priority="161" operator="lessThan">
      <formula>0</formula>
    </cfRule>
    <cfRule type="cellIs" dxfId="1038" priority="162" operator="lessThan">
      <formula>-105575</formula>
    </cfRule>
  </conditionalFormatting>
  <conditionalFormatting sqref="BB363:BB367">
    <cfRule type="cellIs" dxfId="1037" priority="159" operator="lessThan">
      <formula>0</formula>
    </cfRule>
    <cfRule type="cellIs" dxfId="1036" priority="160" operator="lessThan">
      <formula>-105575</formula>
    </cfRule>
  </conditionalFormatting>
  <conditionalFormatting sqref="BB370:BB373 BB375:BB379">
    <cfRule type="cellIs" dxfId="1035" priority="157" operator="lessThan">
      <formula>0</formula>
    </cfRule>
    <cfRule type="cellIs" dxfId="1034" priority="158" operator="lessThan">
      <formula>-105575</formula>
    </cfRule>
  </conditionalFormatting>
  <conditionalFormatting sqref="BB381:BB384">
    <cfRule type="cellIs" dxfId="1033" priority="155" operator="lessThan">
      <formula>0</formula>
    </cfRule>
    <cfRule type="cellIs" dxfId="1032" priority="156" operator="lessThan">
      <formula>-105575</formula>
    </cfRule>
  </conditionalFormatting>
  <conditionalFormatting sqref="BB381:BB384 BB386:BB390">
    <cfRule type="cellIs" dxfId="1031" priority="153" operator="lessThan">
      <formula>0</formula>
    </cfRule>
    <cfRule type="cellIs" dxfId="1030" priority="154" operator="lessThan">
      <formula>-105575</formula>
    </cfRule>
  </conditionalFormatting>
  <conditionalFormatting sqref="BB391:BB395">
    <cfRule type="cellIs" dxfId="1029" priority="151" operator="lessThan">
      <formula>0</formula>
    </cfRule>
    <cfRule type="cellIs" dxfId="1028" priority="152" operator="lessThan">
      <formula>-105575</formula>
    </cfRule>
  </conditionalFormatting>
  <conditionalFormatting sqref="BB396:BB400">
    <cfRule type="cellIs" dxfId="1027" priority="149" operator="lessThan">
      <formula>0</formula>
    </cfRule>
    <cfRule type="cellIs" dxfId="1026" priority="150" operator="lessThan">
      <formula>-105575</formula>
    </cfRule>
  </conditionalFormatting>
  <conditionalFormatting sqref="BB401:BB405">
    <cfRule type="cellIs" dxfId="1025" priority="147" operator="lessThan">
      <formula>0</formula>
    </cfRule>
    <cfRule type="cellIs" dxfId="1024" priority="148" operator="lessThan">
      <formula>-105575</formula>
    </cfRule>
  </conditionalFormatting>
  <conditionalFormatting sqref="BB406:BB410">
    <cfRule type="cellIs" dxfId="1023" priority="145" operator="lessThan">
      <formula>0</formula>
    </cfRule>
    <cfRule type="cellIs" dxfId="1022" priority="146" operator="lessThan">
      <formula>-105575</formula>
    </cfRule>
  </conditionalFormatting>
  <conditionalFormatting sqref="BB412:BB415">
    <cfRule type="cellIs" dxfId="1021" priority="143" operator="lessThan">
      <formula>0</formula>
    </cfRule>
    <cfRule type="cellIs" dxfId="1020" priority="144" operator="lessThan">
      <formula>-105575</formula>
    </cfRule>
  </conditionalFormatting>
  <conditionalFormatting sqref="BB412:BB415">
    <cfRule type="cellIs" dxfId="1019" priority="141" operator="lessThan">
      <formula>0</formula>
    </cfRule>
    <cfRule type="cellIs" dxfId="1018" priority="142" operator="lessThan">
      <formula>-105575</formula>
    </cfRule>
  </conditionalFormatting>
  <conditionalFormatting sqref="BB418:BB421">
    <cfRule type="cellIs" dxfId="1017" priority="139" operator="lessThan">
      <formula>0</formula>
    </cfRule>
    <cfRule type="cellIs" dxfId="1016" priority="140" operator="lessThan">
      <formula>-105575</formula>
    </cfRule>
  </conditionalFormatting>
  <conditionalFormatting sqref="BB418:BB421 BB423:BB427">
    <cfRule type="cellIs" dxfId="1015" priority="137" operator="lessThan">
      <formula>0</formula>
    </cfRule>
    <cfRule type="cellIs" dxfId="1014" priority="138" operator="lessThan">
      <formula>-105575</formula>
    </cfRule>
  </conditionalFormatting>
  <conditionalFormatting sqref="BB428:BB432">
    <cfRule type="cellIs" dxfId="1013" priority="135" operator="lessThan">
      <formula>0</formula>
    </cfRule>
    <cfRule type="cellIs" dxfId="1012" priority="136" operator="lessThan">
      <formula>-105575</formula>
    </cfRule>
  </conditionalFormatting>
  <conditionalFormatting sqref="BB433:BB437">
    <cfRule type="cellIs" dxfId="1011" priority="133" operator="lessThan">
      <formula>0</formula>
    </cfRule>
    <cfRule type="cellIs" dxfId="1010" priority="134" operator="lessThan">
      <formula>-105575</formula>
    </cfRule>
  </conditionalFormatting>
  <conditionalFormatting sqref="BB439:BB442">
    <cfRule type="cellIs" dxfId="1009" priority="131" operator="lessThan">
      <formula>0</formula>
    </cfRule>
    <cfRule type="cellIs" dxfId="1008" priority="132" operator="lessThan">
      <formula>-105575</formula>
    </cfRule>
  </conditionalFormatting>
  <conditionalFormatting sqref="BB439:BB442 BB444:BB448">
    <cfRule type="cellIs" dxfId="1007" priority="129" operator="lessThan">
      <formula>0</formula>
    </cfRule>
    <cfRule type="cellIs" dxfId="1006" priority="130" operator="lessThan">
      <formula>-105575</formula>
    </cfRule>
  </conditionalFormatting>
  <conditionalFormatting sqref="BB449:BB453">
    <cfRule type="cellIs" dxfId="1005" priority="127" operator="lessThan">
      <formula>0</formula>
    </cfRule>
    <cfRule type="cellIs" dxfId="1004" priority="128" operator="lessThan">
      <formula>-105575</formula>
    </cfRule>
  </conditionalFormatting>
  <conditionalFormatting sqref="BB454:BB458">
    <cfRule type="cellIs" dxfId="1003" priority="125" operator="lessThan">
      <formula>0</formula>
    </cfRule>
    <cfRule type="cellIs" dxfId="1002" priority="126" operator="lessThan">
      <formula>-105575</formula>
    </cfRule>
  </conditionalFormatting>
  <conditionalFormatting sqref="BB460:BB463">
    <cfRule type="cellIs" dxfId="1001" priority="123" operator="lessThan">
      <formula>0</formula>
    </cfRule>
    <cfRule type="cellIs" dxfId="1000" priority="124" operator="lessThan">
      <formula>-105575</formula>
    </cfRule>
  </conditionalFormatting>
  <conditionalFormatting sqref="BB460:BB463 BB465:BB469">
    <cfRule type="cellIs" dxfId="999" priority="121" operator="lessThan">
      <formula>0</formula>
    </cfRule>
    <cfRule type="cellIs" dxfId="998" priority="122" operator="lessThan">
      <formula>-105575</formula>
    </cfRule>
  </conditionalFormatting>
  <conditionalFormatting sqref="BB470:BB474">
    <cfRule type="cellIs" dxfId="997" priority="119" operator="lessThan">
      <formula>0</formula>
    </cfRule>
    <cfRule type="cellIs" dxfId="996" priority="120" operator="lessThan">
      <formula>-105575</formula>
    </cfRule>
  </conditionalFormatting>
  <conditionalFormatting sqref="BB475:BB479">
    <cfRule type="cellIs" dxfId="995" priority="117" operator="lessThan">
      <formula>0</formula>
    </cfRule>
    <cfRule type="cellIs" dxfId="994" priority="118" operator="lessThan">
      <formula>-105575</formula>
    </cfRule>
  </conditionalFormatting>
  <conditionalFormatting sqref="BB481:BB484">
    <cfRule type="cellIs" dxfId="993" priority="115" operator="lessThan">
      <formula>0</formula>
    </cfRule>
    <cfRule type="cellIs" dxfId="992" priority="116" operator="lessThan">
      <formula>-105575</formula>
    </cfRule>
  </conditionalFormatting>
  <conditionalFormatting sqref="BB481:BB484 BB486:BB490">
    <cfRule type="cellIs" dxfId="991" priority="113" operator="lessThan">
      <formula>0</formula>
    </cfRule>
    <cfRule type="cellIs" dxfId="990" priority="114" operator="lessThan">
      <formula>-105575</formula>
    </cfRule>
  </conditionalFormatting>
  <conditionalFormatting sqref="BB491:BB495">
    <cfRule type="cellIs" dxfId="989" priority="111" operator="lessThan">
      <formula>0</formula>
    </cfRule>
    <cfRule type="cellIs" dxfId="988" priority="112" operator="lessThan">
      <formula>-105575</formula>
    </cfRule>
  </conditionalFormatting>
  <conditionalFormatting sqref="BB144:BB146 BB154:BB160 BB162:BB167">
    <cfRule type="cellIs" dxfId="987" priority="109" operator="lessThan">
      <formula>0</formula>
    </cfRule>
    <cfRule type="cellIs" dxfId="986" priority="110" operator="lessThan">
      <formula>-105575</formula>
    </cfRule>
  </conditionalFormatting>
  <conditionalFormatting sqref="BB163:BB164">
    <cfRule type="cellIs" dxfId="985" priority="107" operator="lessThan">
      <formula>0</formula>
    </cfRule>
    <cfRule type="cellIs" dxfId="984" priority="108" operator="lessThan">
      <formula>-105575</formula>
    </cfRule>
  </conditionalFormatting>
  <conditionalFormatting sqref="BB34:BB35">
    <cfRule type="cellIs" dxfId="983" priority="97" operator="lessThan">
      <formula>0</formula>
    </cfRule>
    <cfRule type="cellIs" dxfId="982" priority="98" operator="lessThan">
      <formula>-105575</formula>
    </cfRule>
  </conditionalFormatting>
  <conditionalFormatting sqref="BB41 BB56:BB58">
    <cfRule type="cellIs" dxfId="981" priority="95" operator="lessThan">
      <formula>0</formula>
    </cfRule>
    <cfRule type="cellIs" dxfId="980" priority="96" operator="lessThan">
      <formula>-105575</formula>
    </cfRule>
  </conditionalFormatting>
  <conditionalFormatting sqref="BB14">
    <cfRule type="cellIs" dxfId="979" priority="105" operator="lessThan">
      <formula>0</formula>
    </cfRule>
    <cfRule type="cellIs" dxfId="978" priority="106" operator="lessThan">
      <formula>-105575</formula>
    </cfRule>
  </conditionalFormatting>
  <conditionalFormatting sqref="BB11">
    <cfRule type="cellIs" dxfId="977" priority="103" operator="lessThan">
      <formula>0</formula>
    </cfRule>
    <cfRule type="cellIs" dxfId="976" priority="104" operator="lessThan">
      <formula>-105575</formula>
    </cfRule>
  </conditionalFormatting>
  <conditionalFormatting sqref="BB54:BB55">
    <cfRule type="cellIs" dxfId="975" priority="93" operator="lessThan">
      <formula>0</formula>
    </cfRule>
    <cfRule type="cellIs" dxfId="974" priority="94" operator="lessThan">
      <formula>-105575</formula>
    </cfRule>
  </conditionalFormatting>
  <conditionalFormatting sqref="BB21 BB23">
    <cfRule type="cellIs" dxfId="973" priority="101" operator="lessThan">
      <formula>0</formula>
    </cfRule>
    <cfRule type="cellIs" dxfId="972" priority="102" operator="lessThan">
      <formula>-105575</formula>
    </cfRule>
  </conditionalFormatting>
  <conditionalFormatting sqref="BB22">
    <cfRule type="cellIs" dxfId="971" priority="99" operator="lessThan">
      <formula>0</formula>
    </cfRule>
    <cfRule type="cellIs" dxfId="970" priority="100" operator="lessThan">
      <formula>-105575</formula>
    </cfRule>
  </conditionalFormatting>
  <conditionalFormatting sqref="BB52:BB53">
    <cfRule type="cellIs" dxfId="969" priority="91" operator="lessThan">
      <formula>0</formula>
    </cfRule>
    <cfRule type="cellIs" dxfId="968" priority="92" operator="lessThan">
      <formula>-105575</formula>
    </cfRule>
  </conditionalFormatting>
  <conditionalFormatting sqref="BB50:BB51">
    <cfRule type="cellIs" dxfId="967" priority="89" operator="lessThan">
      <formula>0</formula>
    </cfRule>
    <cfRule type="cellIs" dxfId="966" priority="90" operator="lessThan">
      <formula>-105575</formula>
    </cfRule>
  </conditionalFormatting>
  <conditionalFormatting sqref="BB49">
    <cfRule type="cellIs" dxfId="965" priority="87" operator="lessThan">
      <formula>0</formula>
    </cfRule>
    <cfRule type="cellIs" dxfId="964" priority="88" operator="lessThan">
      <formula>-105575</formula>
    </cfRule>
  </conditionalFormatting>
  <conditionalFormatting sqref="BB47:BB48">
    <cfRule type="cellIs" dxfId="963" priority="85" operator="lessThan">
      <formula>0</formula>
    </cfRule>
    <cfRule type="cellIs" dxfId="962" priority="86" operator="lessThan">
      <formula>-105575</formula>
    </cfRule>
  </conditionalFormatting>
  <conditionalFormatting sqref="BB45:BB46">
    <cfRule type="cellIs" dxfId="961" priority="83" operator="lessThan">
      <formula>0</formula>
    </cfRule>
    <cfRule type="cellIs" dxfId="960" priority="84" operator="lessThan">
      <formula>-105575</formula>
    </cfRule>
  </conditionalFormatting>
  <conditionalFormatting sqref="BB42 BB44">
    <cfRule type="cellIs" dxfId="959" priority="81" operator="lessThan">
      <formula>0</formula>
    </cfRule>
    <cfRule type="cellIs" dxfId="958" priority="82" operator="lessThan">
      <formula>-105575</formula>
    </cfRule>
  </conditionalFormatting>
  <conditionalFormatting sqref="BB43">
    <cfRule type="cellIs" dxfId="957" priority="79" operator="lessThan">
      <formula>0</formula>
    </cfRule>
    <cfRule type="cellIs" dxfId="956" priority="80" operator="lessThan">
      <formula>-105575</formula>
    </cfRule>
  </conditionalFormatting>
  <conditionalFormatting sqref="BB83:BB84">
    <cfRule type="cellIs" dxfId="955" priority="77" operator="lessThan">
      <formula>0</formula>
    </cfRule>
    <cfRule type="cellIs" dxfId="954" priority="78" operator="lessThan">
      <formula>-105575</formula>
    </cfRule>
  </conditionalFormatting>
  <conditionalFormatting sqref="BB102:BB106 BB111:BB112">
    <cfRule type="cellIs" dxfId="953" priority="75" operator="lessThan">
      <formula>0</formula>
    </cfRule>
    <cfRule type="cellIs" dxfId="952" priority="76" operator="lessThan">
      <formula>-105575</formula>
    </cfRule>
  </conditionalFormatting>
  <conditionalFormatting sqref="BB114 BB134:BB135 BB125:BB128">
    <cfRule type="cellIs" dxfId="951" priority="71" operator="lessThan">
      <formula>0</formula>
    </cfRule>
    <cfRule type="cellIs" dxfId="950" priority="72" operator="lessThan">
      <formula>-105575</formula>
    </cfRule>
  </conditionalFormatting>
  <conditionalFormatting sqref="BB107:BB110">
    <cfRule type="cellIs" dxfId="949" priority="73" operator="lessThan">
      <formula>0</formula>
    </cfRule>
    <cfRule type="cellIs" dxfId="948" priority="74" operator="lessThan">
      <formula>-105575</formula>
    </cfRule>
  </conditionalFormatting>
  <conditionalFormatting sqref="BB123:BB124 BB115:BB118">
    <cfRule type="cellIs" dxfId="947" priority="67" operator="lessThan">
      <formula>0</formula>
    </cfRule>
    <cfRule type="cellIs" dxfId="946" priority="68" operator="lessThan">
      <formula>-105575</formula>
    </cfRule>
  </conditionalFormatting>
  <conditionalFormatting sqref="BB129:BB133">
    <cfRule type="cellIs" dxfId="945" priority="69" operator="lessThan">
      <formula>0</formula>
    </cfRule>
    <cfRule type="cellIs" dxfId="944" priority="70" operator="lessThan">
      <formula>-105575</formula>
    </cfRule>
  </conditionalFormatting>
  <conditionalFormatting sqref="BB119:BB122">
    <cfRule type="cellIs" dxfId="943" priority="65" operator="lessThan">
      <formula>0</formula>
    </cfRule>
    <cfRule type="cellIs" dxfId="942" priority="66" operator="lessThan">
      <formula>-105575</formula>
    </cfRule>
  </conditionalFormatting>
  <conditionalFormatting sqref="BB137:BB138">
    <cfRule type="cellIs" dxfId="941" priority="63" operator="lessThan">
      <formula>0</formula>
    </cfRule>
    <cfRule type="cellIs" dxfId="940" priority="64" operator="lessThan">
      <formula>-105575</formula>
    </cfRule>
  </conditionalFormatting>
  <conditionalFormatting sqref="BB147:BB153">
    <cfRule type="cellIs" dxfId="939" priority="59" operator="lessThan">
      <formula>0</formula>
    </cfRule>
    <cfRule type="cellIs" dxfId="938" priority="60" operator="lessThan">
      <formula>-105575</formula>
    </cfRule>
  </conditionalFormatting>
  <conditionalFormatting sqref="BB140:BB141">
    <cfRule type="cellIs" dxfId="937" priority="61" operator="lessThan">
      <formula>0</formula>
    </cfRule>
    <cfRule type="cellIs" dxfId="936" priority="62" operator="lessThan">
      <formula>-105575</formula>
    </cfRule>
  </conditionalFormatting>
  <conditionalFormatting sqref="BB161">
    <cfRule type="cellIs" dxfId="935" priority="55" operator="lessThan">
      <formula>0</formula>
    </cfRule>
    <cfRule type="cellIs" dxfId="934" priority="56" operator="lessThan">
      <formula>-105575</formula>
    </cfRule>
  </conditionalFormatting>
  <conditionalFormatting sqref="BB147:BB153">
    <cfRule type="cellIs" dxfId="933" priority="57" operator="lessThan">
      <formula>0</formula>
    </cfRule>
    <cfRule type="cellIs" dxfId="932" priority="58" operator="lessThan">
      <formula>-105575</formula>
    </cfRule>
  </conditionalFormatting>
  <conditionalFormatting sqref="BB193:BB198">
    <cfRule type="cellIs" dxfId="931" priority="35" operator="lessThan">
      <formula>0</formula>
    </cfRule>
    <cfRule type="cellIs" dxfId="930" priority="36" operator="lessThan">
      <formula>-105575</formula>
    </cfRule>
  </conditionalFormatting>
  <conditionalFormatting sqref="BB161">
    <cfRule type="cellIs" dxfId="929" priority="53" operator="lessThan">
      <formula>0</formula>
    </cfRule>
    <cfRule type="cellIs" dxfId="928" priority="54" operator="lessThan">
      <formula>-105575</formula>
    </cfRule>
  </conditionalFormatting>
  <conditionalFormatting sqref="BB169 BB175:BB177">
    <cfRule type="cellIs" dxfId="927" priority="51" operator="lessThan">
      <formula>0</formula>
    </cfRule>
    <cfRule type="cellIs" dxfId="926" priority="52" operator="lessThan">
      <formula>-105575</formula>
    </cfRule>
  </conditionalFormatting>
  <conditionalFormatting sqref="BB169 BB175:BB177">
    <cfRule type="cellIs" dxfId="925" priority="49" operator="lessThan">
      <formula>0</formula>
    </cfRule>
    <cfRule type="cellIs" dxfId="924" priority="50" operator="lessThan">
      <formula>-105575</formula>
    </cfRule>
  </conditionalFormatting>
  <conditionalFormatting sqref="BB170:BB174">
    <cfRule type="cellIs" dxfId="923" priority="47" operator="lessThan">
      <formula>0</formula>
    </cfRule>
    <cfRule type="cellIs" dxfId="922" priority="48" operator="lessThan">
      <formula>-105575</formula>
    </cfRule>
  </conditionalFormatting>
  <conditionalFormatting sqref="BB182">
    <cfRule type="cellIs" dxfId="921" priority="31" operator="lessThan">
      <formula>0</formula>
    </cfRule>
    <cfRule type="cellIs" dxfId="920" priority="32" operator="lessThan">
      <formula>-105575</formula>
    </cfRule>
  </conditionalFormatting>
  <conditionalFormatting sqref="BB170:BB174">
    <cfRule type="cellIs" dxfId="919" priority="45" operator="lessThan">
      <formula>0</formula>
    </cfRule>
    <cfRule type="cellIs" dxfId="918" priority="46" operator="lessThan">
      <formula>-105575</formula>
    </cfRule>
  </conditionalFormatting>
  <conditionalFormatting sqref="BB193:BB198">
    <cfRule type="cellIs" dxfId="917" priority="33" operator="lessThan">
      <formula>0</formula>
    </cfRule>
    <cfRule type="cellIs" dxfId="916" priority="34" operator="lessThan">
      <formula>-105575</formula>
    </cfRule>
  </conditionalFormatting>
  <conditionalFormatting sqref="BB180 BB186:BB192 BB199:BB200">
    <cfRule type="cellIs" dxfId="915" priority="43" operator="lessThan">
      <formula>0</formula>
    </cfRule>
    <cfRule type="cellIs" dxfId="914" priority="44" operator="lessThan">
      <formula>-105575</formula>
    </cfRule>
  </conditionalFormatting>
  <conditionalFormatting sqref="BB180 BB186:BB192 BB199:BB200">
    <cfRule type="cellIs" dxfId="913" priority="41" operator="lessThan">
      <formula>0</formula>
    </cfRule>
    <cfRule type="cellIs" dxfId="912" priority="42" operator="lessThan">
      <formula>-105575</formula>
    </cfRule>
  </conditionalFormatting>
  <conditionalFormatting sqref="BB181">
    <cfRule type="cellIs" dxfId="911" priority="37" operator="lessThan">
      <formula>0</formula>
    </cfRule>
    <cfRule type="cellIs" dxfId="910" priority="38" operator="lessThan">
      <formula>-105575</formula>
    </cfRule>
  </conditionalFormatting>
  <conditionalFormatting sqref="BB181">
    <cfRule type="cellIs" dxfId="909" priority="39" operator="lessThan">
      <formula>0</formula>
    </cfRule>
    <cfRule type="cellIs" dxfId="908" priority="40" operator="lessThan">
      <formula>-105575</formula>
    </cfRule>
  </conditionalFormatting>
  <conditionalFormatting sqref="BB182">
    <cfRule type="cellIs" dxfId="907" priority="29" operator="lessThan">
      <formula>0</formula>
    </cfRule>
    <cfRule type="cellIs" dxfId="906" priority="30" operator="lessThan">
      <formula>-105575</formula>
    </cfRule>
  </conditionalFormatting>
  <conditionalFormatting sqref="BB218">
    <cfRule type="cellIs" dxfId="905" priority="17" operator="lessThan">
      <formula>0</formula>
    </cfRule>
    <cfRule type="cellIs" dxfId="904" priority="18" operator="lessThan">
      <formula>-105575</formula>
    </cfRule>
  </conditionalFormatting>
  <conditionalFormatting sqref="BB220:BB221">
    <cfRule type="cellIs" dxfId="903" priority="23" operator="lessThan">
      <formula>0</formula>
    </cfRule>
    <cfRule type="cellIs" dxfId="902" priority="24" operator="lessThan">
      <formula>-105575</formula>
    </cfRule>
  </conditionalFormatting>
  <conditionalFormatting sqref="BB218">
    <cfRule type="cellIs" dxfId="901" priority="15" operator="lessThan">
      <formula>0</formula>
    </cfRule>
    <cfRule type="cellIs" dxfId="900" priority="16" operator="lessThan">
      <formula>-105575</formula>
    </cfRule>
  </conditionalFormatting>
  <conditionalFormatting sqref="BB203 BB219:BB221 BB210:BB217">
    <cfRule type="cellIs" dxfId="899" priority="27" operator="lessThan">
      <formula>0</formula>
    </cfRule>
    <cfRule type="cellIs" dxfId="898" priority="28" operator="lessThan">
      <formula>-105575</formula>
    </cfRule>
  </conditionalFormatting>
  <conditionalFormatting sqref="BB203 BB219:BB221 BB210:BB217">
    <cfRule type="cellIs" dxfId="897" priority="25" operator="lessThan">
      <formula>0</formula>
    </cfRule>
    <cfRule type="cellIs" dxfId="896" priority="26" operator="lessThan">
      <formula>-105575</formula>
    </cfRule>
  </conditionalFormatting>
  <conditionalFormatting sqref="BB204:BB209">
    <cfRule type="cellIs" dxfId="895" priority="19" operator="lessThan">
      <formula>0</formula>
    </cfRule>
    <cfRule type="cellIs" dxfId="894" priority="20" operator="lessThan">
      <formula>-105575</formula>
    </cfRule>
  </conditionalFormatting>
  <conditionalFormatting sqref="BB204:BB209">
    <cfRule type="cellIs" dxfId="893" priority="21" operator="lessThan">
      <formula>0</formula>
    </cfRule>
    <cfRule type="cellIs" dxfId="892" priority="22" operator="lessThan">
      <formula>-105575</formula>
    </cfRule>
  </conditionalFormatting>
  <conditionalFormatting sqref="BB225:BB231">
    <cfRule type="cellIs" dxfId="891" priority="13" operator="lessThan">
      <formula>0</formula>
    </cfRule>
    <cfRule type="cellIs" dxfId="890" priority="14" operator="lessThan">
      <formula>-105575</formula>
    </cfRule>
  </conditionalFormatting>
  <conditionalFormatting sqref="BB233:BB235">
    <cfRule type="cellIs" dxfId="889" priority="11" operator="lessThan">
      <formula>0</formula>
    </cfRule>
    <cfRule type="cellIs" dxfId="888" priority="12" operator="lessThan">
      <formula>-105575</formula>
    </cfRule>
  </conditionalFormatting>
  <conditionalFormatting sqref="BB237">
    <cfRule type="cellIs" dxfId="887" priority="9" operator="lessThan">
      <formula>0</formula>
    </cfRule>
    <cfRule type="cellIs" dxfId="886" priority="10" operator="lessThan">
      <formula>-105575</formula>
    </cfRule>
  </conditionalFormatting>
  <conditionalFormatting sqref="BB238:BB241">
    <cfRule type="cellIs" dxfId="885" priority="7" operator="lessThan">
      <formula>0</formula>
    </cfRule>
    <cfRule type="cellIs" dxfId="884" priority="8" operator="lessThan">
      <formula>-105575</formula>
    </cfRule>
  </conditionalFormatting>
  <conditionalFormatting sqref="BB12">
    <cfRule type="cellIs" dxfId="883" priority="5" operator="lessThan">
      <formula>0</formula>
    </cfRule>
    <cfRule type="cellIs" dxfId="882" priority="6" operator="lessThan">
      <formula>-105575</formula>
    </cfRule>
  </conditionalFormatting>
  <conditionalFormatting sqref="BB13">
    <cfRule type="cellIs" dxfId="881" priority="3" operator="lessThan">
      <formula>0</formula>
    </cfRule>
    <cfRule type="cellIs" dxfId="880" priority="4" operator="lessThan">
      <formula>-105575</formula>
    </cfRule>
  </conditionalFormatting>
  <conditionalFormatting sqref="BA18">
    <cfRule type="cellIs" dxfId="879" priority="1" operator="lessThan">
      <formula>0</formula>
    </cfRule>
    <cfRule type="cellIs" dxfId="878"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 Standard_Cost'!$B$4:$B$10</xm:f>
          </x14:formula1>
          <xm:sqref>I16:I17 I7:I14</xm:sqref>
        </x14:dataValidation>
        <x14:dataValidation type="list" allowBlank="1" showInputMessage="1" showErrorMessage="1">
          <x14:formula1>
            <xm:f>'[2]1. Standard_Cost'!#REF!</xm:f>
          </x14:formula1>
          <xm:sqref>I33:I34 I36</xm:sqref>
        </x14:dataValidation>
        <x14:dataValidation type="list" allowBlank="1" showInputMessage="1" showErrorMessage="1">
          <x14:formula1>
            <xm:f>'[3]1. Standard_Cost'!#REF!</xm:f>
          </x14:formula1>
          <xm:sqref>I24 I18:I22 I26:I27</xm:sqref>
        </x14:dataValidation>
      </x14:dataValidations>
    </ext>
  </extLst>
</worksheet>
</file>

<file path=xl/worksheets/sheet7.xml><?xml version="1.0" encoding="utf-8"?>
<worksheet xmlns="http://schemas.openxmlformats.org/spreadsheetml/2006/main" xmlns:r="http://schemas.openxmlformats.org/officeDocument/2006/relationships">
  <dimension ref="A1:BB242"/>
  <sheetViews>
    <sheetView zoomScale="60" zoomScaleNormal="60" workbookViewId="0">
      <selection activeCell="E9" sqref="E9"/>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bestFit="1" customWidth="1" outlineLevel="2"/>
    <col min="11" max="11" width="8.33203125" style="5" bestFit="1"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11.77734375" style="5" customWidth="1" outlineLevel="2"/>
    <col min="37" max="37" width="9" style="5" bestFit="1" customWidth="1" outlineLevel="2"/>
    <col min="38" max="38" width="8.109375" style="5" bestFit="1" customWidth="1" outlineLevel="2"/>
    <col min="39" max="39" width="15.33203125" style="5" customWidth="1" outlineLevel="1"/>
    <col min="40" max="40" width="11.109375" style="5" customWidth="1" outlineLevel="1"/>
    <col min="41" max="41" width="39.88671875" style="133" hidden="1" customWidth="1" outlineLevel="2"/>
    <col min="42" max="42" width="2.6640625" style="5" customWidth="1" collapsed="1"/>
    <col min="43" max="43" width="16.6640625" style="5" customWidth="1"/>
    <col min="44" max="46" width="14.88671875" style="5" customWidth="1"/>
    <col min="47" max="53" width="15" style="4"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201</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241"/>
      <c r="G5" s="241"/>
      <c r="H5" s="241" t="s">
        <v>61</v>
      </c>
      <c r="I5" s="40"/>
      <c r="J5" s="40"/>
      <c r="K5" s="40"/>
      <c r="L5" s="41">
        <f>SUM(L6)</f>
        <v>2664000</v>
      </c>
      <c r="M5" s="41">
        <f>SUM(M6)</f>
        <v>444888.00000000006</v>
      </c>
      <c r="N5" s="40"/>
      <c r="O5" s="40"/>
      <c r="P5" s="40"/>
      <c r="Q5" s="40"/>
      <c r="R5" s="41">
        <f t="shared" ref="R5:U5" si="0">SUM(R6)</f>
        <v>322000</v>
      </c>
      <c r="S5" s="41">
        <f t="shared" si="0"/>
        <v>610500</v>
      </c>
      <c r="T5" s="41">
        <f t="shared" si="0"/>
        <v>0</v>
      </c>
      <c r="U5" s="41">
        <f t="shared" si="0"/>
        <v>520000</v>
      </c>
      <c r="V5" s="40"/>
      <c r="W5" s="40"/>
      <c r="X5" s="40"/>
      <c r="Y5" s="41">
        <f t="shared" ref="Y5:AF5" si="1">SUM(Y6)</f>
        <v>0</v>
      </c>
      <c r="Z5" s="41">
        <f t="shared" si="1"/>
        <v>0</v>
      </c>
      <c r="AA5" s="41">
        <f t="shared" si="1"/>
        <v>0</v>
      </c>
      <c r="AB5" s="41">
        <f t="shared" si="1"/>
        <v>1121000</v>
      </c>
      <c r="AC5" s="41">
        <f t="shared" si="1"/>
        <v>2651197.6639999999</v>
      </c>
      <c r="AD5" s="41">
        <f t="shared" si="1"/>
        <v>0</v>
      </c>
      <c r="AE5" s="41">
        <f t="shared" si="1"/>
        <v>1044939.5327999999</v>
      </c>
      <c r="AF5" s="41">
        <f t="shared" si="1"/>
        <v>6269637.1968</v>
      </c>
      <c r="AG5" s="40"/>
      <c r="AH5" s="40"/>
      <c r="AI5" s="40"/>
      <c r="AJ5" s="41">
        <f t="shared" ref="AJ5:AN5" si="2">SUM(AJ6)</f>
        <v>0</v>
      </c>
      <c r="AK5" s="41">
        <f t="shared" si="2"/>
        <v>1800000</v>
      </c>
      <c r="AL5" s="41">
        <f t="shared" si="2"/>
        <v>0</v>
      </c>
      <c r="AM5" s="41">
        <f t="shared" si="2"/>
        <v>1800000</v>
      </c>
      <c r="AN5" s="41">
        <f t="shared" si="2"/>
        <v>270000</v>
      </c>
      <c r="AO5" s="129"/>
      <c r="AQ5" s="41">
        <f t="shared" ref="AQ5:BB5" si="3">SUM(AQ6)</f>
        <v>3108888.0000000005</v>
      </c>
      <c r="AR5" s="41">
        <f t="shared" si="3"/>
        <v>6269637.1968</v>
      </c>
      <c r="AS5" s="41">
        <f t="shared" si="3"/>
        <v>2070000</v>
      </c>
      <c r="AT5" s="41">
        <f t="shared" si="3"/>
        <v>11448525.196800001</v>
      </c>
      <c r="AU5" s="41">
        <f t="shared" si="3"/>
        <v>3478089</v>
      </c>
      <c r="AV5" s="41">
        <f t="shared" si="3"/>
        <v>0</v>
      </c>
      <c r="AW5" s="41">
        <f t="shared" si="3"/>
        <v>0</v>
      </c>
      <c r="AX5" s="41">
        <f t="shared" si="3"/>
        <v>0</v>
      </c>
      <c r="AY5" s="41">
        <f t="shared" si="3"/>
        <v>0</v>
      </c>
      <c r="AZ5" s="41">
        <f t="shared" si="3"/>
        <v>0</v>
      </c>
      <c r="BA5" s="41">
        <f t="shared" si="3"/>
        <v>728387</v>
      </c>
      <c r="BB5" s="41">
        <f t="shared" si="3"/>
        <v>-7242049.1968</v>
      </c>
    </row>
    <row r="6" spans="1:54" s="13" customFormat="1" ht="13.8" customHeight="1">
      <c r="A6" s="101"/>
      <c r="B6" s="27"/>
      <c r="C6" s="324" t="s">
        <v>204</v>
      </c>
      <c r="D6" s="324"/>
      <c r="E6" s="325"/>
      <c r="F6" s="248"/>
      <c r="G6" s="298"/>
      <c r="H6" s="239" t="s">
        <v>62</v>
      </c>
      <c r="I6" s="37"/>
      <c r="J6" s="37"/>
      <c r="K6" s="37"/>
      <c r="L6" s="42">
        <f>SUM(L15+L17+L25+L30)</f>
        <v>2664000</v>
      </c>
      <c r="M6" s="42">
        <f>SUM(M15+M17+M25+M30)</f>
        <v>444888.00000000006</v>
      </c>
      <c r="N6" s="42"/>
      <c r="O6" s="43"/>
      <c r="P6" s="43"/>
      <c r="Q6" s="43"/>
      <c r="R6" s="42">
        <f t="shared" ref="R6:U6" si="4">SUM(R15+R17+R25+R30)</f>
        <v>322000</v>
      </c>
      <c r="S6" s="42">
        <f t="shared" si="4"/>
        <v>610500</v>
      </c>
      <c r="T6" s="42">
        <f t="shared" si="4"/>
        <v>0</v>
      </c>
      <c r="U6" s="42">
        <f t="shared" si="4"/>
        <v>520000</v>
      </c>
      <c r="V6" s="42"/>
      <c r="W6" s="43"/>
      <c r="X6" s="43"/>
      <c r="Y6" s="42">
        <f t="shared" ref="Y6:AF6" si="5">SUM(Y15+Y17+Y25+Y30)</f>
        <v>0</v>
      </c>
      <c r="Z6" s="42">
        <f t="shared" si="5"/>
        <v>0</v>
      </c>
      <c r="AA6" s="42">
        <f t="shared" si="5"/>
        <v>0</v>
      </c>
      <c r="AB6" s="42">
        <f t="shared" si="5"/>
        <v>1121000</v>
      </c>
      <c r="AC6" s="42">
        <f t="shared" si="5"/>
        <v>2651197.6639999999</v>
      </c>
      <c r="AD6" s="42">
        <f t="shared" si="5"/>
        <v>0</v>
      </c>
      <c r="AE6" s="42">
        <f t="shared" si="5"/>
        <v>1044939.5327999999</v>
      </c>
      <c r="AF6" s="42">
        <f t="shared" si="5"/>
        <v>6269637.1968</v>
      </c>
      <c r="AG6" s="43"/>
      <c r="AH6" s="43"/>
      <c r="AI6" s="43"/>
      <c r="AJ6" s="42">
        <f t="shared" ref="AJ6:AN6" si="6">SUM(AJ15+AJ17+AJ25+AJ30)</f>
        <v>0</v>
      </c>
      <c r="AK6" s="42">
        <f t="shared" si="6"/>
        <v>1800000</v>
      </c>
      <c r="AL6" s="42">
        <f t="shared" si="6"/>
        <v>0</v>
      </c>
      <c r="AM6" s="42">
        <f t="shared" si="6"/>
        <v>1800000</v>
      </c>
      <c r="AN6" s="42">
        <f t="shared" si="6"/>
        <v>270000</v>
      </c>
      <c r="AO6" s="130"/>
      <c r="AQ6" s="42">
        <f t="shared" ref="AQ6:BB6" si="7">SUM(AQ15+AQ17+AQ25+AQ30)</f>
        <v>3108888.0000000005</v>
      </c>
      <c r="AR6" s="42">
        <f t="shared" si="7"/>
        <v>6269637.1968</v>
      </c>
      <c r="AS6" s="42">
        <f t="shared" si="7"/>
        <v>2070000</v>
      </c>
      <c r="AT6" s="42">
        <f t="shared" si="7"/>
        <v>11448525.196800001</v>
      </c>
      <c r="AU6" s="42">
        <f t="shared" si="7"/>
        <v>3478089</v>
      </c>
      <c r="AV6" s="42">
        <f t="shared" si="7"/>
        <v>0</v>
      </c>
      <c r="AW6" s="42">
        <f t="shared" si="7"/>
        <v>0</v>
      </c>
      <c r="AX6" s="42">
        <f t="shared" si="7"/>
        <v>0</v>
      </c>
      <c r="AY6" s="42">
        <f t="shared" si="7"/>
        <v>0</v>
      </c>
      <c r="AZ6" s="42">
        <f t="shared" si="7"/>
        <v>0</v>
      </c>
      <c r="BA6" s="42">
        <f t="shared" si="7"/>
        <v>728387</v>
      </c>
      <c r="BB6" s="42">
        <f t="shared" si="7"/>
        <v>-7242049.1968</v>
      </c>
    </row>
    <row r="7" spans="1:54" ht="93.6" outlineLevel="2">
      <c r="A7" s="98"/>
      <c r="B7" s="102"/>
      <c r="C7" s="23"/>
      <c r="D7" s="257"/>
      <c r="E7" s="123"/>
      <c r="F7" s="270"/>
      <c r="G7" s="250"/>
      <c r="H7" s="302" t="s">
        <v>659</v>
      </c>
      <c r="I7" s="258" t="s">
        <v>2</v>
      </c>
      <c r="J7" s="259">
        <v>1</v>
      </c>
      <c r="K7" s="259">
        <v>4</v>
      </c>
      <c r="L7" s="106">
        <f>IF(I7&lt;&gt;0,((VLOOKUP(I7,'1. Standard_Cost'!$B$4:$D$11,2)+VLOOKUP(I7,'1. Standard_Cost'!$B$4:$D$11,3))*J7*K7),"0")</f>
        <v>484000</v>
      </c>
      <c r="M7" s="106">
        <f>L7*'1. Standard_Cost'!$F$4</f>
        <v>80828</v>
      </c>
      <c r="N7" s="260"/>
      <c r="O7" s="260"/>
      <c r="P7" s="260"/>
      <c r="Q7" s="260"/>
      <c r="R7" s="108">
        <f>'1. Standard_Cost'!$B$15*N7*P7</f>
        <v>0</v>
      </c>
      <c r="S7" s="108">
        <f>N7*O7*P7*'1. Standard_Cost'!$C$15</f>
        <v>0</v>
      </c>
      <c r="T7" s="108">
        <f>N7*P7*Q7*'1. Standard_Cost'!$D$15</f>
        <v>0</v>
      </c>
      <c r="U7" s="108">
        <f>N7*O7*'1. Standard_Cost'!$E$15</f>
        <v>0</v>
      </c>
      <c r="V7" s="107"/>
      <c r="W7" s="107"/>
      <c r="X7" s="107"/>
      <c r="Y7" s="108">
        <f>+V7*((X7*'1. Standard_Cost'!$B$19)+(W7*X7*'1. Standard_Cost'!$C$19))</f>
        <v>0</v>
      </c>
      <c r="Z7" s="260"/>
      <c r="AA7" s="260"/>
      <c r="AB7" s="108">
        <f>+Z7*'1. Standard_Cost'!$B$23+AA7*'1. Standard_Cost'!$C$23</f>
        <v>0</v>
      </c>
      <c r="AC7" s="261">
        <f>SUM(L7+M7)*0.2</f>
        <v>112965.6</v>
      </c>
      <c r="AD7" s="262"/>
      <c r="AE7" s="108">
        <f>SUM(AD7,AC7,AB7,Y7,U7,T7,S7,R7)*'1. Standard_Cost'!$B$31</f>
        <v>22593.120000000003</v>
      </c>
      <c r="AF7" s="108">
        <f>SUM(AE7,AD7,AC7,AB7,Y7,U7,T7,S7,R7)</f>
        <v>135558.72</v>
      </c>
      <c r="AG7" s="107"/>
      <c r="AH7" s="107"/>
      <c r="AI7" s="107"/>
      <c r="AJ7" s="111"/>
      <c r="AK7" s="111"/>
      <c r="AL7" s="111"/>
      <c r="AM7" s="108">
        <f>AG7*'1. Standard_Cost'!$B$27+'Incremental_Cost Year 6'!AH7*'1. Standard_Cost'!$C$27+'Incremental_Cost Year 6'!AI7*'1. Standard_Cost'!$D$27+'Incremental_Cost Year 6'!AJ7+'Incremental_Cost Year 6'!AL7+AK7</f>
        <v>0</v>
      </c>
      <c r="AN7" s="108">
        <f>AM7*'1. Standard_Cost'!$C$31</f>
        <v>0</v>
      </c>
      <c r="AO7" s="134" t="s">
        <v>270</v>
      </c>
      <c r="AQ7" s="14">
        <f>L7+M7</f>
        <v>564828</v>
      </c>
      <c r="AR7" s="14">
        <f>AF7</f>
        <v>135558.72</v>
      </c>
      <c r="AS7" s="14">
        <f>AM7+AN7</f>
        <v>0</v>
      </c>
      <c r="AT7" s="14">
        <f>SUM(AQ7,AR7,AS7)</f>
        <v>700386.72</v>
      </c>
      <c r="AU7" s="234">
        <v>700387</v>
      </c>
      <c r="AV7" s="234"/>
      <c r="AW7" s="234"/>
      <c r="AX7" s="234"/>
      <c r="AY7" s="234"/>
      <c r="AZ7" s="234"/>
      <c r="BA7" s="234"/>
      <c r="BB7" s="16">
        <f>SUM(AU7:BA7)-AT7</f>
        <v>0.28000000002793968</v>
      </c>
    </row>
    <row r="8" spans="1:54" ht="13.5" customHeight="1" outlineLevel="2">
      <c r="A8" s="98"/>
      <c r="B8" s="102"/>
      <c r="C8" s="23"/>
      <c r="D8" s="269"/>
      <c r="E8" s="271"/>
      <c r="F8" s="270"/>
      <c r="G8" s="250"/>
      <c r="H8" s="302" t="s">
        <v>580</v>
      </c>
      <c r="I8" s="258" t="s">
        <v>3</v>
      </c>
      <c r="J8" s="259">
        <v>0.5</v>
      </c>
      <c r="K8" s="259">
        <v>4</v>
      </c>
      <c r="L8" s="106">
        <f>IF(I8&lt;&gt;0,((VLOOKUP(I8,'1. Standard_Cost'!$B$4:$D$11,2)+VLOOKUP(I8,'1. Standard_Cost'!$B$4:$D$11,3))*J8*K8),"0")</f>
        <v>201600</v>
      </c>
      <c r="M8" s="106">
        <f>L8*'1. Standard_Cost'!$F$4</f>
        <v>33667.200000000004</v>
      </c>
      <c r="N8" s="260"/>
      <c r="O8" s="260"/>
      <c r="P8" s="260"/>
      <c r="Q8" s="260"/>
      <c r="R8" s="108">
        <f>'1. Standard_Cost'!$B$15*N8*P8</f>
        <v>0</v>
      </c>
      <c r="S8" s="108">
        <f>N8*O8*P8*'1. Standard_Cost'!$C$15</f>
        <v>0</v>
      </c>
      <c r="T8" s="108">
        <f>N8*P8*Q8*'1. Standard_Cost'!$D$15</f>
        <v>0</v>
      </c>
      <c r="U8" s="108">
        <f>N8*O8*'1. Standard_Cost'!$E$15</f>
        <v>0</v>
      </c>
      <c r="V8" s="107"/>
      <c r="W8" s="107"/>
      <c r="X8" s="107"/>
      <c r="Y8" s="108">
        <f>+V8*((X8*'1. Standard_Cost'!$B$19)+(W8*X8*'1. Standard_Cost'!$C$19))</f>
        <v>0</v>
      </c>
      <c r="Z8" s="260"/>
      <c r="AA8" s="260"/>
      <c r="AB8" s="108">
        <f>+Z8*'1. Standard_Cost'!$B$23+AA8*'1. Standard_Cost'!$C$23</f>
        <v>0</v>
      </c>
      <c r="AC8" s="261">
        <f>SUM(L8+M8)*0.12</f>
        <v>28232.064000000002</v>
      </c>
      <c r="AD8" s="262"/>
      <c r="AE8" s="108">
        <f>SUM(AD8,AC8,AB8,Y8,U8,T8,S8,R8)*'1. Standard_Cost'!$B$31</f>
        <v>5646.412800000001</v>
      </c>
      <c r="AF8" s="108">
        <f t="shared" ref="AF8:AF14" si="8">SUM(AE8,AD8,AC8,AB8,Y8,U8,T8,S8,R8)</f>
        <v>33878.476800000004</v>
      </c>
      <c r="AG8" s="107"/>
      <c r="AH8" s="107"/>
      <c r="AI8" s="107"/>
      <c r="AJ8" s="111"/>
      <c r="AK8" s="111"/>
      <c r="AL8" s="111"/>
      <c r="AM8" s="108">
        <f>AG8*'1. Standard_Cost'!$B$27+'Incremental_Cost Year 6'!AH8*'1. Standard_Cost'!$C$27+'Incremental_Cost Year 6'!AI8*'1. Standard_Cost'!$D$27+'Incremental_Cost Year 6'!AJ8+'Incremental_Cost Year 6'!AL8+AK8</f>
        <v>0</v>
      </c>
      <c r="AN8" s="108">
        <f>AM8*'1. Standard_Cost'!$C$31</f>
        <v>0</v>
      </c>
      <c r="AO8" s="125" t="s">
        <v>271</v>
      </c>
      <c r="AQ8" s="14">
        <f t="shared" ref="AQ8:AQ14" si="9">L8+M8</f>
        <v>235267.20000000001</v>
      </c>
      <c r="AR8" s="14">
        <f t="shared" ref="AR8:AR14" si="10">AF8</f>
        <v>33878.476800000004</v>
      </c>
      <c r="AS8" s="14">
        <f t="shared" ref="AS8:AS14" si="11">AM8+AN8</f>
        <v>0</v>
      </c>
      <c r="AT8" s="14">
        <f t="shared" ref="AT8:AT14" si="12">SUM(AQ8,AR8,AS8)</f>
        <v>269145.67680000002</v>
      </c>
      <c r="AU8" s="234">
        <v>269146</v>
      </c>
      <c r="AV8" s="234"/>
      <c r="AW8" s="234"/>
      <c r="AX8" s="234"/>
      <c r="AY8" s="234"/>
      <c r="AZ8" s="234"/>
      <c r="BA8" s="234"/>
      <c r="BB8" s="16">
        <f t="shared" ref="BB8:BB14" si="13">SUM(AU8:BA8)-AT8</f>
        <v>0.32319999998435378</v>
      </c>
    </row>
    <row r="9" spans="1:54" ht="93.6" customHeight="1" outlineLevel="2">
      <c r="A9" s="98"/>
      <c r="B9" s="102"/>
      <c r="C9" s="23"/>
      <c r="D9" s="251"/>
      <c r="E9" s="250"/>
      <c r="F9" s="270"/>
      <c r="G9" s="250"/>
      <c r="H9" s="302" t="s">
        <v>660</v>
      </c>
      <c r="I9" s="258" t="s">
        <v>4</v>
      </c>
      <c r="J9" s="259">
        <v>12</v>
      </c>
      <c r="K9" s="259">
        <v>1</v>
      </c>
      <c r="L9" s="106">
        <f>IF(I9&lt;&gt;0,((VLOOKUP(I9,'1. Standard_Cost'!$B$4:$D$11,2)+VLOOKUP(I9,'1. Standard_Cost'!$B$4:$D$11,3))*J9*K9),"0")</f>
        <v>969000</v>
      </c>
      <c r="M9" s="106">
        <f>L9*'1. Standard_Cost'!$F$4</f>
        <v>161823</v>
      </c>
      <c r="N9" s="260">
        <v>1</v>
      </c>
      <c r="O9" s="260">
        <v>2</v>
      </c>
      <c r="P9" s="260">
        <v>10</v>
      </c>
      <c r="Q9" s="260"/>
      <c r="R9" s="108">
        <f>'1. Standard_Cost'!$B$15*N9*P9</f>
        <v>20000</v>
      </c>
      <c r="S9" s="108">
        <f>N9*O9*P9*'1. Standard_Cost'!$C$15</f>
        <v>30000</v>
      </c>
      <c r="T9" s="108">
        <f>N9*P9*Q9*'1. Standard_Cost'!$D$15</f>
        <v>0</v>
      </c>
      <c r="U9" s="108">
        <f>N9*O9*'1. Standard_Cost'!$E$15</f>
        <v>80000</v>
      </c>
      <c r="V9" s="107"/>
      <c r="W9" s="107"/>
      <c r="X9" s="107"/>
      <c r="Y9" s="108">
        <f>+V9*((X9*'1. Standard_Cost'!$B$19)+(W9*X9*'1. Standard_Cost'!$C$19))</f>
        <v>0</v>
      </c>
      <c r="Z9" s="260"/>
      <c r="AA9" s="260">
        <v>10</v>
      </c>
      <c r="AB9" s="108">
        <f>+Z9*'1. Standard_Cost'!$B$23+AA9*'1. Standard_Cost'!$C$23</f>
        <v>190000</v>
      </c>
      <c r="AC9" s="261">
        <f>10*500</f>
        <v>5000</v>
      </c>
      <c r="AD9" s="262"/>
      <c r="AE9" s="108">
        <f>SUM(AD9,AC9,AB9,Y9,U9,T9,S9,R9)*'1. Standard_Cost'!$B$31</f>
        <v>65000</v>
      </c>
      <c r="AF9" s="108">
        <f t="shared" si="8"/>
        <v>390000</v>
      </c>
      <c r="AG9" s="107"/>
      <c r="AH9" s="107"/>
      <c r="AI9" s="107"/>
      <c r="AJ9" s="111"/>
      <c r="AK9" s="111"/>
      <c r="AL9" s="111"/>
      <c r="AM9" s="108">
        <f>AG9*'1. Standard_Cost'!$B$27+'Incremental_Cost Year 6'!AH9*'1. Standard_Cost'!$C$27+'Incremental_Cost Year 6'!AI9*'1. Standard_Cost'!$D$27+'Incremental_Cost Year 6'!AJ9+'Incremental_Cost Year 6'!AL9+AK9</f>
        <v>0</v>
      </c>
      <c r="AN9" s="108">
        <f>AM9*'1. Standard_Cost'!$C$31</f>
        <v>0</v>
      </c>
      <c r="AO9" s="125" t="s">
        <v>272</v>
      </c>
      <c r="AQ9" s="14">
        <f t="shared" si="9"/>
        <v>1130823</v>
      </c>
      <c r="AR9" s="14">
        <f t="shared" si="10"/>
        <v>390000</v>
      </c>
      <c r="AS9" s="14">
        <f t="shared" si="11"/>
        <v>0</v>
      </c>
      <c r="AT9" s="14">
        <f t="shared" si="12"/>
        <v>1520823</v>
      </c>
      <c r="AU9" s="234">
        <v>1130823</v>
      </c>
      <c r="AV9" s="234"/>
      <c r="AW9" s="234"/>
      <c r="AX9" s="234"/>
      <c r="AY9" s="234"/>
      <c r="AZ9" s="234"/>
      <c r="BA9" s="234"/>
      <c r="BB9" s="16">
        <f t="shared" si="13"/>
        <v>-390000</v>
      </c>
    </row>
    <row r="10" spans="1:54" ht="78" outlineLevel="2">
      <c r="A10" s="98"/>
      <c r="B10" s="102"/>
      <c r="C10" s="23"/>
      <c r="D10" s="251"/>
      <c r="E10" s="250"/>
      <c r="F10" s="270"/>
      <c r="G10" s="250"/>
      <c r="H10" s="302" t="s">
        <v>581</v>
      </c>
      <c r="I10" s="258"/>
      <c r="J10" s="259"/>
      <c r="K10" s="259"/>
      <c r="L10" s="106" t="str">
        <f>IF(I10&lt;&gt;0,((VLOOKUP(I10,'1. Standard_Cost'!$B$4:$D$11,2)+VLOOKUP(I10,'1. Standard_Cost'!$B$4:$D$11,3))*J10*K10),"0")</f>
        <v>0</v>
      </c>
      <c r="M10" s="106">
        <f>L10*'1. Standard_Cost'!$F$4</f>
        <v>0</v>
      </c>
      <c r="N10" s="260">
        <v>1</v>
      </c>
      <c r="O10" s="260">
        <v>2</v>
      </c>
      <c r="P10" s="260">
        <v>10</v>
      </c>
      <c r="Q10" s="260"/>
      <c r="R10" s="108">
        <f>'1. Standard_Cost'!$B$15*N10*P10</f>
        <v>20000</v>
      </c>
      <c r="S10" s="108">
        <f>N10*O10*P10*'1. Standard_Cost'!$C$15</f>
        <v>30000</v>
      </c>
      <c r="T10" s="108">
        <f>N10*P10*Q10*'1. Standard_Cost'!$D$15</f>
        <v>0</v>
      </c>
      <c r="U10" s="108">
        <f>N10*O10*'1. Standard_Cost'!$E$15</f>
        <v>80000</v>
      </c>
      <c r="V10" s="107"/>
      <c r="W10" s="107"/>
      <c r="X10" s="107"/>
      <c r="Y10" s="108">
        <f>+V10*((X10*'1. Standard_Cost'!$B$19)+(W10*X10*'1. Standard_Cost'!$C$19))</f>
        <v>0</v>
      </c>
      <c r="Z10" s="260"/>
      <c r="AA10" s="260">
        <v>10</v>
      </c>
      <c r="AB10" s="108">
        <f>+Z10*'1. Standard_Cost'!$B$23+AA10*'1. Standard_Cost'!$C$23</f>
        <v>190000</v>
      </c>
      <c r="AC10" s="261">
        <f>10*500</f>
        <v>5000</v>
      </c>
      <c r="AD10" s="262"/>
      <c r="AE10" s="108">
        <f>SUM(AD10,AC10,AB10,Y10,U10,T10,S10,R10)*'1. Standard_Cost'!$B$31</f>
        <v>65000</v>
      </c>
      <c r="AF10" s="108">
        <f t="shared" si="8"/>
        <v>390000</v>
      </c>
      <c r="AG10" s="107"/>
      <c r="AH10" s="107"/>
      <c r="AI10" s="107"/>
      <c r="AJ10" s="111"/>
      <c r="AK10" s="111"/>
      <c r="AL10" s="111"/>
      <c r="AM10" s="108">
        <f>AG10*'1. Standard_Cost'!$B$27+'Incremental_Cost Year 6'!AH10*'1. Standard_Cost'!$C$27+'Incremental_Cost Year 6'!AI10*'1. Standard_Cost'!$D$27+'Incremental_Cost Year 6'!AJ10+'Incremental_Cost Year 6'!AL10+AK10</f>
        <v>0</v>
      </c>
      <c r="AN10" s="108">
        <f>AM10*'1. Standard_Cost'!$C$31</f>
        <v>0</v>
      </c>
      <c r="AO10" s="134" t="s">
        <v>273</v>
      </c>
      <c r="AQ10" s="14">
        <f t="shared" si="9"/>
        <v>0</v>
      </c>
      <c r="AR10" s="14">
        <f t="shared" si="10"/>
        <v>390000</v>
      </c>
      <c r="AS10" s="14">
        <f t="shared" si="11"/>
        <v>0</v>
      </c>
      <c r="AT10" s="14">
        <f t="shared" si="12"/>
        <v>390000</v>
      </c>
      <c r="AU10" s="234"/>
      <c r="AV10" s="234"/>
      <c r="AW10" s="234"/>
      <c r="AX10" s="234"/>
      <c r="AY10" s="234"/>
      <c r="AZ10" s="234"/>
      <c r="BA10" s="234"/>
      <c r="BB10" s="16">
        <f t="shared" si="13"/>
        <v>-390000</v>
      </c>
    </row>
    <row r="11" spans="1:54" ht="124.8" customHeight="1" outlineLevel="2">
      <c r="A11" s="98"/>
      <c r="B11" s="102"/>
      <c r="C11" s="23"/>
      <c r="D11" s="251"/>
      <c r="E11" s="250"/>
      <c r="F11" s="270"/>
      <c r="G11" s="250"/>
      <c r="H11" s="302" t="s">
        <v>661</v>
      </c>
      <c r="I11" s="258" t="s">
        <v>4</v>
      </c>
      <c r="J11" s="259">
        <v>1</v>
      </c>
      <c r="K11" s="259">
        <v>3</v>
      </c>
      <c r="L11" s="106">
        <f>IF(I11&lt;&gt;0,((VLOOKUP(I11,'1. Standard_Cost'!$B$4:$D$11,2)+VLOOKUP(I11,'1. Standard_Cost'!$B$4:$D$11,3))*J11*K11),"0")</f>
        <v>242250</v>
      </c>
      <c r="M11" s="106">
        <f>L11*'1. Standard_Cost'!$F$4</f>
        <v>40455.75</v>
      </c>
      <c r="N11" s="260"/>
      <c r="O11" s="260"/>
      <c r="P11" s="260"/>
      <c r="Q11" s="260"/>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260"/>
      <c r="AA11" s="260">
        <v>10</v>
      </c>
      <c r="AB11" s="108">
        <f>+Z11*'1. Standard_Cost'!$B$23+AA11*'1. Standard_Cost'!$C$23</f>
        <v>190000</v>
      </c>
      <c r="AC11" s="261">
        <v>29000</v>
      </c>
      <c r="AD11" s="262"/>
      <c r="AE11" s="108">
        <f>SUM(AD11,AC11,AB11,Y11,U11,T11,S11,R11)*'1. Standard_Cost'!$B$31</f>
        <v>43800</v>
      </c>
      <c r="AF11" s="108">
        <f t="shared" si="8"/>
        <v>262800</v>
      </c>
      <c r="AG11" s="107"/>
      <c r="AH11" s="107"/>
      <c r="AI11" s="107"/>
      <c r="AJ11" s="111"/>
      <c r="AK11" s="111"/>
      <c r="AL11" s="111"/>
      <c r="AM11" s="108">
        <f>AG11*'1. Standard_Cost'!$B$27+'Incremental_Cost Year 6'!AH11*'1. Standard_Cost'!$C$27+'Incremental_Cost Year 6'!AI11*'1. Standard_Cost'!$D$27+'Incremental_Cost Year 6'!AJ11+'Incremental_Cost Year 6'!AL11+AK11</f>
        <v>0</v>
      </c>
      <c r="AN11" s="108">
        <f>AM11*'1. Standard_Cost'!$C$31</f>
        <v>0</v>
      </c>
      <c r="AO11" s="134" t="s">
        <v>275</v>
      </c>
      <c r="AQ11" s="14">
        <f t="shared" si="9"/>
        <v>282705.75</v>
      </c>
      <c r="AR11" s="14">
        <f t="shared" si="10"/>
        <v>262800</v>
      </c>
      <c r="AS11" s="14">
        <f t="shared" si="11"/>
        <v>0</v>
      </c>
      <c r="AT11" s="14">
        <f t="shared" si="12"/>
        <v>545505.75</v>
      </c>
      <c r="AU11" s="234"/>
      <c r="AV11" s="234"/>
      <c r="AW11" s="234"/>
      <c r="AX11" s="234"/>
      <c r="AY11" s="234"/>
      <c r="AZ11" s="234"/>
      <c r="BA11" s="234">
        <v>317506</v>
      </c>
      <c r="BB11" s="16">
        <f t="shared" si="13"/>
        <v>-227999.75</v>
      </c>
    </row>
    <row r="12" spans="1:54" ht="55.2" customHeight="1" outlineLevel="2">
      <c r="A12" s="98"/>
      <c r="B12" s="102"/>
      <c r="C12" s="23"/>
      <c r="D12" s="251"/>
      <c r="E12" s="250"/>
      <c r="F12" s="270"/>
      <c r="G12" s="250"/>
      <c r="H12" s="302" t="s">
        <v>662</v>
      </c>
      <c r="I12" s="258" t="s">
        <v>3</v>
      </c>
      <c r="J12" s="259">
        <v>1</v>
      </c>
      <c r="K12" s="259">
        <v>2</v>
      </c>
      <c r="L12" s="106">
        <f>IF(I12&lt;&gt;0,((VLOOKUP(I12,'1. Standard_Cost'!$B$4:$D$11,2)+VLOOKUP(I12,'1. Standard_Cost'!$B$4:$D$11,3))*J12*K12),"0")</f>
        <v>201600</v>
      </c>
      <c r="M12" s="106">
        <f>L12*'1. Standard_Cost'!$F$4</f>
        <v>33667.200000000004</v>
      </c>
      <c r="N12" s="260"/>
      <c r="O12" s="260"/>
      <c r="P12" s="260"/>
      <c r="Q12" s="260"/>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8"/>
        <v>0</v>
      </c>
      <c r="AG12" s="107"/>
      <c r="AH12" s="107"/>
      <c r="AI12" s="107"/>
      <c r="AJ12" s="111"/>
      <c r="AK12" s="111"/>
      <c r="AL12" s="111"/>
      <c r="AM12" s="108">
        <f>AG12*'1. Standard_Cost'!$B$27+'Incremental_Cost Year 6'!AH12*'1. Standard_Cost'!$C$27+'Incremental_Cost Year 6'!AI12*'1. Standard_Cost'!$D$27+'Incremental_Cost Year 6'!AJ12+'Incremental_Cost Year 6'!AL12+AK12</f>
        <v>0</v>
      </c>
      <c r="AN12" s="108">
        <f>AM12*'1. Standard_Cost'!$C$31</f>
        <v>0</v>
      </c>
      <c r="AO12" s="134" t="s">
        <v>273</v>
      </c>
      <c r="AQ12" s="14">
        <f t="shared" si="9"/>
        <v>235267.20000000001</v>
      </c>
      <c r="AR12" s="14">
        <f t="shared" si="10"/>
        <v>0</v>
      </c>
      <c r="AS12" s="14">
        <f t="shared" si="11"/>
        <v>0</v>
      </c>
      <c r="AT12" s="14">
        <f t="shared" si="12"/>
        <v>235267.20000000001</v>
      </c>
      <c r="AU12" s="234">
        <v>235267</v>
      </c>
      <c r="AV12" s="234"/>
      <c r="AW12" s="234"/>
      <c r="AX12" s="234"/>
      <c r="AY12" s="234"/>
      <c r="AZ12" s="234"/>
      <c r="BA12" s="234"/>
      <c r="BB12" s="16">
        <f t="shared" si="13"/>
        <v>-0.20000000001164153</v>
      </c>
    </row>
    <row r="13" spans="1:54" ht="69" outlineLevel="2">
      <c r="A13" s="98"/>
      <c r="B13" s="102"/>
      <c r="C13" s="23"/>
      <c r="D13" s="251"/>
      <c r="E13" s="250"/>
      <c r="F13" s="270"/>
      <c r="G13" s="250"/>
      <c r="H13" s="302" t="s">
        <v>663</v>
      </c>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8"/>
        <v>0</v>
      </c>
      <c r="AG13" s="107"/>
      <c r="AH13" s="107"/>
      <c r="AI13" s="107"/>
      <c r="AJ13" s="111"/>
      <c r="AK13" s="111"/>
      <c r="AL13" s="111"/>
      <c r="AM13" s="108">
        <f>AG13*'1. Standard_Cost'!$B$27+'Incremental_Cost Year 6'!AH13*'1. Standard_Cost'!$C$27+'Incremental_Cost Year 6'!AI13*'1. Standard_Cost'!$D$27+'Incremental_Cost Year 6'!AJ13+'Incremental_Cost Year 6'!AL13+AK13</f>
        <v>0</v>
      </c>
      <c r="AN13" s="108">
        <f>AM13*'1. Standard_Cost'!$C$31</f>
        <v>0</v>
      </c>
      <c r="AO13" s="134" t="s">
        <v>275</v>
      </c>
      <c r="AQ13" s="14">
        <f t="shared" si="9"/>
        <v>0</v>
      </c>
      <c r="AR13" s="14">
        <f t="shared" si="10"/>
        <v>0</v>
      </c>
      <c r="AS13" s="14">
        <f t="shared" si="11"/>
        <v>0</v>
      </c>
      <c r="AT13" s="14">
        <f t="shared" si="12"/>
        <v>0</v>
      </c>
      <c r="AU13" s="234"/>
      <c r="AV13" s="234"/>
      <c r="AW13" s="234"/>
      <c r="AX13" s="234"/>
      <c r="AY13" s="234"/>
      <c r="AZ13" s="234"/>
      <c r="BA13" s="234"/>
      <c r="BB13" s="16">
        <f t="shared" si="13"/>
        <v>0</v>
      </c>
    </row>
    <row r="14" spans="1:54" ht="78" outlineLevel="2">
      <c r="A14" s="98"/>
      <c r="B14" s="102"/>
      <c r="C14" s="23"/>
      <c r="D14" s="251"/>
      <c r="E14" s="250"/>
      <c r="F14" s="270"/>
      <c r="G14" s="250"/>
      <c r="H14" s="302" t="s">
        <v>664</v>
      </c>
      <c r="I14" s="258" t="s">
        <v>5</v>
      </c>
      <c r="J14" s="259">
        <v>0.25</v>
      </c>
      <c r="K14" s="259">
        <v>16</v>
      </c>
      <c r="L14" s="106">
        <f>IF(I14&lt;&gt;0,((VLOOKUP(I14,'1. Standard_Cost'!$B$4:$D$11,2)+VLOOKUP(I14,'1. Standard_Cost'!$B$4:$D$11,3))*J14*K14),"0")</f>
        <v>282800</v>
      </c>
      <c r="M14" s="106">
        <f>L14*'1. Standard_Cost'!$F$4</f>
        <v>47227.600000000006</v>
      </c>
      <c r="N14" s="260"/>
      <c r="O14" s="260"/>
      <c r="P14" s="260"/>
      <c r="Q14" s="260"/>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260"/>
      <c r="AA14" s="260"/>
      <c r="AB14" s="108">
        <f>+Z14*'1. Standard_Cost'!$B$23+AA14*'1. Standard_Cost'!$C$23</f>
        <v>0</v>
      </c>
      <c r="AC14" s="261">
        <v>33000</v>
      </c>
      <c r="AD14" s="262"/>
      <c r="AE14" s="108">
        <f>SUM(AD14,AC14,AB14,Y14,U14,T14,S14,R14)*'1. Standard_Cost'!$B$31</f>
        <v>6600</v>
      </c>
      <c r="AF14" s="108">
        <f t="shared" si="8"/>
        <v>39600</v>
      </c>
      <c r="AG14" s="107"/>
      <c r="AH14" s="107"/>
      <c r="AI14" s="107"/>
      <c r="AJ14" s="111"/>
      <c r="AK14" s="111"/>
      <c r="AL14" s="111"/>
      <c r="AM14" s="108">
        <f>AG14*'1. Standard_Cost'!$B$27+'Incremental_Cost Year 6'!AH14*'1. Standard_Cost'!$C$27+'Incremental_Cost Year 6'!AI14*'1. Standard_Cost'!$D$27+'Incremental_Cost Year 6'!AJ14+'Incremental_Cost Year 6'!AL14+AK14</f>
        <v>0</v>
      </c>
      <c r="AN14" s="108">
        <f>AM14*'1. Standard_Cost'!$C$31</f>
        <v>0</v>
      </c>
      <c r="AO14" s="134" t="s">
        <v>274</v>
      </c>
      <c r="AQ14" s="14">
        <f t="shared" si="9"/>
        <v>330027.59999999998</v>
      </c>
      <c r="AR14" s="14">
        <f t="shared" si="10"/>
        <v>39600</v>
      </c>
      <c r="AS14" s="14">
        <f t="shared" si="11"/>
        <v>0</v>
      </c>
      <c r="AT14" s="14">
        <f t="shared" si="12"/>
        <v>369627.6</v>
      </c>
      <c r="AU14" s="234"/>
      <c r="AV14" s="234"/>
      <c r="AW14" s="234"/>
      <c r="AX14" s="234"/>
      <c r="AY14" s="234"/>
      <c r="AZ14" s="234"/>
      <c r="BA14" s="234">
        <v>369628</v>
      </c>
      <c r="BB14" s="16">
        <f t="shared" si="13"/>
        <v>0.40000000002328306</v>
      </c>
    </row>
    <row r="15" spans="1:54" ht="262.2" outlineLevel="1">
      <c r="A15" s="98"/>
      <c r="B15" s="102"/>
      <c r="C15" s="23"/>
      <c r="D15" s="301" t="s">
        <v>624</v>
      </c>
      <c r="E15" s="122" t="s">
        <v>206</v>
      </c>
      <c r="F15" s="268">
        <v>2021</v>
      </c>
      <c r="G15" s="254">
        <v>2026</v>
      </c>
      <c r="H15" s="276" t="s">
        <v>48</v>
      </c>
      <c r="I15" s="112"/>
      <c r="J15" s="112"/>
      <c r="K15" s="112"/>
      <c r="L15" s="113">
        <f>SUM(L7:L14)</f>
        <v>2381250</v>
      </c>
      <c r="M15" s="113">
        <f>SUM(M7:M14)</f>
        <v>397668.75</v>
      </c>
      <c r="N15" s="113"/>
      <c r="O15" s="112"/>
      <c r="P15" s="112"/>
      <c r="Q15" s="112"/>
      <c r="R15" s="113">
        <f>SUM(R7:R14)</f>
        <v>40000</v>
      </c>
      <c r="S15" s="113">
        <f>SUM(S7:S14)</f>
        <v>60000</v>
      </c>
      <c r="T15" s="113">
        <f>SUM(T7:T14)</f>
        <v>0</v>
      </c>
      <c r="U15" s="113">
        <f>SUM(U7:U14)</f>
        <v>160000</v>
      </c>
      <c r="V15" s="112"/>
      <c r="W15" s="112"/>
      <c r="X15" s="112"/>
      <c r="Y15" s="113">
        <f>SUM(Y7:Y14)</f>
        <v>0</v>
      </c>
      <c r="Z15" s="112"/>
      <c r="AA15" s="112"/>
      <c r="AB15" s="113">
        <f>SUM(AB7:AB14)</f>
        <v>570000</v>
      </c>
      <c r="AC15" s="113">
        <f>SUM(AC7:AC14)</f>
        <v>213197.66400000002</v>
      </c>
      <c r="AD15" s="113">
        <f>SUM(AD7:AD14)</f>
        <v>0</v>
      </c>
      <c r="AE15" s="113">
        <f>SUM(AE7:AE14)</f>
        <v>208639.53279999999</v>
      </c>
      <c r="AF15" s="113">
        <f>SUM(AF7:AF14)</f>
        <v>1251837.1968</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2778918.7500000005</v>
      </c>
      <c r="AR15" s="113">
        <f t="shared" si="14"/>
        <v>1251837.1968</v>
      </c>
      <c r="AS15" s="113">
        <f t="shared" si="14"/>
        <v>0</v>
      </c>
      <c r="AT15" s="113">
        <f t="shared" si="14"/>
        <v>4030755.9468000005</v>
      </c>
      <c r="AU15" s="113">
        <f t="shared" si="14"/>
        <v>2335623</v>
      </c>
      <c r="AV15" s="113">
        <f t="shared" si="14"/>
        <v>0</v>
      </c>
      <c r="AW15" s="113">
        <f t="shared" si="14"/>
        <v>0</v>
      </c>
      <c r="AX15" s="113">
        <f t="shared" si="14"/>
        <v>0</v>
      </c>
      <c r="AY15" s="113">
        <f t="shared" si="14"/>
        <v>0</v>
      </c>
      <c r="AZ15" s="113">
        <f t="shared" si="14"/>
        <v>0</v>
      </c>
      <c r="BA15" s="113">
        <f t="shared" si="14"/>
        <v>687134</v>
      </c>
      <c r="BB15" s="113">
        <f t="shared" si="14"/>
        <v>-1007998.9467999999</v>
      </c>
    </row>
    <row r="16" spans="1:54" ht="78" outlineLevel="2">
      <c r="A16" s="98"/>
      <c r="B16" s="102"/>
      <c r="C16" s="23"/>
      <c r="D16" s="251"/>
      <c r="E16" s="250"/>
      <c r="F16" s="270"/>
      <c r="G16" s="250"/>
      <c r="H16" s="302" t="s">
        <v>665</v>
      </c>
      <c r="I16" s="258" t="s">
        <v>5</v>
      </c>
      <c r="J16" s="259">
        <v>1</v>
      </c>
      <c r="K16" s="259">
        <v>1</v>
      </c>
      <c r="L16" s="106">
        <f>IF(I16&lt;&gt;0,((VLOOKUP(I16,'1. Standard_Cost'!$B$4:$D$11,2)+VLOOKUP(I16,'1. Standard_Cost'!$B$4:$D$11,3))*J16*K16),"0")</f>
        <v>70700</v>
      </c>
      <c r="M16" s="106">
        <f>L16*'1. Standard_Cost'!$F$4</f>
        <v>11806.900000000001</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107"/>
      <c r="AA16" s="107"/>
      <c r="AB16" s="108">
        <f>+Z16*'1. Standard_Cost'!$B$23+AA16*'1. Standard_Cost'!$C$23</f>
        <v>0</v>
      </c>
      <c r="AC16" s="109"/>
      <c r="AD16" s="110"/>
      <c r="AE16" s="108">
        <f>SUM(AD16,AC16,AB16,Y16,U16,T16,S16,R16)*'1. Standard_Cost'!$B$31</f>
        <v>0</v>
      </c>
      <c r="AF16" s="108">
        <f t="shared" ref="AF16" si="15">SUM(AE16,AD16,AC16,AB16,Y16,U16,T16,S16,R16)</f>
        <v>0</v>
      </c>
      <c r="AG16" s="107"/>
      <c r="AH16" s="107"/>
      <c r="AI16" s="107"/>
      <c r="AJ16" s="111"/>
      <c r="AK16" s="111"/>
      <c r="AL16" s="111"/>
      <c r="AM16" s="108">
        <f>AG16*'1. Standard_Cost'!$B$27+'Incremental_Cost Year 6'!AH16*'1. Standard_Cost'!$C$27+'Incremental_Cost Year 6'!AI16*'1. Standard_Cost'!$D$27+'Incremental_Cost Year 6'!AJ16+'Incremental_Cost Year 6'!AL16+AK16</f>
        <v>0</v>
      </c>
      <c r="AN16" s="108">
        <f>AM16*'1. Standard_Cost'!$C$31</f>
        <v>0</v>
      </c>
      <c r="AO16" s="125" t="s">
        <v>276</v>
      </c>
      <c r="AQ16" s="14">
        <f t="shared" ref="AQ16:AQ24" si="16">L16+M16</f>
        <v>82506.899999999994</v>
      </c>
      <c r="AR16" s="14">
        <f t="shared" ref="AR16:AR24" si="17">AF16</f>
        <v>0</v>
      </c>
      <c r="AS16" s="14">
        <f t="shared" ref="AS16:AS24" si="18">AM16+AN16</f>
        <v>0</v>
      </c>
      <c r="AT16" s="14">
        <f>SUM(AQ16,AR16,AS16)</f>
        <v>82506.899999999994</v>
      </c>
      <c r="AU16" s="234">
        <v>82507</v>
      </c>
      <c r="AV16" s="234"/>
      <c r="AW16" s="234"/>
      <c r="AX16" s="234"/>
      <c r="AY16" s="234"/>
      <c r="AZ16" s="234"/>
      <c r="BA16" s="234"/>
      <c r="BB16" s="16">
        <f t="shared" ref="BB16:BB24" si="19">SUM(AU16:BA16)-AT16</f>
        <v>0.10000000000582077</v>
      </c>
    </row>
    <row r="17" spans="1:54" ht="62.4" outlineLevel="1">
      <c r="A17" s="98"/>
      <c r="B17" s="143"/>
      <c r="C17" s="144"/>
      <c r="D17" s="287" t="s">
        <v>625</v>
      </c>
      <c r="E17" s="287" t="s">
        <v>207</v>
      </c>
      <c r="F17" s="287"/>
      <c r="G17" s="287"/>
      <c r="H17" s="287" t="s">
        <v>49</v>
      </c>
      <c r="I17" s="112"/>
      <c r="J17" s="112"/>
      <c r="K17" s="112"/>
      <c r="L17" s="113">
        <f>SUM(L16:L16)</f>
        <v>70700</v>
      </c>
      <c r="M17" s="113">
        <f>SUM(M16:M16)</f>
        <v>11806.900000000001</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0</v>
      </c>
      <c r="AC17" s="113">
        <f>SUM(AC16:AC16)</f>
        <v>0</v>
      </c>
      <c r="AD17" s="113">
        <f>SUM(AD16:AD16)</f>
        <v>0</v>
      </c>
      <c r="AE17" s="113">
        <f>SUM(AE16:AE16)</f>
        <v>0</v>
      </c>
      <c r="AF17" s="113">
        <f>SUM(AF16:AF16)</f>
        <v>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82506.899999999994</v>
      </c>
      <c r="AR17" s="113">
        <f t="shared" si="20"/>
        <v>0</v>
      </c>
      <c r="AS17" s="113">
        <f t="shared" si="20"/>
        <v>0</v>
      </c>
      <c r="AT17" s="113">
        <f t="shared" si="20"/>
        <v>82506.899999999994</v>
      </c>
      <c r="AU17" s="113">
        <f t="shared" si="20"/>
        <v>82507</v>
      </c>
      <c r="AV17" s="113">
        <f t="shared" si="20"/>
        <v>0</v>
      </c>
      <c r="AW17" s="113">
        <f t="shared" si="20"/>
        <v>0</v>
      </c>
      <c r="AX17" s="113">
        <f t="shared" si="20"/>
        <v>0</v>
      </c>
      <c r="AY17" s="113">
        <f t="shared" si="20"/>
        <v>0</v>
      </c>
      <c r="AZ17" s="113">
        <f t="shared" si="20"/>
        <v>0</v>
      </c>
      <c r="BA17" s="113">
        <f t="shared" si="20"/>
        <v>0</v>
      </c>
      <c r="BB17" s="16">
        <f t="shared" si="19"/>
        <v>0.10000000000582077</v>
      </c>
    </row>
    <row r="18" spans="1:54" ht="31.2" outlineLevel="2">
      <c r="A18" s="98"/>
      <c r="B18" s="143"/>
      <c r="C18" s="144"/>
      <c r="D18" s="149"/>
      <c r="E18" s="149"/>
      <c r="F18" s="288"/>
      <c r="G18" s="289"/>
      <c r="H18" s="302" t="s">
        <v>666</v>
      </c>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260"/>
      <c r="AA18" s="260"/>
      <c r="AB18" s="108">
        <f>+Z18*'1. Standard_Cost'!$B$23+AA18*'1. Standard_Cost'!$C$23</f>
        <v>0</v>
      </c>
      <c r="AC18" s="261"/>
      <c r="AD18" s="262"/>
      <c r="AE18" s="108">
        <f>SUM(AD18,AC18,AB18,Y18,U18,T18,S18,R18)*'1. Standard_Cost'!$B$31</f>
        <v>0</v>
      </c>
      <c r="AF18" s="108">
        <f t="shared" ref="AF18:AF24" si="21">SUM(AE18,AD18,AC18,AB18,Y18,U18,T18,S18,R18)</f>
        <v>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0</v>
      </c>
      <c r="AS18" s="14">
        <f t="shared" ref="AS18" si="24">AM18+AN18</f>
        <v>0</v>
      </c>
      <c r="AT18" s="14">
        <f>SUM(AQ18,AR18,AS18)</f>
        <v>0</v>
      </c>
      <c r="AU18" s="234"/>
      <c r="AV18" s="234"/>
      <c r="AW18" s="234"/>
      <c r="AX18" s="234"/>
      <c r="AY18" s="234"/>
      <c r="AZ18" s="234"/>
      <c r="BA18" s="234"/>
      <c r="BB18" s="16">
        <f t="shared" si="19"/>
        <v>0</v>
      </c>
    </row>
    <row r="19" spans="1:54" ht="62.4" outlineLevel="2">
      <c r="A19" s="98"/>
      <c r="B19" s="143"/>
      <c r="C19" s="144"/>
      <c r="D19" s="290"/>
      <c r="E19" s="290"/>
      <c r="F19" s="290"/>
      <c r="G19" s="291"/>
      <c r="H19" s="302" t="s">
        <v>667</v>
      </c>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260"/>
      <c r="AA19" s="260"/>
      <c r="AB19" s="108">
        <f>+Z19*'1. Standard_Cost'!$B$23+AA19*'1. Standard_Cost'!$C$23</f>
        <v>0</v>
      </c>
      <c r="AC19" s="261">
        <f>500*700</f>
        <v>350000</v>
      </c>
      <c r="AD19" s="262"/>
      <c r="AE19" s="108">
        <f>SUM(AD19,AC19,AB19,Y19,U19,T19,S19,R19)*'1. Standard_Cost'!$B$31</f>
        <v>70000</v>
      </c>
      <c r="AF19" s="108">
        <f t="shared" si="21"/>
        <v>420000</v>
      </c>
      <c r="AG19" s="107"/>
      <c r="AH19" s="107"/>
      <c r="AI19" s="107"/>
      <c r="AJ19" s="111"/>
      <c r="AK19" s="111"/>
      <c r="AL19" s="111"/>
      <c r="AM19" s="108">
        <f>AG19*'1. Standard_Cost'!$B$27+'Incremental_Cost Year 6'!AH19*'1. Standard_Cost'!$C$27+'Incremental_Cost Year 6'!AI19*'1. Standard_Cost'!$D$27+'Incremental_Cost Year 6'!AJ19+'Incremental_Cost Year 6'!AL19+AK19</f>
        <v>0</v>
      </c>
      <c r="AN19" s="108">
        <f>AM19*'1. Standard_Cost'!$C$31</f>
        <v>0</v>
      </c>
      <c r="AO19" s="125" t="s">
        <v>278</v>
      </c>
      <c r="AQ19" s="14">
        <f t="shared" si="16"/>
        <v>0</v>
      </c>
      <c r="AR19" s="14">
        <f t="shared" si="17"/>
        <v>420000</v>
      </c>
      <c r="AS19" s="14">
        <f t="shared" si="18"/>
        <v>0</v>
      </c>
      <c r="AT19" s="14">
        <f t="shared" ref="AT19:AT24" si="25">SUM(AQ19,AR19,AS19)</f>
        <v>420000</v>
      </c>
      <c r="AU19" s="234">
        <v>420000</v>
      </c>
      <c r="AV19" s="234"/>
      <c r="AW19" s="234"/>
      <c r="AX19" s="234"/>
      <c r="AY19" s="234"/>
      <c r="AZ19" s="234"/>
      <c r="BA19" s="234"/>
      <c r="BB19" s="16">
        <f t="shared" si="19"/>
        <v>0</v>
      </c>
    </row>
    <row r="20" spans="1:54" ht="62.4" outlineLevel="2">
      <c r="A20" s="98"/>
      <c r="B20" s="143"/>
      <c r="C20" s="144"/>
      <c r="D20" s="290"/>
      <c r="E20" s="290"/>
      <c r="F20" s="171"/>
      <c r="G20" s="291"/>
      <c r="H20" s="302" t="s">
        <v>668</v>
      </c>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260"/>
      <c r="AA20" s="260"/>
      <c r="AB20" s="108">
        <f>+Z20*'1. Standard_Cost'!$B$23+AA20*'1. Standard_Cost'!$C$23</f>
        <v>0</v>
      </c>
      <c r="AC20" s="261">
        <f>500*700</f>
        <v>350000</v>
      </c>
      <c r="AD20" s="262"/>
      <c r="AE20" s="108">
        <f>SUM(AD20,AC20,AB20,Y20,U20,T20,S20,R20)*'1. Standard_Cost'!$B$31</f>
        <v>70000</v>
      </c>
      <c r="AF20" s="108">
        <f t="shared" si="21"/>
        <v>420000</v>
      </c>
      <c r="AG20" s="107"/>
      <c r="AH20" s="107"/>
      <c r="AI20" s="107"/>
      <c r="AJ20" s="111"/>
      <c r="AK20" s="111"/>
      <c r="AL20" s="111"/>
      <c r="AM20" s="108">
        <f>AG20*'1. Standard_Cost'!$B$27+'Incremental_Cost Year 6'!AH20*'1. Standard_Cost'!$C$27+'Incremental_Cost Year 6'!AI20*'1. Standard_Cost'!$D$27+'Incremental_Cost Year 6'!AJ20+'Incremental_Cost Year 6'!AL20+AK20</f>
        <v>0</v>
      </c>
      <c r="AN20" s="108">
        <f>AM20*'1. Standard_Cost'!$C$31</f>
        <v>0</v>
      </c>
      <c r="AO20" s="125" t="s">
        <v>278</v>
      </c>
      <c r="AQ20" s="14">
        <f t="shared" si="16"/>
        <v>0</v>
      </c>
      <c r="AR20" s="14">
        <f t="shared" si="17"/>
        <v>420000</v>
      </c>
      <c r="AS20" s="14">
        <f t="shared" si="18"/>
        <v>0</v>
      </c>
      <c r="AT20" s="14">
        <f t="shared" si="25"/>
        <v>420000</v>
      </c>
      <c r="AU20" s="234">
        <v>420000</v>
      </c>
      <c r="AV20" s="234"/>
      <c r="AW20" s="234"/>
      <c r="AX20" s="234"/>
      <c r="AY20" s="234"/>
      <c r="AZ20" s="234"/>
      <c r="BA20" s="234"/>
      <c r="BB20" s="16">
        <f t="shared" si="19"/>
        <v>0</v>
      </c>
    </row>
    <row r="21" spans="1:54" ht="62.4" outlineLevel="2">
      <c r="A21" s="98"/>
      <c r="B21" s="143"/>
      <c r="C21" s="144"/>
      <c r="D21" s="290"/>
      <c r="E21" s="290"/>
      <c r="F21" s="290"/>
      <c r="G21" s="291"/>
      <c r="H21" s="302" t="s">
        <v>669</v>
      </c>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21"/>
        <v>0</v>
      </c>
      <c r="AG21" s="107"/>
      <c r="AH21" s="107"/>
      <c r="AI21" s="107"/>
      <c r="AJ21" s="111"/>
      <c r="AK21" s="111"/>
      <c r="AL21" s="111"/>
      <c r="AM21" s="108">
        <f>AG21*'1. Standard_Cost'!$B$27+'Incremental_Cost Year 6'!AH21*'1. Standard_Cost'!$C$27+'Incremental_Cost Year 6'!AI21*'1. Standard_Cost'!$D$27+'Incremental_Cost Year 6'!AJ21+'Incremental_Cost Year 6'!AL21+AK21</f>
        <v>0</v>
      </c>
      <c r="AN21" s="108">
        <f>AM21*'1. Standard_Cost'!$C$31</f>
        <v>0</v>
      </c>
      <c r="AO21" s="125" t="s">
        <v>279</v>
      </c>
      <c r="AQ21" s="14">
        <f t="shared" si="16"/>
        <v>0</v>
      </c>
      <c r="AR21" s="14">
        <f t="shared" si="17"/>
        <v>0</v>
      </c>
      <c r="AS21" s="14">
        <f t="shared" si="18"/>
        <v>0</v>
      </c>
      <c r="AT21" s="14">
        <f t="shared" si="25"/>
        <v>0</v>
      </c>
      <c r="AU21" s="234"/>
      <c r="AV21" s="234"/>
      <c r="AW21" s="234"/>
      <c r="AX21" s="234"/>
      <c r="AY21" s="234"/>
      <c r="AZ21" s="234"/>
      <c r="BA21" s="234"/>
      <c r="BB21" s="16">
        <f t="shared" si="19"/>
        <v>0</v>
      </c>
    </row>
    <row r="22" spans="1:54" ht="78" outlineLevel="2">
      <c r="A22" s="98"/>
      <c r="B22" s="143"/>
      <c r="C22" s="144"/>
      <c r="D22" s="290"/>
      <c r="E22" s="290"/>
      <c r="F22" s="290"/>
      <c r="G22" s="291"/>
      <c r="H22" s="302" t="s">
        <v>670</v>
      </c>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21"/>
        <v>0</v>
      </c>
      <c r="AG22" s="107"/>
      <c r="AH22" s="107"/>
      <c r="AI22" s="107"/>
      <c r="AJ22" s="111"/>
      <c r="AK22" s="111"/>
      <c r="AL22" s="111"/>
      <c r="AM22" s="108">
        <f>AG22*'1. Standard_Cost'!$B$27+'Incremental_Cost Year 6'!AH22*'1. Standard_Cost'!$C$27+'Incremental_Cost Year 6'!AI22*'1. Standard_Cost'!$D$27+'Incremental_Cost Year 6'!AJ22+'Incremental_Cost Year 6'!AL22+AK22</f>
        <v>0</v>
      </c>
      <c r="AN22" s="108">
        <f>AM22*'1. Standard_Cost'!$C$31</f>
        <v>0</v>
      </c>
      <c r="AO22" s="125" t="s">
        <v>280</v>
      </c>
      <c r="AQ22" s="14">
        <f t="shared" si="16"/>
        <v>0</v>
      </c>
      <c r="AR22" s="14">
        <f t="shared" si="17"/>
        <v>0</v>
      </c>
      <c r="AS22" s="14">
        <f t="shared" si="18"/>
        <v>0</v>
      </c>
      <c r="AT22" s="14">
        <f t="shared" si="25"/>
        <v>0</v>
      </c>
      <c r="AU22" s="234"/>
      <c r="AV22" s="234"/>
      <c r="AW22" s="234"/>
      <c r="AX22" s="234"/>
      <c r="AY22" s="234"/>
      <c r="AZ22" s="234"/>
      <c r="BA22" s="234"/>
      <c r="BB22" s="16">
        <f t="shared" si="19"/>
        <v>0</v>
      </c>
    </row>
    <row r="23" spans="1:54" ht="46.8" outlineLevel="2">
      <c r="A23" s="98"/>
      <c r="B23" s="143"/>
      <c r="C23" s="144"/>
      <c r="D23" s="290"/>
      <c r="E23" s="290"/>
      <c r="F23" s="290"/>
      <c r="G23" s="291"/>
      <c r="H23" s="302" t="s">
        <v>671</v>
      </c>
      <c r="I23" s="258" t="s">
        <v>4</v>
      </c>
      <c r="J23" s="259">
        <v>1</v>
      </c>
      <c r="K23" s="259">
        <v>1</v>
      </c>
      <c r="L23" s="106">
        <f>IF(I23&lt;&gt;0,((VLOOKUP(I23,'1. Standard_Cost'!$B$4:$D$11,2)+VLOOKUP(I23,'1. Standard_Cost'!$B$4:$D$11,3))*J23*K23),"0")</f>
        <v>80750</v>
      </c>
      <c r="M23" s="106">
        <f>L23*'1. Standard_Cost'!$F$4</f>
        <v>13485.25</v>
      </c>
      <c r="N23" s="260"/>
      <c r="O23" s="260"/>
      <c r="P23" s="260"/>
      <c r="Q23" s="260"/>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260"/>
      <c r="AA23" s="260"/>
      <c r="AB23" s="108">
        <f>+Z23*'1. Standard_Cost'!$B$23+AA23*'1. Standard_Cost'!$C$23</f>
        <v>0</v>
      </c>
      <c r="AC23" s="261">
        <v>10000</v>
      </c>
      <c r="AD23" s="262"/>
      <c r="AE23" s="108">
        <f>SUM(AD23,AC23,AB23,Y23,U23,T23,S23,R23)*'1. Standard_Cost'!$B$31</f>
        <v>2000</v>
      </c>
      <c r="AF23" s="108">
        <f t="shared" si="21"/>
        <v>12000</v>
      </c>
      <c r="AG23" s="107"/>
      <c r="AH23" s="107"/>
      <c r="AI23" s="107"/>
      <c r="AJ23" s="111"/>
      <c r="AK23" s="111"/>
      <c r="AL23" s="111"/>
      <c r="AM23" s="108">
        <f>AG23*'1. Standard_Cost'!$B$27+'Incremental_Cost Year 6'!AH23*'1. Standard_Cost'!$C$27+'Incremental_Cost Year 6'!AI23*'1. Standard_Cost'!$D$27+'Incremental_Cost Year 6'!AJ23+'Incremental_Cost Year 6'!AL23+AK23</f>
        <v>0</v>
      </c>
      <c r="AN23" s="108">
        <f>AM23*'1. Standard_Cost'!$C$31</f>
        <v>0</v>
      </c>
      <c r="AO23" s="125" t="s">
        <v>281</v>
      </c>
      <c r="AQ23" s="14">
        <f t="shared" si="16"/>
        <v>94235.25</v>
      </c>
      <c r="AR23" s="14">
        <f t="shared" si="17"/>
        <v>12000</v>
      </c>
      <c r="AS23" s="14">
        <f t="shared" si="18"/>
        <v>0</v>
      </c>
      <c r="AT23" s="14">
        <f t="shared" si="25"/>
        <v>106235.25</v>
      </c>
      <c r="AU23" s="234">
        <v>106235</v>
      </c>
      <c r="AV23" s="234"/>
      <c r="AW23" s="234"/>
      <c r="AX23" s="234"/>
      <c r="AY23" s="234"/>
      <c r="AZ23" s="234"/>
      <c r="BA23" s="234"/>
      <c r="BB23" s="16">
        <f t="shared" si="19"/>
        <v>-0.25</v>
      </c>
    </row>
    <row r="24" spans="1:54" ht="93.6" outlineLevel="2">
      <c r="A24" s="98"/>
      <c r="B24" s="143"/>
      <c r="C24" s="144"/>
      <c r="D24" s="290"/>
      <c r="E24" s="290"/>
      <c r="F24" s="290"/>
      <c r="G24" s="291"/>
      <c r="H24" s="302" t="s">
        <v>586</v>
      </c>
      <c r="I24" s="258" t="s">
        <v>5</v>
      </c>
      <c r="J24" s="259">
        <v>0.5</v>
      </c>
      <c r="K24" s="259">
        <v>1</v>
      </c>
      <c r="L24" s="106">
        <f>IF(I24&lt;&gt;0,((VLOOKUP(I24,'1. Standard_Cost'!$B$4:$D$11,2)+VLOOKUP(I24,'1. Standard_Cost'!$B$4:$D$11,3))*J24*K24),"0")</f>
        <v>35350</v>
      </c>
      <c r="M24" s="106">
        <f>L24*'1. Standard_Cost'!$F$4</f>
        <v>5903.4500000000007</v>
      </c>
      <c r="N24" s="260">
        <v>1</v>
      </c>
      <c r="O24" s="260">
        <v>2</v>
      </c>
      <c r="P24" s="260">
        <v>16</v>
      </c>
      <c r="Q24" s="260"/>
      <c r="R24" s="108">
        <f>'1. Standard_Cost'!$B$15*N24*P24</f>
        <v>32000</v>
      </c>
      <c r="S24" s="108">
        <f>N24*O24*P24*'1. Standard_Cost'!$C$15</f>
        <v>48000</v>
      </c>
      <c r="T24" s="108">
        <f>N24*P24*Q24*'1. Standard_Cost'!$D$15</f>
        <v>0</v>
      </c>
      <c r="U24" s="108">
        <f>N24*O24*'1. Standard_Cost'!$E$15</f>
        <v>80000</v>
      </c>
      <c r="V24" s="107"/>
      <c r="W24" s="107"/>
      <c r="X24" s="107"/>
      <c r="Y24" s="108">
        <f>+V24*((X24*'1. Standard_Cost'!$B$19)+(W24*X24*'1. Standard_Cost'!$C$19))</f>
        <v>0</v>
      </c>
      <c r="Z24" s="260"/>
      <c r="AA24" s="260">
        <v>15</v>
      </c>
      <c r="AB24" s="108">
        <f>+Z24*'1. Standard_Cost'!$B$23+AA24*'1. Standard_Cost'!$C$23</f>
        <v>285000</v>
      </c>
      <c r="AC24" s="261">
        <f>16*500</f>
        <v>8000</v>
      </c>
      <c r="AD24" s="262"/>
      <c r="AE24" s="108">
        <f>SUM(AD24,AC24,AB24,Y24,U24,T24,S24,R24)*'1. Standard_Cost'!$B$31</f>
        <v>90600</v>
      </c>
      <c r="AF24" s="108">
        <f t="shared" si="21"/>
        <v>543600</v>
      </c>
      <c r="AG24" s="107"/>
      <c r="AH24" s="107"/>
      <c r="AI24" s="107"/>
      <c r="AJ24" s="111"/>
      <c r="AK24" s="111"/>
      <c r="AL24" s="111"/>
      <c r="AM24" s="108">
        <f>AG24*'1. Standard_Cost'!$B$27+'Incremental_Cost Year 6'!AH24*'1. Standard_Cost'!$C$27+'Incremental_Cost Year 6'!AI24*'1. Standard_Cost'!$D$27+'Incremental_Cost Year 6'!AJ24+'Incremental_Cost Year 6'!AL24+AK24</f>
        <v>0</v>
      </c>
      <c r="AN24" s="108">
        <f>AM24*'1. Standard_Cost'!$C$31</f>
        <v>0</v>
      </c>
      <c r="AO24" s="125" t="s">
        <v>282</v>
      </c>
      <c r="AQ24" s="14">
        <f t="shared" si="16"/>
        <v>41253.449999999997</v>
      </c>
      <c r="AR24" s="14">
        <f t="shared" si="17"/>
        <v>543600</v>
      </c>
      <c r="AS24" s="14">
        <f t="shared" si="18"/>
        <v>0</v>
      </c>
      <c r="AT24" s="14">
        <f t="shared" si="25"/>
        <v>584853.44999999995</v>
      </c>
      <c r="AU24" s="234"/>
      <c r="AV24" s="234"/>
      <c r="AW24" s="234"/>
      <c r="AX24" s="234"/>
      <c r="AY24" s="234"/>
      <c r="AZ24" s="234"/>
      <c r="BA24" s="234">
        <v>41253</v>
      </c>
      <c r="BB24" s="16">
        <f t="shared" si="19"/>
        <v>-543600.44999999995</v>
      </c>
    </row>
    <row r="25" spans="1:54" ht="93.6" outlineLevel="1">
      <c r="A25" s="98"/>
      <c r="B25" s="143"/>
      <c r="C25" s="144"/>
      <c r="D25" s="287" t="s">
        <v>626</v>
      </c>
      <c r="E25" s="287" t="s">
        <v>208</v>
      </c>
      <c r="F25" s="287"/>
      <c r="G25" s="287"/>
      <c r="H25" s="287" t="s">
        <v>50</v>
      </c>
      <c r="I25" s="112"/>
      <c r="J25" s="112"/>
      <c r="K25" s="112"/>
      <c r="L25" s="113">
        <f>SUM(L18:L24)</f>
        <v>116100</v>
      </c>
      <c r="M25" s="113">
        <f>SUM(M18:M24)</f>
        <v>19388.7</v>
      </c>
      <c r="N25" s="112"/>
      <c r="O25" s="112"/>
      <c r="P25" s="112"/>
      <c r="Q25" s="112"/>
      <c r="R25" s="113">
        <f t="shared" ref="R25:U25" si="26">SUM(R18:R24)</f>
        <v>32000</v>
      </c>
      <c r="S25" s="113">
        <f t="shared" si="26"/>
        <v>48000</v>
      </c>
      <c r="T25" s="113">
        <f t="shared" si="26"/>
        <v>0</v>
      </c>
      <c r="U25" s="113">
        <f t="shared" si="26"/>
        <v>80000</v>
      </c>
      <c r="V25" s="112"/>
      <c r="W25" s="112"/>
      <c r="X25" s="112"/>
      <c r="Y25" s="113">
        <f>SUM(Y18:Y24)</f>
        <v>0</v>
      </c>
      <c r="Z25" s="112"/>
      <c r="AA25" s="112"/>
      <c r="AB25" s="113">
        <f t="shared" ref="AB25:AF25" si="27">SUM(AB18:AB24)</f>
        <v>285000</v>
      </c>
      <c r="AC25" s="113">
        <f t="shared" si="27"/>
        <v>718000</v>
      </c>
      <c r="AD25" s="113">
        <f t="shared" si="27"/>
        <v>0</v>
      </c>
      <c r="AE25" s="113">
        <f t="shared" si="27"/>
        <v>232600</v>
      </c>
      <c r="AF25" s="113">
        <f t="shared" si="27"/>
        <v>1395600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135488.70000000001</v>
      </c>
      <c r="AR25" s="113">
        <f t="shared" si="29"/>
        <v>1395600</v>
      </c>
      <c r="AS25" s="113">
        <f t="shared" si="29"/>
        <v>0</v>
      </c>
      <c r="AT25" s="113">
        <f t="shared" si="29"/>
        <v>1531088.7</v>
      </c>
      <c r="AU25" s="113">
        <f t="shared" si="29"/>
        <v>946235</v>
      </c>
      <c r="AV25" s="113">
        <f t="shared" si="29"/>
        <v>0</v>
      </c>
      <c r="AW25" s="113">
        <f t="shared" si="29"/>
        <v>0</v>
      </c>
      <c r="AX25" s="113">
        <f t="shared" si="29"/>
        <v>0</v>
      </c>
      <c r="AY25" s="113">
        <f t="shared" si="29"/>
        <v>0</v>
      </c>
      <c r="AZ25" s="113">
        <f t="shared" si="29"/>
        <v>0</v>
      </c>
      <c r="BA25" s="113">
        <f t="shared" si="29"/>
        <v>41253</v>
      </c>
      <c r="BB25" s="113">
        <f t="shared" si="29"/>
        <v>-543600.69999999995</v>
      </c>
    </row>
    <row r="26" spans="1:54" ht="93.6" outlineLevel="2">
      <c r="A26" s="98"/>
      <c r="B26" s="143"/>
      <c r="C26" s="144"/>
      <c r="D26" s="149"/>
      <c r="E26" s="149"/>
      <c r="F26" s="288"/>
      <c r="G26" s="289"/>
      <c r="H26" s="302" t="s">
        <v>657</v>
      </c>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260"/>
      <c r="AA26" s="260"/>
      <c r="AB26" s="108">
        <f>+Z26*'1. Standard_Cost'!$B$23+AA26*'1. Standard_Cost'!$C$23</f>
        <v>0</v>
      </c>
      <c r="AC26" s="261">
        <f>1*420000</f>
        <v>420000</v>
      </c>
      <c r="AD26" s="262"/>
      <c r="AE26" s="108">
        <f>SUM(AD26,AC26,AB26,Y26,U26,T26,S26,R26)*'1. Standard_Cost'!$B$31</f>
        <v>84000</v>
      </c>
      <c r="AF26" s="108">
        <f t="shared" ref="AF26:AF29" si="30">SUM(AE26,AD26,AC26,AB26,Y26,U26,T26,S26,R26)</f>
        <v>504000</v>
      </c>
      <c r="AG26" s="260"/>
      <c r="AH26" s="260"/>
      <c r="AI26" s="260"/>
      <c r="AJ26" s="263"/>
      <c r="AK26" s="263"/>
      <c r="AL26" s="263"/>
      <c r="AM26" s="108">
        <f>AG26*'1. Standard_Cost'!$B$27+'Incremental_Cost Year 6'!AH26*'1. Standard_Cost'!$C$27+'Incremental_Cost Year 6'!AI26*'1. Standard_Cost'!$D$27+'Incremental_Cost Year 6'!AJ26+'Incremental_Cost Year 6'!AL26+AK26</f>
        <v>0</v>
      </c>
      <c r="AN26" s="108">
        <f>AM26*'1. Standard_Cost'!$C$31</f>
        <v>0</v>
      </c>
      <c r="AO26" s="125" t="s">
        <v>283</v>
      </c>
      <c r="AQ26" s="14">
        <f>L26+M26</f>
        <v>0</v>
      </c>
      <c r="AR26" s="14">
        <f t="shared" ref="AR26:AR29" si="31">AF26</f>
        <v>504000</v>
      </c>
      <c r="AS26" s="14">
        <f t="shared" ref="AS26:AS29" si="32">AM26+AN26</f>
        <v>0</v>
      </c>
      <c r="AT26" s="14">
        <f>SUM(AQ26,AR26,AS26)</f>
        <v>504000</v>
      </c>
      <c r="AU26" s="234"/>
      <c r="AV26" s="234"/>
      <c r="AW26" s="234"/>
      <c r="AX26" s="234"/>
      <c r="AY26" s="234"/>
      <c r="AZ26" s="234"/>
      <c r="BA26" s="234"/>
      <c r="BB26" s="16">
        <f>SUM(AU26:BA26)-AT26</f>
        <v>-504000</v>
      </c>
    </row>
    <row r="27" spans="1:54" ht="218.4" outlineLevel="2">
      <c r="A27" s="98"/>
      <c r="B27" s="143"/>
      <c r="C27" s="144"/>
      <c r="D27" s="290"/>
      <c r="E27" s="290"/>
      <c r="F27" s="290"/>
      <c r="G27" s="291"/>
      <c r="H27" s="302" t="s">
        <v>587</v>
      </c>
      <c r="I27" s="258" t="s">
        <v>193</v>
      </c>
      <c r="J27" s="259">
        <v>0.25</v>
      </c>
      <c r="K27" s="259">
        <v>2</v>
      </c>
      <c r="L27" s="106">
        <f>IF(I27&lt;&gt;0,((VLOOKUP(I27,'1. Standard_Cost'!$B$4:$D$11,2)+VLOOKUP(I27,'1. Standard_Cost'!$B$4:$D$11,3))*J27*K27),"0")</f>
        <v>25250</v>
      </c>
      <c r="M27" s="106">
        <f>L27*'1. Standard_Cost'!$F$4</f>
        <v>4216.75</v>
      </c>
      <c r="N27" s="260">
        <v>2</v>
      </c>
      <c r="O27" s="260">
        <v>2</v>
      </c>
      <c r="P27" s="260">
        <v>20</v>
      </c>
      <c r="Q27" s="260"/>
      <c r="R27" s="108">
        <f>'1. Standard_Cost'!$B$15*N27*P27</f>
        <v>80000</v>
      </c>
      <c r="S27" s="108">
        <f>N27*O27*P27*'1. Standard_Cost'!$C$15</f>
        <v>120000</v>
      </c>
      <c r="T27" s="108">
        <f>N27*P27*Q27*'1. Standard_Cost'!$D$15</f>
        <v>0</v>
      </c>
      <c r="U27" s="108">
        <f>N27*O27*'1. Standard_Cost'!$E$15</f>
        <v>160000</v>
      </c>
      <c r="V27" s="107"/>
      <c r="W27" s="107"/>
      <c r="X27" s="107"/>
      <c r="Y27" s="108">
        <f>+V27*((X27*'1. Standard_Cost'!$B$19)+(W27*X27*'1. Standard_Cost'!$C$19))</f>
        <v>0</v>
      </c>
      <c r="Z27" s="260"/>
      <c r="AA27" s="260">
        <v>14</v>
      </c>
      <c r="AB27" s="108">
        <f>+Z27*'1. Standard_Cost'!$B$23+AA27*'1. Standard_Cost'!$C$23</f>
        <v>266000</v>
      </c>
      <c r="AC27" s="261">
        <v>100000</v>
      </c>
      <c r="AD27" s="262"/>
      <c r="AE27" s="108">
        <f>SUM(AD27,AC27,AB27,Y27,U27,T27,S27,R27)*'1. Standard_Cost'!$B$31</f>
        <v>145200</v>
      </c>
      <c r="AF27" s="108">
        <f t="shared" si="30"/>
        <v>871200</v>
      </c>
      <c r="AG27" s="260"/>
      <c r="AH27" s="260"/>
      <c r="AI27" s="260"/>
      <c r="AJ27" s="263"/>
      <c r="AK27" s="263"/>
      <c r="AL27" s="263"/>
      <c r="AM27" s="108">
        <f>AG27*'1. Standard_Cost'!$B$27+'Incremental_Cost Year 6'!AH27*'1. Standard_Cost'!$C$27+'Incremental_Cost Year 6'!AI27*'1. Standard_Cost'!$D$27+'Incremental_Cost Year 6'!AJ27+'Incremental_Cost Year 6'!AL27+AK27</f>
        <v>0</v>
      </c>
      <c r="AN27" s="108">
        <f>AM27*'1. Standard_Cost'!$C$31</f>
        <v>0</v>
      </c>
      <c r="AO27" s="125" t="s">
        <v>284</v>
      </c>
      <c r="AQ27" s="14">
        <f t="shared" ref="AQ27:AQ29" si="33">L27+M27</f>
        <v>29466.75</v>
      </c>
      <c r="AR27" s="14">
        <f t="shared" si="31"/>
        <v>871200</v>
      </c>
      <c r="AS27" s="14">
        <f t="shared" si="32"/>
        <v>0</v>
      </c>
      <c r="AT27" s="14">
        <f t="shared" ref="AT27:AT29" si="34">SUM(AQ27,AR27,AS27)</f>
        <v>900666.75</v>
      </c>
      <c r="AU27" s="234">
        <v>31217</v>
      </c>
      <c r="AV27" s="234"/>
      <c r="AW27" s="234"/>
      <c r="AX27" s="234"/>
      <c r="AY27" s="234"/>
      <c r="AZ27" s="234"/>
      <c r="BA27" s="234"/>
      <c r="BB27" s="16">
        <f t="shared" ref="BB27:BB29" si="35">SUM(AU27:BA27)-AT27</f>
        <v>-869449.75</v>
      </c>
    </row>
    <row r="28" spans="1:54" ht="187.2" customHeight="1" outlineLevel="2">
      <c r="A28" s="98"/>
      <c r="B28" s="143"/>
      <c r="C28" s="144"/>
      <c r="D28" s="290"/>
      <c r="E28" s="290"/>
      <c r="F28" s="290"/>
      <c r="G28" s="291"/>
      <c r="H28" s="302" t="s">
        <v>658</v>
      </c>
      <c r="I28" s="258" t="s">
        <v>5</v>
      </c>
      <c r="J28" s="259">
        <v>0.5</v>
      </c>
      <c r="K28" s="259">
        <v>2</v>
      </c>
      <c r="L28" s="106">
        <f>IF(I28&lt;&gt;0,((VLOOKUP(I28,'1. Standard_Cost'!$B$4:$D$11,2)+VLOOKUP(I28,'1. Standard_Cost'!$B$4:$D$11,3))*J28*K28),"0")</f>
        <v>70700</v>
      </c>
      <c r="M28" s="106">
        <f>L28*'1. Standard_Cost'!$F$4</f>
        <v>11806.900000000001</v>
      </c>
      <c r="N28" s="260">
        <v>1</v>
      </c>
      <c r="O28" s="260">
        <v>3</v>
      </c>
      <c r="P28" s="260">
        <v>85</v>
      </c>
      <c r="Q28" s="260"/>
      <c r="R28" s="108">
        <f>'1. Standard_Cost'!$B$15*N28*P28</f>
        <v>170000</v>
      </c>
      <c r="S28" s="108">
        <f>N28*O28*P28*'1. Standard_Cost'!$C$15</f>
        <v>382500</v>
      </c>
      <c r="T28" s="108">
        <f>N28*P28*Q28*'1. Standard_Cost'!$D$15</f>
        <v>0</v>
      </c>
      <c r="U28" s="108">
        <f>N28*O28*'1. Standard_Cost'!$E$15</f>
        <v>120000</v>
      </c>
      <c r="V28" s="107"/>
      <c r="W28" s="107"/>
      <c r="X28" s="107"/>
      <c r="Y28" s="108">
        <f>+V28*((X28*'1. Standard_Cost'!$B$19)+(W28*X28*'1. Standard_Cost'!$C$19))</f>
        <v>0</v>
      </c>
      <c r="Z28" s="260"/>
      <c r="AA28" s="260"/>
      <c r="AB28" s="108">
        <f>+Z28*'1. Standard_Cost'!$B$23+AA28*'1. Standard_Cost'!$C$23</f>
        <v>0</v>
      </c>
      <c r="AC28" s="261">
        <v>1200000</v>
      </c>
      <c r="AD28" s="262"/>
      <c r="AE28" s="108">
        <f>SUM(AD28,AC28,AB28,Y28,U28,T28,S28,R28)*'1. Standard_Cost'!$B$31</f>
        <v>374500</v>
      </c>
      <c r="AF28" s="108">
        <f t="shared" si="30"/>
        <v>2247000</v>
      </c>
      <c r="AG28" s="260"/>
      <c r="AH28" s="260"/>
      <c r="AI28" s="260"/>
      <c r="AJ28" s="263"/>
      <c r="AK28" s="263"/>
      <c r="AL28" s="263"/>
      <c r="AM28" s="108">
        <f>AG28*'1. Standard_Cost'!$B$27+'Incremental_Cost Year 6'!AH28*'1. Standard_Cost'!$C$27+'Incremental_Cost Year 6'!AI28*'1. Standard_Cost'!$D$27+'Incremental_Cost Year 6'!AJ28+'Incremental_Cost Year 6'!AL28+AK28</f>
        <v>0</v>
      </c>
      <c r="AN28" s="108">
        <f>AM28*'1. Standard_Cost'!$C$31</f>
        <v>0</v>
      </c>
      <c r="AO28" s="125" t="s">
        <v>285</v>
      </c>
      <c r="AQ28" s="14">
        <f t="shared" si="33"/>
        <v>82506.899999999994</v>
      </c>
      <c r="AR28" s="14">
        <f t="shared" si="31"/>
        <v>2247000</v>
      </c>
      <c r="AS28" s="14">
        <f t="shared" si="32"/>
        <v>0</v>
      </c>
      <c r="AT28" s="14">
        <f t="shared" si="34"/>
        <v>2329506.9</v>
      </c>
      <c r="AU28" s="234">
        <v>82507</v>
      </c>
      <c r="AV28" s="234"/>
      <c r="AW28" s="234"/>
      <c r="AX28" s="234"/>
      <c r="AY28" s="234"/>
      <c r="AZ28" s="234"/>
      <c r="BA28" s="234"/>
      <c r="BB28" s="16">
        <f t="shared" si="35"/>
        <v>-2246999.9</v>
      </c>
    </row>
    <row r="29" spans="1:54" ht="93.6" outlineLevel="2">
      <c r="A29" s="98"/>
      <c r="B29" s="143"/>
      <c r="C29" s="144"/>
      <c r="D29" s="290"/>
      <c r="E29" s="290"/>
      <c r="F29" s="290"/>
      <c r="G29" s="291"/>
      <c r="H29" s="302" t="s">
        <v>588</v>
      </c>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30"/>
        <v>0</v>
      </c>
      <c r="AG29" s="260"/>
      <c r="AH29" s="260"/>
      <c r="AI29" s="260"/>
      <c r="AJ29" s="263"/>
      <c r="AK29" s="263">
        <v>1800000</v>
      </c>
      <c r="AL29" s="263"/>
      <c r="AM29" s="108">
        <f>AG29*'1. Standard_Cost'!$B$27+'Incremental_Cost Year 6'!AH29*'1. Standard_Cost'!$C$27+'Incremental_Cost Year 6'!AI29*'1. Standard_Cost'!$D$27+'Incremental_Cost Year 6'!AJ29+'Incremental_Cost Year 6'!AL29+AK29</f>
        <v>1800000</v>
      </c>
      <c r="AN29" s="108">
        <f>AM29*'1. Standard_Cost'!$C$31</f>
        <v>270000</v>
      </c>
      <c r="AO29" s="125" t="s">
        <v>286</v>
      </c>
      <c r="AQ29" s="14">
        <f t="shared" si="33"/>
        <v>0</v>
      </c>
      <c r="AR29" s="14">
        <f t="shared" si="31"/>
        <v>0</v>
      </c>
      <c r="AS29" s="14">
        <f t="shared" si="32"/>
        <v>2070000</v>
      </c>
      <c r="AT29" s="14">
        <f t="shared" si="34"/>
        <v>2070000</v>
      </c>
      <c r="AU29" s="234"/>
      <c r="AV29" s="234"/>
      <c r="AW29" s="234"/>
      <c r="AX29" s="234"/>
      <c r="AY29" s="234"/>
      <c r="AZ29" s="234"/>
      <c r="BA29" s="234"/>
      <c r="BB29" s="16">
        <f t="shared" si="35"/>
        <v>-2070000</v>
      </c>
    </row>
    <row r="30" spans="1:54" ht="78" outlineLevel="1">
      <c r="A30" s="98"/>
      <c r="B30" s="143"/>
      <c r="C30" s="144"/>
      <c r="D30" s="287" t="s">
        <v>627</v>
      </c>
      <c r="E30" s="287" t="s">
        <v>209</v>
      </c>
      <c r="F30" s="287">
        <v>2021</v>
      </c>
      <c r="G30" s="287">
        <v>2026</v>
      </c>
      <c r="H30" s="287" t="s">
        <v>191</v>
      </c>
      <c r="I30" s="112"/>
      <c r="J30" s="112"/>
      <c r="K30" s="112"/>
      <c r="L30" s="113">
        <f>SUM(L26:L29)</f>
        <v>95950</v>
      </c>
      <c r="M30" s="113">
        <f>SUM(M26:M29)</f>
        <v>16023.650000000001</v>
      </c>
      <c r="N30" s="112"/>
      <c r="O30" s="112"/>
      <c r="P30" s="112"/>
      <c r="Q30" s="112"/>
      <c r="R30" s="113">
        <f t="shared" ref="R30:U30" si="36">SUM(R26:R29)</f>
        <v>250000</v>
      </c>
      <c r="S30" s="113">
        <f t="shared" si="36"/>
        <v>502500</v>
      </c>
      <c r="T30" s="113">
        <f t="shared" si="36"/>
        <v>0</v>
      </c>
      <c r="U30" s="113">
        <f t="shared" si="36"/>
        <v>280000</v>
      </c>
      <c r="V30" s="112"/>
      <c r="W30" s="112"/>
      <c r="X30" s="112"/>
      <c r="Y30" s="113">
        <f>SUM(Y26:Y29)</f>
        <v>0</v>
      </c>
      <c r="Z30" s="112"/>
      <c r="AA30" s="112"/>
      <c r="AB30" s="113">
        <f t="shared" ref="AB30:AF30" si="37">SUM(AB26:AB29)</f>
        <v>266000</v>
      </c>
      <c r="AC30" s="113">
        <f t="shared" si="37"/>
        <v>1720000</v>
      </c>
      <c r="AD30" s="113">
        <f t="shared" si="37"/>
        <v>0</v>
      </c>
      <c r="AE30" s="113">
        <f t="shared" si="37"/>
        <v>603700</v>
      </c>
      <c r="AF30" s="113">
        <f t="shared" si="37"/>
        <v>3622200</v>
      </c>
      <c r="AG30" s="112"/>
      <c r="AH30" s="112"/>
      <c r="AI30" s="112"/>
      <c r="AJ30" s="113">
        <f t="shared" ref="AJ30:AN30" si="38">SUM(AJ26:AJ29)</f>
        <v>0</v>
      </c>
      <c r="AK30" s="113">
        <f t="shared" si="38"/>
        <v>1800000</v>
      </c>
      <c r="AL30" s="113">
        <f t="shared" si="38"/>
        <v>0</v>
      </c>
      <c r="AM30" s="113">
        <f t="shared" si="38"/>
        <v>1800000</v>
      </c>
      <c r="AN30" s="113">
        <f t="shared" si="38"/>
        <v>270000</v>
      </c>
      <c r="AO30" s="131"/>
      <c r="AP30" s="17"/>
      <c r="AQ30" s="113">
        <f t="shared" ref="AQ30:BB30" si="39">SUM(AQ26:AQ29)</f>
        <v>111973.65</v>
      </c>
      <c r="AR30" s="113">
        <f t="shared" si="39"/>
        <v>3622200</v>
      </c>
      <c r="AS30" s="113">
        <f t="shared" si="39"/>
        <v>2070000</v>
      </c>
      <c r="AT30" s="113">
        <f t="shared" si="39"/>
        <v>5804173.6500000004</v>
      </c>
      <c r="AU30" s="113">
        <f t="shared" si="39"/>
        <v>113724</v>
      </c>
      <c r="AV30" s="113">
        <f t="shared" si="39"/>
        <v>0</v>
      </c>
      <c r="AW30" s="113">
        <f t="shared" si="39"/>
        <v>0</v>
      </c>
      <c r="AX30" s="113">
        <f t="shared" si="39"/>
        <v>0</v>
      </c>
      <c r="AY30" s="113">
        <f t="shared" si="39"/>
        <v>0</v>
      </c>
      <c r="AZ30" s="113">
        <f t="shared" si="39"/>
        <v>0</v>
      </c>
      <c r="BA30" s="113">
        <f t="shared" si="39"/>
        <v>0</v>
      </c>
      <c r="BB30" s="113">
        <f t="shared" si="39"/>
        <v>-5690449.6500000004</v>
      </c>
    </row>
    <row r="31" spans="1:54" s="13" customFormat="1" ht="15.6" customHeight="1">
      <c r="A31" s="101"/>
      <c r="B31" s="319" t="s">
        <v>211</v>
      </c>
      <c r="C31" s="320"/>
      <c r="D31" s="320"/>
      <c r="E31" s="321"/>
      <c r="F31" s="292"/>
      <c r="G31" s="292"/>
      <c r="H31" s="292" t="s">
        <v>63</v>
      </c>
      <c r="I31" s="40"/>
      <c r="J31" s="40"/>
      <c r="K31" s="40"/>
      <c r="L31" s="41">
        <f>SUM(L32,L40,L80)</f>
        <v>5373125</v>
      </c>
      <c r="M31" s="41">
        <f>SUM(M32,M40,M80)</f>
        <v>897311.875</v>
      </c>
      <c r="N31" s="40"/>
      <c r="O31" s="40"/>
      <c r="P31" s="40"/>
      <c r="Q31" s="40"/>
      <c r="R31" s="41">
        <f t="shared" ref="R31:U31" si="40">SUM(R32,R40,R80)</f>
        <v>610000</v>
      </c>
      <c r="S31" s="41">
        <f t="shared" si="40"/>
        <v>645000</v>
      </c>
      <c r="T31" s="41">
        <f t="shared" si="40"/>
        <v>0</v>
      </c>
      <c r="U31" s="41">
        <f t="shared" si="40"/>
        <v>1040000</v>
      </c>
      <c r="V31" s="40"/>
      <c r="W31" s="40"/>
      <c r="X31" s="40"/>
      <c r="Y31" s="41">
        <f>SUM(Y32,Y40,Y80)</f>
        <v>0</v>
      </c>
      <c r="Z31" s="40"/>
      <c r="AA31" s="40"/>
      <c r="AB31" s="41">
        <f t="shared" ref="AB31:AF31" si="41">SUM(AB32,AB40,AB80)</f>
        <v>1539000</v>
      </c>
      <c r="AC31" s="41">
        <f t="shared" si="41"/>
        <v>31845000</v>
      </c>
      <c r="AD31" s="41">
        <f t="shared" si="41"/>
        <v>0</v>
      </c>
      <c r="AE31" s="41">
        <f t="shared" si="41"/>
        <v>7135800</v>
      </c>
      <c r="AF31" s="41">
        <f t="shared" si="41"/>
        <v>42814800</v>
      </c>
      <c r="AG31" s="41"/>
      <c r="AH31" s="41"/>
      <c r="AI31" s="41"/>
      <c r="AJ31" s="41">
        <f t="shared" ref="AJ31:AN31" si="42">SUM(AJ32,AJ40,AJ80)</f>
        <v>2000000</v>
      </c>
      <c r="AK31" s="41">
        <f t="shared" si="42"/>
        <v>0</v>
      </c>
      <c r="AL31" s="41">
        <f t="shared" si="42"/>
        <v>1700000</v>
      </c>
      <c r="AM31" s="41">
        <f t="shared" si="42"/>
        <v>3700000</v>
      </c>
      <c r="AN31" s="41">
        <f t="shared" si="42"/>
        <v>555000</v>
      </c>
      <c r="AO31" s="129"/>
      <c r="AQ31" s="41">
        <f t="shared" ref="AQ31:BB31" si="43">SUM(AQ32,AQ40,AQ80)</f>
        <v>6270436.8750000009</v>
      </c>
      <c r="AR31" s="41">
        <f t="shared" si="43"/>
        <v>42814800</v>
      </c>
      <c r="AS31" s="41">
        <f t="shared" si="43"/>
        <v>4255000</v>
      </c>
      <c r="AT31" s="41">
        <f t="shared" si="43"/>
        <v>53340236.875</v>
      </c>
      <c r="AU31" s="41">
        <f t="shared" si="43"/>
        <v>37540024</v>
      </c>
      <c r="AV31" s="41">
        <f t="shared" si="43"/>
        <v>0</v>
      </c>
      <c r="AW31" s="41">
        <f t="shared" si="43"/>
        <v>0</v>
      </c>
      <c r="AX31" s="41">
        <f t="shared" si="43"/>
        <v>0</v>
      </c>
      <c r="AY31" s="41">
        <f t="shared" si="43"/>
        <v>0</v>
      </c>
      <c r="AZ31" s="41">
        <f t="shared" si="43"/>
        <v>456000</v>
      </c>
      <c r="BA31" s="41">
        <f t="shared" si="43"/>
        <v>5712757</v>
      </c>
      <c r="BB31" s="41">
        <f t="shared" si="43"/>
        <v>-9631455.875</v>
      </c>
    </row>
    <row r="32" spans="1:54" s="13" customFormat="1" ht="15.6" customHeight="1">
      <c r="A32" s="101"/>
      <c r="B32" s="155"/>
      <c r="C32" s="322" t="s">
        <v>210</v>
      </c>
      <c r="D32" s="322"/>
      <c r="E32" s="323"/>
      <c r="F32" s="299"/>
      <c r="G32" s="299"/>
      <c r="H32" s="293" t="s">
        <v>181</v>
      </c>
      <c r="I32" s="37"/>
      <c r="J32" s="37"/>
      <c r="K32" s="37"/>
      <c r="L32" s="42">
        <f>SUM(L39)</f>
        <v>0</v>
      </c>
      <c r="M32" s="42">
        <f>SUM(M39)</f>
        <v>0</v>
      </c>
      <c r="N32" s="42"/>
      <c r="O32" s="42"/>
      <c r="P32" s="42"/>
      <c r="Q32" s="42"/>
      <c r="R32" s="42">
        <f t="shared" ref="R32:U32" si="44">SUM(R39)</f>
        <v>0</v>
      </c>
      <c r="S32" s="42">
        <f t="shared" si="44"/>
        <v>0</v>
      </c>
      <c r="T32" s="42">
        <f t="shared" si="44"/>
        <v>0</v>
      </c>
      <c r="U32" s="42">
        <f t="shared" si="44"/>
        <v>0</v>
      </c>
      <c r="V32" s="42"/>
      <c r="W32" s="42"/>
      <c r="X32" s="42"/>
      <c r="Y32" s="42">
        <f>SUM(Y39)</f>
        <v>0</v>
      </c>
      <c r="Z32" s="42"/>
      <c r="AA32" s="42"/>
      <c r="AB32" s="42">
        <f t="shared" ref="AB32:AF32" si="45">SUM(AB39)</f>
        <v>0</v>
      </c>
      <c r="AC32" s="42">
        <f t="shared" si="45"/>
        <v>14000000</v>
      </c>
      <c r="AD32" s="42">
        <f t="shared" si="45"/>
        <v>0</v>
      </c>
      <c r="AE32" s="42">
        <f t="shared" si="45"/>
        <v>2800000</v>
      </c>
      <c r="AF32" s="42">
        <f t="shared" si="45"/>
        <v>16800000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0</v>
      </c>
      <c r="AR32" s="42">
        <f t="shared" si="47"/>
        <v>16800000</v>
      </c>
      <c r="AS32" s="42">
        <f t="shared" si="47"/>
        <v>0</v>
      </c>
      <c r="AT32" s="42">
        <f t="shared" si="47"/>
        <v>16800000</v>
      </c>
      <c r="AU32" s="42">
        <f t="shared" si="47"/>
        <v>16800000</v>
      </c>
      <c r="AV32" s="42">
        <f t="shared" si="47"/>
        <v>0</v>
      </c>
      <c r="AW32" s="42">
        <f t="shared" si="47"/>
        <v>0</v>
      </c>
      <c r="AX32" s="42">
        <f t="shared" si="47"/>
        <v>0</v>
      </c>
      <c r="AY32" s="42">
        <f t="shared" si="47"/>
        <v>0</v>
      </c>
      <c r="AZ32" s="42">
        <f t="shared" si="47"/>
        <v>0</v>
      </c>
      <c r="BA32" s="42">
        <f t="shared" si="47"/>
        <v>0</v>
      </c>
      <c r="BB32" s="42">
        <f t="shared" si="47"/>
        <v>0</v>
      </c>
    </row>
    <row r="33" spans="1:54" ht="93.6" outlineLevel="2">
      <c r="A33" s="98"/>
      <c r="B33" s="143"/>
      <c r="C33" s="144"/>
      <c r="D33" s="149"/>
      <c r="E33" s="149"/>
      <c r="F33" s="288"/>
      <c r="G33" s="289"/>
      <c r="H33" s="302" t="s">
        <v>582</v>
      </c>
      <c r="I33" s="135"/>
      <c r="J33" s="136"/>
      <c r="K33" s="136"/>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107"/>
      <c r="AA33" s="107"/>
      <c r="AB33" s="108">
        <f>+Z33*'1. Standard_Cost'!$B$23+AA33*'1. Standard_Cost'!$C$23</f>
        <v>0</v>
      </c>
      <c r="AC33" s="261">
        <f>100000*123</f>
        <v>12300000</v>
      </c>
      <c r="AD33" s="262"/>
      <c r="AE33" s="108">
        <f>SUM(AD33,AC33,AB33,Y33,U33,T33,S33,R33)*'1. Standard_Cost'!$B$31</f>
        <v>2460000</v>
      </c>
      <c r="AF33" s="108">
        <f t="shared" ref="AF33:AF38" si="48">SUM(AE33,AD33,AC33,AB33,Y33,U33,T33,S33,R33)</f>
        <v>14760000</v>
      </c>
      <c r="AG33" s="107"/>
      <c r="AH33" s="107"/>
      <c r="AI33" s="107"/>
      <c r="AJ33" s="111"/>
      <c r="AK33" s="111"/>
      <c r="AL33" s="111"/>
      <c r="AM33" s="108">
        <f>AG33*'1. Standard_Cost'!$B$27+'Incremental_Cost Year 6'!AH33*'1. Standard_Cost'!$C$27+'Incremental_Cost Year 6'!AI33*'1. Standard_Cost'!$D$27+'Incremental_Cost Year 6'!AJ33+'Incremental_Cost Year 6'!AL33+AK33</f>
        <v>0</v>
      </c>
      <c r="AN33" s="108">
        <f>AM33*'1. Standard_Cost'!$C$31</f>
        <v>0</v>
      </c>
      <c r="AO33" s="125" t="s">
        <v>287</v>
      </c>
      <c r="AQ33" s="14">
        <f t="shared" ref="AQ33:AQ38" si="49">L33+M33</f>
        <v>0</v>
      </c>
      <c r="AR33" s="14">
        <f t="shared" ref="AR33:AR38" si="50">AF33</f>
        <v>14760000</v>
      </c>
      <c r="AS33" s="14">
        <f t="shared" ref="AS33:AS38" si="51">AM33+AN33</f>
        <v>0</v>
      </c>
      <c r="AT33" s="14">
        <f>SUM(AQ33,AR33,AS33)</f>
        <v>14760000</v>
      </c>
      <c r="AU33" s="234">
        <v>14760000</v>
      </c>
      <c r="AV33" s="234"/>
      <c r="AW33" s="234"/>
      <c r="AX33" s="234"/>
      <c r="AY33" s="234"/>
      <c r="AZ33" s="234"/>
      <c r="BA33" s="234"/>
      <c r="BB33" s="16">
        <f t="shared" ref="BB33:BB38" si="52">SUM(AU33:BA33)-AT33</f>
        <v>0</v>
      </c>
    </row>
    <row r="34" spans="1:54" ht="124.8" outlineLevel="2">
      <c r="A34" s="98"/>
      <c r="B34" s="143"/>
      <c r="C34" s="144"/>
      <c r="D34" s="290"/>
      <c r="E34" s="290"/>
      <c r="F34" s="290"/>
      <c r="G34" s="291"/>
      <c r="H34" s="302" t="s">
        <v>583</v>
      </c>
      <c r="I34" s="135"/>
      <c r="J34" s="136"/>
      <c r="K34" s="136"/>
      <c r="L34" s="106" t="str">
        <f>IF(I34&lt;&gt;0,((VLOOKUP(I34,'1. Standard_Cost'!$B$4:$D$11,2)+VLOOKUP(I34,'1. Standard_Cost'!$B$4:$D$11,3))*J34*K34),"0")</f>
        <v>0</v>
      </c>
      <c r="M34" s="106">
        <f>L34*'1. Standard_Cost'!$F$4</f>
        <v>0</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107"/>
      <c r="AA34" s="107"/>
      <c r="AB34" s="108">
        <f>+Z34*'1. Standard_Cost'!$B$23+AA34*'1. Standard_Cost'!$C$23</f>
        <v>0</v>
      </c>
      <c r="AC34" s="261"/>
      <c r="AD34" s="262"/>
      <c r="AE34" s="108">
        <f>SUM(AD34,AC34,AB34,Y34,U34,T34,S34,R34)*'1. Standard_Cost'!$B$31</f>
        <v>0</v>
      </c>
      <c r="AF34" s="108">
        <f t="shared" si="48"/>
        <v>0</v>
      </c>
      <c r="AG34" s="107"/>
      <c r="AH34" s="107"/>
      <c r="AI34" s="107"/>
      <c r="AJ34" s="111"/>
      <c r="AK34" s="111"/>
      <c r="AL34" s="111"/>
      <c r="AM34" s="108">
        <f>AG34*'1. Standard_Cost'!$B$27+'Incremental_Cost Year 6'!AH34*'1. Standard_Cost'!$C$27+'Incremental_Cost Year 6'!AI34*'1. Standard_Cost'!$D$27+'Incremental_Cost Year 6'!AJ34+'Incremental_Cost Year 6'!AL34+AK34</f>
        <v>0</v>
      </c>
      <c r="AN34" s="108">
        <f>AM34*'1. Standard_Cost'!$C$31</f>
        <v>0</v>
      </c>
      <c r="AO34" s="125" t="s">
        <v>288</v>
      </c>
      <c r="AQ34" s="14">
        <f t="shared" si="49"/>
        <v>0</v>
      </c>
      <c r="AR34" s="14">
        <f t="shared" si="50"/>
        <v>0</v>
      </c>
      <c r="AS34" s="14">
        <f t="shared" si="51"/>
        <v>0</v>
      </c>
      <c r="AT34" s="14">
        <f t="shared" ref="AT34:AT38" si="53">SUM(AQ34,AR34,AS34)</f>
        <v>0</v>
      </c>
      <c r="AU34" s="234"/>
      <c r="AV34" s="234"/>
      <c r="AW34" s="234"/>
      <c r="AX34" s="234"/>
      <c r="AY34" s="234"/>
      <c r="AZ34" s="234"/>
      <c r="BA34" s="234"/>
      <c r="BB34" s="16">
        <f t="shared" si="52"/>
        <v>0</v>
      </c>
    </row>
    <row r="35" spans="1:54" ht="78" outlineLevel="2">
      <c r="A35" s="98"/>
      <c r="B35" s="143"/>
      <c r="C35" s="144"/>
      <c r="D35" s="290"/>
      <c r="E35" s="290"/>
      <c r="F35" s="290"/>
      <c r="G35" s="291"/>
      <c r="H35" s="302" t="s">
        <v>672</v>
      </c>
      <c r="I35" s="104"/>
      <c r="J35" s="105"/>
      <c r="K35" s="105"/>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107"/>
      <c r="AA35" s="107"/>
      <c r="AB35" s="108">
        <f>+Z35*'1. Standard_Cost'!$B$23+AA35*'1. Standard_Cost'!$C$23</f>
        <v>0</v>
      </c>
      <c r="AC35" s="261"/>
      <c r="AD35" s="262"/>
      <c r="AE35" s="108">
        <f>SUM(AD35,AC35,AB35,Y35,U35,T35,S35,R35)*'1. Standard_Cost'!$B$31</f>
        <v>0</v>
      </c>
      <c r="AF35" s="108">
        <f t="shared" si="48"/>
        <v>0</v>
      </c>
      <c r="AG35" s="107"/>
      <c r="AH35" s="107"/>
      <c r="AI35" s="107"/>
      <c r="AJ35" s="111"/>
      <c r="AK35" s="111"/>
      <c r="AL35" s="111"/>
      <c r="AM35" s="108">
        <f>AG35*'1. Standard_Cost'!$B$27+'Incremental_Cost Year 6'!AH35*'1. Standard_Cost'!$C$27+'Incremental_Cost Year 6'!AI35*'1. Standard_Cost'!$D$27+'Incremental_Cost Year 6'!AJ35+'Incremental_Cost Year 6'!AL35+AK35</f>
        <v>0</v>
      </c>
      <c r="AN35" s="108">
        <f>AM35*'1. Standard_Cost'!$C$31</f>
        <v>0</v>
      </c>
      <c r="AO35" s="125" t="s">
        <v>289</v>
      </c>
      <c r="AQ35" s="14">
        <f t="shared" si="49"/>
        <v>0</v>
      </c>
      <c r="AR35" s="14">
        <f t="shared" si="50"/>
        <v>0</v>
      </c>
      <c r="AS35" s="14">
        <f t="shared" si="51"/>
        <v>0</v>
      </c>
      <c r="AT35" s="14">
        <f t="shared" si="53"/>
        <v>0</v>
      </c>
      <c r="AU35" s="234"/>
      <c r="AV35" s="234"/>
      <c r="AW35" s="234"/>
      <c r="AX35" s="234"/>
      <c r="AY35" s="234"/>
      <c r="AZ35" s="234"/>
      <c r="BA35" s="234"/>
      <c r="BB35" s="16">
        <f t="shared" si="52"/>
        <v>0</v>
      </c>
    </row>
    <row r="36" spans="1:54" ht="124.8" outlineLevel="2">
      <c r="A36" s="98"/>
      <c r="B36" s="143"/>
      <c r="C36" s="144"/>
      <c r="D36" s="290"/>
      <c r="E36" s="290"/>
      <c r="F36" s="290"/>
      <c r="G36" s="291"/>
      <c r="H36" s="302" t="s">
        <v>584</v>
      </c>
      <c r="I36" s="135"/>
      <c r="J36" s="136"/>
      <c r="K36" s="136"/>
      <c r="L36" s="106" t="str">
        <f>IF(I36&lt;&gt;0,((VLOOKUP(I36,'1. Standard_Cost'!$B$4:$D$11,2)+VLOOKUP(I36,'1. Standard_Cost'!$B$4:$D$11,3))*J36*K36),"0")</f>
        <v>0</v>
      </c>
      <c r="M36" s="106">
        <f>L36*'1. Standard_Cost'!$F$4</f>
        <v>0</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107"/>
      <c r="AA36" s="107"/>
      <c r="AB36" s="108">
        <f>+Z36*'1. Standard_Cost'!$B$23+AA36*'1. Standard_Cost'!$C$23</f>
        <v>0</v>
      </c>
      <c r="AC36" s="261"/>
      <c r="AD36" s="262"/>
      <c r="AE36" s="108">
        <f>SUM(AD36,AC36,AB36,Y36,U36,T36,S36,R36)*'1. Standard_Cost'!$B$31</f>
        <v>0</v>
      </c>
      <c r="AF36" s="108">
        <f t="shared" si="48"/>
        <v>0</v>
      </c>
      <c r="AG36" s="107"/>
      <c r="AH36" s="107"/>
      <c r="AI36" s="107"/>
      <c r="AJ36" s="111"/>
      <c r="AK36" s="111"/>
      <c r="AL36" s="111"/>
      <c r="AM36" s="108">
        <f>AG36*'1. Standard_Cost'!$B$27+'Incremental_Cost Year 6'!AH36*'1. Standard_Cost'!$C$27+'Incremental_Cost Year 6'!AI36*'1. Standard_Cost'!$D$27+'Incremental_Cost Year 6'!AJ36+'Incremental_Cost Year 6'!AL36+AK36</f>
        <v>0</v>
      </c>
      <c r="AN36" s="108">
        <f>AM36*'1. Standard_Cost'!$C$31</f>
        <v>0</v>
      </c>
      <c r="AO36" s="125" t="s">
        <v>290</v>
      </c>
      <c r="AQ36" s="14">
        <f t="shared" si="49"/>
        <v>0</v>
      </c>
      <c r="AR36" s="14">
        <f t="shared" si="50"/>
        <v>0</v>
      </c>
      <c r="AS36" s="14">
        <f t="shared" si="51"/>
        <v>0</v>
      </c>
      <c r="AT36" s="14">
        <f t="shared" si="53"/>
        <v>0</v>
      </c>
      <c r="AU36" s="234"/>
      <c r="AV36" s="234"/>
      <c r="AW36" s="234"/>
      <c r="AX36" s="234"/>
      <c r="AY36" s="234"/>
      <c r="AZ36" s="234"/>
      <c r="BA36" s="234"/>
      <c r="BB36" s="16">
        <f t="shared" si="52"/>
        <v>0</v>
      </c>
    </row>
    <row r="37" spans="1:54" ht="124.8" outlineLevel="2">
      <c r="A37" s="98"/>
      <c r="B37" s="143"/>
      <c r="C37" s="144"/>
      <c r="D37" s="290"/>
      <c r="E37" s="290"/>
      <c r="F37" s="290"/>
      <c r="G37" s="291"/>
      <c r="H37" s="302" t="s">
        <v>673</v>
      </c>
      <c r="I37" s="104"/>
      <c r="J37" s="105"/>
      <c r="K37" s="105"/>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107"/>
      <c r="AA37" s="107"/>
      <c r="AB37" s="108">
        <f>+Z37*'1. Standard_Cost'!$B$23+AA37*'1. Standard_Cost'!$C$23</f>
        <v>0</v>
      </c>
      <c r="AC37" s="261"/>
      <c r="AD37" s="262"/>
      <c r="AE37" s="108">
        <f>SUM(AD37,AC37,AB37,Y37,U37,T37,S37,R37)*'1. Standard_Cost'!$B$31</f>
        <v>0</v>
      </c>
      <c r="AF37" s="108">
        <f t="shared" si="48"/>
        <v>0</v>
      </c>
      <c r="AG37" s="107"/>
      <c r="AH37" s="107"/>
      <c r="AI37" s="107"/>
      <c r="AJ37" s="111"/>
      <c r="AK37" s="111"/>
      <c r="AL37" s="111"/>
      <c r="AM37" s="108">
        <f>AG37*'1. Standard_Cost'!$B$27+'Incremental_Cost Year 6'!AH37*'1. Standard_Cost'!$C$27+'Incremental_Cost Year 6'!AI37*'1. Standard_Cost'!$D$27+'Incremental_Cost Year 6'!AJ37+'Incremental_Cost Year 6'!AL37+AK37</f>
        <v>0</v>
      </c>
      <c r="AN37" s="108">
        <f>AM37*'1. Standard_Cost'!$C$31</f>
        <v>0</v>
      </c>
      <c r="AO37" s="125" t="s">
        <v>291</v>
      </c>
      <c r="AQ37" s="14">
        <f t="shared" si="49"/>
        <v>0</v>
      </c>
      <c r="AR37" s="14">
        <f t="shared" si="50"/>
        <v>0</v>
      </c>
      <c r="AS37" s="14">
        <f t="shared" si="51"/>
        <v>0</v>
      </c>
      <c r="AT37" s="14">
        <f t="shared" si="53"/>
        <v>0</v>
      </c>
      <c r="AU37" s="234"/>
      <c r="AV37" s="234"/>
      <c r="AW37" s="234"/>
      <c r="AX37" s="234"/>
      <c r="AY37" s="234"/>
      <c r="AZ37" s="234"/>
      <c r="BA37" s="234"/>
      <c r="BB37" s="16">
        <f t="shared" si="52"/>
        <v>0</v>
      </c>
    </row>
    <row r="38" spans="1:54" ht="78" outlineLevel="2">
      <c r="A38" s="98"/>
      <c r="B38" s="143"/>
      <c r="C38" s="144"/>
      <c r="D38" s="290"/>
      <c r="E38" s="290"/>
      <c r="F38" s="290"/>
      <c r="G38" s="291"/>
      <c r="H38" s="302" t="s">
        <v>585</v>
      </c>
      <c r="I38" s="104"/>
      <c r="J38" s="105"/>
      <c r="K38" s="105"/>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107"/>
      <c r="AA38" s="107"/>
      <c r="AB38" s="108">
        <f>+Z38*'1. Standard_Cost'!$B$23+AA38*'1. Standard_Cost'!$C$23</f>
        <v>0</v>
      </c>
      <c r="AC38" s="261">
        <v>1700000</v>
      </c>
      <c r="AD38" s="262"/>
      <c r="AE38" s="108">
        <f>SUM(AD38,AC38,AB38,Y38,U38,T38,S38,R38)*'1. Standard_Cost'!$B$31</f>
        <v>340000</v>
      </c>
      <c r="AF38" s="108">
        <f t="shared" si="48"/>
        <v>2040000</v>
      </c>
      <c r="AG38" s="107"/>
      <c r="AH38" s="107"/>
      <c r="AI38" s="107"/>
      <c r="AJ38" s="111"/>
      <c r="AK38" s="111"/>
      <c r="AL38" s="111"/>
      <c r="AM38" s="108">
        <f>AG38*'1. Standard_Cost'!$B$27+'Incremental_Cost Year 6'!AH38*'1. Standard_Cost'!$C$27+'Incremental_Cost Year 6'!AI38*'1. Standard_Cost'!$D$27+'Incremental_Cost Year 6'!AJ38+'Incremental_Cost Year 6'!AL38+AK38</f>
        <v>0</v>
      </c>
      <c r="AN38" s="108">
        <f>AM38*'1. Standard_Cost'!$C$31</f>
        <v>0</v>
      </c>
      <c r="AO38" s="125" t="s">
        <v>292</v>
      </c>
      <c r="AQ38" s="14">
        <f t="shared" si="49"/>
        <v>0</v>
      </c>
      <c r="AR38" s="14">
        <f t="shared" si="50"/>
        <v>2040000</v>
      </c>
      <c r="AS38" s="14">
        <f t="shared" si="51"/>
        <v>0</v>
      </c>
      <c r="AT38" s="14">
        <f t="shared" si="53"/>
        <v>2040000</v>
      </c>
      <c r="AU38" s="234">
        <v>2040000</v>
      </c>
      <c r="AV38" s="234"/>
      <c r="AW38" s="234"/>
      <c r="AX38" s="234"/>
      <c r="AY38" s="234"/>
      <c r="AZ38" s="234"/>
      <c r="BA38" s="234"/>
      <c r="BB38" s="16">
        <f t="shared" si="52"/>
        <v>0</v>
      </c>
    </row>
    <row r="39" spans="1:54" ht="156" outlineLevel="1">
      <c r="A39" s="98"/>
      <c r="B39" s="143"/>
      <c r="C39" s="144"/>
      <c r="D39" s="145" t="s">
        <v>628</v>
      </c>
      <c r="E39" s="145" t="s">
        <v>212</v>
      </c>
      <c r="F39" s="285">
        <v>2021</v>
      </c>
      <c r="G39" s="286">
        <v>2026</v>
      </c>
      <c r="H39" s="287" t="s">
        <v>214</v>
      </c>
      <c r="I39" s="112"/>
      <c r="J39" s="112"/>
      <c r="K39" s="112"/>
      <c r="L39" s="113">
        <f>SUM(L33:L38)</f>
        <v>0</v>
      </c>
      <c r="M39" s="113">
        <f>SUM(M33:M38)</f>
        <v>0</v>
      </c>
      <c r="N39" s="112"/>
      <c r="O39" s="112"/>
      <c r="P39" s="112"/>
      <c r="Q39" s="112"/>
      <c r="R39" s="113">
        <f t="shared" ref="R39:U39" si="54">SUM(R33:R38)</f>
        <v>0</v>
      </c>
      <c r="S39" s="113">
        <f t="shared" si="54"/>
        <v>0</v>
      </c>
      <c r="T39" s="113">
        <f t="shared" si="54"/>
        <v>0</v>
      </c>
      <c r="U39" s="113">
        <f t="shared" si="54"/>
        <v>0</v>
      </c>
      <c r="V39" s="112"/>
      <c r="W39" s="112"/>
      <c r="X39" s="112"/>
      <c r="Y39" s="113">
        <f>SUM(Y33:Y38)</f>
        <v>0</v>
      </c>
      <c r="Z39" s="112"/>
      <c r="AA39" s="112"/>
      <c r="AB39" s="113">
        <f>SUM(AB33:AB38)</f>
        <v>0</v>
      </c>
      <c r="AC39" s="113">
        <f t="shared" ref="AC39:AF39" si="55">SUM(AC33:AC38)</f>
        <v>14000000</v>
      </c>
      <c r="AD39" s="113">
        <f t="shared" si="55"/>
        <v>0</v>
      </c>
      <c r="AE39" s="113">
        <f t="shared" si="55"/>
        <v>2800000</v>
      </c>
      <c r="AF39" s="113">
        <f t="shared" si="55"/>
        <v>16800000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0</v>
      </c>
      <c r="AR39" s="113">
        <f t="shared" si="57"/>
        <v>16800000</v>
      </c>
      <c r="AS39" s="113">
        <f t="shared" si="57"/>
        <v>0</v>
      </c>
      <c r="AT39" s="113">
        <f t="shared" si="57"/>
        <v>16800000</v>
      </c>
      <c r="AU39" s="113">
        <f t="shared" si="57"/>
        <v>16800000</v>
      </c>
      <c r="AV39" s="113">
        <f t="shared" si="57"/>
        <v>0</v>
      </c>
      <c r="AW39" s="113">
        <f t="shared" si="57"/>
        <v>0</v>
      </c>
      <c r="AX39" s="113">
        <f t="shared" si="57"/>
        <v>0</v>
      </c>
      <c r="AY39" s="113">
        <f t="shared" si="57"/>
        <v>0</v>
      </c>
      <c r="AZ39" s="113">
        <f t="shared" si="57"/>
        <v>0</v>
      </c>
      <c r="BA39" s="113">
        <f t="shared" si="57"/>
        <v>0</v>
      </c>
      <c r="BB39" s="113">
        <f t="shared" si="57"/>
        <v>0</v>
      </c>
    </row>
    <row r="40" spans="1:54" s="24" customFormat="1" ht="13.8" customHeight="1">
      <c r="A40" s="114"/>
      <c r="B40" s="115"/>
      <c r="C40" s="314" t="s">
        <v>192</v>
      </c>
      <c r="D40" s="314"/>
      <c r="E40" s="315"/>
      <c r="F40" s="246"/>
      <c r="G40" s="246"/>
      <c r="H40" s="278" t="s">
        <v>184</v>
      </c>
      <c r="I40" s="116"/>
      <c r="J40" s="116"/>
      <c r="K40" s="116"/>
      <c r="L40" s="117">
        <f>SUM(L59,L79)</f>
        <v>5337775</v>
      </c>
      <c r="M40" s="117">
        <f>SUM(M59,M79)</f>
        <v>891408.42500000005</v>
      </c>
      <c r="N40" s="116"/>
      <c r="O40" s="116"/>
      <c r="P40" s="116"/>
      <c r="Q40" s="116"/>
      <c r="R40" s="117">
        <f t="shared" ref="R40:U40" si="58">SUM(R59,R79)</f>
        <v>420000</v>
      </c>
      <c r="S40" s="117">
        <f t="shared" si="58"/>
        <v>360000</v>
      </c>
      <c r="T40" s="117">
        <f t="shared" si="58"/>
        <v>0</v>
      </c>
      <c r="U40" s="117">
        <f t="shared" si="58"/>
        <v>640000</v>
      </c>
      <c r="V40" s="116"/>
      <c r="W40" s="116"/>
      <c r="X40" s="116"/>
      <c r="Y40" s="117">
        <f>SUM(Y59,Y79)</f>
        <v>0</v>
      </c>
      <c r="Z40" s="116"/>
      <c r="AA40" s="116"/>
      <c r="AB40" s="117">
        <f t="shared" ref="AB40:AF40" si="59">SUM(AB59,AB79)</f>
        <v>1045000</v>
      </c>
      <c r="AC40" s="117">
        <f t="shared" si="59"/>
        <v>13390000</v>
      </c>
      <c r="AD40" s="117">
        <f t="shared" si="59"/>
        <v>0</v>
      </c>
      <c r="AE40" s="117">
        <f t="shared" si="59"/>
        <v>3171000</v>
      </c>
      <c r="AF40" s="117">
        <f t="shared" si="59"/>
        <v>19026000</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6229183.4250000007</v>
      </c>
      <c r="AR40" s="117">
        <f t="shared" si="61"/>
        <v>19026000</v>
      </c>
      <c r="AS40" s="117">
        <f t="shared" si="61"/>
        <v>0</v>
      </c>
      <c r="AT40" s="117">
        <f t="shared" si="61"/>
        <v>25255183.424999997</v>
      </c>
      <c r="AU40" s="117">
        <f t="shared" si="61"/>
        <v>13803771</v>
      </c>
      <c r="AV40" s="117">
        <f t="shared" si="61"/>
        <v>0</v>
      </c>
      <c r="AW40" s="117">
        <f t="shared" si="61"/>
        <v>0</v>
      </c>
      <c r="AX40" s="117">
        <f t="shared" si="61"/>
        <v>0</v>
      </c>
      <c r="AY40" s="117">
        <f t="shared" si="61"/>
        <v>0</v>
      </c>
      <c r="AZ40" s="117">
        <f t="shared" si="61"/>
        <v>456000</v>
      </c>
      <c r="BA40" s="117">
        <f t="shared" si="61"/>
        <v>5712757</v>
      </c>
      <c r="BB40" s="117">
        <f t="shared" si="61"/>
        <v>-5282655.4250000007</v>
      </c>
    </row>
    <row r="41" spans="1:54" ht="93.6" outlineLevel="2">
      <c r="A41" s="98"/>
      <c r="B41" s="102"/>
      <c r="C41" s="23"/>
      <c r="D41" s="257"/>
      <c r="E41" s="257"/>
      <c r="F41" s="251"/>
      <c r="G41" s="250"/>
      <c r="H41" s="302" t="s">
        <v>589</v>
      </c>
      <c r="I41" s="104"/>
      <c r="J41" s="105"/>
      <c r="K41" s="105"/>
      <c r="L41" s="106" t="str">
        <f>IF(I41&lt;&gt;0,((VLOOKUP(I41,'1. Standard_Cost'!$B$4:$D$11,2)+VLOOKUP(I41,'1. Standard_Cost'!$B$4:$D$11,3))*J41*K41),"0")</f>
        <v>0</v>
      </c>
      <c r="M41" s="106">
        <f>L41*'1. Standard_Cost'!$F$4</f>
        <v>0</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107"/>
      <c r="AA41" s="107"/>
      <c r="AB41" s="108">
        <f>+Z41*'1. Standard_Cost'!$B$23+AA41*'1. Standard_Cost'!$C$23</f>
        <v>0</v>
      </c>
      <c r="AC41" s="109"/>
      <c r="AD41" s="110"/>
      <c r="AE41" s="108">
        <f>SUM(AD41,AC41,AB41,Y41,U41,T41,S41,R41)*'1. Standard_Cost'!$B$31</f>
        <v>0</v>
      </c>
      <c r="AF41" s="108">
        <f t="shared" ref="AF41:AF58" si="62">SUM(AE41,AD41,AC41,AB41,Y41,U41,T41,S41,R41)</f>
        <v>0</v>
      </c>
      <c r="AG41" s="107"/>
      <c r="AH41" s="107"/>
      <c r="AI41" s="107"/>
      <c r="AJ41" s="111"/>
      <c r="AK41" s="111"/>
      <c r="AL41" s="111"/>
      <c r="AM41" s="108">
        <f>AG41*'1. Standard_Cost'!$B$27+'Incremental_Cost Year 6'!AH41*'1. Standard_Cost'!$C$27+'Incremental_Cost Year 6'!AI41*'1. Standard_Cost'!$D$27+'Incremental_Cost Year 6'!AJ41+'Incremental_Cost Year 6'!AL41+AK41</f>
        <v>0</v>
      </c>
      <c r="AN41" s="108">
        <f>AM41*'1. Standard_Cost'!$C$31</f>
        <v>0</v>
      </c>
      <c r="AO41" s="125" t="s">
        <v>293</v>
      </c>
      <c r="AQ41" s="14">
        <f t="shared" ref="AQ41:AQ58" si="63">L41+M41</f>
        <v>0</v>
      </c>
      <c r="AR41" s="14">
        <f t="shared" ref="AR41:AR58" si="64">AF41</f>
        <v>0</v>
      </c>
      <c r="AS41" s="14">
        <f t="shared" ref="AS41:AS58" si="65">AM41+AN41</f>
        <v>0</v>
      </c>
      <c r="AT41" s="14">
        <f>SUM(AQ41,AR41,AS41)</f>
        <v>0</v>
      </c>
      <c r="AU41" s="15"/>
      <c r="AV41" s="15"/>
      <c r="AW41" s="15"/>
      <c r="AX41" s="15"/>
      <c r="AY41" s="15"/>
      <c r="AZ41" s="15"/>
      <c r="BA41" s="15"/>
      <c r="BB41" s="16">
        <f t="shared" ref="BB41:BB58" si="66">SUM(AU41:BA41)-AT41</f>
        <v>0</v>
      </c>
    </row>
    <row r="42" spans="1:54" ht="109.2" outlineLevel="2">
      <c r="A42" s="98"/>
      <c r="B42" s="102"/>
      <c r="C42" s="23"/>
      <c r="D42" s="251"/>
      <c r="E42" s="251"/>
      <c r="F42" s="251"/>
      <c r="G42" s="250"/>
      <c r="H42" s="302" t="s">
        <v>590</v>
      </c>
      <c r="I42" s="104"/>
      <c r="J42" s="105"/>
      <c r="K42" s="105"/>
      <c r="L42" s="106" t="str">
        <f>IF(I42&lt;&gt;0,((VLOOKUP(I42,'1. Standard_Cost'!$B$4:$D$11,2)+VLOOKUP(I42,'1. Standard_Cost'!$B$4:$D$11,3))*J42*K42),"0")</f>
        <v>0</v>
      </c>
      <c r="M42" s="106">
        <f>L42*'1. Standard_Cost'!$F$4</f>
        <v>0</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107"/>
      <c r="AA42" s="107"/>
      <c r="AB42" s="108">
        <f>+Z42*'1. Standard_Cost'!$B$23+AA42*'1. Standard_Cost'!$C$23</f>
        <v>0</v>
      </c>
      <c r="AC42" s="109"/>
      <c r="AD42" s="110"/>
      <c r="AE42" s="108">
        <f>SUM(AD42,AC42,AB42,Y42,U42,T42,S42,R42)*'1. Standard_Cost'!$B$31</f>
        <v>0</v>
      </c>
      <c r="AF42" s="108">
        <f t="shared" si="62"/>
        <v>0</v>
      </c>
      <c r="AG42" s="107"/>
      <c r="AH42" s="107"/>
      <c r="AI42" s="107"/>
      <c r="AJ42" s="111"/>
      <c r="AK42" s="111"/>
      <c r="AL42" s="111"/>
      <c r="AM42" s="108">
        <f>AG42*'1. Standard_Cost'!$B$27+'Incremental_Cost Year 6'!AH42*'1. Standard_Cost'!$C$27+'Incremental_Cost Year 6'!AI42*'1. Standard_Cost'!$D$27+'Incremental_Cost Year 6'!AJ42+'Incremental_Cost Year 6'!AL42+AK42</f>
        <v>0</v>
      </c>
      <c r="AN42" s="108">
        <f>AM42*'1. Standard_Cost'!$C$31</f>
        <v>0</v>
      </c>
      <c r="AO42" s="125" t="s">
        <v>294</v>
      </c>
      <c r="AQ42" s="14">
        <f t="shared" si="63"/>
        <v>0</v>
      </c>
      <c r="AR42" s="14">
        <f t="shared" si="64"/>
        <v>0</v>
      </c>
      <c r="AS42" s="14">
        <f t="shared" si="65"/>
        <v>0</v>
      </c>
      <c r="AT42" s="14">
        <f t="shared" ref="AT42:AT57" si="67">SUM(AQ42,AR42,AS42)</f>
        <v>0</v>
      </c>
      <c r="AU42" s="15"/>
      <c r="AV42" s="15">
        <v>0</v>
      </c>
      <c r="AW42" s="15"/>
      <c r="AX42" s="15"/>
      <c r="AY42" s="15"/>
      <c r="AZ42" s="15"/>
      <c r="BA42" s="15"/>
      <c r="BB42" s="16">
        <f t="shared" si="66"/>
        <v>0</v>
      </c>
    </row>
    <row r="43" spans="1:54" ht="124.8" outlineLevel="2">
      <c r="A43" s="98"/>
      <c r="B43" s="102"/>
      <c r="C43" s="23"/>
      <c r="D43" s="251"/>
      <c r="E43" s="251"/>
      <c r="F43" s="251"/>
      <c r="G43" s="250"/>
      <c r="H43" s="302" t="s">
        <v>591</v>
      </c>
      <c r="I43" s="104"/>
      <c r="J43" s="105"/>
      <c r="K43" s="105"/>
      <c r="L43" s="106" t="str">
        <f>IF(I43&lt;&gt;0,((VLOOKUP(I43,'1. Standard_Cost'!$B$4:$D$11,2)+VLOOKUP(I43,'1. Standard_Cost'!$B$4:$D$11,3))*J43*K43),"0")</f>
        <v>0</v>
      </c>
      <c r="M43" s="106">
        <f>L43*'1. Standard_Cost'!$F$4</f>
        <v>0</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107"/>
      <c r="AA43" s="107"/>
      <c r="AB43" s="108">
        <f>+Z43*'1. Standard_Cost'!$B$23+AA43*'1. Standard_Cost'!$C$23</f>
        <v>0</v>
      </c>
      <c r="AC43" s="109"/>
      <c r="AD43" s="110"/>
      <c r="AE43" s="108">
        <f>SUM(AD43,AC43,AB43,Y43,U43,T43,S43,R43)*'1. Standard_Cost'!$B$31</f>
        <v>0</v>
      </c>
      <c r="AF43" s="108">
        <f t="shared" si="62"/>
        <v>0</v>
      </c>
      <c r="AG43" s="107"/>
      <c r="AH43" s="107"/>
      <c r="AI43" s="107"/>
      <c r="AJ43" s="111"/>
      <c r="AK43" s="111"/>
      <c r="AL43" s="111"/>
      <c r="AM43" s="108">
        <f>AG43*'1. Standard_Cost'!$B$27+'Incremental_Cost Year 6'!AH43*'1. Standard_Cost'!$C$27+'Incremental_Cost Year 6'!AI43*'1. Standard_Cost'!$D$27+'Incremental_Cost Year 6'!AJ43+'Incremental_Cost Year 6'!AL43+AK43</f>
        <v>0</v>
      </c>
      <c r="AN43" s="108">
        <f>AM43*'1. Standard_Cost'!$C$31</f>
        <v>0</v>
      </c>
      <c r="AO43" s="125" t="s">
        <v>295</v>
      </c>
      <c r="AQ43" s="14">
        <f t="shared" si="63"/>
        <v>0</v>
      </c>
      <c r="AR43" s="14">
        <f t="shared" si="64"/>
        <v>0</v>
      </c>
      <c r="AS43" s="14">
        <f t="shared" si="65"/>
        <v>0</v>
      </c>
      <c r="AT43" s="14">
        <f t="shared" si="67"/>
        <v>0</v>
      </c>
      <c r="AU43" s="15"/>
      <c r="AV43" s="15">
        <v>0</v>
      </c>
      <c r="AW43" s="15"/>
      <c r="AX43" s="15"/>
      <c r="AY43" s="15"/>
      <c r="AZ43" s="15"/>
      <c r="BA43" s="15"/>
      <c r="BB43" s="16">
        <f t="shared" si="66"/>
        <v>0</v>
      </c>
    </row>
    <row r="44" spans="1:54" ht="82.8" outlineLevel="2">
      <c r="A44" s="98"/>
      <c r="B44" s="102"/>
      <c r="C44" s="23"/>
      <c r="D44" s="251"/>
      <c r="E44" s="251"/>
      <c r="F44" s="172"/>
      <c r="G44" s="173"/>
      <c r="H44" s="302" t="s">
        <v>674</v>
      </c>
      <c r="I44" s="104"/>
      <c r="J44" s="105"/>
      <c r="K44" s="105"/>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107"/>
      <c r="AA44" s="107"/>
      <c r="AB44" s="108">
        <f>+Z44*'1. Standard_Cost'!$B$23+AA44*'1. Standard_Cost'!$C$23</f>
        <v>0</v>
      </c>
      <c r="AC44" s="109"/>
      <c r="AD44" s="110"/>
      <c r="AE44" s="108">
        <f>SUM(AD44,AC44,AB44,Y44,U44,T44,S44,R44)*'1. Standard_Cost'!$B$31</f>
        <v>0</v>
      </c>
      <c r="AF44" s="108">
        <f t="shared" si="62"/>
        <v>0</v>
      </c>
      <c r="AG44" s="107"/>
      <c r="AH44" s="107"/>
      <c r="AI44" s="107"/>
      <c r="AJ44" s="111"/>
      <c r="AK44" s="111"/>
      <c r="AL44" s="111"/>
      <c r="AM44" s="108">
        <f>AG44*'1. Standard_Cost'!$B$27+'Incremental_Cost Year 6'!AH44*'1. Standard_Cost'!$C$27+'Incremental_Cost Year 6'!AI44*'1. Standard_Cost'!$D$27+'Incremental_Cost Year 6'!AJ44+'Incremental_Cost Year 6'!AL44+AK44</f>
        <v>0</v>
      </c>
      <c r="AN44" s="108">
        <f>AM44*'1. Standard_Cost'!$C$31</f>
        <v>0</v>
      </c>
      <c r="AO44" s="125" t="s">
        <v>296</v>
      </c>
      <c r="AQ44" s="14">
        <f t="shared" si="63"/>
        <v>0</v>
      </c>
      <c r="AR44" s="14">
        <f t="shared" si="64"/>
        <v>0</v>
      </c>
      <c r="AS44" s="14">
        <f t="shared" si="65"/>
        <v>0</v>
      </c>
      <c r="AT44" s="14">
        <f t="shared" si="67"/>
        <v>0</v>
      </c>
      <c r="AU44" s="15"/>
      <c r="AV44" s="15"/>
      <c r="AW44" s="15"/>
      <c r="AX44" s="15"/>
      <c r="AY44" s="15"/>
      <c r="AZ44" s="15"/>
      <c r="BA44" s="15"/>
      <c r="BB44" s="16">
        <f t="shared" si="66"/>
        <v>0</v>
      </c>
    </row>
    <row r="45" spans="1:54" ht="109.2" outlineLevel="2">
      <c r="A45" s="98"/>
      <c r="B45" s="102"/>
      <c r="C45" s="23"/>
      <c r="D45" s="251"/>
      <c r="E45" s="251"/>
      <c r="F45" s="251"/>
      <c r="G45" s="250"/>
      <c r="H45" s="302" t="s">
        <v>592</v>
      </c>
      <c r="I45" s="104"/>
      <c r="J45" s="105"/>
      <c r="K45" s="105"/>
      <c r="L45" s="106" t="str">
        <f>IF(I45&lt;&gt;0,((VLOOKUP(I45,'1. Standard_Cost'!$B$4:$D$11,2)+VLOOKUP(I45,'1. Standard_Cost'!$B$4:$D$11,3))*J45*K45),"0")</f>
        <v>0</v>
      </c>
      <c r="M45" s="106">
        <f>L45*'1. Standard_Cost'!$F$4</f>
        <v>0</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107"/>
      <c r="AA45" s="107"/>
      <c r="AB45" s="108">
        <f>+Z45*'1. Standard_Cost'!$B$23+AA45*'1. Standard_Cost'!$C$23</f>
        <v>0</v>
      </c>
      <c r="AC45" s="109"/>
      <c r="AD45" s="110"/>
      <c r="AE45" s="108">
        <f>SUM(AD45,AC45,AB45,Y45,U45,T45,S45,R45)*'1. Standard_Cost'!$B$31</f>
        <v>0</v>
      </c>
      <c r="AF45" s="108">
        <f t="shared" si="62"/>
        <v>0</v>
      </c>
      <c r="AG45" s="107"/>
      <c r="AH45" s="107"/>
      <c r="AI45" s="107"/>
      <c r="AJ45" s="111"/>
      <c r="AK45" s="111"/>
      <c r="AL45" s="111"/>
      <c r="AM45" s="108">
        <f>AG45*'1. Standard_Cost'!$B$27+'Incremental_Cost Year 6'!AH45*'1. Standard_Cost'!$C$27+'Incremental_Cost Year 6'!AI45*'1. Standard_Cost'!$D$27+'Incremental_Cost Year 6'!AJ45+'Incremental_Cost Year 6'!AL45+AK45</f>
        <v>0</v>
      </c>
      <c r="AN45" s="108">
        <f>AM45*'1. Standard_Cost'!$C$31</f>
        <v>0</v>
      </c>
      <c r="AO45" s="125" t="s">
        <v>297</v>
      </c>
      <c r="AQ45" s="14">
        <f t="shared" si="63"/>
        <v>0</v>
      </c>
      <c r="AR45" s="14">
        <f t="shared" si="64"/>
        <v>0</v>
      </c>
      <c r="AS45" s="14">
        <f t="shared" si="65"/>
        <v>0</v>
      </c>
      <c r="AT45" s="14">
        <f t="shared" si="67"/>
        <v>0</v>
      </c>
      <c r="AU45" s="15"/>
      <c r="AV45" s="15">
        <v>0</v>
      </c>
      <c r="AW45" s="15"/>
      <c r="AX45" s="15"/>
      <c r="AY45" s="15"/>
      <c r="AZ45" s="15"/>
      <c r="BA45" s="15"/>
      <c r="BB45" s="16">
        <f t="shared" si="66"/>
        <v>0</v>
      </c>
    </row>
    <row r="46" spans="1:54" ht="140.4" outlineLevel="2">
      <c r="A46" s="98"/>
      <c r="B46" s="102"/>
      <c r="C46" s="23"/>
      <c r="D46" s="251"/>
      <c r="E46" s="251"/>
      <c r="F46" s="251"/>
      <c r="G46" s="250"/>
      <c r="H46" s="302" t="s">
        <v>593</v>
      </c>
      <c r="I46" s="104"/>
      <c r="J46" s="105"/>
      <c r="K46" s="105"/>
      <c r="L46" s="106" t="str">
        <f>IF(I46&lt;&gt;0,((VLOOKUP(I46,'1. Standard_Cost'!$B$4:$D$11,2)+VLOOKUP(I46,'1. Standard_Cost'!$B$4:$D$11,3))*J46*K46),"0")</f>
        <v>0</v>
      </c>
      <c r="M46" s="106">
        <f>L46*'1. Standard_Cost'!$F$4</f>
        <v>0</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107"/>
      <c r="AA46" s="107"/>
      <c r="AB46" s="108">
        <f>+Z46*'1. Standard_Cost'!$B$23+AA46*'1. Standard_Cost'!$C$23</f>
        <v>0</v>
      </c>
      <c r="AC46" s="109"/>
      <c r="AD46" s="110"/>
      <c r="AE46" s="108">
        <f>SUM(AD46,AC46,AB46,Y46,U46,T46,S46,R46)*'1. Standard_Cost'!$B$31</f>
        <v>0</v>
      </c>
      <c r="AF46" s="108">
        <f t="shared" si="62"/>
        <v>0</v>
      </c>
      <c r="AG46" s="107"/>
      <c r="AH46" s="107"/>
      <c r="AI46" s="107"/>
      <c r="AJ46" s="111"/>
      <c r="AK46" s="111"/>
      <c r="AL46" s="111"/>
      <c r="AM46" s="108">
        <f>AG46*'1. Standard_Cost'!$B$27+'Incremental_Cost Year 6'!AH46*'1. Standard_Cost'!$C$27+'Incremental_Cost Year 6'!AI46*'1. Standard_Cost'!$D$27+'Incremental_Cost Year 6'!AJ46+'Incremental_Cost Year 6'!AL46+AK46</f>
        <v>0</v>
      </c>
      <c r="AN46" s="108">
        <f>AM46*'1. Standard_Cost'!$C$31</f>
        <v>0</v>
      </c>
      <c r="AO46" s="125" t="s">
        <v>298</v>
      </c>
      <c r="AQ46" s="14">
        <f t="shared" si="63"/>
        <v>0</v>
      </c>
      <c r="AR46" s="14">
        <f t="shared" si="64"/>
        <v>0</v>
      </c>
      <c r="AS46" s="14">
        <f t="shared" si="65"/>
        <v>0</v>
      </c>
      <c r="AT46" s="14">
        <f t="shared" si="67"/>
        <v>0</v>
      </c>
      <c r="AU46" s="15"/>
      <c r="AV46" s="15"/>
      <c r="AW46" s="15"/>
      <c r="AX46" s="15"/>
      <c r="AY46" s="15"/>
      <c r="AZ46" s="15"/>
      <c r="BA46" s="15"/>
      <c r="BB46" s="16">
        <f t="shared" si="66"/>
        <v>0</v>
      </c>
    </row>
    <row r="47" spans="1:54" ht="93.6" outlineLevel="2">
      <c r="A47" s="98"/>
      <c r="B47" s="102"/>
      <c r="C47" s="23"/>
      <c r="D47" s="251"/>
      <c r="E47" s="251"/>
      <c r="F47" s="172"/>
      <c r="G47" s="173"/>
      <c r="H47" s="302" t="s">
        <v>594</v>
      </c>
      <c r="I47" s="104"/>
      <c r="J47" s="105"/>
      <c r="K47" s="105"/>
      <c r="L47" s="106" t="str">
        <f>IF(I47&lt;&gt;0,((VLOOKUP(I47,'1. Standard_Cost'!$B$4:$D$11,2)+VLOOKUP(I47,'1. Standard_Cost'!$B$4:$D$11,3))*J47*K47),"0")</f>
        <v>0</v>
      </c>
      <c r="M47" s="106">
        <f>L47*'1. Standard_Cost'!$F$4</f>
        <v>0</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107"/>
      <c r="AA47" s="107"/>
      <c r="AB47" s="108">
        <f>+Z47*'1. Standard_Cost'!$B$23+AA47*'1. Standard_Cost'!$C$23</f>
        <v>0</v>
      </c>
      <c r="AC47" s="109"/>
      <c r="AD47" s="110"/>
      <c r="AE47" s="108">
        <f>SUM(AD47,AC47,AB47,Y47,U47,T47,S47,R47)*'1. Standard_Cost'!$B$31</f>
        <v>0</v>
      </c>
      <c r="AF47" s="108">
        <f t="shared" si="62"/>
        <v>0</v>
      </c>
      <c r="AG47" s="107"/>
      <c r="AH47" s="107"/>
      <c r="AI47" s="107"/>
      <c r="AJ47" s="111"/>
      <c r="AK47" s="111"/>
      <c r="AL47" s="111"/>
      <c r="AM47" s="108">
        <f>AG47*'1. Standard_Cost'!$B$27+'Incremental_Cost Year 6'!AH47*'1. Standard_Cost'!$C$27+'Incremental_Cost Year 6'!AI47*'1. Standard_Cost'!$D$27+'Incremental_Cost Year 6'!AJ47+'Incremental_Cost Year 6'!AL47+AK47</f>
        <v>0</v>
      </c>
      <c r="AN47" s="108">
        <f>AM47*'1. Standard_Cost'!$C$31</f>
        <v>0</v>
      </c>
      <c r="AO47" s="125" t="s">
        <v>298</v>
      </c>
      <c r="AQ47" s="14">
        <f t="shared" si="63"/>
        <v>0</v>
      </c>
      <c r="AR47" s="14">
        <f t="shared" si="64"/>
        <v>0</v>
      </c>
      <c r="AS47" s="14">
        <f t="shared" si="65"/>
        <v>0</v>
      </c>
      <c r="AT47" s="14">
        <f t="shared" si="67"/>
        <v>0</v>
      </c>
      <c r="AU47" s="15"/>
      <c r="AV47" s="15">
        <v>0</v>
      </c>
      <c r="AW47" s="15"/>
      <c r="AX47" s="15"/>
      <c r="AY47" s="15"/>
      <c r="AZ47" s="15"/>
      <c r="BA47" s="15"/>
      <c r="BB47" s="16">
        <f t="shared" si="66"/>
        <v>0</v>
      </c>
    </row>
    <row r="48" spans="1:54" ht="93.6" outlineLevel="2">
      <c r="A48" s="98"/>
      <c r="B48" s="102"/>
      <c r="C48" s="23"/>
      <c r="D48" s="251"/>
      <c r="E48" s="251"/>
      <c r="F48" s="172"/>
      <c r="G48" s="173"/>
      <c r="H48" s="302" t="s">
        <v>595</v>
      </c>
      <c r="I48" s="104"/>
      <c r="J48" s="105"/>
      <c r="K48" s="105"/>
      <c r="L48" s="106" t="str">
        <f>IF(I48&lt;&gt;0,((VLOOKUP(I48,'1. Standard_Cost'!$B$4:$D$11,2)+VLOOKUP(I48,'1. Standard_Cost'!$B$4:$D$11,3))*J48*K48),"0")</f>
        <v>0</v>
      </c>
      <c r="M48" s="106">
        <f>L48*'1. Standard_Cost'!$F$4</f>
        <v>0</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107"/>
      <c r="AA48" s="107"/>
      <c r="AB48" s="108">
        <f>+Z48*'1. Standard_Cost'!$B$23+AA48*'1. Standard_Cost'!$C$23</f>
        <v>0</v>
      </c>
      <c r="AC48" s="109"/>
      <c r="AD48" s="110"/>
      <c r="AE48" s="108">
        <f>SUM(AD48,AC48,AB48,Y48,U48,T48,S48,R48)*'1. Standard_Cost'!$B$31</f>
        <v>0</v>
      </c>
      <c r="AF48" s="108">
        <f t="shared" si="62"/>
        <v>0</v>
      </c>
      <c r="AG48" s="107"/>
      <c r="AH48" s="107"/>
      <c r="AI48" s="107"/>
      <c r="AJ48" s="111"/>
      <c r="AK48" s="111"/>
      <c r="AL48" s="111"/>
      <c r="AM48" s="108">
        <f>AG48*'1. Standard_Cost'!$B$27+'Incremental_Cost Year 6'!AH48*'1. Standard_Cost'!$C$27+'Incremental_Cost Year 6'!AI48*'1. Standard_Cost'!$D$27+'Incremental_Cost Year 6'!AJ48+'Incremental_Cost Year 6'!AL48+AK48</f>
        <v>0</v>
      </c>
      <c r="AN48" s="108">
        <f>AM48*'1. Standard_Cost'!$C$31</f>
        <v>0</v>
      </c>
      <c r="AO48" s="125" t="s">
        <v>298</v>
      </c>
      <c r="AQ48" s="14">
        <f t="shared" si="63"/>
        <v>0</v>
      </c>
      <c r="AR48" s="14">
        <f t="shared" si="64"/>
        <v>0</v>
      </c>
      <c r="AS48" s="14">
        <f t="shared" si="65"/>
        <v>0</v>
      </c>
      <c r="AT48" s="14">
        <f t="shared" si="67"/>
        <v>0</v>
      </c>
      <c r="AU48" s="15"/>
      <c r="AV48" s="15"/>
      <c r="AW48" s="15"/>
      <c r="AX48" s="15"/>
      <c r="AY48" s="15"/>
      <c r="AZ48" s="15"/>
      <c r="BA48" s="15"/>
      <c r="BB48" s="16">
        <f t="shared" si="66"/>
        <v>0</v>
      </c>
    </row>
    <row r="49" spans="1:54" ht="124.8" outlineLevel="2">
      <c r="A49" s="98"/>
      <c r="B49" s="102"/>
      <c r="C49" s="23"/>
      <c r="D49" s="251"/>
      <c r="E49" s="251"/>
      <c r="F49" s="251"/>
      <c r="G49" s="250"/>
      <c r="H49" s="302" t="s">
        <v>596</v>
      </c>
      <c r="I49" s="104"/>
      <c r="J49" s="105"/>
      <c r="K49" s="105"/>
      <c r="L49" s="106" t="str">
        <f>IF(I49&lt;&gt;0,((VLOOKUP(I49,'1. Standard_Cost'!$B$4:$D$11,2)+VLOOKUP(I49,'1. Standard_Cost'!$B$4:$D$11,3))*J49*K49),"0")</f>
        <v>0</v>
      </c>
      <c r="M49" s="106">
        <f>L49*'1. Standard_Cost'!$F$4</f>
        <v>0</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107"/>
      <c r="AA49" s="107"/>
      <c r="AB49" s="108">
        <f>+Z49*'1. Standard_Cost'!$B$23+AA49*'1. Standard_Cost'!$C$23</f>
        <v>0</v>
      </c>
      <c r="AC49" s="109"/>
      <c r="AD49" s="110"/>
      <c r="AE49" s="108">
        <f>SUM(AD49,AC49,AB49,Y49,U49,T49,S49,R49)*'1. Standard_Cost'!$B$31</f>
        <v>0</v>
      </c>
      <c r="AF49" s="108">
        <f t="shared" si="62"/>
        <v>0</v>
      </c>
      <c r="AG49" s="107"/>
      <c r="AH49" s="107"/>
      <c r="AI49" s="107"/>
      <c r="AJ49" s="111"/>
      <c r="AK49" s="111"/>
      <c r="AL49" s="111"/>
      <c r="AM49" s="108">
        <f>AG49*'1. Standard_Cost'!$B$27+'Incremental_Cost Year 6'!AH49*'1. Standard_Cost'!$C$27+'Incremental_Cost Year 6'!AI49*'1. Standard_Cost'!$D$27+'Incremental_Cost Year 6'!AJ49+'Incremental_Cost Year 6'!AL49+AK49</f>
        <v>0</v>
      </c>
      <c r="AN49" s="108">
        <f>AM49*'1. Standard_Cost'!$C$31</f>
        <v>0</v>
      </c>
      <c r="AO49" s="125" t="s">
        <v>299</v>
      </c>
      <c r="AQ49" s="14">
        <f t="shared" si="63"/>
        <v>0</v>
      </c>
      <c r="AR49" s="14">
        <f t="shared" si="64"/>
        <v>0</v>
      </c>
      <c r="AS49" s="14">
        <f t="shared" si="65"/>
        <v>0</v>
      </c>
      <c r="AT49" s="14">
        <f t="shared" si="67"/>
        <v>0</v>
      </c>
      <c r="AU49" s="15"/>
      <c r="AV49" s="15">
        <v>0</v>
      </c>
      <c r="AW49" s="15"/>
      <c r="AX49" s="15"/>
      <c r="AY49" s="15"/>
      <c r="AZ49" s="15"/>
      <c r="BA49" s="15"/>
      <c r="BB49" s="16">
        <f t="shared" si="66"/>
        <v>0</v>
      </c>
    </row>
    <row r="50" spans="1:54" ht="140.4" customHeight="1" outlineLevel="2">
      <c r="A50" s="98"/>
      <c r="B50" s="102"/>
      <c r="C50" s="23"/>
      <c r="D50" s="251"/>
      <c r="E50" s="251"/>
      <c r="F50" s="172"/>
      <c r="G50" s="173"/>
      <c r="H50" s="302" t="s">
        <v>597</v>
      </c>
      <c r="I50" s="104"/>
      <c r="J50" s="105"/>
      <c r="K50" s="105"/>
      <c r="L50" s="106" t="str">
        <f>IF(I50&lt;&gt;0,((VLOOKUP(I50,'1. Standard_Cost'!$B$4:$D$11,2)+VLOOKUP(I50,'1. Standard_Cost'!$B$4:$D$11,3))*J50*K50),"0")</f>
        <v>0</v>
      </c>
      <c r="M50" s="106">
        <f>L50*'1. Standard_Cost'!$F$4</f>
        <v>0</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107"/>
      <c r="AA50" s="107"/>
      <c r="AB50" s="108">
        <f>+Z50*'1. Standard_Cost'!$B$23+AA50*'1. Standard_Cost'!$C$23</f>
        <v>0</v>
      </c>
      <c r="AC50" s="109"/>
      <c r="AD50" s="110"/>
      <c r="AE50" s="108">
        <f>SUM(AD50,AC50,AB50,Y50,U50,T50,S50,R50)*'1. Standard_Cost'!$B$31</f>
        <v>0</v>
      </c>
      <c r="AF50" s="108">
        <f t="shared" si="62"/>
        <v>0</v>
      </c>
      <c r="AG50" s="107"/>
      <c r="AH50" s="107"/>
      <c r="AI50" s="107"/>
      <c r="AJ50" s="111"/>
      <c r="AK50" s="111"/>
      <c r="AL50" s="111"/>
      <c r="AM50" s="108">
        <f>AG50*'1. Standard_Cost'!$B$27+'Incremental_Cost Year 6'!AH50*'1. Standard_Cost'!$C$27+'Incremental_Cost Year 6'!AI50*'1. Standard_Cost'!$D$27+'Incremental_Cost Year 6'!AJ50+'Incremental_Cost Year 6'!AL50+AK50</f>
        <v>0</v>
      </c>
      <c r="AN50" s="108">
        <f>AM50*'1. Standard_Cost'!$C$31</f>
        <v>0</v>
      </c>
      <c r="AO50" s="125" t="s">
        <v>300</v>
      </c>
      <c r="AQ50" s="14">
        <f t="shared" si="63"/>
        <v>0</v>
      </c>
      <c r="AR50" s="14">
        <f t="shared" si="64"/>
        <v>0</v>
      </c>
      <c r="AS50" s="14">
        <f t="shared" si="65"/>
        <v>0</v>
      </c>
      <c r="AT50" s="14">
        <f t="shared" si="67"/>
        <v>0</v>
      </c>
      <c r="AU50" s="15"/>
      <c r="AV50" s="15">
        <v>0</v>
      </c>
      <c r="AW50" s="15"/>
      <c r="AX50" s="15"/>
      <c r="AY50" s="15"/>
      <c r="AZ50" s="15"/>
      <c r="BA50" s="15"/>
      <c r="BB50" s="16">
        <f t="shared" si="66"/>
        <v>0</v>
      </c>
    </row>
    <row r="51" spans="1:54" ht="109.2" outlineLevel="2">
      <c r="A51" s="98"/>
      <c r="B51" s="102"/>
      <c r="C51" s="23"/>
      <c r="D51" s="251"/>
      <c r="E51" s="251"/>
      <c r="F51" s="251"/>
      <c r="G51" s="173"/>
      <c r="H51" s="302" t="s">
        <v>598</v>
      </c>
      <c r="I51" s="104"/>
      <c r="J51" s="105"/>
      <c r="K51" s="105"/>
      <c r="L51" s="106" t="str">
        <f>IF(I51&lt;&gt;0,((VLOOKUP(I51,'1. Standard_Cost'!$B$4:$D$11,2)+VLOOKUP(I51,'1. Standard_Cost'!$B$4:$D$11,3))*J51*K51),"0")</f>
        <v>0</v>
      </c>
      <c r="M51" s="106">
        <f>L51*'1. Standard_Cost'!$F$4</f>
        <v>0</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107"/>
      <c r="AA51" s="107"/>
      <c r="AB51" s="108">
        <f>+Z51*'1. Standard_Cost'!$B$23+AA51*'1. Standard_Cost'!$C$23</f>
        <v>0</v>
      </c>
      <c r="AC51" s="109"/>
      <c r="AD51" s="110"/>
      <c r="AE51" s="108">
        <f>SUM(AD51,AC51,AB51,Y51,U51,T51,S51,R51)*'1. Standard_Cost'!$B$31</f>
        <v>0</v>
      </c>
      <c r="AF51" s="108">
        <f t="shared" si="62"/>
        <v>0</v>
      </c>
      <c r="AG51" s="107"/>
      <c r="AH51" s="107"/>
      <c r="AI51" s="107"/>
      <c r="AJ51" s="111"/>
      <c r="AK51" s="111"/>
      <c r="AL51" s="111"/>
      <c r="AM51" s="108">
        <f>AG51*'1. Standard_Cost'!$B$27+'Incremental_Cost Year 6'!AH51*'1. Standard_Cost'!$C$27+'Incremental_Cost Year 6'!AI51*'1. Standard_Cost'!$D$27+'Incremental_Cost Year 6'!AJ51+'Incremental_Cost Year 6'!AL51+AK51</f>
        <v>0</v>
      </c>
      <c r="AN51" s="108">
        <f>AM51*'1. Standard_Cost'!$C$31</f>
        <v>0</v>
      </c>
      <c r="AO51" s="125" t="s">
        <v>301</v>
      </c>
      <c r="AQ51" s="14">
        <f t="shared" si="63"/>
        <v>0</v>
      </c>
      <c r="AR51" s="14">
        <f t="shared" si="64"/>
        <v>0</v>
      </c>
      <c r="AS51" s="14">
        <f t="shared" si="65"/>
        <v>0</v>
      </c>
      <c r="AT51" s="14">
        <f t="shared" si="67"/>
        <v>0</v>
      </c>
      <c r="AU51" s="15"/>
      <c r="AV51" s="15"/>
      <c r="AW51" s="15"/>
      <c r="AX51" s="15"/>
      <c r="AY51" s="15"/>
      <c r="AZ51" s="15"/>
      <c r="BA51" s="15"/>
      <c r="BB51" s="16">
        <f t="shared" si="66"/>
        <v>0</v>
      </c>
    </row>
    <row r="52" spans="1:54" ht="109.2" outlineLevel="2">
      <c r="A52" s="98"/>
      <c r="B52" s="102"/>
      <c r="C52" s="23"/>
      <c r="D52" s="251"/>
      <c r="E52" s="251"/>
      <c r="F52" s="251"/>
      <c r="G52" s="250"/>
      <c r="H52" s="302" t="s">
        <v>599</v>
      </c>
      <c r="I52" s="104"/>
      <c r="J52" s="105"/>
      <c r="K52" s="105"/>
      <c r="L52" s="106" t="str">
        <f>IF(I52&lt;&gt;0,((VLOOKUP(I52,'1. Standard_Cost'!$B$4:$D$11,2)+VLOOKUP(I52,'1. Standard_Cost'!$B$4:$D$11,3))*J52*K52),"0")</f>
        <v>0</v>
      </c>
      <c r="M52" s="106">
        <f>L52*'1. Standard_Cost'!$F$4</f>
        <v>0</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107"/>
      <c r="AA52" s="107"/>
      <c r="AB52" s="108">
        <f>+Z52*'1. Standard_Cost'!$B$23+AA52*'1. Standard_Cost'!$C$23</f>
        <v>0</v>
      </c>
      <c r="AC52" s="109"/>
      <c r="AD52" s="110"/>
      <c r="AE52" s="108">
        <f>SUM(AD52,AC52,AB52,Y52,U52,T52,S52,R52)*'1. Standard_Cost'!$B$31</f>
        <v>0</v>
      </c>
      <c r="AF52" s="108">
        <f t="shared" si="62"/>
        <v>0</v>
      </c>
      <c r="AG52" s="107"/>
      <c r="AH52" s="107"/>
      <c r="AI52" s="107"/>
      <c r="AJ52" s="111"/>
      <c r="AK52" s="111"/>
      <c r="AL52" s="111"/>
      <c r="AM52" s="108">
        <f>AG52*'1. Standard_Cost'!$B$27+'Incremental_Cost Year 6'!AH52*'1. Standard_Cost'!$C$27+'Incremental_Cost Year 6'!AI52*'1. Standard_Cost'!$D$27+'Incremental_Cost Year 6'!AJ52+'Incremental_Cost Year 6'!AL52+AK52</f>
        <v>0</v>
      </c>
      <c r="AN52" s="108">
        <f>AM52*'1. Standard_Cost'!$C$31</f>
        <v>0</v>
      </c>
      <c r="AO52" s="125" t="s">
        <v>302</v>
      </c>
      <c r="AQ52" s="14">
        <f t="shared" si="63"/>
        <v>0</v>
      </c>
      <c r="AR52" s="14">
        <f t="shared" si="64"/>
        <v>0</v>
      </c>
      <c r="AS52" s="14">
        <f t="shared" si="65"/>
        <v>0</v>
      </c>
      <c r="AT52" s="14">
        <f t="shared" si="67"/>
        <v>0</v>
      </c>
      <c r="AU52" s="15"/>
      <c r="AV52" s="15">
        <v>0</v>
      </c>
      <c r="AW52" s="15"/>
      <c r="AX52" s="15"/>
      <c r="AY52" s="15"/>
      <c r="AZ52" s="15"/>
      <c r="BA52" s="15"/>
      <c r="BB52" s="16">
        <f t="shared" si="66"/>
        <v>0</v>
      </c>
    </row>
    <row r="53" spans="1:54" ht="124.8" outlineLevel="2">
      <c r="A53" s="98"/>
      <c r="B53" s="102"/>
      <c r="C53" s="23"/>
      <c r="D53" s="251"/>
      <c r="E53" s="251"/>
      <c r="F53" s="172"/>
      <c r="G53" s="173"/>
      <c r="H53" s="302" t="s">
        <v>600</v>
      </c>
      <c r="I53" s="104"/>
      <c r="J53" s="105"/>
      <c r="K53" s="105"/>
      <c r="L53" s="106" t="str">
        <f>IF(I53&lt;&gt;0,((VLOOKUP(I53,'1. Standard_Cost'!$B$4:$D$11,2)+VLOOKUP(I53,'1. Standard_Cost'!$B$4:$D$11,3))*J53*K53),"0")</f>
        <v>0</v>
      </c>
      <c r="M53" s="106">
        <f>L53*'1. Standard_Cost'!$F$4</f>
        <v>0</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107"/>
      <c r="AA53" s="107"/>
      <c r="AB53" s="108">
        <f>+Z53*'1. Standard_Cost'!$B$23+AA53*'1. Standard_Cost'!$C$23</f>
        <v>0</v>
      </c>
      <c r="AC53" s="109"/>
      <c r="AD53" s="110"/>
      <c r="AE53" s="108">
        <f>SUM(AD53,AC53,AB53,Y53,U53,T53,S53,R53)*'1. Standard_Cost'!$B$31</f>
        <v>0</v>
      </c>
      <c r="AF53" s="108">
        <f t="shared" si="62"/>
        <v>0</v>
      </c>
      <c r="AG53" s="107"/>
      <c r="AH53" s="107"/>
      <c r="AI53" s="107"/>
      <c r="AJ53" s="111"/>
      <c r="AK53" s="111"/>
      <c r="AL53" s="111"/>
      <c r="AM53" s="108">
        <f>AG53*'1. Standard_Cost'!$B$27+'Incremental_Cost Year 6'!AH53*'1. Standard_Cost'!$C$27+'Incremental_Cost Year 6'!AI53*'1. Standard_Cost'!$D$27+'Incremental_Cost Year 6'!AJ53+'Incremental_Cost Year 6'!AL53+AK53</f>
        <v>0</v>
      </c>
      <c r="AN53" s="108">
        <f>AM53*'1. Standard_Cost'!$C$31</f>
        <v>0</v>
      </c>
      <c r="AO53" s="125" t="s">
        <v>302</v>
      </c>
      <c r="AQ53" s="14">
        <f t="shared" si="63"/>
        <v>0</v>
      </c>
      <c r="AR53" s="14">
        <f t="shared" si="64"/>
        <v>0</v>
      </c>
      <c r="AS53" s="14">
        <f t="shared" si="65"/>
        <v>0</v>
      </c>
      <c r="AT53" s="14">
        <f t="shared" si="67"/>
        <v>0</v>
      </c>
      <c r="AU53" s="15"/>
      <c r="AV53" s="15"/>
      <c r="AW53" s="15"/>
      <c r="AX53" s="15"/>
      <c r="AY53" s="15"/>
      <c r="AZ53" s="15"/>
      <c r="BA53" s="15"/>
      <c r="BB53" s="16">
        <f t="shared" si="66"/>
        <v>0</v>
      </c>
    </row>
    <row r="54" spans="1:54" ht="62.4" outlineLevel="2">
      <c r="A54" s="98"/>
      <c r="B54" s="102"/>
      <c r="C54" s="23"/>
      <c r="D54" s="251"/>
      <c r="E54" s="251"/>
      <c r="F54" s="172"/>
      <c r="G54" s="173"/>
      <c r="H54" s="302" t="s">
        <v>675</v>
      </c>
      <c r="I54" s="104"/>
      <c r="J54" s="105"/>
      <c r="K54" s="105"/>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107"/>
      <c r="AA54" s="107"/>
      <c r="AB54" s="108">
        <f>+Z54*'1. Standard_Cost'!$B$23+AA54*'1. Standard_Cost'!$C$23</f>
        <v>0</v>
      </c>
      <c r="AC54" s="109"/>
      <c r="AD54" s="110"/>
      <c r="AE54" s="108">
        <f>SUM(AD54,AC54,AB54,Y54,U54,T54,S54,R54)*'1. Standard_Cost'!$B$31</f>
        <v>0</v>
      </c>
      <c r="AF54" s="108">
        <f t="shared" si="62"/>
        <v>0</v>
      </c>
      <c r="AG54" s="107"/>
      <c r="AH54" s="107"/>
      <c r="AI54" s="107"/>
      <c r="AJ54" s="111"/>
      <c r="AK54" s="111"/>
      <c r="AL54" s="111"/>
      <c r="AM54" s="108">
        <f>AG54*'1. Standard_Cost'!$B$27+'Incremental_Cost Year 6'!AH54*'1. Standard_Cost'!$C$27+'Incremental_Cost Year 6'!AI54*'1. Standard_Cost'!$D$27+'Incremental_Cost Year 6'!AJ54+'Incremental_Cost Year 6'!AL54+AK54</f>
        <v>0</v>
      </c>
      <c r="AN54" s="108">
        <f>AM54*'1. Standard_Cost'!$C$31</f>
        <v>0</v>
      </c>
      <c r="AO54" s="125" t="s">
        <v>300</v>
      </c>
      <c r="AQ54" s="14">
        <f t="shared" si="63"/>
        <v>0</v>
      </c>
      <c r="AR54" s="14">
        <f t="shared" si="64"/>
        <v>0</v>
      </c>
      <c r="AS54" s="14">
        <f t="shared" si="65"/>
        <v>0</v>
      </c>
      <c r="AT54" s="14">
        <f t="shared" si="67"/>
        <v>0</v>
      </c>
      <c r="AU54" s="15"/>
      <c r="AV54" s="15">
        <v>0</v>
      </c>
      <c r="AW54" s="15"/>
      <c r="AX54" s="15"/>
      <c r="AY54" s="15"/>
      <c r="AZ54" s="15"/>
      <c r="BA54" s="15"/>
      <c r="BB54" s="16">
        <f t="shared" si="66"/>
        <v>0</v>
      </c>
    </row>
    <row r="55" spans="1:54" ht="156" outlineLevel="2">
      <c r="A55" s="98"/>
      <c r="B55" s="102"/>
      <c r="C55" s="23"/>
      <c r="D55" s="251"/>
      <c r="E55" s="251"/>
      <c r="F55" s="251"/>
      <c r="G55" s="173"/>
      <c r="H55" s="302" t="s">
        <v>601</v>
      </c>
      <c r="I55" s="104"/>
      <c r="J55" s="105"/>
      <c r="K55" s="105"/>
      <c r="L55" s="106" t="str">
        <f>IF(I55&lt;&gt;0,((VLOOKUP(I55,'1. Standard_Cost'!$B$4:$D$11,2)+VLOOKUP(I55,'1. Standard_Cost'!$B$4:$D$11,3))*J55*K55),"0")</f>
        <v>0</v>
      </c>
      <c r="M55" s="106">
        <f>L55*'1. Standard_Cost'!$F$4</f>
        <v>0</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107"/>
      <c r="AA55" s="107"/>
      <c r="AB55" s="108">
        <f>+Z55*'1. Standard_Cost'!$B$23+AA55*'1. Standard_Cost'!$C$23</f>
        <v>0</v>
      </c>
      <c r="AC55" s="109"/>
      <c r="AD55" s="110"/>
      <c r="AE55" s="108">
        <f>SUM(AD55,AC55,AB55,Y55,U55,T55,S55,R55)*'1. Standard_Cost'!$B$31</f>
        <v>0</v>
      </c>
      <c r="AF55" s="108">
        <f t="shared" si="62"/>
        <v>0</v>
      </c>
      <c r="AG55" s="107"/>
      <c r="AH55" s="107"/>
      <c r="AI55" s="107"/>
      <c r="AJ55" s="111"/>
      <c r="AK55" s="111"/>
      <c r="AL55" s="111"/>
      <c r="AM55" s="108">
        <f>AG55*'1. Standard_Cost'!$B$27+'Incremental_Cost Year 6'!AH55*'1. Standard_Cost'!$C$27+'Incremental_Cost Year 6'!AI55*'1. Standard_Cost'!$D$27+'Incremental_Cost Year 6'!AJ55+'Incremental_Cost Year 6'!AL55+AK55</f>
        <v>0</v>
      </c>
      <c r="AN55" s="108">
        <f>AM55*'1. Standard_Cost'!$C$31</f>
        <v>0</v>
      </c>
      <c r="AO55" s="125" t="s">
        <v>303</v>
      </c>
      <c r="AQ55" s="14">
        <f t="shared" si="63"/>
        <v>0</v>
      </c>
      <c r="AR55" s="14">
        <f t="shared" si="64"/>
        <v>0</v>
      </c>
      <c r="AS55" s="14">
        <f t="shared" si="65"/>
        <v>0</v>
      </c>
      <c r="AT55" s="14">
        <f t="shared" si="67"/>
        <v>0</v>
      </c>
      <c r="AU55" s="15"/>
      <c r="AV55" s="15"/>
      <c r="AW55" s="15"/>
      <c r="AX55" s="15"/>
      <c r="AY55" s="15"/>
      <c r="AZ55" s="15"/>
      <c r="BA55" s="15"/>
      <c r="BB55" s="16">
        <f t="shared" si="66"/>
        <v>0</v>
      </c>
    </row>
    <row r="56" spans="1:54" ht="140.4" outlineLevel="2">
      <c r="A56" s="98"/>
      <c r="B56" s="102"/>
      <c r="C56" s="23"/>
      <c r="D56" s="251"/>
      <c r="E56" s="251"/>
      <c r="F56" s="251"/>
      <c r="G56" s="173"/>
      <c r="H56" s="302" t="s">
        <v>602</v>
      </c>
      <c r="I56" s="104"/>
      <c r="J56" s="105"/>
      <c r="K56" s="105"/>
      <c r="L56" s="106" t="str">
        <f>IF(I56&lt;&gt;0,((VLOOKUP(I56,'1. Standard_Cost'!$B$4:$D$11,2)+VLOOKUP(I56,'1. Standard_Cost'!$B$4:$D$11,3))*J56*K56),"0")</f>
        <v>0</v>
      </c>
      <c r="M56" s="106">
        <f>L56*'1. Standard_Cost'!$F$4</f>
        <v>0</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107"/>
      <c r="AA56" s="107"/>
      <c r="AB56" s="108">
        <f>+Z56*'1. Standard_Cost'!$B$23+AA56*'1. Standard_Cost'!$C$23</f>
        <v>0</v>
      </c>
      <c r="AC56" s="109"/>
      <c r="AD56" s="110"/>
      <c r="AE56" s="108">
        <f>SUM(AD56,AC56,AB56,Y56,U56,T56,S56,R56)*'1. Standard_Cost'!$B$31</f>
        <v>0</v>
      </c>
      <c r="AF56" s="108">
        <f t="shared" si="62"/>
        <v>0</v>
      </c>
      <c r="AG56" s="107"/>
      <c r="AH56" s="107"/>
      <c r="AI56" s="107"/>
      <c r="AJ56" s="111"/>
      <c r="AK56" s="111"/>
      <c r="AL56" s="111"/>
      <c r="AM56" s="108">
        <f>AG56*'1. Standard_Cost'!$B$27+'Incremental_Cost Year 6'!AH56*'1. Standard_Cost'!$C$27+'Incremental_Cost Year 6'!AI56*'1. Standard_Cost'!$D$27+'Incremental_Cost Year 6'!AJ56+'Incremental_Cost Year 6'!AL56+AK56</f>
        <v>0</v>
      </c>
      <c r="AN56" s="108">
        <f>AM56*'1. Standard_Cost'!$C$31</f>
        <v>0</v>
      </c>
      <c r="AO56" s="125" t="s">
        <v>304</v>
      </c>
      <c r="AQ56" s="14">
        <f t="shared" si="63"/>
        <v>0</v>
      </c>
      <c r="AR56" s="14">
        <f t="shared" si="64"/>
        <v>0</v>
      </c>
      <c r="AS56" s="14">
        <f t="shared" si="65"/>
        <v>0</v>
      </c>
      <c r="AT56" s="14">
        <f t="shared" si="67"/>
        <v>0</v>
      </c>
      <c r="AU56" s="15"/>
      <c r="AV56" s="15">
        <v>0</v>
      </c>
      <c r="AW56" s="15"/>
      <c r="AX56" s="15"/>
      <c r="AY56" s="15"/>
      <c r="AZ56" s="15"/>
      <c r="BA56" s="15"/>
      <c r="BB56" s="16">
        <f t="shared" si="66"/>
        <v>0</v>
      </c>
    </row>
    <row r="57" spans="1:54" ht="78" outlineLevel="2">
      <c r="A57" s="98"/>
      <c r="B57" s="102"/>
      <c r="C57" s="23"/>
      <c r="D57" s="251"/>
      <c r="E57" s="251"/>
      <c r="F57" s="251"/>
      <c r="G57" s="250"/>
      <c r="H57" s="302" t="s">
        <v>603</v>
      </c>
      <c r="I57" s="258" t="s">
        <v>193</v>
      </c>
      <c r="J57" s="259">
        <v>0.5</v>
      </c>
      <c r="K57" s="259">
        <v>183</v>
      </c>
      <c r="L57" s="106">
        <f>IF(I57&lt;&gt;0,((VLOOKUP(I57,'1. Standard_Cost'!$B$4:$D$11,2)+VLOOKUP(I57,'1. Standard_Cost'!$B$4:$D$11,3))*J57*K57),"0")</f>
        <v>4620750</v>
      </c>
      <c r="M57" s="106">
        <f>L57*'1. Standard_Cost'!$F$4</f>
        <v>771665.25</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107"/>
      <c r="AA57" s="107"/>
      <c r="AB57" s="108">
        <f>+Z57*'1. Standard_Cost'!$B$23+AA57*'1. Standard_Cost'!$C$23</f>
        <v>0</v>
      </c>
      <c r="AC57" s="109"/>
      <c r="AD57" s="110"/>
      <c r="AE57" s="108">
        <f>SUM(AD57,AC57,AB57,Y57,U57,T57,S57,R57)*'1. Standard_Cost'!$B$31</f>
        <v>0</v>
      </c>
      <c r="AF57" s="108">
        <f t="shared" si="62"/>
        <v>0</v>
      </c>
      <c r="AG57" s="107"/>
      <c r="AH57" s="107"/>
      <c r="AI57" s="107"/>
      <c r="AJ57" s="111"/>
      <c r="AK57" s="111"/>
      <c r="AL57" s="111"/>
      <c r="AM57" s="108">
        <f>AG57*'1. Standard_Cost'!$B$27+'Incremental_Cost Year 6'!AH57*'1. Standard_Cost'!$C$27+'Incremental_Cost Year 6'!AI57*'1. Standard_Cost'!$D$27+'Incremental_Cost Year 6'!AJ57+'Incremental_Cost Year 6'!AL57+AK57</f>
        <v>0</v>
      </c>
      <c r="AN57" s="108">
        <f>AM57*'1. Standard_Cost'!$C$31</f>
        <v>0</v>
      </c>
      <c r="AO57" s="125" t="s">
        <v>305</v>
      </c>
      <c r="AQ57" s="14">
        <f t="shared" si="63"/>
        <v>5392415.25</v>
      </c>
      <c r="AR57" s="14">
        <f t="shared" si="64"/>
        <v>0</v>
      </c>
      <c r="AS57" s="14">
        <f t="shared" si="65"/>
        <v>0</v>
      </c>
      <c r="AT57" s="14">
        <f t="shared" si="67"/>
        <v>5392415.25</v>
      </c>
      <c r="AU57" s="234"/>
      <c r="AV57" s="234"/>
      <c r="AW57" s="234"/>
      <c r="AX57" s="234"/>
      <c r="AY57" s="234"/>
      <c r="AZ57" s="234"/>
      <c r="BA57" s="234">
        <v>5712757</v>
      </c>
      <c r="BB57" s="16">
        <f t="shared" si="66"/>
        <v>320341.75</v>
      </c>
    </row>
    <row r="58" spans="1:54" ht="140.4" outlineLevel="2">
      <c r="A58" s="98"/>
      <c r="B58" s="102"/>
      <c r="C58" s="23"/>
      <c r="D58" s="251"/>
      <c r="E58" s="251"/>
      <c r="F58" s="251"/>
      <c r="G58" s="250"/>
      <c r="H58" s="302" t="s">
        <v>604</v>
      </c>
      <c r="I58" s="258" t="s">
        <v>5</v>
      </c>
      <c r="J58" s="259">
        <v>1</v>
      </c>
      <c r="K58" s="259">
        <v>1</v>
      </c>
      <c r="L58" s="106">
        <f>IF(I58&lt;&gt;0,((VLOOKUP(I58,'1. Standard_Cost'!$B$4:$D$11,2)+VLOOKUP(I58,'1. Standard_Cost'!$B$4:$D$11,3))*J58*K58),"0")</f>
        <v>70700</v>
      </c>
      <c r="M58" s="106">
        <f>L58*'1. Standard_Cost'!$F$4</f>
        <v>11806.900000000001</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260"/>
      <c r="AA58" s="260">
        <v>17</v>
      </c>
      <c r="AB58" s="108">
        <f>+Z58*'1. Standard_Cost'!$B$23+AA58*'1. Standard_Cost'!$C$23</f>
        <v>323000</v>
      </c>
      <c r="AC58" s="261">
        <f>225*400</f>
        <v>90000</v>
      </c>
      <c r="AD58" s="262"/>
      <c r="AE58" s="108">
        <f>SUM(AD58,AC58,AB58,Y58,U58,T58,S58,R58)*'1. Standard_Cost'!$B$31</f>
        <v>82600</v>
      </c>
      <c r="AF58" s="108">
        <f t="shared" si="62"/>
        <v>495600</v>
      </c>
      <c r="AG58" s="107"/>
      <c r="AH58" s="107"/>
      <c r="AI58" s="107"/>
      <c r="AJ58" s="111"/>
      <c r="AK58" s="111"/>
      <c r="AL58" s="111"/>
      <c r="AM58" s="108">
        <f>AG58*'1. Standard_Cost'!$B$27+'Incremental_Cost Year 6'!AH58*'1. Standard_Cost'!$C$27+'Incremental_Cost Year 6'!AI58*'1. Standard_Cost'!$D$27+'Incremental_Cost Year 6'!AJ58+'Incremental_Cost Year 6'!AL58+AK58</f>
        <v>0</v>
      </c>
      <c r="AN58" s="108">
        <f>AM58*'1. Standard_Cost'!$C$31</f>
        <v>0</v>
      </c>
      <c r="AO58" s="125" t="s">
        <v>306</v>
      </c>
      <c r="AQ58" s="14">
        <f t="shared" si="63"/>
        <v>82506.899999999994</v>
      </c>
      <c r="AR58" s="14">
        <f t="shared" si="64"/>
        <v>495600</v>
      </c>
      <c r="AS58" s="14">
        <f t="shared" si="65"/>
        <v>0</v>
      </c>
      <c r="AT58" s="14">
        <f>SUM(AQ58,AR58,AS58)</f>
        <v>578106.9</v>
      </c>
      <c r="AU58" s="234">
        <v>82507</v>
      </c>
      <c r="AV58" s="234"/>
      <c r="AW58" s="234"/>
      <c r="AX58" s="234"/>
      <c r="AY58" s="234"/>
      <c r="AZ58" s="234"/>
      <c r="BA58" s="234"/>
      <c r="BB58" s="16">
        <f t="shared" si="66"/>
        <v>-495599.9</v>
      </c>
    </row>
    <row r="59" spans="1:54" ht="345" outlineLevel="1">
      <c r="A59" s="98"/>
      <c r="B59" s="102"/>
      <c r="C59" s="23"/>
      <c r="D59" s="31" t="s">
        <v>629</v>
      </c>
      <c r="E59" s="56" t="s">
        <v>213</v>
      </c>
      <c r="F59" s="253">
        <v>2021</v>
      </c>
      <c r="G59" s="254">
        <v>2026</v>
      </c>
      <c r="H59" s="277" t="s">
        <v>183</v>
      </c>
      <c r="I59" s="112"/>
      <c r="J59" s="112"/>
      <c r="K59" s="112"/>
      <c r="L59" s="113">
        <f>SUM(L41:L58)</f>
        <v>4691450</v>
      </c>
      <c r="M59" s="113">
        <f>SUM(M41:M58)</f>
        <v>783472.15</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323000</v>
      </c>
      <c r="AC59" s="113">
        <f>SUM(AC41:AC58)</f>
        <v>90000</v>
      </c>
      <c r="AD59" s="113">
        <f>SUM(AD41:AD58)</f>
        <v>0</v>
      </c>
      <c r="AE59" s="113">
        <f>SUM(AE41:AE58)</f>
        <v>82600</v>
      </c>
      <c r="AF59" s="113">
        <f>SUM(AF41:AF58)</f>
        <v>495600</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5474922.1500000004</v>
      </c>
      <c r="AR59" s="113">
        <f t="shared" si="68"/>
        <v>495600</v>
      </c>
      <c r="AS59" s="113">
        <f t="shared" si="68"/>
        <v>0</v>
      </c>
      <c r="AT59" s="113">
        <f t="shared" si="68"/>
        <v>5970522.1500000004</v>
      </c>
      <c r="AU59" s="113">
        <f t="shared" si="68"/>
        <v>82507</v>
      </c>
      <c r="AV59" s="113">
        <f t="shared" si="68"/>
        <v>0</v>
      </c>
      <c r="AW59" s="113">
        <f t="shared" si="68"/>
        <v>0</v>
      </c>
      <c r="AX59" s="113">
        <f t="shared" si="68"/>
        <v>0</v>
      </c>
      <c r="AY59" s="113">
        <f t="shared" si="68"/>
        <v>0</v>
      </c>
      <c r="AZ59" s="113">
        <f t="shared" si="68"/>
        <v>0</v>
      </c>
      <c r="BA59" s="113">
        <f t="shared" si="68"/>
        <v>5712757</v>
      </c>
      <c r="BB59" s="113">
        <f t="shared" si="68"/>
        <v>-175258.15000000002</v>
      </c>
    </row>
    <row r="60" spans="1:54" ht="93.6" outlineLevel="2">
      <c r="A60" s="98"/>
      <c r="B60" s="102"/>
      <c r="C60" s="23"/>
      <c r="D60" s="257"/>
      <c r="E60" s="257"/>
      <c r="F60" s="251"/>
      <c r="G60" s="250"/>
      <c r="H60" s="302" t="s">
        <v>605</v>
      </c>
      <c r="I60" s="258" t="s">
        <v>4</v>
      </c>
      <c r="J60" s="259">
        <v>0.5</v>
      </c>
      <c r="K60" s="259">
        <v>3</v>
      </c>
      <c r="L60" s="106">
        <f>IF(I60&lt;&gt;0,((VLOOKUP(I60,'1. Standard_Cost'!$B$4:$D$11,2)+VLOOKUP(I60,'1. Standard_Cost'!$B$4:$D$11,3))*J60*K60),"0")</f>
        <v>121125</v>
      </c>
      <c r="M60" s="106">
        <f>L60*'1. Standard_Cost'!$F$4</f>
        <v>20227.875</v>
      </c>
      <c r="N60" s="260"/>
      <c r="O60" s="260"/>
      <c r="P60" s="260"/>
      <c r="Q60" s="260"/>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260"/>
      <c r="AA60" s="260"/>
      <c r="AB60" s="108">
        <f>+Z60*'1. Standard_Cost'!$B$23+AA60*'1. Standard_Cost'!$C$23</f>
        <v>0</v>
      </c>
      <c r="AC60" s="261">
        <f>100*3000+110000</f>
        <v>410000</v>
      </c>
      <c r="AD60" s="262"/>
      <c r="AE60" s="108">
        <f>SUM(AD60,AC60,AB60,Y60,U60,T60,S60,R60)*'1. Standard_Cost'!$B$31</f>
        <v>82000</v>
      </c>
      <c r="AF60" s="108">
        <f t="shared" ref="AF60:AF78" si="69">SUM(AE60,AD60,AC60,AB60,Y60,U60,T60,S60,R60)</f>
        <v>492000</v>
      </c>
      <c r="AG60" s="107"/>
      <c r="AH60" s="107"/>
      <c r="AI60" s="107"/>
      <c r="AJ60" s="111"/>
      <c r="AK60" s="111"/>
      <c r="AL60" s="111"/>
      <c r="AM60" s="108">
        <f>AG60*'1. Standard_Cost'!$B$27+'Incremental_Cost Year 6'!AH60*'1. Standard_Cost'!$C$27+'Incremental_Cost Year 6'!AI60*'1. Standard_Cost'!$D$27+'Incremental_Cost Year 6'!AJ60+'Incremental_Cost Year 6'!AL60+AK60</f>
        <v>0</v>
      </c>
      <c r="AN60" s="108">
        <f>AM60*'1. Standard_Cost'!$C$31</f>
        <v>0</v>
      </c>
      <c r="AO60" s="125" t="s">
        <v>307</v>
      </c>
      <c r="AQ60" s="14">
        <f t="shared" ref="AQ60:AQ78" si="70">L60+M60</f>
        <v>141352.875</v>
      </c>
      <c r="AR60" s="14">
        <f t="shared" ref="AR60:AR78" si="71">AF60</f>
        <v>492000</v>
      </c>
      <c r="AS60" s="14">
        <f t="shared" ref="AS60:AS78" si="72">AM60+AN60</f>
        <v>0</v>
      </c>
      <c r="AT60" s="14">
        <f>SUM(AQ60,AR60,AS60)</f>
        <v>633352.875</v>
      </c>
      <c r="AU60" s="234">
        <v>141353</v>
      </c>
      <c r="AV60" s="234"/>
      <c r="AW60" s="234"/>
      <c r="AX60" s="234"/>
      <c r="AY60" s="234"/>
      <c r="AZ60" s="234"/>
      <c r="BA60" s="234"/>
      <c r="BB60" s="16">
        <f t="shared" ref="BB60:BB78" si="73">SUM(AU60:BA60)-AT60</f>
        <v>-491999.875</v>
      </c>
    </row>
    <row r="61" spans="1:54" ht="109.2" outlineLevel="2">
      <c r="A61" s="98"/>
      <c r="B61" s="102"/>
      <c r="C61" s="23"/>
      <c r="D61" s="269"/>
      <c r="E61" s="269"/>
      <c r="F61" s="251"/>
      <c r="G61" s="250"/>
      <c r="H61" s="302" t="s">
        <v>606</v>
      </c>
      <c r="I61" s="258" t="s">
        <v>5</v>
      </c>
      <c r="J61" s="259">
        <v>3</v>
      </c>
      <c r="K61" s="259">
        <v>1</v>
      </c>
      <c r="L61" s="106">
        <f>IF(I61&lt;&gt;0,((VLOOKUP(I61,'1. Standard_Cost'!$B$4:$D$11,2)+VLOOKUP(I61,'1. Standard_Cost'!$B$4:$D$11,3))*J61*K61),"0")</f>
        <v>212100</v>
      </c>
      <c r="M61" s="106">
        <f>L61*'1. Standard_Cost'!$F$4</f>
        <v>35420.700000000004</v>
      </c>
      <c r="N61" s="260"/>
      <c r="O61" s="260"/>
      <c r="P61" s="260"/>
      <c r="Q61" s="260"/>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69"/>
        <v>0</v>
      </c>
      <c r="AG61" s="107"/>
      <c r="AH61" s="107"/>
      <c r="AI61" s="107"/>
      <c r="AJ61" s="111"/>
      <c r="AK61" s="111"/>
      <c r="AL61" s="111"/>
      <c r="AM61" s="108">
        <f>AG61*'1. Standard_Cost'!$B$27+'Incremental_Cost Year 6'!AH61*'1. Standard_Cost'!$C$27+'Incremental_Cost Year 6'!AI61*'1. Standard_Cost'!$D$27+'Incremental_Cost Year 6'!AJ61+'Incremental_Cost Year 6'!AL61+AK61</f>
        <v>0</v>
      </c>
      <c r="AN61" s="108">
        <f>AM61*'1. Standard_Cost'!$C$31</f>
        <v>0</v>
      </c>
      <c r="AO61" s="125" t="s">
        <v>308</v>
      </c>
      <c r="AQ61" s="14">
        <f t="shared" si="70"/>
        <v>247520.7</v>
      </c>
      <c r="AR61" s="14">
        <f t="shared" si="71"/>
        <v>0</v>
      </c>
      <c r="AS61" s="14">
        <f t="shared" si="72"/>
        <v>0</v>
      </c>
      <c r="AT61" s="14">
        <f t="shared" ref="AT61:AT78" si="74">SUM(AQ61,AR61,AS61)</f>
        <v>247520.7</v>
      </c>
      <c r="AU61" s="234">
        <v>247521</v>
      </c>
      <c r="AV61" s="234"/>
      <c r="AW61" s="234"/>
      <c r="AX61" s="234"/>
      <c r="AY61" s="234"/>
      <c r="AZ61" s="234"/>
      <c r="BA61" s="234"/>
      <c r="BB61" s="16">
        <f t="shared" si="73"/>
        <v>0.29999999998835847</v>
      </c>
    </row>
    <row r="62" spans="1:54" ht="140.4" outlineLevel="2">
      <c r="A62" s="98"/>
      <c r="B62" s="102"/>
      <c r="C62" s="23"/>
      <c r="D62" s="269"/>
      <c r="E62" s="269"/>
      <c r="F62" s="251"/>
      <c r="G62" s="250"/>
      <c r="H62" s="302" t="s">
        <v>607</v>
      </c>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69"/>
        <v>0</v>
      </c>
      <c r="AG62" s="107"/>
      <c r="AH62" s="107"/>
      <c r="AI62" s="107"/>
      <c r="AJ62" s="111"/>
      <c r="AK62" s="111"/>
      <c r="AL62" s="111"/>
      <c r="AM62" s="108">
        <f>AG62*'1. Standard_Cost'!$B$27+'Incremental_Cost Year 6'!AH62*'1. Standard_Cost'!$C$27+'Incremental_Cost Year 6'!AI62*'1. Standard_Cost'!$D$27+'Incremental_Cost Year 6'!AJ62+'Incremental_Cost Year 6'!AL62+AK62</f>
        <v>0</v>
      </c>
      <c r="AN62" s="108">
        <f>AM62*'1. Standard_Cost'!$C$31</f>
        <v>0</v>
      </c>
      <c r="AO62" s="125" t="s">
        <v>309</v>
      </c>
      <c r="AQ62" s="14">
        <f t="shared" si="70"/>
        <v>0</v>
      </c>
      <c r="AR62" s="14">
        <f t="shared" si="71"/>
        <v>0</v>
      </c>
      <c r="AS62" s="14">
        <f t="shared" si="72"/>
        <v>0</v>
      </c>
      <c r="AT62" s="14">
        <f t="shared" si="74"/>
        <v>0</v>
      </c>
      <c r="AU62" s="234"/>
      <c r="AV62" s="234"/>
      <c r="AW62" s="234"/>
      <c r="AX62" s="234"/>
      <c r="AY62" s="234"/>
      <c r="AZ62" s="234"/>
      <c r="BA62" s="234"/>
      <c r="BB62" s="16">
        <f t="shared" si="73"/>
        <v>0</v>
      </c>
    </row>
    <row r="63" spans="1:54" ht="140.4" outlineLevel="2">
      <c r="A63" s="98"/>
      <c r="B63" s="102"/>
      <c r="C63" s="23"/>
      <c r="D63" s="269"/>
      <c r="E63" s="269"/>
      <c r="F63" s="251"/>
      <c r="G63" s="250"/>
      <c r="H63" s="302" t="s">
        <v>608</v>
      </c>
      <c r="I63" s="258" t="s">
        <v>5</v>
      </c>
      <c r="J63" s="259">
        <v>0.5</v>
      </c>
      <c r="K63" s="259">
        <v>2</v>
      </c>
      <c r="L63" s="106">
        <f>IF(I63&lt;&gt;0,((VLOOKUP(I63,'1. Standard_Cost'!$B$4:$D$11,2)+VLOOKUP(I63,'1. Standard_Cost'!$B$4:$D$11,3))*J63*K63),"0")</f>
        <v>70700</v>
      </c>
      <c r="M63" s="106">
        <f>L63*'1. Standard_Cost'!$F$4</f>
        <v>11806.900000000001</v>
      </c>
      <c r="N63" s="260">
        <v>3</v>
      </c>
      <c r="O63" s="260">
        <v>1</v>
      </c>
      <c r="P63" s="260">
        <v>15</v>
      </c>
      <c r="Q63" s="260"/>
      <c r="R63" s="108">
        <f>'1. Standard_Cost'!$B$15*N63*P63</f>
        <v>90000</v>
      </c>
      <c r="S63" s="108">
        <f>N63*O63*P63*'1. Standard_Cost'!$C$15</f>
        <v>67500</v>
      </c>
      <c r="T63" s="108">
        <f>N63*P63*Q63*'1. Standard_Cost'!$D$15</f>
        <v>0</v>
      </c>
      <c r="U63" s="108">
        <f>N63*O63*'1. Standard_Cost'!$E$15</f>
        <v>120000</v>
      </c>
      <c r="V63" s="107"/>
      <c r="W63" s="107"/>
      <c r="X63" s="107"/>
      <c r="Y63" s="108">
        <f>+V63*((X63*'1. Standard_Cost'!$B$19)+(W63*X63*'1. Standard_Cost'!$C$19))</f>
        <v>0</v>
      </c>
      <c r="Z63" s="260"/>
      <c r="AA63" s="260">
        <v>14</v>
      </c>
      <c r="AB63" s="108">
        <f>+Z63*'1. Standard_Cost'!$B$23+AA63*'1. Standard_Cost'!$C$23</f>
        <v>266000</v>
      </c>
      <c r="AC63" s="261">
        <f>45*500</f>
        <v>22500</v>
      </c>
      <c r="AD63" s="262"/>
      <c r="AE63" s="108">
        <f>SUM(AD63,AC63,AB63,Y63,U63,T63,S63,R63)*'1. Standard_Cost'!$B$31</f>
        <v>113200</v>
      </c>
      <c r="AF63" s="108">
        <f t="shared" si="69"/>
        <v>679200</v>
      </c>
      <c r="AG63" s="107"/>
      <c r="AH63" s="107"/>
      <c r="AI63" s="107"/>
      <c r="AJ63" s="111"/>
      <c r="AK63" s="111"/>
      <c r="AL63" s="111"/>
      <c r="AM63" s="108">
        <f>AG63*'1. Standard_Cost'!$B$27+'Incremental_Cost Year 6'!AH63*'1. Standard_Cost'!$C$27+'Incremental_Cost Year 6'!AI63*'1. Standard_Cost'!$D$27+'Incremental_Cost Year 6'!AJ63+'Incremental_Cost Year 6'!AL63+AK63</f>
        <v>0</v>
      </c>
      <c r="AN63" s="108">
        <f>AM63*'1. Standard_Cost'!$C$31</f>
        <v>0</v>
      </c>
      <c r="AO63" s="125" t="s">
        <v>310</v>
      </c>
      <c r="AQ63" s="14">
        <f t="shared" si="70"/>
        <v>82506.899999999994</v>
      </c>
      <c r="AR63" s="14">
        <f t="shared" si="71"/>
        <v>679200</v>
      </c>
      <c r="AS63" s="14">
        <f t="shared" si="72"/>
        <v>0</v>
      </c>
      <c r="AT63" s="14">
        <f t="shared" si="74"/>
        <v>761706.9</v>
      </c>
      <c r="AU63" s="234">
        <v>82507</v>
      </c>
      <c r="AV63" s="234"/>
      <c r="AW63" s="234"/>
      <c r="AX63" s="234"/>
      <c r="AY63" s="234"/>
      <c r="AZ63" s="234">
        <v>228000</v>
      </c>
      <c r="BA63" s="234"/>
      <c r="BB63" s="16">
        <f t="shared" si="73"/>
        <v>-451199.9</v>
      </c>
    </row>
    <row r="64" spans="1:54" ht="171.6" outlineLevel="2">
      <c r="A64" s="98"/>
      <c r="B64" s="102"/>
      <c r="C64" s="23"/>
      <c r="D64" s="269"/>
      <c r="E64" s="269"/>
      <c r="F64" s="251"/>
      <c r="G64" s="250"/>
      <c r="H64" s="302" t="s">
        <v>609</v>
      </c>
      <c r="I64" s="258" t="s">
        <v>5</v>
      </c>
      <c r="J64" s="259">
        <v>0.5</v>
      </c>
      <c r="K64" s="259">
        <v>2</v>
      </c>
      <c r="L64" s="106">
        <f>IF(I64&lt;&gt;0,((VLOOKUP(I64,'1. Standard_Cost'!$B$4:$D$11,2)+VLOOKUP(I64,'1. Standard_Cost'!$B$4:$D$11,3))*J64*K64),"0")</f>
        <v>70700</v>
      </c>
      <c r="M64" s="106">
        <f>L64*'1. Standard_Cost'!$F$4</f>
        <v>11806.900000000001</v>
      </c>
      <c r="N64" s="260">
        <v>3</v>
      </c>
      <c r="O64" s="260">
        <v>1</v>
      </c>
      <c r="P64" s="260">
        <v>15</v>
      </c>
      <c r="Q64" s="260"/>
      <c r="R64" s="108">
        <f>'1. Standard_Cost'!$B$15*N64*P64</f>
        <v>90000</v>
      </c>
      <c r="S64" s="108">
        <f>N64*O64*P64*'1. Standard_Cost'!$C$15</f>
        <v>67500</v>
      </c>
      <c r="T64" s="108">
        <f>N64*P64*Q64*'1. Standard_Cost'!$D$15</f>
        <v>0</v>
      </c>
      <c r="U64" s="108">
        <f>N64*O64*'1. Standard_Cost'!$E$15</f>
        <v>120000</v>
      </c>
      <c r="V64" s="107"/>
      <c r="W64" s="107"/>
      <c r="X64" s="107"/>
      <c r="Y64" s="108">
        <f>+V64*((X64*'1. Standard_Cost'!$B$19)+(W64*X64*'1. Standard_Cost'!$C$19))</f>
        <v>0</v>
      </c>
      <c r="Z64" s="260"/>
      <c r="AA64" s="260">
        <v>14</v>
      </c>
      <c r="AB64" s="108">
        <f>+Z64*'1. Standard_Cost'!$B$23+AA64*'1. Standard_Cost'!$C$23</f>
        <v>266000</v>
      </c>
      <c r="AC64" s="261">
        <f>45*500</f>
        <v>22500</v>
      </c>
      <c r="AD64" s="262"/>
      <c r="AE64" s="108">
        <f>SUM(AD64,AC64,AB64,Y64,U64,T64,S64,R64)*'1. Standard_Cost'!$B$31</f>
        <v>113200</v>
      </c>
      <c r="AF64" s="108">
        <f t="shared" si="69"/>
        <v>679200</v>
      </c>
      <c r="AG64" s="107"/>
      <c r="AH64" s="107"/>
      <c r="AI64" s="107"/>
      <c r="AJ64" s="111"/>
      <c r="AK64" s="111"/>
      <c r="AL64" s="111"/>
      <c r="AM64" s="108">
        <f>AG64*'1. Standard_Cost'!$B$27+'Incremental_Cost Year 6'!AH64*'1. Standard_Cost'!$C$27+'Incremental_Cost Year 6'!AI64*'1. Standard_Cost'!$D$27+'Incremental_Cost Year 6'!AJ64+'Incremental_Cost Year 6'!AL64+AK64</f>
        <v>0</v>
      </c>
      <c r="AN64" s="108">
        <f>AM64*'1. Standard_Cost'!$C$31</f>
        <v>0</v>
      </c>
      <c r="AO64" s="125" t="s">
        <v>311</v>
      </c>
      <c r="AQ64" s="14">
        <f t="shared" si="70"/>
        <v>82506.899999999994</v>
      </c>
      <c r="AR64" s="14">
        <f t="shared" si="71"/>
        <v>679200</v>
      </c>
      <c r="AS64" s="14">
        <f t="shared" si="72"/>
        <v>0</v>
      </c>
      <c r="AT64" s="14">
        <f t="shared" si="74"/>
        <v>761706.9</v>
      </c>
      <c r="AU64" s="234">
        <v>82507</v>
      </c>
      <c r="AV64" s="234"/>
      <c r="AW64" s="234"/>
      <c r="AX64" s="234"/>
      <c r="AY64" s="234"/>
      <c r="AZ64" s="234">
        <v>228000</v>
      </c>
      <c r="BA64" s="234"/>
      <c r="BB64" s="16">
        <f t="shared" si="73"/>
        <v>-451199.9</v>
      </c>
    </row>
    <row r="65" spans="1:54" ht="62.4" outlineLevel="2">
      <c r="A65" s="98"/>
      <c r="B65" s="102"/>
      <c r="C65" s="23"/>
      <c r="D65" s="269"/>
      <c r="E65" s="269"/>
      <c r="F65" s="251"/>
      <c r="G65" s="250"/>
      <c r="H65" s="302" t="s">
        <v>676</v>
      </c>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69"/>
        <v>0</v>
      </c>
      <c r="AG65" s="107"/>
      <c r="AH65" s="107"/>
      <c r="AI65" s="107"/>
      <c r="AJ65" s="111"/>
      <c r="AK65" s="111"/>
      <c r="AL65" s="111"/>
      <c r="AM65" s="108">
        <f>AG65*'1. Standard_Cost'!$B$27+'Incremental_Cost Year 6'!AH65*'1. Standard_Cost'!$C$27+'Incremental_Cost Year 6'!AI65*'1. Standard_Cost'!$D$27+'Incremental_Cost Year 6'!AJ65+'Incremental_Cost Year 6'!AL65+AK65</f>
        <v>0</v>
      </c>
      <c r="AN65" s="108">
        <f>AM65*'1. Standard_Cost'!$C$31</f>
        <v>0</v>
      </c>
      <c r="AO65" s="125" t="s">
        <v>312</v>
      </c>
      <c r="AQ65" s="14">
        <f t="shared" si="70"/>
        <v>0</v>
      </c>
      <c r="AR65" s="14">
        <f t="shared" si="71"/>
        <v>0</v>
      </c>
      <c r="AS65" s="14">
        <f t="shared" si="72"/>
        <v>0</v>
      </c>
      <c r="AT65" s="14">
        <f t="shared" si="74"/>
        <v>0</v>
      </c>
      <c r="AU65" s="234"/>
      <c r="AV65" s="234"/>
      <c r="AW65" s="234"/>
      <c r="AX65" s="234"/>
      <c r="AY65" s="234"/>
      <c r="AZ65" s="234"/>
      <c r="BA65" s="234"/>
      <c r="BB65" s="16">
        <f t="shared" si="73"/>
        <v>0</v>
      </c>
    </row>
    <row r="66" spans="1:54" ht="78" outlineLevel="2">
      <c r="A66" s="98"/>
      <c r="B66" s="102"/>
      <c r="C66" s="23"/>
      <c r="D66" s="269"/>
      <c r="E66" s="269"/>
      <c r="F66" s="251"/>
      <c r="G66" s="250"/>
      <c r="H66" s="302" t="s">
        <v>677</v>
      </c>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69"/>
        <v>0</v>
      </c>
      <c r="AG66" s="107"/>
      <c r="AH66" s="107"/>
      <c r="AI66" s="107"/>
      <c r="AJ66" s="111"/>
      <c r="AK66" s="111"/>
      <c r="AL66" s="111"/>
      <c r="AM66" s="108">
        <f>AG66*'1. Standard_Cost'!$B$27+'Incremental_Cost Year 6'!AH66*'1. Standard_Cost'!$C$27+'Incremental_Cost Year 6'!AI66*'1. Standard_Cost'!$D$27+'Incremental_Cost Year 6'!AJ66+'Incremental_Cost Year 6'!AL66+AK66</f>
        <v>0</v>
      </c>
      <c r="AN66" s="108">
        <f>AM66*'1. Standard_Cost'!$C$31</f>
        <v>0</v>
      </c>
      <c r="AO66" s="125" t="s">
        <v>313</v>
      </c>
      <c r="AQ66" s="14">
        <f t="shared" si="70"/>
        <v>0</v>
      </c>
      <c r="AR66" s="14">
        <f t="shared" si="71"/>
        <v>0</v>
      </c>
      <c r="AS66" s="14">
        <f t="shared" si="72"/>
        <v>0</v>
      </c>
      <c r="AT66" s="14">
        <f t="shared" si="74"/>
        <v>0</v>
      </c>
      <c r="AU66" s="234"/>
      <c r="AV66" s="234"/>
      <c r="AW66" s="234"/>
      <c r="AX66" s="234"/>
      <c r="AY66" s="234"/>
      <c r="AZ66" s="234"/>
      <c r="BA66" s="234"/>
      <c r="BB66" s="16">
        <f t="shared" si="73"/>
        <v>0</v>
      </c>
    </row>
    <row r="67" spans="1:54" ht="93.6" outlineLevel="2">
      <c r="A67" s="98"/>
      <c r="B67" s="102"/>
      <c r="C67" s="23"/>
      <c r="D67" s="269"/>
      <c r="E67" s="269"/>
      <c r="F67" s="251"/>
      <c r="G67" s="173"/>
      <c r="H67" s="302" t="s">
        <v>678</v>
      </c>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69"/>
        <v>0</v>
      </c>
      <c r="AG67" s="107"/>
      <c r="AH67" s="107"/>
      <c r="AI67" s="107"/>
      <c r="AJ67" s="111"/>
      <c r="AK67" s="111"/>
      <c r="AL67" s="111"/>
      <c r="AM67" s="108">
        <f>AG67*'1. Standard_Cost'!$B$27+'Incremental_Cost Year 6'!AH67*'1. Standard_Cost'!$C$27+'Incremental_Cost Year 6'!AI67*'1. Standard_Cost'!$D$27+'Incremental_Cost Year 6'!AJ67+'Incremental_Cost Year 6'!AL67+AK67</f>
        <v>0</v>
      </c>
      <c r="AN67" s="108">
        <f>AM67*'1. Standard_Cost'!$C$31</f>
        <v>0</v>
      </c>
      <c r="AO67" s="125" t="s">
        <v>313</v>
      </c>
      <c r="AQ67" s="14">
        <f t="shared" si="70"/>
        <v>0</v>
      </c>
      <c r="AR67" s="14">
        <f t="shared" si="71"/>
        <v>0</v>
      </c>
      <c r="AS67" s="14">
        <f t="shared" si="72"/>
        <v>0</v>
      </c>
      <c r="AT67" s="14">
        <f t="shared" si="74"/>
        <v>0</v>
      </c>
      <c r="AU67" s="234"/>
      <c r="AV67" s="234"/>
      <c r="AW67" s="234"/>
      <c r="AX67" s="234"/>
      <c r="AY67" s="234"/>
      <c r="AZ67" s="234"/>
      <c r="BA67" s="234"/>
      <c r="BB67" s="16">
        <f t="shared" si="73"/>
        <v>0</v>
      </c>
    </row>
    <row r="68" spans="1:54" ht="109.2" outlineLevel="2">
      <c r="A68" s="98"/>
      <c r="B68" s="102"/>
      <c r="C68" s="23"/>
      <c r="D68" s="269"/>
      <c r="E68" s="269"/>
      <c r="F68" s="251"/>
      <c r="G68" s="173"/>
      <c r="H68" s="302" t="s">
        <v>610</v>
      </c>
      <c r="I68" s="258"/>
      <c r="J68" s="259"/>
      <c r="K68" s="259"/>
      <c r="L68" s="106" t="str">
        <f>IF(I68&lt;&gt;0,((VLOOKUP(I68,'1. Standard_Cost'!$B$4:$D$11,2)+VLOOKUP(I68,'1. Standard_Cost'!$B$4:$D$11,3))*J68*K68),"0")</f>
        <v>0</v>
      </c>
      <c r="M68" s="106">
        <f>L68*'1. Standard_Cost'!$F$4</f>
        <v>0</v>
      </c>
      <c r="N68" s="260"/>
      <c r="O68" s="260"/>
      <c r="P68" s="260"/>
      <c r="Q68" s="260"/>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69"/>
        <v>0</v>
      </c>
      <c r="AG68" s="107"/>
      <c r="AH68" s="107"/>
      <c r="AI68" s="107"/>
      <c r="AJ68" s="111"/>
      <c r="AK68" s="111"/>
      <c r="AL68" s="111"/>
      <c r="AM68" s="108">
        <f>AG68*'1. Standard_Cost'!$B$27+'Incremental_Cost Year 6'!AH68*'1. Standard_Cost'!$C$27+'Incremental_Cost Year 6'!AI68*'1. Standard_Cost'!$D$27+'Incremental_Cost Year 6'!AJ68+'Incremental_Cost Year 6'!AL68+AK68</f>
        <v>0</v>
      </c>
      <c r="AN68" s="108">
        <f>AM68*'1. Standard_Cost'!$C$31</f>
        <v>0</v>
      </c>
      <c r="AO68" s="125" t="s">
        <v>314</v>
      </c>
      <c r="AQ68" s="14">
        <f t="shared" si="70"/>
        <v>0</v>
      </c>
      <c r="AR68" s="14">
        <f t="shared" si="71"/>
        <v>0</v>
      </c>
      <c r="AS68" s="14">
        <f t="shared" si="72"/>
        <v>0</v>
      </c>
      <c r="AT68" s="14">
        <f t="shared" si="74"/>
        <v>0</v>
      </c>
      <c r="AU68" s="234"/>
      <c r="AV68" s="234"/>
      <c r="AW68" s="234"/>
      <c r="AX68" s="234"/>
      <c r="AY68" s="234"/>
      <c r="AZ68" s="234"/>
      <c r="BA68" s="234"/>
      <c r="BB68" s="16">
        <f t="shared" si="73"/>
        <v>0</v>
      </c>
    </row>
    <row r="69" spans="1:54" ht="46.8" outlineLevel="2">
      <c r="A69" s="98"/>
      <c r="B69" s="102"/>
      <c r="C69" s="23"/>
      <c r="D69" s="269"/>
      <c r="E69" s="269"/>
      <c r="F69" s="251"/>
      <c r="G69" s="250"/>
      <c r="H69" s="302" t="s">
        <v>679</v>
      </c>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69"/>
        <v>0</v>
      </c>
      <c r="AG69" s="107"/>
      <c r="AH69" s="107"/>
      <c r="AI69" s="107"/>
      <c r="AJ69" s="111"/>
      <c r="AK69" s="111"/>
      <c r="AL69" s="111"/>
      <c r="AM69" s="108">
        <f>AG69*'1. Standard_Cost'!$B$27+'Incremental_Cost Year 6'!AH69*'1. Standard_Cost'!$C$27+'Incremental_Cost Year 6'!AI69*'1. Standard_Cost'!$D$27+'Incremental_Cost Year 6'!AJ69+'Incremental_Cost Year 6'!AL69+AK69</f>
        <v>0</v>
      </c>
      <c r="AN69" s="108">
        <f>AM69*'1. Standard_Cost'!$C$31</f>
        <v>0</v>
      </c>
      <c r="AO69" s="125" t="s">
        <v>315</v>
      </c>
      <c r="AQ69" s="14">
        <f t="shared" si="70"/>
        <v>0</v>
      </c>
      <c r="AR69" s="14">
        <f t="shared" si="71"/>
        <v>0</v>
      </c>
      <c r="AS69" s="14">
        <f t="shared" si="72"/>
        <v>0</v>
      </c>
      <c r="AT69" s="14">
        <f t="shared" si="74"/>
        <v>0</v>
      </c>
      <c r="AU69" s="234"/>
      <c r="AV69" s="234"/>
      <c r="AW69" s="234"/>
      <c r="AX69" s="234"/>
      <c r="AY69" s="234"/>
      <c r="AZ69" s="234"/>
      <c r="BA69" s="234"/>
      <c r="BB69" s="16">
        <f t="shared" si="73"/>
        <v>0</v>
      </c>
    </row>
    <row r="70" spans="1:54" ht="31.2" outlineLevel="2">
      <c r="A70" s="98"/>
      <c r="B70" s="102"/>
      <c r="C70" s="23"/>
      <c r="D70" s="269"/>
      <c r="E70" s="269"/>
      <c r="F70" s="251"/>
      <c r="G70" s="250"/>
      <c r="H70" s="302" t="s">
        <v>680</v>
      </c>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69"/>
        <v>0</v>
      </c>
      <c r="AG70" s="107"/>
      <c r="AH70" s="107"/>
      <c r="AI70" s="107"/>
      <c r="AJ70" s="111"/>
      <c r="AK70" s="111"/>
      <c r="AL70" s="111"/>
      <c r="AM70" s="108">
        <f>AG70*'1. Standard_Cost'!$B$27+'Incremental_Cost Year 6'!AH70*'1. Standard_Cost'!$C$27+'Incremental_Cost Year 6'!AI70*'1. Standard_Cost'!$D$27+'Incremental_Cost Year 6'!AJ70+'Incremental_Cost Year 6'!AL70+AK70</f>
        <v>0</v>
      </c>
      <c r="AN70" s="108">
        <f>AM70*'1. Standard_Cost'!$C$31</f>
        <v>0</v>
      </c>
      <c r="AO70" s="125" t="s">
        <v>315</v>
      </c>
      <c r="AQ70" s="14">
        <f t="shared" si="70"/>
        <v>0</v>
      </c>
      <c r="AR70" s="14">
        <f t="shared" si="71"/>
        <v>0</v>
      </c>
      <c r="AS70" s="14">
        <f t="shared" si="72"/>
        <v>0</v>
      </c>
      <c r="AT70" s="14">
        <f t="shared" si="74"/>
        <v>0</v>
      </c>
      <c r="AU70" s="234"/>
      <c r="AV70" s="234"/>
      <c r="AW70" s="234"/>
      <c r="AX70" s="234"/>
      <c r="AY70" s="234"/>
      <c r="AZ70" s="234"/>
      <c r="BA70" s="234"/>
      <c r="BB70" s="16">
        <f t="shared" si="73"/>
        <v>0</v>
      </c>
    </row>
    <row r="71" spans="1:54" ht="31.2" outlineLevel="2">
      <c r="A71" s="98"/>
      <c r="B71" s="102"/>
      <c r="C71" s="23"/>
      <c r="D71" s="269"/>
      <c r="E71" s="269"/>
      <c r="F71" s="251"/>
      <c r="G71" s="250"/>
      <c r="H71" s="302" t="s">
        <v>681</v>
      </c>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69"/>
        <v>0</v>
      </c>
      <c r="AG71" s="107"/>
      <c r="AH71" s="107"/>
      <c r="AI71" s="107"/>
      <c r="AJ71" s="111"/>
      <c r="AK71" s="111"/>
      <c r="AL71" s="111"/>
      <c r="AM71" s="108">
        <f>AG71*'1. Standard_Cost'!$B$27+'Incremental_Cost Year 6'!AH71*'1. Standard_Cost'!$C$27+'Incremental_Cost Year 6'!AI71*'1. Standard_Cost'!$D$27+'Incremental_Cost Year 6'!AJ71+'Incremental_Cost Year 6'!AL71+AK71</f>
        <v>0</v>
      </c>
      <c r="AN71" s="108">
        <f>AM71*'1. Standard_Cost'!$C$31</f>
        <v>0</v>
      </c>
      <c r="AO71" s="125" t="s">
        <v>316</v>
      </c>
      <c r="AQ71" s="14">
        <f t="shared" si="70"/>
        <v>0</v>
      </c>
      <c r="AR71" s="14">
        <f t="shared" si="71"/>
        <v>0</v>
      </c>
      <c r="AS71" s="14">
        <f t="shared" si="72"/>
        <v>0</v>
      </c>
      <c r="AT71" s="14">
        <f t="shared" si="74"/>
        <v>0</v>
      </c>
      <c r="AU71" s="234"/>
      <c r="AV71" s="234"/>
      <c r="AW71" s="234"/>
      <c r="AX71" s="234"/>
      <c r="AY71" s="234"/>
      <c r="AZ71" s="234"/>
      <c r="BA71" s="234"/>
      <c r="BB71" s="16">
        <f t="shared" si="73"/>
        <v>0</v>
      </c>
    </row>
    <row r="72" spans="1:54" ht="140.4" outlineLevel="2">
      <c r="A72" s="98"/>
      <c r="B72" s="102"/>
      <c r="C72" s="23"/>
      <c r="D72" s="269"/>
      <c r="E72" s="269"/>
      <c r="F72" s="251"/>
      <c r="G72" s="250"/>
      <c r="H72" s="302" t="s">
        <v>611</v>
      </c>
      <c r="I72" s="258" t="s">
        <v>5</v>
      </c>
      <c r="J72" s="259">
        <v>0.5</v>
      </c>
      <c r="K72" s="259">
        <v>2</v>
      </c>
      <c r="L72" s="106">
        <f>IF(I72&lt;&gt;0,((VLOOKUP(I72,'1. Standard_Cost'!$B$4:$D$11,2)+VLOOKUP(I72,'1. Standard_Cost'!$B$4:$D$11,3))*J72*K72),"0")</f>
        <v>70700</v>
      </c>
      <c r="M72" s="106">
        <f>L72*'1. Standard_Cost'!$F$4</f>
        <v>11806.900000000001</v>
      </c>
      <c r="N72" s="260">
        <v>6</v>
      </c>
      <c r="O72" s="260">
        <v>1</v>
      </c>
      <c r="P72" s="260">
        <v>15</v>
      </c>
      <c r="Q72" s="260"/>
      <c r="R72" s="108">
        <f>'1. Standard_Cost'!$B$15*N72*P72</f>
        <v>180000</v>
      </c>
      <c r="S72" s="108">
        <f>N72*O72*P72*'1. Standard_Cost'!$C$15</f>
        <v>135000</v>
      </c>
      <c r="T72" s="108">
        <f>N72*P72*Q72*'1. Standard_Cost'!$D$15</f>
        <v>0</v>
      </c>
      <c r="U72" s="108">
        <f>N72*O72*'1. Standard_Cost'!$E$15</f>
        <v>240000</v>
      </c>
      <c r="V72" s="107"/>
      <c r="W72" s="107"/>
      <c r="X72" s="107"/>
      <c r="Y72" s="108">
        <f>+V72*((X72*'1. Standard_Cost'!$B$19)+(W72*X72*'1. Standard_Cost'!$C$19))</f>
        <v>0</v>
      </c>
      <c r="Z72" s="260"/>
      <c r="AA72" s="260">
        <v>7</v>
      </c>
      <c r="AB72" s="108">
        <f>+Z72*'1. Standard_Cost'!$B$23+AA72*'1. Standard_Cost'!$C$23</f>
        <v>133000</v>
      </c>
      <c r="AC72" s="261">
        <f>90*500</f>
        <v>45000</v>
      </c>
      <c r="AD72" s="262"/>
      <c r="AE72" s="108">
        <f>SUM(AD72,AC72,AB72,Y72,U72,T72,S72,R72)*'1. Standard_Cost'!$B$31</f>
        <v>146600</v>
      </c>
      <c r="AF72" s="108">
        <f t="shared" si="69"/>
        <v>879600</v>
      </c>
      <c r="AG72" s="107"/>
      <c r="AH72" s="107"/>
      <c r="AI72" s="107"/>
      <c r="AJ72" s="111"/>
      <c r="AK72" s="111"/>
      <c r="AL72" s="111"/>
      <c r="AM72" s="108">
        <f>AG72*'1. Standard_Cost'!$B$27+'Incremental_Cost Year 6'!AH72*'1. Standard_Cost'!$C$27+'Incremental_Cost Year 6'!AI72*'1. Standard_Cost'!$D$27+'Incremental_Cost Year 6'!AJ72+'Incremental_Cost Year 6'!AL72+AK72</f>
        <v>0</v>
      </c>
      <c r="AN72" s="108">
        <f>AM72*'1. Standard_Cost'!$C$31</f>
        <v>0</v>
      </c>
      <c r="AO72" s="125" t="s">
        <v>317</v>
      </c>
      <c r="AQ72" s="14">
        <f t="shared" si="70"/>
        <v>82506.899999999994</v>
      </c>
      <c r="AR72" s="14">
        <f t="shared" si="71"/>
        <v>879600</v>
      </c>
      <c r="AS72" s="14">
        <f t="shared" si="72"/>
        <v>0</v>
      </c>
      <c r="AT72" s="14">
        <f t="shared" si="74"/>
        <v>962106.9</v>
      </c>
      <c r="AU72" s="234">
        <v>82507</v>
      </c>
      <c r="AV72" s="234"/>
      <c r="AW72" s="234"/>
      <c r="AX72" s="234"/>
      <c r="AY72" s="234"/>
      <c r="AZ72" s="234"/>
      <c r="BA72" s="234"/>
      <c r="BB72" s="16">
        <f t="shared" si="73"/>
        <v>-879599.9</v>
      </c>
    </row>
    <row r="73" spans="1:54" ht="109.2" outlineLevel="2">
      <c r="A73" s="98"/>
      <c r="B73" s="102"/>
      <c r="C73" s="23"/>
      <c r="D73" s="251"/>
      <c r="E73" s="251"/>
      <c r="F73" s="251"/>
      <c r="G73" s="173"/>
      <c r="H73" s="302" t="s">
        <v>612</v>
      </c>
      <c r="I73" s="258"/>
      <c r="J73" s="259"/>
      <c r="K73" s="259"/>
      <c r="L73" s="106" t="str">
        <f>IF(I73&lt;&gt;0,((VLOOKUP(I73,'1. Standard_Cost'!$B$4:$D$11,2)+VLOOKUP(I73,'1. Standard_Cost'!$B$4:$D$11,3))*J73*K73),"0")</f>
        <v>0</v>
      </c>
      <c r="M73" s="106">
        <f>L73*'1. Standard_Cost'!$F$4</f>
        <v>0</v>
      </c>
      <c r="N73" s="260"/>
      <c r="O73" s="260"/>
      <c r="P73" s="260"/>
      <c r="Q73" s="260"/>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69"/>
        <v>0</v>
      </c>
      <c r="AG73" s="107"/>
      <c r="AH73" s="107"/>
      <c r="AI73" s="107"/>
      <c r="AJ73" s="111"/>
      <c r="AK73" s="111"/>
      <c r="AL73" s="111"/>
      <c r="AM73" s="108">
        <f>AG73*'1. Standard_Cost'!$B$27+'Incremental_Cost Year 6'!AH73*'1. Standard_Cost'!$C$27+'Incremental_Cost Year 6'!AI73*'1. Standard_Cost'!$D$27+'Incremental_Cost Year 6'!AJ73+'Incremental_Cost Year 6'!AL73+AK73</f>
        <v>0</v>
      </c>
      <c r="AN73" s="108">
        <f>AM73*'1. Standard_Cost'!$C$31</f>
        <v>0</v>
      </c>
      <c r="AO73" s="125" t="s">
        <v>318</v>
      </c>
      <c r="AQ73" s="14">
        <f t="shared" si="70"/>
        <v>0</v>
      </c>
      <c r="AR73" s="14">
        <f t="shared" si="71"/>
        <v>0</v>
      </c>
      <c r="AS73" s="14">
        <f t="shared" si="72"/>
        <v>0</v>
      </c>
      <c r="AT73" s="14">
        <f t="shared" si="74"/>
        <v>0</v>
      </c>
      <c r="AU73" s="234"/>
      <c r="AV73" s="234"/>
      <c r="AW73" s="234"/>
      <c r="AX73" s="234"/>
      <c r="AY73" s="234"/>
      <c r="AZ73" s="234"/>
      <c r="BA73" s="234"/>
      <c r="BB73" s="16">
        <f t="shared" si="73"/>
        <v>0</v>
      </c>
    </row>
    <row r="74" spans="1:54" ht="74.400000000000006" outlineLevel="2">
      <c r="A74" s="98"/>
      <c r="B74" s="102"/>
      <c r="C74" s="23"/>
      <c r="D74" s="251"/>
      <c r="E74" s="251"/>
      <c r="F74" s="251"/>
      <c r="G74" s="250"/>
      <c r="H74" s="302" t="s">
        <v>682</v>
      </c>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69"/>
        <v>0</v>
      </c>
      <c r="AG74" s="107"/>
      <c r="AH74" s="107"/>
      <c r="AI74" s="107"/>
      <c r="AJ74" s="111"/>
      <c r="AK74" s="111"/>
      <c r="AL74" s="111"/>
      <c r="AM74" s="108">
        <f>AG74*'1. Standard_Cost'!$B$27+'Incremental_Cost Year 6'!AH74*'1. Standard_Cost'!$C$27+'Incremental_Cost Year 6'!AI74*'1. Standard_Cost'!$D$27+'Incremental_Cost Year 6'!AJ74+'Incremental_Cost Year 6'!AL74+AK74</f>
        <v>0</v>
      </c>
      <c r="AN74" s="108">
        <f>AM74*'1. Standard_Cost'!$C$31</f>
        <v>0</v>
      </c>
      <c r="AO74" s="125" t="s">
        <v>319</v>
      </c>
      <c r="AQ74" s="14">
        <f t="shared" si="70"/>
        <v>0</v>
      </c>
      <c r="AR74" s="14">
        <f t="shared" si="71"/>
        <v>0</v>
      </c>
      <c r="AS74" s="14">
        <f t="shared" si="72"/>
        <v>0</v>
      </c>
      <c r="AT74" s="14">
        <f t="shared" si="74"/>
        <v>0</v>
      </c>
      <c r="AU74" s="234"/>
      <c r="AV74" s="234"/>
      <c r="AW74" s="234"/>
      <c r="AX74" s="234"/>
      <c r="AY74" s="234"/>
      <c r="AZ74" s="234"/>
      <c r="BA74" s="234"/>
      <c r="BB74" s="16">
        <f t="shared" si="73"/>
        <v>0</v>
      </c>
    </row>
    <row r="75" spans="1:54" ht="60.6" outlineLevel="2">
      <c r="A75" s="98"/>
      <c r="B75" s="102"/>
      <c r="C75" s="23"/>
      <c r="D75" s="251"/>
      <c r="E75" s="251"/>
      <c r="F75" s="251"/>
      <c r="G75" s="250"/>
      <c r="H75" s="302" t="s">
        <v>683</v>
      </c>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69"/>
        <v>0</v>
      </c>
      <c r="AG75" s="107"/>
      <c r="AH75" s="107"/>
      <c r="AI75" s="107"/>
      <c r="AJ75" s="111"/>
      <c r="AK75" s="111"/>
      <c r="AL75" s="111"/>
      <c r="AM75" s="108">
        <f>AG75*'1. Standard_Cost'!$B$27+'Incremental_Cost Year 6'!AH75*'1. Standard_Cost'!$C$27+'Incremental_Cost Year 6'!AI75*'1. Standard_Cost'!$D$27+'Incremental_Cost Year 6'!AJ75+'Incremental_Cost Year 6'!AL75+AK75</f>
        <v>0</v>
      </c>
      <c r="AN75" s="108">
        <f>AM75*'1. Standard_Cost'!$C$31</f>
        <v>0</v>
      </c>
      <c r="AO75" s="125" t="s">
        <v>320</v>
      </c>
      <c r="AQ75" s="14">
        <f t="shared" si="70"/>
        <v>0</v>
      </c>
      <c r="AR75" s="14">
        <f t="shared" si="71"/>
        <v>0</v>
      </c>
      <c r="AS75" s="14">
        <f t="shared" si="72"/>
        <v>0</v>
      </c>
      <c r="AT75" s="14">
        <f t="shared" si="74"/>
        <v>0</v>
      </c>
      <c r="AU75" s="234"/>
      <c r="AV75" s="234"/>
      <c r="AW75" s="234"/>
      <c r="AX75" s="234"/>
      <c r="AY75" s="234"/>
      <c r="AZ75" s="234"/>
      <c r="BA75" s="234"/>
      <c r="BB75" s="16">
        <f t="shared" si="73"/>
        <v>0</v>
      </c>
    </row>
    <row r="76" spans="1:54" ht="187.2" outlineLevel="2">
      <c r="A76" s="98"/>
      <c r="B76" s="102"/>
      <c r="C76" s="23"/>
      <c r="D76" s="251"/>
      <c r="E76" s="251"/>
      <c r="F76" s="251"/>
      <c r="G76" s="250"/>
      <c r="H76" s="302" t="s">
        <v>613</v>
      </c>
      <c r="I76" s="258"/>
      <c r="J76" s="259"/>
      <c r="K76" s="259"/>
      <c r="L76" s="106" t="str">
        <f>IF(I76&lt;&gt;0,((VLOOKUP(I76,'1. Standard_Cost'!$B$4:$D$11,2)+VLOOKUP(I76,'1. Standard_Cost'!$B$4:$D$11,3))*J76*K76),"0")</f>
        <v>0</v>
      </c>
      <c r="M76" s="106">
        <f>L76*'1. Standard_Cost'!$F$4</f>
        <v>0</v>
      </c>
      <c r="N76" s="260">
        <v>1</v>
      </c>
      <c r="O76" s="260">
        <v>2</v>
      </c>
      <c r="P76" s="260">
        <v>15</v>
      </c>
      <c r="Q76" s="260"/>
      <c r="R76" s="108">
        <f>'1. Standard_Cost'!$B$15*N76*P76</f>
        <v>30000</v>
      </c>
      <c r="S76" s="108">
        <f>N76*O76*P76*'1. Standard_Cost'!$C$15</f>
        <v>45000</v>
      </c>
      <c r="T76" s="108">
        <f>N76*P76*Q76*'1. Standard_Cost'!$D$15</f>
        <v>0</v>
      </c>
      <c r="U76" s="108">
        <f>N76*O76*'1. Standard_Cost'!$E$15</f>
        <v>80000</v>
      </c>
      <c r="V76" s="107"/>
      <c r="W76" s="107"/>
      <c r="X76" s="107"/>
      <c r="Y76" s="108">
        <f>+V76*((X76*'1. Standard_Cost'!$B$19)+(W76*X76*'1. Standard_Cost'!$C$19))</f>
        <v>0</v>
      </c>
      <c r="Z76" s="260"/>
      <c r="AA76" s="260"/>
      <c r="AB76" s="108">
        <f>+Z76*'1. Standard_Cost'!$B$23+AA76*'1. Standard_Cost'!$C$23</f>
        <v>0</v>
      </c>
      <c r="AC76" s="261">
        <v>2000000</v>
      </c>
      <c r="AD76" s="262"/>
      <c r="AE76" s="108">
        <f>SUM(AD76,AC76,AB76,Y76,U76,T76,S76,R76)*'1. Standard_Cost'!$B$31</f>
        <v>431000</v>
      </c>
      <c r="AF76" s="108">
        <f t="shared" si="69"/>
        <v>2586000</v>
      </c>
      <c r="AG76" s="107"/>
      <c r="AH76" s="107"/>
      <c r="AI76" s="107"/>
      <c r="AJ76" s="111"/>
      <c r="AK76" s="111"/>
      <c r="AL76" s="111"/>
      <c r="AM76" s="108">
        <f>AG76*'1. Standard_Cost'!$B$27+'Incremental_Cost Year 6'!AH76*'1. Standard_Cost'!$C$27+'Incremental_Cost Year 6'!AI76*'1. Standard_Cost'!$D$27+'Incremental_Cost Year 6'!AJ76+'Incremental_Cost Year 6'!AL76+AK76</f>
        <v>0</v>
      </c>
      <c r="AN76" s="108">
        <f>AM76*'1. Standard_Cost'!$C$31</f>
        <v>0</v>
      </c>
      <c r="AO76" s="125" t="s">
        <v>321</v>
      </c>
      <c r="AQ76" s="14">
        <f t="shared" si="70"/>
        <v>0</v>
      </c>
      <c r="AR76" s="14">
        <f t="shared" si="71"/>
        <v>2586000</v>
      </c>
      <c r="AS76" s="14">
        <f t="shared" si="72"/>
        <v>0</v>
      </c>
      <c r="AT76" s="14">
        <f t="shared" si="74"/>
        <v>2586000</v>
      </c>
      <c r="AU76" s="234"/>
      <c r="AV76" s="234"/>
      <c r="AW76" s="234"/>
      <c r="AX76" s="234"/>
      <c r="AY76" s="234"/>
      <c r="AZ76" s="234"/>
      <c r="BA76" s="234"/>
      <c r="BB76" s="16">
        <f t="shared" si="73"/>
        <v>-2586000</v>
      </c>
    </row>
    <row r="77" spans="1:54" ht="202.8" outlineLevel="2">
      <c r="A77" s="98"/>
      <c r="B77" s="102"/>
      <c r="C77" s="23"/>
      <c r="D77" s="251"/>
      <c r="E77" s="251"/>
      <c r="F77" s="251"/>
      <c r="G77" s="250"/>
      <c r="H77" s="302" t="s">
        <v>614</v>
      </c>
      <c r="I77" s="258" t="s">
        <v>193</v>
      </c>
      <c r="J77" s="259">
        <v>1</v>
      </c>
      <c r="K77" s="259">
        <v>2</v>
      </c>
      <c r="L77" s="106">
        <f>IF(I77&lt;&gt;0,((VLOOKUP(I77,'1. Standard_Cost'!$B$4:$D$11,2)+VLOOKUP(I77,'1. Standard_Cost'!$B$4:$D$11,3))*J77*K77),"0")</f>
        <v>101000</v>
      </c>
      <c r="M77" s="106">
        <f>L77*'1. Standard_Cost'!$F$4</f>
        <v>16867</v>
      </c>
      <c r="N77" s="260">
        <v>1</v>
      </c>
      <c r="O77" s="260">
        <v>2</v>
      </c>
      <c r="P77" s="260">
        <v>15</v>
      </c>
      <c r="Q77" s="260"/>
      <c r="R77" s="108">
        <f>'1. Standard_Cost'!$B$15*N77*P77</f>
        <v>30000</v>
      </c>
      <c r="S77" s="108">
        <f>N77*O77*P77*'1. Standard_Cost'!$C$15</f>
        <v>45000</v>
      </c>
      <c r="T77" s="108">
        <f>N77*P77*Q77*'1. Standard_Cost'!$D$15</f>
        <v>0</v>
      </c>
      <c r="U77" s="108">
        <f>N77*O77*'1. Standard_Cost'!$E$15</f>
        <v>80000</v>
      </c>
      <c r="V77" s="107"/>
      <c r="W77" s="107"/>
      <c r="X77" s="107"/>
      <c r="Y77" s="108">
        <f>+V77*((X77*'1. Standard_Cost'!$B$19)+(W77*X77*'1. Standard_Cost'!$C$19))</f>
        <v>0</v>
      </c>
      <c r="Z77" s="260"/>
      <c r="AA77" s="260">
        <v>3</v>
      </c>
      <c r="AB77" s="108">
        <f>+Z77*'1. Standard_Cost'!$B$23+AA77*'1. Standard_Cost'!$C$23</f>
        <v>57000</v>
      </c>
      <c r="AC77" s="261"/>
      <c r="AD77" s="262"/>
      <c r="AE77" s="108">
        <f>SUM(AD77,AC77,AB77,Y77,U77,T77,S77,R77)*'1. Standard_Cost'!$B$31</f>
        <v>42400</v>
      </c>
      <c r="AF77" s="108">
        <f t="shared" si="69"/>
        <v>254400</v>
      </c>
      <c r="AG77" s="107"/>
      <c r="AH77" s="107"/>
      <c r="AI77" s="107"/>
      <c r="AJ77" s="111"/>
      <c r="AK77" s="111"/>
      <c r="AL77" s="111"/>
      <c r="AM77" s="108">
        <f>AG77*'1. Standard_Cost'!$B$27+'Incremental_Cost Year 6'!AH77*'1. Standard_Cost'!$C$27+'Incremental_Cost Year 6'!AI77*'1. Standard_Cost'!$D$27+'Incremental_Cost Year 6'!AJ77+'Incremental_Cost Year 6'!AL77+AK77</f>
        <v>0</v>
      </c>
      <c r="AN77" s="108">
        <f>AM77*'1. Standard_Cost'!$C$31</f>
        <v>0</v>
      </c>
      <c r="AO77" s="125" t="s">
        <v>322</v>
      </c>
      <c r="AQ77" s="14">
        <f t="shared" si="70"/>
        <v>117867</v>
      </c>
      <c r="AR77" s="14">
        <f t="shared" si="71"/>
        <v>254400</v>
      </c>
      <c r="AS77" s="14">
        <f t="shared" si="72"/>
        <v>0</v>
      </c>
      <c r="AT77" s="14">
        <f t="shared" si="74"/>
        <v>372267</v>
      </c>
      <c r="AU77" s="234">
        <v>124869</v>
      </c>
      <c r="AV77" s="234"/>
      <c r="AW77" s="234"/>
      <c r="AX77" s="234"/>
      <c r="AY77" s="234"/>
      <c r="AZ77" s="234"/>
      <c r="BA77" s="234"/>
      <c r="BB77" s="16">
        <f t="shared" si="73"/>
        <v>-247398</v>
      </c>
    </row>
    <row r="78" spans="1:54" ht="93.6" outlineLevel="2">
      <c r="A78" s="98"/>
      <c r="B78" s="102"/>
      <c r="C78" s="23"/>
      <c r="D78" s="251"/>
      <c r="E78" s="251"/>
      <c r="F78" s="251"/>
      <c r="G78" s="250"/>
      <c r="H78" s="302" t="s">
        <v>615</v>
      </c>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260"/>
      <c r="AA78" s="260"/>
      <c r="AB78" s="108">
        <f>+Z78*'1. Standard_Cost'!$B$23+AA78*'1. Standard_Cost'!$C$23</f>
        <v>0</v>
      </c>
      <c r="AC78" s="261">
        <f>120*90000</f>
        <v>10800000</v>
      </c>
      <c r="AD78" s="262"/>
      <c r="AE78" s="108">
        <f>SUM(AD78,AC78,AB78,Y78,U78,T78,S78,R78)*'1. Standard_Cost'!$B$31</f>
        <v>2160000</v>
      </c>
      <c r="AF78" s="108">
        <f t="shared" si="69"/>
        <v>12960000</v>
      </c>
      <c r="AG78" s="107"/>
      <c r="AH78" s="107"/>
      <c r="AI78" s="107"/>
      <c r="AJ78" s="111"/>
      <c r="AK78" s="111"/>
      <c r="AL78" s="111"/>
      <c r="AM78" s="108">
        <f>AG78*'1. Standard_Cost'!$B$27+'Incremental_Cost Year 6'!AH78*'1. Standard_Cost'!$C$27+'Incremental_Cost Year 6'!AI78*'1. Standard_Cost'!$D$27+'Incremental_Cost Year 6'!AJ78+'Incremental_Cost Year 6'!AL78+AK78</f>
        <v>0</v>
      </c>
      <c r="AN78" s="108">
        <f>AM78*'1. Standard_Cost'!$C$31</f>
        <v>0</v>
      </c>
      <c r="AO78" s="125" t="s">
        <v>323</v>
      </c>
      <c r="AQ78" s="14">
        <f t="shared" si="70"/>
        <v>0</v>
      </c>
      <c r="AR78" s="14">
        <f t="shared" si="71"/>
        <v>12960000</v>
      </c>
      <c r="AS78" s="14">
        <f t="shared" si="72"/>
        <v>0</v>
      </c>
      <c r="AT78" s="14">
        <f t="shared" si="74"/>
        <v>12960000</v>
      </c>
      <c r="AU78" s="234">
        <v>12960000</v>
      </c>
      <c r="AV78" s="234"/>
      <c r="AW78" s="234"/>
      <c r="AX78" s="234"/>
      <c r="AY78" s="234"/>
      <c r="AZ78" s="234"/>
      <c r="BA78" s="234"/>
      <c r="BB78" s="16">
        <f t="shared" si="73"/>
        <v>0</v>
      </c>
    </row>
    <row r="79" spans="1:54" ht="262.2" outlineLevel="1">
      <c r="A79" s="98"/>
      <c r="B79" s="102"/>
      <c r="C79" s="23"/>
      <c r="D79" s="31" t="s">
        <v>630</v>
      </c>
      <c r="E79" s="56" t="s">
        <v>215</v>
      </c>
      <c r="F79" s="253"/>
      <c r="G79" s="254"/>
      <c r="H79" s="277" t="s">
        <v>182</v>
      </c>
      <c r="I79" s="112"/>
      <c r="J79" s="112"/>
      <c r="K79" s="112"/>
      <c r="L79" s="113">
        <f>SUM(L60:L78)</f>
        <v>646325</v>
      </c>
      <c r="M79" s="113">
        <f>SUM(M60:M78)</f>
        <v>107936.27499999999</v>
      </c>
      <c r="N79" s="112"/>
      <c r="O79" s="112"/>
      <c r="P79" s="112"/>
      <c r="Q79" s="112"/>
      <c r="R79" s="113">
        <f t="shared" ref="R79:U79" si="75">SUM(R60:R78)</f>
        <v>420000</v>
      </c>
      <c r="S79" s="113">
        <f t="shared" si="75"/>
        <v>360000</v>
      </c>
      <c r="T79" s="113">
        <f t="shared" si="75"/>
        <v>0</v>
      </c>
      <c r="U79" s="113">
        <f t="shared" si="75"/>
        <v>640000</v>
      </c>
      <c r="V79" s="112"/>
      <c r="W79" s="112"/>
      <c r="X79" s="112"/>
      <c r="Y79" s="113">
        <f>SUM(Y60:Y78)</f>
        <v>0</v>
      </c>
      <c r="Z79" s="112"/>
      <c r="AA79" s="112"/>
      <c r="AB79" s="113">
        <f t="shared" ref="AB79:AF79" si="76">SUM(AB60:AB78)</f>
        <v>722000</v>
      </c>
      <c r="AC79" s="113">
        <f t="shared" si="76"/>
        <v>13300000</v>
      </c>
      <c r="AD79" s="113">
        <f t="shared" si="76"/>
        <v>0</v>
      </c>
      <c r="AE79" s="113">
        <f t="shared" si="76"/>
        <v>3088400</v>
      </c>
      <c r="AF79" s="113">
        <f t="shared" si="76"/>
        <v>18530400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754261.27500000002</v>
      </c>
      <c r="AR79" s="113">
        <f t="shared" ref="AR79:BB79" si="78">SUM(AR60:AR78)</f>
        <v>18530400</v>
      </c>
      <c r="AS79" s="113">
        <f t="shared" si="78"/>
        <v>0</v>
      </c>
      <c r="AT79" s="113">
        <f t="shared" si="78"/>
        <v>19284661.274999999</v>
      </c>
      <c r="AU79" s="113">
        <f t="shared" si="78"/>
        <v>13721264</v>
      </c>
      <c r="AV79" s="113">
        <f t="shared" si="78"/>
        <v>0</v>
      </c>
      <c r="AW79" s="113">
        <f t="shared" si="78"/>
        <v>0</v>
      </c>
      <c r="AX79" s="113">
        <f t="shared" si="78"/>
        <v>0</v>
      </c>
      <c r="AY79" s="113">
        <f t="shared" si="78"/>
        <v>0</v>
      </c>
      <c r="AZ79" s="113">
        <f t="shared" si="78"/>
        <v>456000</v>
      </c>
      <c r="BA79" s="113">
        <f t="shared" si="78"/>
        <v>0</v>
      </c>
      <c r="BB79" s="113">
        <f t="shared" si="78"/>
        <v>-5107397.2750000004</v>
      </c>
    </row>
    <row r="80" spans="1:54" s="24" customFormat="1" ht="13.8" customHeight="1">
      <c r="A80" s="114"/>
      <c r="B80" s="115"/>
      <c r="C80" s="314" t="s">
        <v>216</v>
      </c>
      <c r="D80" s="314"/>
      <c r="E80" s="315"/>
      <c r="F80" s="246"/>
      <c r="G80" s="246"/>
      <c r="H80" s="278" t="s">
        <v>219</v>
      </c>
      <c r="I80" s="116"/>
      <c r="J80" s="116"/>
      <c r="K80" s="116"/>
      <c r="L80" s="117">
        <f>L91</f>
        <v>35350</v>
      </c>
      <c r="M80" s="117">
        <f>M91</f>
        <v>5903.4500000000007</v>
      </c>
      <c r="N80" s="116"/>
      <c r="O80" s="116"/>
      <c r="P80" s="116"/>
      <c r="Q80" s="116"/>
      <c r="R80" s="117">
        <f t="shared" ref="R80:U80" si="79">R91</f>
        <v>190000</v>
      </c>
      <c r="S80" s="117">
        <f t="shared" si="79"/>
        <v>285000</v>
      </c>
      <c r="T80" s="117">
        <f t="shared" si="79"/>
        <v>0</v>
      </c>
      <c r="U80" s="117">
        <f t="shared" si="79"/>
        <v>400000</v>
      </c>
      <c r="V80" s="116"/>
      <c r="W80" s="116"/>
      <c r="X80" s="116"/>
      <c r="Y80" s="117">
        <f>Y91</f>
        <v>0</v>
      </c>
      <c r="Z80" s="116"/>
      <c r="AA80" s="116"/>
      <c r="AB80" s="117">
        <f t="shared" ref="AB80:AF80" si="80">AB91</f>
        <v>494000</v>
      </c>
      <c r="AC80" s="117">
        <f t="shared" si="80"/>
        <v>4455000</v>
      </c>
      <c r="AD80" s="117">
        <f t="shared" si="80"/>
        <v>0</v>
      </c>
      <c r="AE80" s="117">
        <f t="shared" si="80"/>
        <v>1164800</v>
      </c>
      <c r="AF80" s="117">
        <f t="shared" si="80"/>
        <v>6988800</v>
      </c>
      <c r="AG80" s="116"/>
      <c r="AH80" s="116"/>
      <c r="AI80" s="116"/>
      <c r="AJ80" s="117">
        <f t="shared" ref="AJ80:AN80" si="81">AJ91</f>
        <v>2000000</v>
      </c>
      <c r="AK80" s="117">
        <f t="shared" si="81"/>
        <v>0</v>
      </c>
      <c r="AL80" s="117">
        <f t="shared" si="81"/>
        <v>1700000</v>
      </c>
      <c r="AM80" s="117">
        <f t="shared" si="81"/>
        <v>3700000</v>
      </c>
      <c r="AN80" s="117">
        <f t="shared" si="81"/>
        <v>555000</v>
      </c>
      <c r="AO80" s="132"/>
      <c r="AP80" s="25"/>
      <c r="AQ80" s="117">
        <f t="shared" ref="AQ80:BB80" si="82">AQ91</f>
        <v>41253.449999999997</v>
      </c>
      <c r="AR80" s="117">
        <f t="shared" si="82"/>
        <v>6988800</v>
      </c>
      <c r="AS80" s="117">
        <f t="shared" si="82"/>
        <v>4255000</v>
      </c>
      <c r="AT80" s="117">
        <f t="shared" si="82"/>
        <v>11285053.449999999</v>
      </c>
      <c r="AU80" s="117">
        <f t="shared" si="82"/>
        <v>6936253</v>
      </c>
      <c r="AV80" s="117">
        <f t="shared" si="82"/>
        <v>0</v>
      </c>
      <c r="AW80" s="117">
        <f t="shared" si="82"/>
        <v>0</v>
      </c>
      <c r="AX80" s="117">
        <f t="shared" si="82"/>
        <v>0</v>
      </c>
      <c r="AY80" s="117">
        <f t="shared" si="82"/>
        <v>0</v>
      </c>
      <c r="AZ80" s="117">
        <f t="shared" si="82"/>
        <v>0</v>
      </c>
      <c r="BA80" s="117">
        <f t="shared" si="82"/>
        <v>0</v>
      </c>
      <c r="BB80" s="117">
        <f t="shared" si="82"/>
        <v>-4348800.45</v>
      </c>
    </row>
    <row r="81" spans="1:54" ht="140.4" outlineLevel="2">
      <c r="A81" s="98"/>
      <c r="B81" s="102"/>
      <c r="C81" s="23"/>
      <c r="D81" s="257"/>
      <c r="E81" s="257"/>
      <c r="F81" s="252"/>
      <c r="G81" s="249"/>
      <c r="H81" s="302" t="s">
        <v>684</v>
      </c>
      <c r="I81" s="282"/>
      <c r="J81" s="259"/>
      <c r="K81" s="259"/>
      <c r="L81" s="106" t="str">
        <f>IF(I81&lt;&gt;0,((VLOOKUP(I81,'1. Standard_Cost'!$B$4:$D$11,2)+VLOOKUP(I81,'1. Standard_Cost'!$B$4:$D$11,3))*J81*K81),"0")</f>
        <v>0</v>
      </c>
      <c r="M81" s="106">
        <f>L81*'1. Standard_Cost'!$F$4</f>
        <v>0</v>
      </c>
      <c r="N81" s="260"/>
      <c r="O81" s="260"/>
      <c r="P81" s="260"/>
      <c r="Q81" s="260"/>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83">SUM(AE81,AD81,AC81,AB81,Y81,U81,T81,S81,R81)</f>
        <v>0</v>
      </c>
      <c r="AG81" s="260"/>
      <c r="AH81" s="260"/>
      <c r="AI81" s="260"/>
      <c r="AJ81" s="263"/>
      <c r="AK81" s="263"/>
      <c r="AL81" s="263"/>
      <c r="AM81" s="108">
        <f>AG81*'1. Standard_Cost'!$B$27+'Incremental_Cost Year 6'!AH81*'1. Standard_Cost'!$C$27+'Incremental_Cost Year 6'!AI81*'1. Standard_Cost'!$D$27+'Incremental_Cost Year 6'!AJ81+'Incremental_Cost Year 6'!AL81+AK81</f>
        <v>0</v>
      </c>
      <c r="AN81" s="108">
        <f>AM81*'1. Standard_Cost'!$C$31</f>
        <v>0</v>
      </c>
      <c r="AO81" s="125" t="s">
        <v>300</v>
      </c>
      <c r="AQ81" s="14">
        <f t="shared" ref="AQ81:AQ90" si="84">L81+M81</f>
        <v>0</v>
      </c>
      <c r="AR81" s="14">
        <f t="shared" ref="AR81:AR90" si="85">AF81</f>
        <v>0</v>
      </c>
      <c r="AS81" s="14">
        <f t="shared" ref="AS81:AS90" si="86">AM81+AN81</f>
        <v>0</v>
      </c>
      <c r="AT81" s="14">
        <f>SUM(AQ81,AR81,AS81)</f>
        <v>0</v>
      </c>
      <c r="AU81" s="234"/>
      <c r="AV81" s="234"/>
      <c r="AW81" s="234"/>
      <c r="AX81" s="234"/>
      <c r="AY81" s="234"/>
      <c r="AZ81" s="234"/>
      <c r="BA81" s="234"/>
      <c r="BB81" s="16">
        <f t="shared" ref="BB81:BB90" si="87">SUM(AU81:BA81)-AT81</f>
        <v>0</v>
      </c>
    </row>
    <row r="82" spans="1:54" ht="93.6" outlineLevel="2">
      <c r="A82" s="98"/>
      <c r="B82" s="102"/>
      <c r="C82" s="23"/>
      <c r="D82" s="269"/>
      <c r="E82" s="269"/>
      <c r="F82" s="251"/>
      <c r="G82" s="250"/>
      <c r="H82" s="302" t="s">
        <v>616</v>
      </c>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260"/>
      <c r="AA82" s="260"/>
      <c r="AB82" s="108">
        <f>+Z82*'1. Standard_Cost'!$B$23+AA82*'1. Standard_Cost'!$C$23</f>
        <v>0</v>
      </c>
      <c r="AC82" s="261">
        <f>2*2200000</f>
        <v>4400000</v>
      </c>
      <c r="AD82" s="262"/>
      <c r="AE82" s="108">
        <f>SUM(AD82,AC82,AB82,Y82,U82,T82,S82,R82)*'1. Standard_Cost'!$B$31</f>
        <v>880000</v>
      </c>
      <c r="AF82" s="108">
        <f t="shared" si="83"/>
        <v>5280000</v>
      </c>
      <c r="AG82" s="260"/>
      <c r="AH82" s="260"/>
      <c r="AI82" s="260"/>
      <c r="AJ82" s="263"/>
      <c r="AK82" s="263"/>
      <c r="AL82" s="263"/>
      <c r="AM82" s="108">
        <f>AG82*'1. Standard_Cost'!$B$27+'Incremental_Cost Year 6'!AH82*'1. Standard_Cost'!$C$27+'Incremental_Cost Year 6'!AI82*'1. Standard_Cost'!$D$27+'Incremental_Cost Year 6'!AJ82+'Incremental_Cost Year 6'!AL82+AK82</f>
        <v>0</v>
      </c>
      <c r="AN82" s="108">
        <f>AM82*'1. Standard_Cost'!$C$31</f>
        <v>0</v>
      </c>
      <c r="AO82" s="125" t="s">
        <v>324</v>
      </c>
      <c r="AQ82" s="14">
        <f t="shared" si="84"/>
        <v>0</v>
      </c>
      <c r="AR82" s="14">
        <f t="shared" si="85"/>
        <v>5280000</v>
      </c>
      <c r="AS82" s="14">
        <f t="shared" si="86"/>
        <v>0</v>
      </c>
      <c r="AT82" s="14">
        <f t="shared" ref="AT82:AT90" si="88">SUM(AQ82,AR82,AS82)</f>
        <v>5280000</v>
      </c>
      <c r="AU82" s="234">
        <v>2640000</v>
      </c>
      <c r="AV82" s="234"/>
      <c r="AW82" s="234"/>
      <c r="AX82" s="234"/>
      <c r="AY82" s="234"/>
      <c r="AZ82" s="234"/>
      <c r="BA82" s="234"/>
      <c r="BB82" s="16">
        <f t="shared" si="87"/>
        <v>-2640000</v>
      </c>
    </row>
    <row r="83" spans="1:54" ht="124.8" outlineLevel="2">
      <c r="A83" s="98"/>
      <c r="B83" s="102"/>
      <c r="C83" s="23"/>
      <c r="D83" s="269"/>
      <c r="E83" s="269"/>
      <c r="F83" s="251"/>
      <c r="G83" s="250"/>
      <c r="H83" s="302" t="s">
        <v>617</v>
      </c>
      <c r="I83" s="282"/>
      <c r="J83" s="259"/>
      <c r="K83" s="259"/>
      <c r="L83" s="106" t="str">
        <f>IF(I83&lt;&gt;0,((VLOOKUP(I83,'1. Standard_Cost'!$B$4:$D$11,2)+VLOOKUP(I83,'1. Standard_Cost'!$B$4:$D$11,3))*J83*K83),"0")</f>
        <v>0</v>
      </c>
      <c r="M83" s="106">
        <f>L83*'1. Standard_Cost'!$F$4</f>
        <v>0</v>
      </c>
      <c r="N83" s="260"/>
      <c r="O83" s="260"/>
      <c r="P83" s="260"/>
      <c r="Q83" s="260"/>
      <c r="R83" s="108">
        <f>'1. Standard_Cost'!$B$15*N83*P83</f>
        <v>0</v>
      </c>
      <c r="S83" s="108">
        <f>N83*O83*P83*'1. Standard_Cost'!$C$15</f>
        <v>0</v>
      </c>
      <c r="T83" s="108">
        <f>N83*P83*Q83*'1. Standard_Cost'!$D$15</f>
        <v>0</v>
      </c>
      <c r="U83" s="108">
        <f>N83*O83*'1. Standard_Cost'!$E$15</f>
        <v>0</v>
      </c>
      <c r="V83" s="107"/>
      <c r="W83" s="107"/>
      <c r="X83" s="107"/>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83"/>
        <v>0</v>
      </c>
      <c r="AG83" s="260"/>
      <c r="AH83" s="260"/>
      <c r="AI83" s="260"/>
      <c r="AJ83" s="263"/>
      <c r="AK83" s="263"/>
      <c r="AL83" s="263"/>
      <c r="AM83" s="108">
        <f>AG83*'1. Standard_Cost'!$B$27+'Incremental_Cost Year 6'!AH83*'1. Standard_Cost'!$C$27+'Incremental_Cost Year 6'!AI83*'1. Standard_Cost'!$D$27+'Incremental_Cost Year 6'!AJ83+'Incremental_Cost Year 6'!AL83+AK83</f>
        <v>0</v>
      </c>
      <c r="AN83" s="108">
        <f>AM83*'1. Standard_Cost'!$C$31</f>
        <v>0</v>
      </c>
      <c r="AO83" s="125" t="s">
        <v>325</v>
      </c>
      <c r="AQ83" s="14">
        <f t="shared" si="84"/>
        <v>0</v>
      </c>
      <c r="AR83" s="14">
        <f t="shared" si="85"/>
        <v>0</v>
      </c>
      <c r="AS83" s="14">
        <f t="shared" si="86"/>
        <v>0</v>
      </c>
      <c r="AT83" s="14">
        <f t="shared" si="88"/>
        <v>0</v>
      </c>
      <c r="AU83" s="234"/>
      <c r="AV83" s="234"/>
      <c r="AW83" s="234"/>
      <c r="AX83" s="234"/>
      <c r="AY83" s="234"/>
      <c r="AZ83" s="234"/>
      <c r="BA83" s="234"/>
      <c r="BB83" s="16">
        <f t="shared" si="87"/>
        <v>0</v>
      </c>
    </row>
    <row r="84" spans="1:54" ht="140.4" outlineLevel="2">
      <c r="A84" s="98"/>
      <c r="B84" s="102"/>
      <c r="C84" s="23"/>
      <c r="D84" s="269"/>
      <c r="E84" s="269"/>
      <c r="F84" s="251"/>
      <c r="G84" s="250"/>
      <c r="H84" s="302" t="s">
        <v>618</v>
      </c>
      <c r="I84" s="258" t="s">
        <v>5</v>
      </c>
      <c r="J84" s="259">
        <v>0.5</v>
      </c>
      <c r="K84" s="259">
        <v>1</v>
      </c>
      <c r="L84" s="106">
        <f>IF(I84&lt;&gt;0,((VLOOKUP(I84,'1. Standard_Cost'!$B$4:$D$11,2)+VLOOKUP(I84,'1. Standard_Cost'!$B$4:$D$11,3))*J84*K84),"0")</f>
        <v>35350</v>
      </c>
      <c r="M84" s="106">
        <f>L84*'1. Standard_Cost'!$F$4</f>
        <v>5903.4500000000007</v>
      </c>
      <c r="N84" s="260">
        <v>4</v>
      </c>
      <c r="O84" s="260">
        <v>2</v>
      </c>
      <c r="P84" s="260">
        <v>20</v>
      </c>
      <c r="Q84" s="260"/>
      <c r="R84" s="108">
        <f>'1. Standard_Cost'!$B$15*N84*P84</f>
        <v>160000</v>
      </c>
      <c r="S84" s="108">
        <f>N84*O84*P84*'1. Standard_Cost'!$C$15</f>
        <v>240000</v>
      </c>
      <c r="T84" s="108">
        <f>N84*P84*Q84*'1. Standard_Cost'!$D$15</f>
        <v>0</v>
      </c>
      <c r="U84" s="108">
        <f>N84*O84*'1. Standard_Cost'!$E$15</f>
        <v>320000</v>
      </c>
      <c r="V84" s="107"/>
      <c r="W84" s="107"/>
      <c r="X84" s="107"/>
      <c r="Y84" s="108">
        <f>+V84*((X84*'1. Standard_Cost'!$B$19)+(W84*X84*'1. Standard_Cost'!$C$19))</f>
        <v>0</v>
      </c>
      <c r="Z84" s="260"/>
      <c r="AA84" s="260">
        <v>20</v>
      </c>
      <c r="AB84" s="108">
        <f>+Z84*'1. Standard_Cost'!$B$23+AA84*'1. Standard_Cost'!$C$23</f>
        <v>380000</v>
      </c>
      <c r="AC84" s="261">
        <f>80*500</f>
        <v>40000</v>
      </c>
      <c r="AD84" s="262"/>
      <c r="AE84" s="108">
        <f>SUM(AD84,AC84,AB84,Y84,U84,T84,S84,R84)*'1. Standard_Cost'!$B$31</f>
        <v>228000</v>
      </c>
      <c r="AF84" s="108">
        <f t="shared" si="83"/>
        <v>1368000</v>
      </c>
      <c r="AG84" s="260"/>
      <c r="AH84" s="260"/>
      <c r="AI84" s="260"/>
      <c r="AJ84" s="263"/>
      <c r="AK84" s="263"/>
      <c r="AL84" s="263"/>
      <c r="AM84" s="108">
        <f>AG84*'1. Standard_Cost'!$B$27+'Incremental_Cost Year 6'!AH84*'1. Standard_Cost'!$C$27+'Incremental_Cost Year 6'!AI84*'1. Standard_Cost'!$D$27+'Incremental_Cost Year 6'!AJ84+'Incremental_Cost Year 6'!AL84+AK84</f>
        <v>0</v>
      </c>
      <c r="AN84" s="108">
        <f>AM84*'1. Standard_Cost'!$C$31</f>
        <v>0</v>
      </c>
      <c r="AO84" s="125" t="s">
        <v>326</v>
      </c>
      <c r="AQ84" s="14">
        <f t="shared" si="84"/>
        <v>41253.449999999997</v>
      </c>
      <c r="AR84" s="14">
        <f t="shared" si="85"/>
        <v>1368000</v>
      </c>
      <c r="AS84" s="14">
        <f t="shared" si="86"/>
        <v>0</v>
      </c>
      <c r="AT84" s="14">
        <f t="shared" si="88"/>
        <v>1409253.45</v>
      </c>
      <c r="AU84" s="234">
        <v>41253</v>
      </c>
      <c r="AV84" s="234"/>
      <c r="AW84" s="234"/>
      <c r="AX84" s="234"/>
      <c r="AY84" s="234"/>
      <c r="AZ84" s="234"/>
      <c r="BA84" s="234"/>
      <c r="BB84" s="16">
        <f t="shared" si="87"/>
        <v>-1368000.45</v>
      </c>
    </row>
    <row r="85" spans="1:54" ht="109.2" outlineLevel="2">
      <c r="A85" s="98"/>
      <c r="B85" s="102"/>
      <c r="C85" s="23"/>
      <c r="D85" s="269"/>
      <c r="E85" s="269"/>
      <c r="F85" s="251"/>
      <c r="G85" s="250"/>
      <c r="H85" s="302" t="s">
        <v>619</v>
      </c>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260"/>
      <c r="AA85" s="260"/>
      <c r="AB85" s="108">
        <f>+Z85*'1. Standard_Cost'!$B$23+AA85*'1. Standard_Cost'!$C$23</f>
        <v>0</v>
      </c>
      <c r="AC85" s="261"/>
      <c r="AD85" s="262"/>
      <c r="AE85" s="108">
        <f>SUM(AD85,AC85,AB85,Y85,U85,T85,S85,R85)*'1. Standard_Cost'!$B$31</f>
        <v>0</v>
      </c>
      <c r="AF85" s="108">
        <f t="shared" si="83"/>
        <v>0</v>
      </c>
      <c r="AG85" s="260"/>
      <c r="AH85" s="260"/>
      <c r="AI85" s="260"/>
      <c r="AJ85" s="263"/>
      <c r="AK85" s="263"/>
      <c r="AL85" s="263"/>
      <c r="AM85" s="108">
        <f>AG85*'1. Standard_Cost'!$B$27+'Incremental_Cost Year 6'!AH85*'1. Standard_Cost'!$C$27+'Incremental_Cost Year 6'!AI85*'1. Standard_Cost'!$D$27+'Incremental_Cost Year 6'!AJ85+'Incremental_Cost Year 6'!AL85+AK85</f>
        <v>0</v>
      </c>
      <c r="AN85" s="108">
        <f>AM85*'1. Standard_Cost'!$C$31</f>
        <v>0</v>
      </c>
      <c r="AO85" s="125" t="s">
        <v>327</v>
      </c>
      <c r="AQ85" s="14">
        <f t="shared" si="84"/>
        <v>0</v>
      </c>
      <c r="AR85" s="14">
        <f t="shared" si="85"/>
        <v>0</v>
      </c>
      <c r="AS85" s="14">
        <f t="shared" si="86"/>
        <v>0</v>
      </c>
      <c r="AT85" s="14">
        <f t="shared" si="88"/>
        <v>0</v>
      </c>
      <c r="AU85" s="234"/>
      <c r="AV85" s="234"/>
      <c r="AW85" s="234"/>
      <c r="AX85" s="234"/>
      <c r="AY85" s="234"/>
      <c r="AZ85" s="234"/>
      <c r="BA85" s="234"/>
      <c r="BB85" s="16">
        <f t="shared" si="87"/>
        <v>0</v>
      </c>
    </row>
    <row r="86" spans="1:54" ht="171.6" outlineLevel="2">
      <c r="A86" s="98"/>
      <c r="B86" s="102"/>
      <c r="C86" s="23"/>
      <c r="D86" s="269"/>
      <c r="E86" s="269"/>
      <c r="F86" s="251"/>
      <c r="G86" s="250"/>
      <c r="H86" s="302" t="s">
        <v>620</v>
      </c>
      <c r="I86" s="258"/>
      <c r="J86" s="259"/>
      <c r="K86" s="259"/>
      <c r="L86" s="106" t="str">
        <f>IF(I86&lt;&gt;0,((VLOOKUP(I86,'1. Standard_Cost'!$B$4:$D$11,2)+VLOOKUP(I86,'1. Standard_Cost'!$B$4:$D$11,3))*J86*K86),"0")</f>
        <v>0</v>
      </c>
      <c r="M86" s="106">
        <f>L86*'1. Standard_Cost'!$F$4</f>
        <v>0</v>
      </c>
      <c r="N86" s="260"/>
      <c r="O86" s="260"/>
      <c r="P86" s="260"/>
      <c r="Q86" s="260"/>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260"/>
      <c r="AA86" s="260"/>
      <c r="AB86" s="108">
        <f>+Z86*'1. Standard_Cost'!$B$23+AA86*'1. Standard_Cost'!$C$23</f>
        <v>0</v>
      </c>
      <c r="AC86" s="261"/>
      <c r="AD86" s="262"/>
      <c r="AE86" s="108">
        <f>SUM(AD86,AC86,AB86,Y86,U86,T86,S86,R86)*'1. Standard_Cost'!$B$31</f>
        <v>0</v>
      </c>
      <c r="AF86" s="108">
        <f t="shared" si="83"/>
        <v>0</v>
      </c>
      <c r="AG86" s="260"/>
      <c r="AH86" s="260"/>
      <c r="AI86" s="260"/>
      <c r="AJ86" s="263"/>
      <c r="AK86" s="263"/>
      <c r="AL86" s="263"/>
      <c r="AM86" s="108">
        <f>AG86*'1. Standard_Cost'!$B$27+'Incremental_Cost Year 6'!AH86*'1. Standard_Cost'!$C$27+'Incremental_Cost Year 6'!AI86*'1. Standard_Cost'!$D$27+'Incremental_Cost Year 6'!AJ86+'Incremental_Cost Year 6'!AL86+AK86</f>
        <v>0</v>
      </c>
      <c r="AN86" s="108">
        <f>AM86*'1. Standard_Cost'!$C$31</f>
        <v>0</v>
      </c>
      <c r="AO86" s="125" t="s">
        <v>328</v>
      </c>
      <c r="AQ86" s="14">
        <f t="shared" si="84"/>
        <v>0</v>
      </c>
      <c r="AR86" s="14">
        <f t="shared" si="85"/>
        <v>0</v>
      </c>
      <c r="AS86" s="14">
        <f t="shared" si="86"/>
        <v>0</v>
      </c>
      <c r="AT86" s="14">
        <f t="shared" si="88"/>
        <v>0</v>
      </c>
      <c r="AU86" s="234"/>
      <c r="AV86" s="234"/>
      <c r="AW86" s="234"/>
      <c r="AX86" s="234"/>
      <c r="AY86" s="234"/>
      <c r="AZ86" s="234"/>
      <c r="BA86" s="234"/>
      <c r="BB86" s="16">
        <f t="shared" si="87"/>
        <v>0</v>
      </c>
    </row>
    <row r="87" spans="1:54" ht="140.4" outlineLevel="2">
      <c r="A87" s="98"/>
      <c r="B87" s="102"/>
      <c r="C87" s="23"/>
      <c r="D87" s="269"/>
      <c r="E87" s="269"/>
      <c r="F87" s="251"/>
      <c r="G87" s="250"/>
      <c r="H87" s="302" t="s">
        <v>621</v>
      </c>
      <c r="I87" s="258"/>
      <c r="J87" s="259"/>
      <c r="K87" s="259"/>
      <c r="L87" s="106" t="str">
        <f>IF(I87&lt;&gt;0,((VLOOKUP(I87,'1. Standard_Cost'!$B$4:$D$11,2)+VLOOKUP(I87,'1. Standard_Cost'!$B$4:$D$11,3))*J87*K87),"0")</f>
        <v>0</v>
      </c>
      <c r="M87" s="106">
        <f>L87*'1. Standard_Cost'!$F$4</f>
        <v>0</v>
      </c>
      <c r="N87" s="260">
        <v>1</v>
      </c>
      <c r="O87" s="260">
        <v>2</v>
      </c>
      <c r="P87" s="260">
        <v>15</v>
      </c>
      <c r="Q87" s="260"/>
      <c r="R87" s="108">
        <f>'1. Standard_Cost'!$B$15*N87*P87</f>
        <v>30000</v>
      </c>
      <c r="S87" s="108">
        <f>N87*O87*P87*'1. Standard_Cost'!$C$15</f>
        <v>45000</v>
      </c>
      <c r="T87" s="108">
        <f>N87*P87*Q87*'1. Standard_Cost'!$D$15</f>
        <v>0</v>
      </c>
      <c r="U87" s="108">
        <f>N87*O87*'1. Standard_Cost'!$E$15</f>
        <v>80000</v>
      </c>
      <c r="V87" s="107"/>
      <c r="W87" s="107"/>
      <c r="X87" s="107"/>
      <c r="Y87" s="108">
        <f>+V87*((X87*'1. Standard_Cost'!$B$19)+(W87*X87*'1. Standard_Cost'!$C$19))</f>
        <v>0</v>
      </c>
      <c r="Z87" s="260"/>
      <c r="AA87" s="260">
        <v>6</v>
      </c>
      <c r="AB87" s="108">
        <f>+Z87*'1. Standard_Cost'!$B$23+AA87*'1. Standard_Cost'!$C$23</f>
        <v>114000</v>
      </c>
      <c r="AC87" s="261">
        <f>30*500</f>
        <v>15000</v>
      </c>
      <c r="AD87" s="262"/>
      <c r="AE87" s="108">
        <f>SUM(AD87,AC87,AB87,Y87,U87,T87,S87,R87)*'1. Standard_Cost'!$B$31</f>
        <v>56800</v>
      </c>
      <c r="AF87" s="108">
        <f t="shared" si="83"/>
        <v>340800</v>
      </c>
      <c r="AG87" s="260"/>
      <c r="AH87" s="260"/>
      <c r="AI87" s="260"/>
      <c r="AJ87" s="263"/>
      <c r="AK87" s="263"/>
      <c r="AL87" s="263"/>
      <c r="AM87" s="108">
        <f>AG87*'1. Standard_Cost'!$B$27+'Incremental_Cost Year 6'!AH87*'1. Standard_Cost'!$C$27+'Incremental_Cost Year 6'!AI87*'1. Standard_Cost'!$D$27+'Incremental_Cost Year 6'!AJ87+'Incremental_Cost Year 6'!AL87+AK87</f>
        <v>0</v>
      </c>
      <c r="AN87" s="108">
        <f>AM87*'1. Standard_Cost'!$C$31</f>
        <v>0</v>
      </c>
      <c r="AO87" s="125" t="s">
        <v>329</v>
      </c>
      <c r="AQ87" s="14">
        <f t="shared" si="84"/>
        <v>0</v>
      </c>
      <c r="AR87" s="14">
        <f t="shared" si="85"/>
        <v>340800</v>
      </c>
      <c r="AS87" s="14">
        <f t="shared" si="86"/>
        <v>0</v>
      </c>
      <c r="AT87" s="14">
        <f t="shared" si="88"/>
        <v>340800</v>
      </c>
      <c r="AU87" s="234"/>
      <c r="AV87" s="234"/>
      <c r="AW87" s="234"/>
      <c r="AX87" s="234"/>
      <c r="AY87" s="234"/>
      <c r="AZ87" s="234"/>
      <c r="BA87" s="234"/>
      <c r="BB87" s="16">
        <f t="shared" si="87"/>
        <v>-340800</v>
      </c>
    </row>
    <row r="88" spans="1:54" ht="93.6" outlineLevel="2">
      <c r="A88" s="98"/>
      <c r="B88" s="102"/>
      <c r="C88" s="23"/>
      <c r="D88" s="269"/>
      <c r="E88" s="269"/>
      <c r="F88" s="251"/>
      <c r="G88" s="250"/>
      <c r="H88" s="302" t="s">
        <v>622</v>
      </c>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83"/>
        <v>0</v>
      </c>
      <c r="AG88" s="260"/>
      <c r="AH88" s="260"/>
      <c r="AI88" s="260"/>
      <c r="AJ88" s="263"/>
      <c r="AK88" s="263"/>
      <c r="AL88" s="263">
        <v>1700000</v>
      </c>
      <c r="AM88" s="108">
        <f>AG88*'1. Standard_Cost'!$B$27+'Incremental_Cost Year 6'!AH88*'1. Standard_Cost'!$C$27+'Incremental_Cost Year 6'!AI88*'1. Standard_Cost'!$D$27+'Incremental_Cost Year 6'!AJ88+'Incremental_Cost Year 6'!AL88+AK88</f>
        <v>1700000</v>
      </c>
      <c r="AN88" s="108">
        <f>AM88*'1. Standard_Cost'!$C$31</f>
        <v>255000</v>
      </c>
      <c r="AO88" s="125" t="s">
        <v>330</v>
      </c>
      <c r="AQ88" s="14">
        <f t="shared" si="84"/>
        <v>0</v>
      </c>
      <c r="AR88" s="14">
        <f t="shared" si="85"/>
        <v>0</v>
      </c>
      <c r="AS88" s="14">
        <f t="shared" si="86"/>
        <v>1955000</v>
      </c>
      <c r="AT88" s="14">
        <f t="shared" si="88"/>
        <v>1955000</v>
      </c>
      <c r="AU88" s="234">
        <v>1955000</v>
      </c>
      <c r="AV88" s="234"/>
      <c r="AW88" s="234"/>
      <c r="AX88" s="234"/>
      <c r="AY88" s="234"/>
      <c r="AZ88" s="234"/>
      <c r="BA88" s="234"/>
      <c r="BB88" s="16">
        <f t="shared" si="87"/>
        <v>0</v>
      </c>
    </row>
    <row r="89" spans="1:54" ht="124.8" outlineLevel="2">
      <c r="A89" s="98"/>
      <c r="B89" s="102"/>
      <c r="C89" s="23"/>
      <c r="D89" s="269"/>
      <c r="E89" s="269"/>
      <c r="F89" s="251"/>
      <c r="G89" s="250"/>
      <c r="H89" s="302" t="s">
        <v>623</v>
      </c>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83"/>
        <v>0</v>
      </c>
      <c r="AG89" s="260"/>
      <c r="AH89" s="260"/>
      <c r="AI89" s="260"/>
      <c r="AJ89" s="263">
        <v>2000000</v>
      </c>
      <c r="AK89" s="263"/>
      <c r="AL89" s="263"/>
      <c r="AM89" s="108">
        <f>AG89*'1. Standard_Cost'!$B$27+'Incremental_Cost Year 6'!AH89*'1. Standard_Cost'!$C$27+'Incremental_Cost Year 6'!AI89*'1. Standard_Cost'!$D$27+'Incremental_Cost Year 6'!AJ89+'Incremental_Cost Year 6'!AL89+AK89</f>
        <v>2000000</v>
      </c>
      <c r="AN89" s="108">
        <f>AM89*'1. Standard_Cost'!$C$31</f>
        <v>300000</v>
      </c>
      <c r="AO89" s="125" t="s">
        <v>331</v>
      </c>
      <c r="AQ89" s="14">
        <f t="shared" si="84"/>
        <v>0</v>
      </c>
      <c r="AR89" s="14">
        <f t="shared" si="85"/>
        <v>0</v>
      </c>
      <c r="AS89" s="14">
        <f t="shared" si="86"/>
        <v>2300000</v>
      </c>
      <c r="AT89" s="14">
        <f t="shared" si="88"/>
        <v>2300000</v>
      </c>
      <c r="AU89" s="234">
        <v>2300000</v>
      </c>
      <c r="AV89" s="234"/>
      <c r="AW89" s="234"/>
      <c r="AX89" s="234"/>
      <c r="AY89" s="234"/>
      <c r="AZ89" s="234"/>
      <c r="BA89" s="234"/>
      <c r="BB89" s="16">
        <f t="shared" si="87"/>
        <v>0</v>
      </c>
    </row>
    <row r="90" spans="1:54" ht="107.4" outlineLevel="2">
      <c r="A90" s="98"/>
      <c r="B90" s="102"/>
      <c r="C90" s="23"/>
      <c r="D90" s="251"/>
      <c r="E90" s="251"/>
      <c r="F90" s="251"/>
      <c r="G90" s="250"/>
      <c r="H90" s="302" t="s">
        <v>685</v>
      </c>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83"/>
        <v>0</v>
      </c>
      <c r="AG90" s="260"/>
      <c r="AH90" s="260"/>
      <c r="AI90" s="260"/>
      <c r="AJ90" s="263"/>
      <c r="AK90" s="263"/>
      <c r="AL90" s="263"/>
      <c r="AM90" s="108">
        <f>AG90*'1. Standard_Cost'!$B$27+'Incremental_Cost Year 6'!AH90*'1. Standard_Cost'!$C$27+'Incremental_Cost Year 6'!AI90*'1. Standard_Cost'!$D$27+'Incremental_Cost Year 6'!AJ90+'Incremental_Cost Year 6'!AL90+AK90</f>
        <v>0</v>
      </c>
      <c r="AN90" s="108">
        <f>AM90*'1. Standard_Cost'!$C$31</f>
        <v>0</v>
      </c>
      <c r="AO90" s="125" t="s">
        <v>332</v>
      </c>
      <c r="AQ90" s="14">
        <f t="shared" si="84"/>
        <v>0</v>
      </c>
      <c r="AR90" s="14">
        <f t="shared" si="85"/>
        <v>0</v>
      </c>
      <c r="AS90" s="14">
        <f t="shared" si="86"/>
        <v>0</v>
      </c>
      <c r="AT90" s="14">
        <f t="shared" si="88"/>
        <v>0</v>
      </c>
      <c r="AU90" s="234"/>
      <c r="AV90" s="234"/>
      <c r="AW90" s="234"/>
      <c r="AX90" s="234"/>
      <c r="AY90" s="234"/>
      <c r="AZ90" s="234"/>
      <c r="BA90" s="234"/>
      <c r="BB90" s="16">
        <f t="shared" si="87"/>
        <v>0</v>
      </c>
    </row>
    <row r="91" spans="1:54" ht="82.8" outlineLevel="1">
      <c r="A91" s="98"/>
      <c r="B91" s="102"/>
      <c r="C91" s="23"/>
      <c r="D91" s="345" t="s">
        <v>632</v>
      </c>
      <c r="E91" s="56" t="s">
        <v>217</v>
      </c>
      <c r="F91" s="253">
        <v>2021</v>
      </c>
      <c r="G91" s="254">
        <v>2026</v>
      </c>
      <c r="H91" s="277" t="s">
        <v>218</v>
      </c>
      <c r="I91" s="112"/>
      <c r="J91" s="112"/>
      <c r="K91" s="112"/>
      <c r="L91" s="113">
        <f>SUM(L81:L90)</f>
        <v>35350</v>
      </c>
      <c r="M91" s="113">
        <f>SUM(M81:M90)</f>
        <v>5903.4500000000007</v>
      </c>
      <c r="N91" s="113"/>
      <c r="O91" s="112"/>
      <c r="P91" s="112"/>
      <c r="Q91" s="112"/>
      <c r="R91" s="113">
        <f t="shared" ref="R91:U91" si="89">SUM(R81:R90)</f>
        <v>190000</v>
      </c>
      <c r="S91" s="113">
        <f t="shared" si="89"/>
        <v>285000</v>
      </c>
      <c r="T91" s="113">
        <f t="shared" si="89"/>
        <v>0</v>
      </c>
      <c r="U91" s="113">
        <f t="shared" si="89"/>
        <v>400000</v>
      </c>
      <c r="V91" s="112"/>
      <c r="W91" s="112"/>
      <c r="X91" s="112"/>
      <c r="Y91" s="113">
        <f>SUM(Y81:Y90)</f>
        <v>0</v>
      </c>
      <c r="Z91" s="112"/>
      <c r="AA91" s="112"/>
      <c r="AB91" s="113">
        <f t="shared" ref="AB91:AF91" si="90">SUM(AB81:AB90)</f>
        <v>494000</v>
      </c>
      <c r="AC91" s="113">
        <f t="shared" si="90"/>
        <v>4455000</v>
      </c>
      <c r="AD91" s="113">
        <f t="shared" si="90"/>
        <v>0</v>
      </c>
      <c r="AE91" s="113">
        <f t="shared" si="90"/>
        <v>1164800</v>
      </c>
      <c r="AF91" s="113">
        <f t="shared" si="90"/>
        <v>6988800</v>
      </c>
      <c r="AG91" s="112"/>
      <c r="AH91" s="112"/>
      <c r="AI91" s="112"/>
      <c r="AJ91" s="113">
        <f t="shared" ref="AJ91:AN91" si="91">SUM(AJ81:AJ90)</f>
        <v>2000000</v>
      </c>
      <c r="AK91" s="113">
        <f t="shared" si="91"/>
        <v>0</v>
      </c>
      <c r="AL91" s="113">
        <f t="shared" si="91"/>
        <v>1700000</v>
      </c>
      <c r="AM91" s="113">
        <f t="shared" si="91"/>
        <v>3700000</v>
      </c>
      <c r="AN91" s="113">
        <f t="shared" si="91"/>
        <v>555000</v>
      </c>
      <c r="AO91" s="131"/>
      <c r="AP91" s="17"/>
      <c r="AQ91" s="113">
        <f t="shared" ref="AQ91:BB91" si="92">SUM(AQ81:AQ90)</f>
        <v>41253.449999999997</v>
      </c>
      <c r="AR91" s="113">
        <f t="shared" si="92"/>
        <v>6988800</v>
      </c>
      <c r="AS91" s="113">
        <f t="shared" si="92"/>
        <v>4255000</v>
      </c>
      <c r="AT91" s="113">
        <f t="shared" si="92"/>
        <v>11285053.449999999</v>
      </c>
      <c r="AU91" s="113">
        <f t="shared" si="92"/>
        <v>6936253</v>
      </c>
      <c r="AV91" s="113">
        <f t="shared" si="92"/>
        <v>0</v>
      </c>
      <c r="AW91" s="113">
        <f t="shared" si="92"/>
        <v>0</v>
      </c>
      <c r="AX91" s="113">
        <f t="shared" si="92"/>
        <v>0</v>
      </c>
      <c r="AY91" s="113">
        <f t="shared" si="92"/>
        <v>0</v>
      </c>
      <c r="AZ91" s="113">
        <f t="shared" si="92"/>
        <v>0</v>
      </c>
      <c r="BA91" s="113">
        <f t="shared" si="92"/>
        <v>0</v>
      </c>
      <c r="BB91" s="113">
        <f t="shared" si="92"/>
        <v>-4348800.45</v>
      </c>
    </row>
    <row r="92" spans="1:54" s="13" customFormat="1" ht="13.8" customHeight="1">
      <c r="A92" s="101"/>
      <c r="B92" s="316" t="s">
        <v>220</v>
      </c>
      <c r="C92" s="317"/>
      <c r="D92" s="317"/>
      <c r="E92" s="318"/>
      <c r="F92" s="241"/>
      <c r="G92" s="241"/>
      <c r="H92" s="241" t="s">
        <v>185</v>
      </c>
      <c r="I92" s="40"/>
      <c r="J92" s="40"/>
      <c r="K92" s="40"/>
      <c r="L92" s="41">
        <f>SUM(L93,L143,L179,L202)</f>
        <v>35482970</v>
      </c>
      <c r="M92" s="41">
        <f>SUM(M93,M143,M179,M202)</f>
        <v>5925655.9900000002</v>
      </c>
      <c r="N92" s="40"/>
      <c r="O92" s="40"/>
      <c r="P92" s="40"/>
      <c r="Q92" s="40"/>
      <c r="R92" s="41">
        <f t="shared" ref="R92:U92" si="93">SUM(R93,R143,R179,R202)</f>
        <v>1106000</v>
      </c>
      <c r="S92" s="41">
        <f t="shared" si="93"/>
        <v>1648500</v>
      </c>
      <c r="T92" s="41">
        <f t="shared" si="93"/>
        <v>1975000</v>
      </c>
      <c r="U92" s="41">
        <f t="shared" si="93"/>
        <v>160000</v>
      </c>
      <c r="V92" s="40"/>
      <c r="W92" s="40"/>
      <c r="X92" s="40"/>
      <c r="Y92" s="41">
        <f>SUM(Y93,Y143,Y179,Y202)</f>
        <v>0</v>
      </c>
      <c r="Z92" s="41">
        <f>SUM(Z93,Z143,Z179,Z202)</f>
        <v>0</v>
      </c>
      <c r="AA92" s="40"/>
      <c r="AB92" s="41">
        <f>SUM(AB93,AB143,AB179,AB202)</f>
        <v>12602000</v>
      </c>
      <c r="AC92" s="41">
        <f>SUM(AC93,AC143,AC179,AC202)</f>
        <v>98687567.5</v>
      </c>
      <c r="AD92" s="41">
        <f>SUM(AD93,AD143)</f>
        <v>0</v>
      </c>
      <c r="AE92" s="41">
        <f>SUM(AE93,AE143)</f>
        <v>16933753.5</v>
      </c>
      <c r="AF92" s="41">
        <f>SUM(AF93,AF143)</f>
        <v>122539521</v>
      </c>
      <c r="AG92" s="40"/>
      <c r="AH92" s="40"/>
      <c r="AI92" s="40"/>
      <c r="AJ92" s="41">
        <f>SUM(AJ93,AJ143,AJ179,AJ202)</f>
        <v>1000000</v>
      </c>
      <c r="AK92" s="41">
        <f>SUM(AK93,AK143,AK179,AK202)</f>
        <v>0</v>
      </c>
      <c r="AL92" s="41">
        <f>SUM(AL93,AL143)</f>
        <v>0</v>
      </c>
      <c r="AM92" s="41">
        <f>SUM(AM93,AM143)</f>
        <v>1000000</v>
      </c>
      <c r="AN92" s="41">
        <f>SUM(AN93,AN143)</f>
        <v>150000</v>
      </c>
      <c r="AO92" s="129"/>
      <c r="AQ92" s="41">
        <f t="shared" ref="AQ92" si="94">SUM(AQ93,AQ143,AQ179,AQ202)</f>
        <v>41408625.990000002</v>
      </c>
      <c r="AR92" s="41">
        <f t="shared" ref="AR92:BB92" si="95">SUM(AR93,AR143,AR179,AR202)</f>
        <v>133401621</v>
      </c>
      <c r="AS92" s="41">
        <f t="shared" si="95"/>
        <v>1150000</v>
      </c>
      <c r="AT92" s="41">
        <f t="shared" si="95"/>
        <v>175960246.99000001</v>
      </c>
      <c r="AU92" s="41">
        <f t="shared" si="95"/>
        <v>138908746.99000001</v>
      </c>
      <c r="AV92" s="41">
        <f t="shared" si="95"/>
        <v>0</v>
      </c>
      <c r="AW92" s="41">
        <f t="shared" si="95"/>
        <v>0</v>
      </c>
      <c r="AX92" s="41">
        <f t="shared" si="95"/>
        <v>655900</v>
      </c>
      <c r="AY92" s="41">
        <f t="shared" si="95"/>
        <v>0</v>
      </c>
      <c r="AZ92" s="41">
        <f t="shared" si="95"/>
        <v>16582976.25</v>
      </c>
      <c r="BA92" s="41">
        <f t="shared" si="95"/>
        <v>0</v>
      </c>
      <c r="BB92" s="41">
        <f t="shared" si="95"/>
        <v>-19812623.75</v>
      </c>
    </row>
    <row r="93" spans="1:54" s="24" customFormat="1" ht="13.8" customHeight="1">
      <c r="A93" s="114"/>
      <c r="B93" s="115"/>
      <c r="C93" s="314" t="s">
        <v>221</v>
      </c>
      <c r="D93" s="314"/>
      <c r="E93" s="315"/>
      <c r="F93" s="246"/>
      <c r="G93" s="246"/>
      <c r="H93" s="278" t="s">
        <v>186</v>
      </c>
      <c r="I93" s="116"/>
      <c r="J93" s="116"/>
      <c r="K93" s="116"/>
      <c r="L93" s="117">
        <f>SUM(L101,L113,L136,L139,L142)</f>
        <v>4212470</v>
      </c>
      <c r="M93" s="117">
        <f>SUM(M101,M113,M136,M139,M142)</f>
        <v>703482.49000000011</v>
      </c>
      <c r="N93" s="116"/>
      <c r="O93" s="116"/>
      <c r="P93" s="116"/>
      <c r="Q93" s="116"/>
      <c r="R93" s="117">
        <f t="shared" ref="R93:U93" si="96">SUM(R101,R113,R136,R139,R142)</f>
        <v>240000</v>
      </c>
      <c r="S93" s="117">
        <f t="shared" si="96"/>
        <v>180000</v>
      </c>
      <c r="T93" s="117">
        <f t="shared" si="96"/>
        <v>0</v>
      </c>
      <c r="U93" s="117">
        <f t="shared" si="96"/>
        <v>0</v>
      </c>
      <c r="V93" s="116"/>
      <c r="W93" s="116"/>
      <c r="X93" s="116"/>
      <c r="Y93" s="117">
        <f>SUM(Y101,Y113,Y136,Y139,Y142)</f>
        <v>0</v>
      </c>
      <c r="Z93" s="116"/>
      <c r="AA93" s="116"/>
      <c r="AB93" s="117">
        <f t="shared" ref="AB93:AF93" si="97">SUM(AB101,AB113,AB136,AB139,AB142)</f>
        <v>8289000</v>
      </c>
      <c r="AC93" s="117">
        <f t="shared" si="97"/>
        <v>17458000</v>
      </c>
      <c r="AD93" s="117">
        <f t="shared" si="97"/>
        <v>0</v>
      </c>
      <c r="AE93" s="117">
        <f t="shared" si="97"/>
        <v>1912800</v>
      </c>
      <c r="AF93" s="117">
        <f t="shared" si="97"/>
        <v>28079800</v>
      </c>
      <c r="AG93" s="116"/>
      <c r="AH93" s="116"/>
      <c r="AI93" s="116"/>
      <c r="AJ93" s="117">
        <f t="shared" ref="AJ93:AN93" si="98">SUM(AJ101,AJ113,AJ136,AJ139,AJ142)</f>
        <v>1000000</v>
      </c>
      <c r="AK93" s="117">
        <f t="shared" si="98"/>
        <v>0</v>
      </c>
      <c r="AL93" s="117">
        <f t="shared" si="98"/>
        <v>0</v>
      </c>
      <c r="AM93" s="117">
        <f t="shared" si="98"/>
        <v>1000000</v>
      </c>
      <c r="AN93" s="117">
        <f t="shared" si="98"/>
        <v>150000</v>
      </c>
      <c r="AO93" s="132"/>
      <c r="AP93" s="25"/>
      <c r="AQ93" s="117">
        <f t="shared" ref="AQ93" si="99">SUM(AQ101,AQ113,AQ136,AQ139,AQ142)</f>
        <v>4915952.49</v>
      </c>
      <c r="AR93" s="117">
        <f t="shared" ref="AR93:BB93" si="100">SUM(AR101,AR113,AR136,AR139,AR142)</f>
        <v>28079800</v>
      </c>
      <c r="AS93" s="117">
        <f t="shared" si="100"/>
        <v>1150000</v>
      </c>
      <c r="AT93" s="117">
        <f t="shared" si="100"/>
        <v>34145752.489999995</v>
      </c>
      <c r="AU93" s="117">
        <f t="shared" si="100"/>
        <v>14915952.490000002</v>
      </c>
      <c r="AV93" s="117">
        <f t="shared" si="100"/>
        <v>0</v>
      </c>
      <c r="AW93" s="117">
        <f t="shared" si="100"/>
        <v>0</v>
      </c>
      <c r="AX93" s="117">
        <f t="shared" si="100"/>
        <v>0</v>
      </c>
      <c r="AY93" s="117">
        <f t="shared" si="100"/>
        <v>0</v>
      </c>
      <c r="AZ93" s="117">
        <f t="shared" si="100"/>
        <v>14443800</v>
      </c>
      <c r="BA93" s="117">
        <f t="shared" si="100"/>
        <v>0</v>
      </c>
      <c r="BB93" s="117">
        <f t="shared" si="100"/>
        <v>-4786000</v>
      </c>
    </row>
    <row r="94" spans="1:54" ht="140.4" outlineLevel="2">
      <c r="A94" s="98"/>
      <c r="B94" s="102"/>
      <c r="C94" s="23"/>
      <c r="D94" s="257"/>
      <c r="E94" s="257"/>
      <c r="F94" s="257"/>
      <c r="G94" s="257"/>
      <c r="H94" s="302" t="s">
        <v>444</v>
      </c>
      <c r="I94" s="104"/>
      <c r="J94" s="105"/>
      <c r="K94" s="105"/>
      <c r="L94" s="106" t="str">
        <f>IF(I94&lt;&gt;0,((VLOOKUP(I94,'1. Standard_Cost'!$B$4:$D$11,2)+VLOOKUP(I94,'1. Standard_Cost'!$B$4:$D$11,3))*J94*K94),"0")</f>
        <v>0</v>
      </c>
      <c r="M94" s="106">
        <f>L94*'1. Standard_Cost'!$F$4</f>
        <v>0</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c r="AA94" s="107"/>
      <c r="AB94" s="108">
        <f>+Z94*'1. Standard_Cost'!$B$23+AA94*'1. Standard_Cost'!$C$23</f>
        <v>0</v>
      </c>
      <c r="AC94" s="109"/>
      <c r="AD94" s="110"/>
      <c r="AE94" s="108">
        <f>SUM(AD94,AC94,AB94,Y94,U94,T94,S94,R94)*'1. Standard_Cost'!$B$31</f>
        <v>0</v>
      </c>
      <c r="AF94" s="108">
        <f t="shared" ref="AF94:AF100" si="101">SUM(AE94,AD94,AC94,AB94,Y94,U94,T94,S94,R94)</f>
        <v>0</v>
      </c>
      <c r="AG94" s="107"/>
      <c r="AH94" s="107"/>
      <c r="AI94" s="107"/>
      <c r="AJ94" s="111"/>
      <c r="AK94" s="111"/>
      <c r="AL94" s="111"/>
      <c r="AM94" s="108">
        <f>AG94*'1. Standard_Cost'!$B$27+'Incremental_Cost Year 6'!AH94*'1. Standard_Cost'!$C$27+'Incremental_Cost Year 6'!AI94*'1. Standard_Cost'!$D$27+'Incremental_Cost Year 6'!AJ94+'Incremental_Cost Year 6'!AL94+AK94</f>
        <v>0</v>
      </c>
      <c r="AN94" s="108">
        <f>AM94*'1. Standard_Cost'!$C$31</f>
        <v>0</v>
      </c>
      <c r="AO94" s="125" t="s">
        <v>333</v>
      </c>
      <c r="AQ94" s="14">
        <f t="shared" ref="AQ94:AQ100" si="102">L94+M94</f>
        <v>0</v>
      </c>
      <c r="AR94" s="14">
        <f t="shared" ref="AR94:AR100" si="103">AF94</f>
        <v>0</v>
      </c>
      <c r="AS94" s="14">
        <f t="shared" ref="AS94:AS100" si="104">AM94+AN94</f>
        <v>0</v>
      </c>
      <c r="AT94" s="14">
        <f>SUM(AQ94,AR94,AS94)</f>
        <v>0</v>
      </c>
      <c r="AU94" s="15">
        <v>0</v>
      </c>
      <c r="AV94" s="15"/>
      <c r="AW94" s="15"/>
      <c r="AX94" s="15"/>
      <c r="AY94" s="15"/>
      <c r="AZ94" s="15"/>
      <c r="BA94" s="15"/>
      <c r="BB94" s="16">
        <f t="shared" ref="BB94:BB100" si="105">SUM(AU94:BA94)-AT94</f>
        <v>0</v>
      </c>
    </row>
    <row r="95" spans="1:54" ht="109.2" customHeight="1" outlineLevel="2">
      <c r="A95" s="98"/>
      <c r="B95" s="102"/>
      <c r="C95" s="23"/>
      <c r="D95" s="269"/>
      <c r="E95" s="269"/>
      <c r="F95" s="269"/>
      <c r="G95" s="269"/>
      <c r="H95" s="302" t="s">
        <v>445</v>
      </c>
      <c r="I95" s="104"/>
      <c r="J95" s="105"/>
      <c r="K95" s="105"/>
      <c r="L95" s="106" t="str">
        <f>IF(I95&lt;&gt;0,((VLOOKUP(I95,'1. Standard_Cost'!$B$4:$D$11,2)+VLOOKUP(I95,'1. Standard_Cost'!$B$4:$D$11,3))*J95*K95),"0")</f>
        <v>0</v>
      </c>
      <c r="M95" s="106">
        <f>L95*'1. Standard_Cost'!$F$4</f>
        <v>0</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c r="AB95" s="108">
        <f>+Z95*'1. Standard_Cost'!$B$23+AA95*'1. Standard_Cost'!$C$23</f>
        <v>0</v>
      </c>
      <c r="AC95" s="109"/>
      <c r="AD95" s="110"/>
      <c r="AE95" s="108">
        <f>SUM(AD95,AC95,AB95,Y95,U95,T95,S95,R95)*'1. Standard_Cost'!$B$31</f>
        <v>0</v>
      </c>
      <c r="AF95" s="108">
        <f t="shared" si="101"/>
        <v>0</v>
      </c>
      <c r="AG95" s="107"/>
      <c r="AH95" s="107"/>
      <c r="AI95" s="107"/>
      <c r="AJ95" s="111"/>
      <c r="AK95" s="111"/>
      <c r="AL95" s="111"/>
      <c r="AM95" s="108">
        <f>AG95*'1. Standard_Cost'!$B$27+'Incremental_Cost Year 6'!AH95*'1. Standard_Cost'!$C$27+'Incremental_Cost Year 6'!AI95*'1. Standard_Cost'!$D$27+'Incremental_Cost Year 6'!AJ95+'Incremental_Cost Year 6'!AL95+AK95</f>
        <v>0</v>
      </c>
      <c r="AN95" s="108">
        <f>AM95*'1. Standard_Cost'!$C$31</f>
        <v>0</v>
      </c>
      <c r="AO95" s="125" t="s">
        <v>334</v>
      </c>
      <c r="AQ95" s="14">
        <f t="shared" si="102"/>
        <v>0</v>
      </c>
      <c r="AR95" s="14">
        <f t="shared" si="103"/>
        <v>0</v>
      </c>
      <c r="AS95" s="14">
        <f t="shared" si="104"/>
        <v>0</v>
      </c>
      <c r="AT95" s="14">
        <f t="shared" ref="AT95:AT100" si="106">SUM(AQ95,AR95,AS95)</f>
        <v>0</v>
      </c>
      <c r="AU95" s="15">
        <v>0</v>
      </c>
      <c r="AV95" s="15"/>
      <c r="AW95" s="15"/>
      <c r="AX95" s="15"/>
      <c r="AY95" s="15"/>
      <c r="AZ95" s="15"/>
      <c r="BA95" s="15"/>
      <c r="BB95" s="16">
        <f t="shared" si="105"/>
        <v>0</v>
      </c>
    </row>
    <row r="96" spans="1:54" ht="78" outlineLevel="2">
      <c r="A96" s="98"/>
      <c r="B96" s="102"/>
      <c r="C96" s="23"/>
      <c r="D96" s="269"/>
      <c r="E96" s="269"/>
      <c r="F96" s="269"/>
      <c r="G96" s="174"/>
      <c r="H96" s="302" t="s">
        <v>446</v>
      </c>
      <c r="I96" s="104" t="s">
        <v>4</v>
      </c>
      <c r="J96" s="105">
        <v>0.4</v>
      </c>
      <c r="K96" s="105">
        <v>2</v>
      </c>
      <c r="L96" s="106">
        <f>IF(I96&lt;&gt;0,((VLOOKUP(I96,'1. Standard_Cost'!$B$4:$D$11,2)+VLOOKUP(I96,'1. Standard_Cost'!$B$4:$D$11,3))*J96*K96),"0")</f>
        <v>64600</v>
      </c>
      <c r="M96" s="106">
        <f>L96*'1. Standard_Cost'!$F$4</f>
        <v>10788.2</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f>100000*10+2*300000+2*50000</f>
        <v>1700000</v>
      </c>
      <c r="AD96" s="110"/>
      <c r="AE96" s="108">
        <f>SUM(AD96,AC96,AB96,Y96,U96,T96,S96,R96)*'1. Standard_Cost'!$B$31</f>
        <v>340000</v>
      </c>
      <c r="AF96" s="108">
        <f t="shared" si="101"/>
        <v>2040000</v>
      </c>
      <c r="AG96" s="107"/>
      <c r="AH96" s="107"/>
      <c r="AI96" s="107"/>
      <c r="AJ96" s="111"/>
      <c r="AK96" s="111"/>
      <c r="AL96" s="111"/>
      <c r="AM96" s="108">
        <f>AG96*'1. Standard_Cost'!$B$27+'Incremental_Cost Year 6'!AH96*'1. Standard_Cost'!$C$27+'Incremental_Cost Year 6'!AI96*'1. Standard_Cost'!$D$27+'Incremental_Cost Year 6'!AJ96+'Incremental_Cost Year 6'!AL96+AK96</f>
        <v>0</v>
      </c>
      <c r="AN96" s="108">
        <f>AM96*'1. Standard_Cost'!$C$31</f>
        <v>0</v>
      </c>
      <c r="AO96" s="125" t="s">
        <v>335</v>
      </c>
      <c r="AQ96" s="14">
        <f t="shared" si="102"/>
        <v>75388.2</v>
      </c>
      <c r="AR96" s="14">
        <f t="shared" si="103"/>
        <v>2040000</v>
      </c>
      <c r="AS96" s="14">
        <f t="shared" si="104"/>
        <v>0</v>
      </c>
      <c r="AT96" s="14">
        <f t="shared" si="106"/>
        <v>2115388.2000000002</v>
      </c>
      <c r="AU96" s="15">
        <v>75388.2</v>
      </c>
      <c r="AV96" s="15"/>
      <c r="AW96" s="15"/>
      <c r="AX96" s="15"/>
      <c r="AY96" s="15"/>
      <c r="AZ96" s="15"/>
      <c r="BA96" s="15"/>
      <c r="BB96" s="16">
        <f t="shared" si="105"/>
        <v>-2040000.0000000002</v>
      </c>
    </row>
    <row r="97" spans="1:54" ht="46.8" outlineLevel="2">
      <c r="A97" s="98"/>
      <c r="B97" s="102"/>
      <c r="C97" s="23"/>
      <c r="D97" s="269"/>
      <c r="E97" s="269"/>
      <c r="F97" s="269"/>
      <c r="G97" s="269"/>
      <c r="H97" s="302" t="s">
        <v>447</v>
      </c>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101"/>
        <v>0</v>
      </c>
      <c r="AG97" s="107"/>
      <c r="AH97" s="107"/>
      <c r="AI97" s="107"/>
      <c r="AJ97" s="111"/>
      <c r="AK97" s="111"/>
      <c r="AL97" s="111"/>
      <c r="AM97" s="108">
        <f>AG97*'1. Standard_Cost'!$B$27+'Incremental_Cost Year 6'!AH97*'1. Standard_Cost'!$C$27+'Incremental_Cost Year 6'!AI97*'1. Standard_Cost'!$D$27+'Incremental_Cost Year 6'!AJ97+'Incremental_Cost Year 6'!AL97+AK97</f>
        <v>0</v>
      </c>
      <c r="AN97" s="108">
        <f>AM97*'1. Standard_Cost'!$C$31</f>
        <v>0</v>
      </c>
      <c r="AO97" s="125" t="s">
        <v>336</v>
      </c>
      <c r="AQ97" s="14">
        <f t="shared" si="102"/>
        <v>0</v>
      </c>
      <c r="AR97" s="14">
        <f t="shared" si="103"/>
        <v>0</v>
      </c>
      <c r="AS97" s="14">
        <f t="shared" si="104"/>
        <v>0</v>
      </c>
      <c r="AT97" s="14">
        <f t="shared" si="106"/>
        <v>0</v>
      </c>
      <c r="AU97" s="15"/>
      <c r="AV97" s="15"/>
      <c r="AW97" s="15"/>
      <c r="AX97" s="15"/>
      <c r="AY97" s="15"/>
      <c r="AZ97" s="15"/>
      <c r="BA97" s="15"/>
      <c r="BB97" s="16">
        <f t="shared" si="105"/>
        <v>0</v>
      </c>
    </row>
    <row r="98" spans="1:54" ht="109.2" outlineLevel="2">
      <c r="A98" s="98"/>
      <c r="B98" s="102"/>
      <c r="C98" s="23"/>
      <c r="D98" s="269"/>
      <c r="E98" s="269"/>
      <c r="F98" s="269"/>
      <c r="G98" s="269"/>
      <c r="H98" s="302" t="s">
        <v>448</v>
      </c>
      <c r="I98" s="104"/>
      <c r="J98" s="105"/>
      <c r="K98" s="105"/>
      <c r="L98" s="106" t="str">
        <f>IF(I98&lt;&gt;0,((VLOOKUP(I98,'1. Standard_Cost'!$B$4:$D$11,2)+VLOOKUP(I98,'1. Standard_Cost'!$B$4:$D$11,3))*J98*K98),"0")</f>
        <v>0</v>
      </c>
      <c r="M98" s="106">
        <f>L98*'1. Standard_Cost'!$F$4</f>
        <v>0</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c r="AB98" s="108">
        <f>+Z98*'1. Standard_Cost'!$B$23+AA98*'1. Standard_Cost'!$C$23</f>
        <v>0</v>
      </c>
      <c r="AC98" s="109"/>
      <c r="AD98" s="110"/>
      <c r="AE98" s="108">
        <f>SUM(AD98,AC98,AB98,Y98,U98,T98,S98,R98)*'1. Standard_Cost'!$B$31</f>
        <v>0</v>
      </c>
      <c r="AF98" s="108">
        <f t="shared" si="101"/>
        <v>0</v>
      </c>
      <c r="AG98" s="107"/>
      <c r="AH98" s="107"/>
      <c r="AI98" s="107"/>
      <c r="AJ98" s="111"/>
      <c r="AK98" s="111"/>
      <c r="AL98" s="111"/>
      <c r="AM98" s="108">
        <f>AG98*'1. Standard_Cost'!$B$27+'Incremental_Cost Year 6'!AH98*'1. Standard_Cost'!$C$27+'Incremental_Cost Year 6'!AI98*'1. Standard_Cost'!$D$27+'Incremental_Cost Year 6'!AJ98+'Incremental_Cost Year 6'!AL98+AK98</f>
        <v>0</v>
      </c>
      <c r="AN98" s="108">
        <f>AM98*'1. Standard_Cost'!$C$31</f>
        <v>0</v>
      </c>
      <c r="AO98" s="125" t="s">
        <v>337</v>
      </c>
      <c r="AQ98" s="14">
        <f t="shared" si="102"/>
        <v>0</v>
      </c>
      <c r="AR98" s="14">
        <f t="shared" si="103"/>
        <v>0</v>
      </c>
      <c r="AS98" s="14">
        <f t="shared" si="104"/>
        <v>0</v>
      </c>
      <c r="AT98" s="14">
        <f t="shared" si="106"/>
        <v>0</v>
      </c>
      <c r="AU98" s="15">
        <v>0</v>
      </c>
      <c r="AV98" s="15"/>
      <c r="AW98" s="15"/>
      <c r="AX98" s="15"/>
      <c r="AY98" s="15"/>
      <c r="AZ98" s="15"/>
      <c r="BA98" s="15"/>
      <c r="BB98" s="16">
        <f t="shared" si="105"/>
        <v>0</v>
      </c>
    </row>
    <row r="99" spans="1:54" ht="109.2" outlineLevel="2">
      <c r="A99" s="98"/>
      <c r="B99" s="102"/>
      <c r="C99" s="23"/>
      <c r="D99" s="269"/>
      <c r="E99" s="269"/>
      <c r="F99" s="269"/>
      <c r="G99" s="269"/>
      <c r="H99" s="302" t="s">
        <v>449</v>
      </c>
      <c r="I99" s="104"/>
      <c r="J99" s="105"/>
      <c r="K99" s="105"/>
      <c r="L99" s="106" t="str">
        <f>IF(I99&lt;&gt;0,((VLOOKUP(I99,'1. Standard_Cost'!$B$4:$D$11,2)+VLOOKUP(I99,'1. Standard_Cost'!$B$4:$D$11,3))*J99*K99),"0")</f>
        <v>0</v>
      </c>
      <c r="M99" s="106">
        <f>L99*'1. Standard_Cost'!$F$4</f>
        <v>0</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c r="AB99" s="108">
        <f>+Z99*'1. Standard_Cost'!$B$23+AA99*'1. Standard_Cost'!$C$23</f>
        <v>0</v>
      </c>
      <c r="AC99" s="109"/>
      <c r="AD99" s="110"/>
      <c r="AE99" s="108">
        <f>SUM(AD99,AC99,AB99,Y99,U99,T99,S99,R99)*'1. Standard_Cost'!$B$31</f>
        <v>0</v>
      </c>
      <c r="AF99" s="108">
        <f t="shared" si="101"/>
        <v>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02"/>
        <v>0</v>
      </c>
      <c r="AR99" s="14">
        <f t="shared" si="103"/>
        <v>0</v>
      </c>
      <c r="AS99" s="14">
        <f t="shared" si="104"/>
        <v>0</v>
      </c>
      <c r="AT99" s="14">
        <f t="shared" si="106"/>
        <v>0</v>
      </c>
      <c r="AU99" s="15">
        <v>0</v>
      </c>
      <c r="AV99" s="15"/>
      <c r="AW99" s="15"/>
      <c r="AX99" s="15"/>
      <c r="AY99" s="15"/>
      <c r="AZ99" s="15"/>
      <c r="BA99" s="15"/>
      <c r="BB99" s="16">
        <f t="shared" si="105"/>
        <v>0</v>
      </c>
    </row>
    <row r="100" spans="1:54" ht="62.4" outlineLevel="2">
      <c r="A100" s="98"/>
      <c r="B100" s="102"/>
      <c r="C100" s="23"/>
      <c r="D100" s="269"/>
      <c r="E100" s="269"/>
      <c r="F100" s="251"/>
      <c r="G100" s="254"/>
      <c r="H100" s="302" t="s">
        <v>450</v>
      </c>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f>500*10000</f>
        <v>5000000</v>
      </c>
      <c r="AD100" s="110"/>
      <c r="AE100" s="108">
        <f>SUM(AD100,AC100,AB100,Y100,U100,T100,S100,R100)*'1. Standard_Cost'!$B$31</f>
        <v>1000000</v>
      </c>
      <c r="AF100" s="108">
        <f t="shared" si="101"/>
        <v>6000000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02"/>
        <v>0</v>
      </c>
      <c r="AR100" s="14">
        <f t="shared" si="103"/>
        <v>6000000</v>
      </c>
      <c r="AS100" s="14">
        <f t="shared" si="104"/>
        <v>0</v>
      </c>
      <c r="AT100" s="14">
        <f t="shared" si="106"/>
        <v>6000000</v>
      </c>
      <c r="AU100" s="15">
        <v>5000000</v>
      </c>
      <c r="AV100" s="15"/>
      <c r="AW100" s="15"/>
      <c r="AX100" s="15"/>
      <c r="AY100" s="15"/>
      <c r="AZ100" s="15"/>
      <c r="BA100" s="15"/>
      <c r="BB100" s="16">
        <f t="shared" si="105"/>
        <v>-1000000</v>
      </c>
    </row>
    <row r="101" spans="1:54" ht="82.8" outlineLevel="1">
      <c r="A101" s="98"/>
      <c r="B101" s="102"/>
      <c r="C101" s="23"/>
      <c r="D101" s="56" t="s">
        <v>632</v>
      </c>
      <c r="E101" s="56" t="s">
        <v>222</v>
      </c>
      <c r="F101" s="253">
        <v>2021</v>
      </c>
      <c r="G101" s="254">
        <v>2026</v>
      </c>
      <c r="H101" s="277" t="s">
        <v>187</v>
      </c>
      <c r="I101" s="112"/>
      <c r="J101" s="112"/>
      <c r="K101" s="112"/>
      <c r="L101" s="113">
        <f>SUM(L94:L100)</f>
        <v>64600</v>
      </c>
      <c r="M101" s="113">
        <f>SUM(M94:M100)</f>
        <v>10788.2</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0</v>
      </c>
      <c r="AC101" s="113">
        <f>SUM(AC94:AC100)</f>
        <v>6700000</v>
      </c>
      <c r="AD101" s="113">
        <f>SUM(AD94:AD100)</f>
        <v>0</v>
      </c>
      <c r="AE101" s="113">
        <f>SUM(AE94:AE100)</f>
        <v>1340000</v>
      </c>
      <c r="AF101" s="113">
        <f>SUM(AF94:AF100)</f>
        <v>8040000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7">SUM(AQ94:AQ100)</f>
        <v>75388.2</v>
      </c>
      <c r="AR101" s="113">
        <f t="shared" si="107"/>
        <v>8040000</v>
      </c>
      <c r="AS101" s="113">
        <f t="shared" si="107"/>
        <v>0</v>
      </c>
      <c r="AT101" s="113">
        <f t="shared" si="107"/>
        <v>8115388.2000000002</v>
      </c>
      <c r="AU101" s="113">
        <f t="shared" si="107"/>
        <v>5075388.2</v>
      </c>
      <c r="AV101" s="113">
        <f t="shared" si="107"/>
        <v>0</v>
      </c>
      <c r="AW101" s="113">
        <f t="shared" si="107"/>
        <v>0</v>
      </c>
      <c r="AX101" s="113">
        <f t="shared" si="107"/>
        <v>0</v>
      </c>
      <c r="AY101" s="113">
        <f t="shared" si="107"/>
        <v>0</v>
      </c>
      <c r="AZ101" s="113">
        <f t="shared" si="107"/>
        <v>0</v>
      </c>
      <c r="BA101" s="113">
        <f t="shared" si="107"/>
        <v>0</v>
      </c>
      <c r="BB101" s="113">
        <f t="shared" si="107"/>
        <v>-3040000</v>
      </c>
    </row>
    <row r="102" spans="1:54" ht="93.6" outlineLevel="2">
      <c r="A102" s="98"/>
      <c r="B102" s="102"/>
      <c r="C102" s="23"/>
      <c r="D102" s="257"/>
      <c r="E102" s="257"/>
      <c r="F102" s="175"/>
      <c r="G102" s="175"/>
      <c r="H102" s="302" t="s">
        <v>451</v>
      </c>
      <c r="I102" s="104"/>
      <c r="J102" s="105"/>
      <c r="K102" s="105"/>
      <c r="L102" s="106" t="str">
        <f>IF(I102&lt;&gt;0,((VLOOKUP(I102,'1. Standard_Cost'!$B$4:$D$11,2)+VLOOKUP(I102,'1. Standard_Cost'!$B$4:$D$11,3))*J102*K102),"0")</f>
        <v>0</v>
      </c>
      <c r="M102" s="106">
        <f>L102*'1. Standard_Cost'!$F$4</f>
        <v>0</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c r="AD102" s="110"/>
      <c r="AE102" s="108">
        <f>SUM(AD102,AC102,AB102,Y102,U102,T102,S102,R102)*'1. Standard_Cost'!$B$31</f>
        <v>0</v>
      </c>
      <c r="AF102" s="108">
        <f t="shared" ref="AF102:AF112" si="108">SUM(AE102,AD102,AC102,AB102,Y102,U102,T102,S102,R102)</f>
        <v>0</v>
      </c>
      <c r="AG102" s="107"/>
      <c r="AH102" s="107"/>
      <c r="AI102" s="107"/>
      <c r="AJ102" s="111"/>
      <c r="AK102" s="111"/>
      <c r="AL102" s="111"/>
      <c r="AM102" s="108">
        <f>AG102*'1. Standard_Cost'!$B$27+'Incremental_Cost Year 6'!AH102*'1. Standard_Cost'!$C$27+'Incremental_Cost Year 6'!AI102*'1. Standard_Cost'!$D$27+'Incremental_Cost Year 6'!AJ102+'Incremental_Cost Year 6'!AL102+AK102</f>
        <v>0</v>
      </c>
      <c r="AN102" s="108">
        <f>AM102*'1. Standard_Cost'!$C$31</f>
        <v>0</v>
      </c>
      <c r="AO102" s="125" t="s">
        <v>340</v>
      </c>
      <c r="AQ102" s="14">
        <f t="shared" ref="AQ102:AQ112" si="109">L102+M102</f>
        <v>0</v>
      </c>
      <c r="AR102" s="14">
        <f t="shared" ref="AR102:AR112" si="110">AF102</f>
        <v>0</v>
      </c>
      <c r="AS102" s="14">
        <f t="shared" ref="AS102:AS112" si="111">AM102+AN102</f>
        <v>0</v>
      </c>
      <c r="AT102" s="14">
        <f>SUM(AQ102,AR102,AS102)</f>
        <v>0</v>
      </c>
      <c r="AU102" s="15">
        <v>0</v>
      </c>
      <c r="AV102" s="15"/>
      <c r="AW102" s="15"/>
      <c r="AX102" s="15">
        <v>0</v>
      </c>
      <c r="AY102" s="15">
        <v>0</v>
      </c>
      <c r="AZ102" s="15">
        <v>0</v>
      </c>
      <c r="BA102" s="15"/>
      <c r="BB102" s="16">
        <f t="shared" ref="BB102:BB112" si="112">SUM(AU102:BA102)-AT102</f>
        <v>0</v>
      </c>
    </row>
    <row r="103" spans="1:54" ht="93.6" outlineLevel="2">
      <c r="A103" s="98"/>
      <c r="B103" s="102"/>
      <c r="C103" s="23"/>
      <c r="D103" s="269"/>
      <c r="E103" s="269"/>
      <c r="F103" s="174"/>
      <c r="G103" s="269"/>
      <c r="H103" s="302" t="s">
        <v>452</v>
      </c>
      <c r="I103" s="104"/>
      <c r="J103" s="105"/>
      <c r="K103" s="105"/>
      <c r="L103" s="106" t="str">
        <f>IF(I103&lt;&gt;0,((VLOOKUP(I103,'1. Standard_Cost'!$B$4:$D$11,2)+VLOOKUP(I103,'1. Standard_Cost'!$B$4:$D$11,3))*J103*K103),"0")</f>
        <v>0</v>
      </c>
      <c r="M103" s="106">
        <f>L103*'1. Standard_Cost'!$F$4</f>
        <v>0</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c r="AB103" s="108">
        <f>+Z103*'1. Standard_Cost'!$B$23+AA103*'1. Standard_Cost'!$C$23</f>
        <v>0</v>
      </c>
      <c r="AC103" s="109"/>
      <c r="AD103" s="110"/>
      <c r="AE103" s="108">
        <f>SUM(AD103,AC103,AB103,Y103,U103,T103,S103,R103)*'1. Standard_Cost'!$B$31</f>
        <v>0</v>
      </c>
      <c r="AF103" s="108">
        <f t="shared" si="108"/>
        <v>0</v>
      </c>
      <c r="AG103" s="107"/>
      <c r="AH103" s="107"/>
      <c r="AI103" s="107"/>
      <c r="AJ103" s="111"/>
      <c r="AK103" s="111"/>
      <c r="AL103" s="111"/>
      <c r="AM103" s="108">
        <f>AG103*'1. Standard_Cost'!$B$27+'Incremental_Cost Year 6'!AH103*'1. Standard_Cost'!$C$27+'Incremental_Cost Year 6'!AI103*'1. Standard_Cost'!$D$27+'Incremental_Cost Year 6'!AJ103+'Incremental_Cost Year 6'!AL103+AK103</f>
        <v>0</v>
      </c>
      <c r="AN103" s="108">
        <f>AM103*'1. Standard_Cost'!$C$31</f>
        <v>0</v>
      </c>
      <c r="AO103" s="125" t="s">
        <v>341</v>
      </c>
      <c r="AQ103" s="14">
        <f t="shared" si="109"/>
        <v>0</v>
      </c>
      <c r="AR103" s="14">
        <f t="shared" si="110"/>
        <v>0</v>
      </c>
      <c r="AS103" s="14">
        <f t="shared" si="111"/>
        <v>0</v>
      </c>
      <c r="AT103" s="14">
        <f t="shared" ref="AT103:AT112" si="113">SUM(AQ103,AR103,AS103)</f>
        <v>0</v>
      </c>
      <c r="AU103" s="15">
        <v>0</v>
      </c>
      <c r="AV103" s="15"/>
      <c r="AW103" s="15"/>
      <c r="AX103" s="15"/>
      <c r="AY103" s="15"/>
      <c r="AZ103" s="15"/>
      <c r="BA103" s="15"/>
      <c r="BB103" s="16">
        <f t="shared" si="112"/>
        <v>0</v>
      </c>
    </row>
    <row r="104" spans="1:54" ht="62.4" outlineLevel="2">
      <c r="A104" s="98"/>
      <c r="B104" s="102"/>
      <c r="C104" s="23"/>
      <c r="D104" s="269"/>
      <c r="E104" s="269"/>
      <c r="F104" s="174"/>
      <c r="G104" s="269"/>
      <c r="H104" s="302" t="s">
        <v>453</v>
      </c>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f>500*10000</f>
        <v>5000000</v>
      </c>
      <c r="AD104" s="110"/>
      <c r="AE104" s="108">
        <v>0</v>
      </c>
      <c r="AF104" s="108">
        <f t="shared" si="108"/>
        <v>5000000</v>
      </c>
      <c r="AG104" s="107"/>
      <c r="AH104" s="107"/>
      <c r="AI104" s="107"/>
      <c r="AJ104" s="111"/>
      <c r="AK104" s="111"/>
      <c r="AL104" s="111"/>
      <c r="AM104" s="108">
        <f>AG104*'1. Standard_Cost'!$B$27+'Incremental_Cost Year 6'!AH104*'1. Standard_Cost'!$C$27+'Incremental_Cost Year 6'!AI104*'1. Standard_Cost'!$D$27+'Incremental_Cost Year 6'!AJ104+'Incremental_Cost Year 6'!AL104+AK104</f>
        <v>0</v>
      </c>
      <c r="AN104" s="108">
        <f>AM104*'1. Standard_Cost'!$C$31</f>
        <v>0</v>
      </c>
      <c r="AO104" s="125" t="s">
        <v>342</v>
      </c>
      <c r="AQ104" s="14">
        <f t="shared" si="109"/>
        <v>0</v>
      </c>
      <c r="AR104" s="14">
        <f t="shared" si="110"/>
        <v>5000000</v>
      </c>
      <c r="AS104" s="14">
        <f t="shared" si="111"/>
        <v>0</v>
      </c>
      <c r="AT104" s="14">
        <f t="shared" si="113"/>
        <v>5000000</v>
      </c>
      <c r="AU104" s="15">
        <v>5000000</v>
      </c>
      <c r="AV104" s="15"/>
      <c r="AW104" s="15"/>
      <c r="AX104" s="15"/>
      <c r="AY104" s="15"/>
      <c r="AZ104" s="15"/>
      <c r="BA104" s="15"/>
      <c r="BB104" s="16">
        <f t="shared" si="112"/>
        <v>0</v>
      </c>
    </row>
    <row r="105" spans="1:54" ht="46.8" outlineLevel="2">
      <c r="A105" s="98"/>
      <c r="B105" s="102"/>
      <c r="C105" s="23"/>
      <c r="D105" s="269"/>
      <c r="E105" s="269"/>
      <c r="F105" s="174"/>
      <c r="G105" s="269"/>
      <c r="H105" s="302" t="s">
        <v>224</v>
      </c>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8"/>
        <v>0</v>
      </c>
      <c r="AG105" s="107"/>
      <c r="AH105" s="107"/>
      <c r="AI105" s="107"/>
      <c r="AJ105" s="111"/>
      <c r="AK105" s="111"/>
      <c r="AL105" s="111"/>
      <c r="AM105" s="108">
        <f>AG105*'1. Standard_Cost'!$B$27+'Incremental_Cost Year 6'!AH105*'1. Standard_Cost'!$C$27+'Incremental_Cost Year 6'!AI105*'1. Standard_Cost'!$D$27+'Incremental_Cost Year 6'!AJ105+'Incremental_Cost Year 6'!AL105+AK105</f>
        <v>0</v>
      </c>
      <c r="AN105" s="108">
        <f>AM105*'1. Standard_Cost'!$C$31</f>
        <v>0</v>
      </c>
      <c r="AO105" s="125" t="s">
        <v>343</v>
      </c>
      <c r="AQ105" s="14">
        <f t="shared" si="109"/>
        <v>0</v>
      </c>
      <c r="AR105" s="14">
        <f t="shared" si="110"/>
        <v>0</v>
      </c>
      <c r="AS105" s="14">
        <f t="shared" si="111"/>
        <v>0</v>
      </c>
      <c r="AT105" s="14">
        <f t="shared" si="113"/>
        <v>0</v>
      </c>
      <c r="AU105" s="15"/>
      <c r="AV105" s="15"/>
      <c r="AW105" s="15"/>
      <c r="AX105" s="15"/>
      <c r="AY105" s="15"/>
      <c r="AZ105" s="15"/>
      <c r="BA105" s="15"/>
      <c r="BB105" s="16">
        <f t="shared" si="112"/>
        <v>0</v>
      </c>
    </row>
    <row r="106" spans="1:54" ht="62.4" outlineLevel="2">
      <c r="A106" s="98"/>
      <c r="B106" s="102"/>
      <c r="C106" s="23"/>
      <c r="D106" s="269"/>
      <c r="E106" s="269"/>
      <c r="F106" s="174"/>
      <c r="G106" s="269"/>
      <c r="H106" s="302" t="s">
        <v>454</v>
      </c>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8"/>
        <v>0</v>
      </c>
      <c r="AG106" s="107"/>
      <c r="AH106" s="107"/>
      <c r="AI106" s="107"/>
      <c r="AJ106" s="111"/>
      <c r="AK106" s="111"/>
      <c r="AL106" s="111"/>
      <c r="AM106" s="108">
        <f>AG106*'1. Standard_Cost'!$B$27+'Incremental_Cost Year 6'!AH106*'1. Standard_Cost'!$C$27+'Incremental_Cost Year 6'!AI106*'1. Standard_Cost'!$D$27+'Incremental_Cost Year 6'!AJ106+'Incremental_Cost Year 6'!AL106+AK106</f>
        <v>0</v>
      </c>
      <c r="AN106" s="108">
        <f>AM106*'1. Standard_Cost'!$C$31</f>
        <v>0</v>
      </c>
      <c r="AO106" s="125" t="s">
        <v>344</v>
      </c>
      <c r="AQ106" s="14">
        <f t="shared" si="109"/>
        <v>0</v>
      </c>
      <c r="AR106" s="14">
        <f t="shared" si="110"/>
        <v>0</v>
      </c>
      <c r="AS106" s="14">
        <f t="shared" si="111"/>
        <v>0</v>
      </c>
      <c r="AT106" s="14">
        <f t="shared" si="113"/>
        <v>0</v>
      </c>
      <c r="AU106" s="15"/>
      <c r="AV106" s="15"/>
      <c r="AW106" s="15"/>
      <c r="AX106" s="15"/>
      <c r="AY106" s="15"/>
      <c r="AZ106" s="15"/>
      <c r="BA106" s="15"/>
      <c r="BB106" s="16">
        <f t="shared" si="112"/>
        <v>0</v>
      </c>
    </row>
    <row r="107" spans="1:54" ht="187.2" outlineLevel="2">
      <c r="A107" s="98"/>
      <c r="B107" s="102"/>
      <c r="C107" s="23"/>
      <c r="D107" s="269"/>
      <c r="E107" s="269"/>
      <c r="F107" s="269"/>
      <c r="G107" s="269"/>
      <c r="H107" s="302" t="s">
        <v>455</v>
      </c>
      <c r="I107" s="104"/>
      <c r="J107" s="105"/>
      <c r="K107" s="105"/>
      <c r="L107" s="106" t="str">
        <f>IF(I107&lt;&gt;0,((VLOOKUP(I107,'1. Standard_Cost'!$B$4:$D$11,2)+VLOOKUP(I107,'1. Standard_Cost'!$B$4:$D$11,3))*J107*K107),"0")</f>
        <v>0</v>
      </c>
      <c r="M107" s="106">
        <f>L107*'1. Standard_Cost'!$F$4</f>
        <v>0</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c r="AB107" s="108">
        <f>+Z107*'1. Standard_Cost'!$B$23+AA107*'1. Standard_Cost'!$C$23</f>
        <v>0</v>
      </c>
      <c r="AC107" s="109"/>
      <c r="AD107" s="110"/>
      <c r="AE107" s="108">
        <f>SUM(AD107,AC107,AB107,Y107,U107,T107,S107,R107)*'1. Standard_Cost'!$B$31</f>
        <v>0</v>
      </c>
      <c r="AF107" s="108">
        <f t="shared" si="108"/>
        <v>0</v>
      </c>
      <c r="AG107" s="107"/>
      <c r="AH107" s="107"/>
      <c r="AI107" s="107"/>
      <c r="AJ107" s="111"/>
      <c r="AK107" s="111"/>
      <c r="AL107" s="111"/>
      <c r="AM107" s="108">
        <f>AG107*'1. Standard_Cost'!$B$27+'Incremental_Cost Year 6'!AH107*'1. Standard_Cost'!$C$27+'Incremental_Cost Year 6'!AI107*'1. Standard_Cost'!$D$27+'Incremental_Cost Year 6'!AJ107+'Incremental_Cost Year 6'!AL107+AK107</f>
        <v>0</v>
      </c>
      <c r="AN107" s="108">
        <f>AM107*'1. Standard_Cost'!$C$31</f>
        <v>0</v>
      </c>
      <c r="AO107" s="125" t="s">
        <v>345</v>
      </c>
      <c r="AQ107" s="14">
        <f t="shared" si="109"/>
        <v>0</v>
      </c>
      <c r="AR107" s="14">
        <f t="shared" si="110"/>
        <v>0</v>
      </c>
      <c r="AS107" s="14">
        <f t="shared" si="111"/>
        <v>0</v>
      </c>
      <c r="AT107" s="14">
        <f t="shared" si="113"/>
        <v>0</v>
      </c>
      <c r="AU107" s="15">
        <v>0</v>
      </c>
      <c r="AV107" s="15"/>
      <c r="AW107" s="15"/>
      <c r="AX107" s="15"/>
      <c r="AY107" s="15"/>
      <c r="AZ107" s="15"/>
      <c r="BA107" s="15"/>
      <c r="BB107" s="16">
        <f t="shared" si="112"/>
        <v>0</v>
      </c>
    </row>
    <row r="108" spans="1:54" ht="93.6" outlineLevel="2">
      <c r="A108" s="98"/>
      <c r="B108" s="102"/>
      <c r="C108" s="23"/>
      <c r="D108" s="269"/>
      <c r="E108" s="269"/>
      <c r="F108" s="269"/>
      <c r="G108" s="269"/>
      <c r="H108" s="302" t="s">
        <v>456</v>
      </c>
      <c r="I108" s="104" t="s">
        <v>5</v>
      </c>
      <c r="J108" s="105">
        <v>0.1</v>
      </c>
      <c r="K108" s="105">
        <v>1</v>
      </c>
      <c r="L108" s="106">
        <f>IF(I108&lt;&gt;0,((VLOOKUP(I108,'1. Standard_Cost'!$B$4:$D$11,2)+VLOOKUP(I108,'1. Standard_Cost'!$B$4:$D$11,3))*J108*K108),"0")</f>
        <v>7070</v>
      </c>
      <c r="M108" s="106">
        <f>L108*'1. Standard_Cost'!$F$4</f>
        <v>1180.69</v>
      </c>
      <c r="N108" s="107">
        <v>8</v>
      </c>
      <c r="O108" s="107">
        <v>1</v>
      </c>
      <c r="P108" s="107">
        <v>15</v>
      </c>
      <c r="Q108" s="107"/>
      <c r="R108" s="108">
        <f>'1. Standard_Cost'!$B$15*N108*P108</f>
        <v>240000</v>
      </c>
      <c r="S108" s="108">
        <f>N108*O108*P108*'1. Standard_Cost'!$C$15</f>
        <v>180000</v>
      </c>
      <c r="T108" s="108">
        <f>N108*P108*Q108*'1. Standard_Cost'!$D$15</f>
        <v>0</v>
      </c>
      <c r="U108" s="108">
        <v>0</v>
      </c>
      <c r="V108" s="107"/>
      <c r="W108" s="107"/>
      <c r="X108" s="107"/>
      <c r="Y108" s="108">
        <f>+V108*((X108*'1. Standard_Cost'!$B$19)+(W108*X108*'1. Standard_Cost'!$C$19))</f>
        <v>0</v>
      </c>
      <c r="Z108" s="107"/>
      <c r="AA108" s="107">
        <v>8</v>
      </c>
      <c r="AB108" s="108">
        <f>+Z108*'1. Standard_Cost'!$B$23+AA108*'1. Standard_Cost'!$C$23</f>
        <v>152000</v>
      </c>
      <c r="AC108" s="109">
        <f>120*200</f>
        <v>24000</v>
      </c>
      <c r="AD108" s="110"/>
      <c r="AE108" s="108">
        <v>0</v>
      </c>
      <c r="AF108" s="108">
        <f t="shared" si="108"/>
        <v>596000</v>
      </c>
      <c r="AG108" s="107"/>
      <c r="AH108" s="107"/>
      <c r="AI108" s="107"/>
      <c r="AJ108" s="111"/>
      <c r="AK108" s="111"/>
      <c r="AL108" s="111"/>
      <c r="AM108" s="108">
        <f>AG108*'1. Standard_Cost'!$B$27+'Incremental_Cost Year 6'!AH108*'1. Standard_Cost'!$C$27+'Incremental_Cost Year 6'!AI108*'1. Standard_Cost'!$D$27+'Incremental_Cost Year 6'!AJ108+'Incremental_Cost Year 6'!AL108+AK108</f>
        <v>0</v>
      </c>
      <c r="AN108" s="108">
        <f>AM108*'1. Standard_Cost'!$C$31</f>
        <v>0</v>
      </c>
      <c r="AO108" s="125" t="s">
        <v>346</v>
      </c>
      <c r="AQ108" s="14">
        <f t="shared" si="109"/>
        <v>8250.69</v>
      </c>
      <c r="AR108" s="14">
        <f t="shared" si="110"/>
        <v>596000</v>
      </c>
      <c r="AS108" s="14">
        <f t="shared" si="111"/>
        <v>0</v>
      </c>
      <c r="AT108" s="14">
        <f t="shared" si="113"/>
        <v>604250.68999999994</v>
      </c>
      <c r="AU108" s="15">
        <v>8250.69</v>
      </c>
      <c r="AV108" s="15"/>
      <c r="AW108" s="15"/>
      <c r="AX108" s="15"/>
      <c r="AY108" s="15"/>
      <c r="AZ108" s="15"/>
      <c r="BA108" s="15"/>
      <c r="BB108" s="16">
        <f t="shared" si="112"/>
        <v>-596000</v>
      </c>
    </row>
    <row r="109" spans="1:54" ht="31.2" outlineLevel="2">
      <c r="A109" s="98"/>
      <c r="B109" s="102"/>
      <c r="C109" s="23"/>
      <c r="D109" s="269"/>
      <c r="E109" s="269"/>
      <c r="F109" s="269"/>
      <c r="G109" s="174"/>
      <c r="H109" s="302" t="s">
        <v>225</v>
      </c>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8"/>
        <v>0</v>
      </c>
      <c r="AG109" s="107"/>
      <c r="AH109" s="107"/>
      <c r="AI109" s="107"/>
      <c r="AJ109" s="111"/>
      <c r="AK109" s="111"/>
      <c r="AL109" s="111"/>
      <c r="AM109" s="108">
        <f>AG109*'1. Standard_Cost'!$B$27+'Incremental_Cost Year 6'!AH109*'1. Standard_Cost'!$C$27+'Incremental_Cost Year 6'!AI109*'1. Standard_Cost'!$D$27+'Incremental_Cost Year 6'!AJ109+'Incremental_Cost Year 6'!AL109+AK109</f>
        <v>0</v>
      </c>
      <c r="AN109" s="108">
        <f>AM109*'1. Standard_Cost'!$C$31</f>
        <v>0</v>
      </c>
      <c r="AO109" s="125" t="s">
        <v>347</v>
      </c>
      <c r="AQ109" s="14">
        <f t="shared" si="109"/>
        <v>0</v>
      </c>
      <c r="AR109" s="14">
        <f t="shared" si="110"/>
        <v>0</v>
      </c>
      <c r="AS109" s="14">
        <f t="shared" si="111"/>
        <v>0</v>
      </c>
      <c r="AT109" s="14">
        <f t="shared" si="113"/>
        <v>0</v>
      </c>
      <c r="AU109" s="15"/>
      <c r="AV109" s="15"/>
      <c r="AW109" s="15"/>
      <c r="AX109" s="15"/>
      <c r="AY109" s="15"/>
      <c r="AZ109" s="15"/>
      <c r="BA109" s="15"/>
      <c r="BB109" s="16">
        <f t="shared" si="112"/>
        <v>0</v>
      </c>
    </row>
    <row r="110" spans="1:54" ht="171.6" outlineLevel="2">
      <c r="A110" s="98"/>
      <c r="B110" s="102"/>
      <c r="C110" s="23"/>
      <c r="D110" s="269"/>
      <c r="E110" s="269"/>
      <c r="F110" s="269"/>
      <c r="G110" s="174"/>
      <c r="H110" s="302" t="s">
        <v>457</v>
      </c>
      <c r="I110" s="104"/>
      <c r="J110" s="105"/>
      <c r="K110" s="105"/>
      <c r="L110" s="106" t="str">
        <f>IF(I110&lt;&gt;0,((VLOOKUP(I110,'1. Standard_Cost'!$B$4:$D$11,2)+VLOOKUP(I110,'1. Standard_Cost'!$B$4:$D$11,3))*J110*K110),"0")</f>
        <v>0</v>
      </c>
      <c r="M110" s="106">
        <f>L110*'1. Standard_Cost'!$F$4</f>
        <v>0</v>
      </c>
      <c r="N110" s="107"/>
      <c r="O110" s="107"/>
      <c r="P110" s="107"/>
      <c r="Q110" s="107"/>
      <c r="R110" s="108">
        <f>'1. Standard_Cost'!$B$15*N110*P110</f>
        <v>0</v>
      </c>
      <c r="S110" s="108">
        <f>N110*O110*P110*'1. Standard_Cost'!$C$15</f>
        <v>0</v>
      </c>
      <c r="T110" s="108">
        <f>N110*P110*Q110*'1. Standard_Cost'!$D$15</f>
        <v>0</v>
      </c>
      <c r="U110" s="108">
        <f>N110*O110*'1. Standard_Cost'!$E$15</f>
        <v>0</v>
      </c>
      <c r="V110" s="107"/>
      <c r="W110" s="107"/>
      <c r="X110" s="107"/>
      <c r="Y110" s="108">
        <f>+V110*((X110*'1. Standard_Cost'!$B$19)+(W110*X110*'1. Standard_Cost'!$C$19))</f>
        <v>0</v>
      </c>
      <c r="Z110" s="107"/>
      <c r="AA110" s="107"/>
      <c r="AB110" s="108">
        <f>+Z110*'1. Standard_Cost'!$B$23+AA110*'1. Standard_Cost'!$C$23</f>
        <v>0</v>
      </c>
      <c r="AC110" s="109"/>
      <c r="AD110" s="110"/>
      <c r="AE110" s="108">
        <f>SUM(AD110,AC110,AB110,Y110,U110,T110,S110,R110)*'1. Standard_Cost'!$B$31</f>
        <v>0</v>
      </c>
      <c r="AF110" s="108">
        <f t="shared" si="108"/>
        <v>0</v>
      </c>
      <c r="AG110" s="107"/>
      <c r="AH110" s="107"/>
      <c r="AI110" s="107"/>
      <c r="AJ110" s="111"/>
      <c r="AK110" s="111"/>
      <c r="AL110" s="111"/>
      <c r="AM110" s="108">
        <f>AG110*'1. Standard_Cost'!$B$27+'Incremental_Cost Year 6'!AH110*'1. Standard_Cost'!$C$27+'Incremental_Cost Year 6'!AI110*'1. Standard_Cost'!$D$27+'Incremental_Cost Year 6'!AJ110+'Incremental_Cost Year 6'!AL110+AK110</f>
        <v>0</v>
      </c>
      <c r="AN110" s="108">
        <f>AM110*'1. Standard_Cost'!$C$31</f>
        <v>0</v>
      </c>
      <c r="AO110" s="125" t="s">
        <v>348</v>
      </c>
      <c r="AQ110" s="14">
        <f t="shared" si="109"/>
        <v>0</v>
      </c>
      <c r="AR110" s="14">
        <f t="shared" si="110"/>
        <v>0</v>
      </c>
      <c r="AS110" s="14">
        <f t="shared" si="111"/>
        <v>0</v>
      </c>
      <c r="AT110" s="14">
        <f t="shared" si="113"/>
        <v>0</v>
      </c>
      <c r="AU110" s="15">
        <v>0</v>
      </c>
      <c r="AV110" s="15"/>
      <c r="AW110" s="15"/>
      <c r="AX110" s="15"/>
      <c r="AY110" s="15">
        <v>0</v>
      </c>
      <c r="AZ110" s="15">
        <v>0</v>
      </c>
      <c r="BA110" s="15"/>
      <c r="BB110" s="16">
        <f t="shared" si="112"/>
        <v>0</v>
      </c>
    </row>
    <row r="111" spans="1:54" ht="202.8" outlineLevel="2">
      <c r="A111" s="98"/>
      <c r="B111" s="102"/>
      <c r="C111" s="23"/>
      <c r="D111" s="269"/>
      <c r="E111" s="269"/>
      <c r="F111" s="269"/>
      <c r="G111" s="174"/>
      <c r="H111" s="302" t="s">
        <v>458</v>
      </c>
      <c r="I111" s="104" t="s">
        <v>5</v>
      </c>
      <c r="J111" s="105">
        <v>2</v>
      </c>
      <c r="K111" s="105">
        <v>3</v>
      </c>
      <c r="L111" s="106">
        <f>IF(I111&lt;&gt;0,((VLOOKUP(I111,'1. Standard_Cost'!$B$4:$D$11,2)+VLOOKUP(I111,'1. Standard_Cost'!$B$4:$D$11,3))*J111*K111),"0")</f>
        <v>424200</v>
      </c>
      <c r="M111" s="106">
        <f>L111*'1. Standard_Cost'!$F$4</f>
        <v>70841.400000000009</v>
      </c>
      <c r="N111" s="107">
        <v>18</v>
      </c>
      <c r="O111" s="107">
        <v>2</v>
      </c>
      <c r="P111" s="107">
        <v>15</v>
      </c>
      <c r="Q111" s="107"/>
      <c r="R111" s="108">
        <v>0</v>
      </c>
      <c r="S111" s="108">
        <v>0</v>
      </c>
      <c r="T111" s="108">
        <f>N111*P111*Q111*'1. Standard_Cost'!$D$15</f>
        <v>0</v>
      </c>
      <c r="U111" s="108">
        <v>0</v>
      </c>
      <c r="V111" s="107"/>
      <c r="W111" s="107"/>
      <c r="X111" s="107"/>
      <c r="Y111" s="108">
        <f>+V111*((X111*'1. Standard_Cost'!$B$19)+(W111*X111*'1. Standard_Cost'!$C$19))</f>
        <v>0</v>
      </c>
      <c r="Z111" s="107"/>
      <c r="AA111" s="107">
        <v>36</v>
      </c>
      <c r="AB111" s="108">
        <f>+Z111*'1. Standard_Cost'!$B$23+AA111*'1. Standard_Cost'!$C$23</f>
        <v>684000</v>
      </c>
      <c r="AC111" s="109">
        <f>545*3500+545*500</f>
        <v>2180000</v>
      </c>
      <c r="AD111" s="110"/>
      <c r="AE111" s="108">
        <f>SUM(AD111,AC111,AB111,Y111,U111,T111,S111,R111)*'1. Standard_Cost'!$B$31</f>
        <v>572800</v>
      </c>
      <c r="AF111" s="108">
        <f t="shared" si="108"/>
        <v>3436800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09"/>
        <v>495041.4</v>
      </c>
      <c r="AR111" s="14">
        <f t="shared" si="110"/>
        <v>3436800</v>
      </c>
      <c r="AS111" s="14">
        <f t="shared" si="111"/>
        <v>0</v>
      </c>
      <c r="AT111" s="14">
        <f t="shared" si="113"/>
        <v>3931841.4</v>
      </c>
      <c r="AU111" s="15">
        <v>495041.4</v>
      </c>
      <c r="AV111" s="15"/>
      <c r="AW111" s="15"/>
      <c r="AX111" s="15"/>
      <c r="AY111" s="15"/>
      <c r="AZ111" s="15">
        <v>3436800</v>
      </c>
      <c r="BA111" s="15"/>
      <c r="BB111" s="16">
        <f t="shared" si="112"/>
        <v>0</v>
      </c>
    </row>
    <row r="112" spans="1:54" ht="124.8" outlineLevel="2">
      <c r="A112" s="98"/>
      <c r="B112" s="102"/>
      <c r="C112" s="23"/>
      <c r="D112" s="269"/>
      <c r="E112" s="269"/>
      <c r="F112" s="251"/>
      <c r="G112" s="250"/>
      <c r="H112" s="302" t="s">
        <v>459</v>
      </c>
      <c r="I112" s="104"/>
      <c r="J112" s="105"/>
      <c r="K112" s="105"/>
      <c r="L112" s="106" t="str">
        <f>IF(I112&lt;&gt;0,((VLOOKUP(I112,'1. Standard_Cost'!$B$4:$D$11,2)+VLOOKUP(I112,'1. Standard_Cost'!$B$4:$D$11,3))*J112*K112),"0")</f>
        <v>0</v>
      </c>
      <c r="M112" s="106">
        <f>L112*'1. Standard_Cost'!$F$4</f>
        <v>0</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c r="AB112" s="108">
        <f>+Z112*'1. Standard_Cost'!$B$23+AA112*'1. Standard_Cost'!$C$23</f>
        <v>0</v>
      </c>
      <c r="AC112" s="109"/>
      <c r="AD112" s="110"/>
      <c r="AE112" s="108">
        <f>SUM(AD112,AC112,AB112,Y112,U112,T112,S112,R112)*'1. Standard_Cost'!$B$31</f>
        <v>0</v>
      </c>
      <c r="AF112" s="108">
        <f t="shared" si="108"/>
        <v>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09"/>
        <v>0</v>
      </c>
      <c r="AR112" s="14">
        <f t="shared" si="110"/>
        <v>0</v>
      </c>
      <c r="AS112" s="14">
        <f t="shared" si="111"/>
        <v>0</v>
      </c>
      <c r="AT112" s="14">
        <f t="shared" si="113"/>
        <v>0</v>
      </c>
      <c r="AU112" s="15">
        <v>0</v>
      </c>
      <c r="AV112" s="15"/>
      <c r="AW112" s="15"/>
      <c r="AX112" s="15"/>
      <c r="AY112" s="15">
        <v>0</v>
      </c>
      <c r="AZ112" s="15">
        <v>0</v>
      </c>
      <c r="BA112" s="15"/>
      <c r="BB112" s="16">
        <f t="shared" si="112"/>
        <v>0</v>
      </c>
    </row>
    <row r="113" spans="1:54" ht="55.2" outlineLevel="1">
      <c r="A113" s="98"/>
      <c r="B113" s="102"/>
      <c r="C113" s="23"/>
      <c r="D113" s="31" t="s">
        <v>633</v>
      </c>
      <c r="E113" s="56" t="s">
        <v>223</v>
      </c>
      <c r="F113" s="253">
        <v>2021</v>
      </c>
      <c r="G113" s="254">
        <v>2026</v>
      </c>
      <c r="H113" s="277" t="s">
        <v>226</v>
      </c>
      <c r="I113" s="112"/>
      <c r="J113" s="112"/>
      <c r="K113" s="112"/>
      <c r="L113" s="113">
        <f>SUM(L102:L112)</f>
        <v>431270</v>
      </c>
      <c r="M113" s="113">
        <f>SUM(M102:M112)</f>
        <v>72022.090000000011</v>
      </c>
      <c r="N113" s="112"/>
      <c r="O113" s="112"/>
      <c r="P113" s="112"/>
      <c r="Q113" s="112"/>
      <c r="R113" s="113">
        <f>SUM(R102:R112)</f>
        <v>240000</v>
      </c>
      <c r="S113" s="113">
        <f>SUM(S102:S112)</f>
        <v>180000</v>
      </c>
      <c r="T113" s="113">
        <f>SUM(T102:T112)</f>
        <v>0</v>
      </c>
      <c r="U113" s="113">
        <f>SUM(U102:U112)</f>
        <v>0</v>
      </c>
      <c r="V113" s="112"/>
      <c r="W113" s="112"/>
      <c r="X113" s="112"/>
      <c r="Y113" s="113">
        <f>SUM(Y102:Y112)</f>
        <v>0</v>
      </c>
      <c r="Z113" s="112"/>
      <c r="AA113" s="112"/>
      <c r="AB113" s="113">
        <f>SUM(AB102:AB112)</f>
        <v>836000</v>
      </c>
      <c r="AC113" s="113">
        <f>SUM(AC102:AC112)</f>
        <v>7204000</v>
      </c>
      <c r="AD113" s="113">
        <f>SUM(AD102:AD112)</f>
        <v>0</v>
      </c>
      <c r="AE113" s="113">
        <f>SUM(AE102:AE112)</f>
        <v>572800</v>
      </c>
      <c r="AF113" s="113">
        <f>SUM(AF102:AF112)</f>
        <v>9032800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4">SUM(AQ102:AQ112)</f>
        <v>503292.09</v>
      </c>
      <c r="AR113" s="113">
        <f t="shared" si="114"/>
        <v>9032800</v>
      </c>
      <c r="AS113" s="113">
        <f t="shared" si="114"/>
        <v>0</v>
      </c>
      <c r="AT113" s="113">
        <f t="shared" si="114"/>
        <v>9536092.0899999999</v>
      </c>
      <c r="AU113" s="113">
        <f t="shared" si="114"/>
        <v>5503292.0900000008</v>
      </c>
      <c r="AV113" s="113">
        <f t="shared" si="114"/>
        <v>0</v>
      </c>
      <c r="AW113" s="113">
        <f t="shared" si="114"/>
        <v>0</v>
      </c>
      <c r="AX113" s="113">
        <f t="shared" si="114"/>
        <v>0</v>
      </c>
      <c r="AY113" s="113">
        <f t="shared" si="114"/>
        <v>0</v>
      </c>
      <c r="AZ113" s="113">
        <f t="shared" si="114"/>
        <v>3436800</v>
      </c>
      <c r="BA113" s="113">
        <f t="shared" si="114"/>
        <v>0</v>
      </c>
      <c r="BB113" s="113">
        <f t="shared" si="114"/>
        <v>-596000</v>
      </c>
    </row>
    <row r="114" spans="1:54" ht="62.4" outlineLevel="2">
      <c r="A114" s="98"/>
      <c r="B114" s="102"/>
      <c r="C114" s="23"/>
      <c r="D114" s="257"/>
      <c r="E114" s="257"/>
      <c r="F114" s="257"/>
      <c r="G114" s="257"/>
      <c r="H114" s="302" t="s">
        <v>460</v>
      </c>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5">SUM(AE114,AD114,AC114,AB114,Y114,U114,T114,S114,R114)</f>
        <v>0</v>
      </c>
      <c r="AG114" s="107"/>
      <c r="AH114" s="107"/>
      <c r="AI114" s="107"/>
      <c r="AJ114" s="111"/>
      <c r="AK114" s="111"/>
      <c r="AL114" s="111"/>
      <c r="AM114" s="108">
        <f>AG114*'1. Standard_Cost'!$B$27+'Incremental_Cost Year 6'!AH114*'1. Standard_Cost'!$C$27+'Incremental_Cost Year 6'!AI114*'1. Standard_Cost'!$D$27+'Incremental_Cost Year 6'!AJ114+'Incremental_Cost Year 6'!AL114+AK114</f>
        <v>0</v>
      </c>
      <c r="AN114" s="108">
        <f>AM114*'1. Standard_Cost'!$C$31</f>
        <v>0</v>
      </c>
      <c r="AO114" s="125" t="s">
        <v>350</v>
      </c>
      <c r="AQ114" s="14">
        <f t="shared" ref="AQ114:AQ135" si="116">L114+M114</f>
        <v>0</v>
      </c>
      <c r="AR114" s="14">
        <f t="shared" ref="AR114:AR135" si="117">AF114</f>
        <v>0</v>
      </c>
      <c r="AS114" s="14">
        <f t="shared" ref="AS114:AS135" si="118">AM114+AN114</f>
        <v>0</v>
      </c>
      <c r="AT114" s="14">
        <f>SUM(AQ114,AR114,AS114)</f>
        <v>0</v>
      </c>
      <c r="AU114" s="15"/>
      <c r="AV114" s="15"/>
      <c r="AW114" s="15"/>
      <c r="AX114" s="15"/>
      <c r="AY114" s="15"/>
      <c r="AZ114" s="15"/>
      <c r="BA114" s="15"/>
      <c r="BB114" s="16">
        <f t="shared" ref="BB114:BB135" si="119">SUM(AU114:BA114)-AT114</f>
        <v>0</v>
      </c>
    </row>
    <row r="115" spans="1:54" ht="234" outlineLevel="2">
      <c r="A115" s="98"/>
      <c r="B115" s="102"/>
      <c r="C115" s="23"/>
      <c r="D115" s="269"/>
      <c r="E115" s="269"/>
      <c r="F115" s="269"/>
      <c r="G115" s="174"/>
      <c r="H115" s="302" t="s">
        <v>461</v>
      </c>
      <c r="I115" s="104" t="s">
        <v>4</v>
      </c>
      <c r="J115" s="105">
        <v>2</v>
      </c>
      <c r="K115" s="105">
        <v>1</v>
      </c>
      <c r="L115" s="106">
        <f>IF(I115&lt;&gt;0,((VLOOKUP(I115,'1. Standard_Cost'!$B$4:$D$11,2)+VLOOKUP(I115,'1. Standard_Cost'!$B$4:$D$11,3))*J115*K115),"0")</f>
        <v>161500</v>
      </c>
      <c r="M115" s="106">
        <f>L115*'1. Standard_Cost'!$F$4</f>
        <v>26970.5</v>
      </c>
      <c r="N115" s="107">
        <v>30</v>
      </c>
      <c r="O115" s="107">
        <v>1</v>
      </c>
      <c r="P115" s="107">
        <v>15</v>
      </c>
      <c r="Q115" s="107"/>
      <c r="R115" s="108">
        <v>0</v>
      </c>
      <c r="S115" s="108">
        <v>0</v>
      </c>
      <c r="T115" s="108">
        <f>N115*P115*Q115*'1. Standard_Cost'!$D$15</f>
        <v>0</v>
      </c>
      <c r="U115" s="108">
        <v>0</v>
      </c>
      <c r="V115" s="107"/>
      <c r="W115" s="107"/>
      <c r="X115" s="107"/>
      <c r="Y115" s="108">
        <f>+V115*((X115*'1. Standard_Cost'!$B$19)+(W115*X115*'1. Standard_Cost'!$C$19))</f>
        <v>0</v>
      </c>
      <c r="Z115" s="107"/>
      <c r="AA115" s="107">
        <v>32</v>
      </c>
      <c r="AB115" s="108">
        <f>+Z115*'1. Standard_Cost'!$B$23+AA115*'1. Standard_Cost'!$C$23</f>
        <v>608000</v>
      </c>
      <c r="AC115" s="109">
        <f>450*3500+450*500</f>
        <v>1800000</v>
      </c>
      <c r="AD115" s="110"/>
      <c r="AE115" s="108">
        <v>0</v>
      </c>
      <c r="AF115" s="108">
        <f t="shared" si="115"/>
        <v>2408000</v>
      </c>
      <c r="AG115" s="107"/>
      <c r="AH115" s="107"/>
      <c r="AI115" s="107"/>
      <c r="AJ115" s="111"/>
      <c r="AK115" s="111"/>
      <c r="AL115" s="111"/>
      <c r="AM115" s="108">
        <f>AG115*'1. Standard_Cost'!$B$27+'Incremental_Cost Year 6'!AH115*'1. Standard_Cost'!$C$27+'Incremental_Cost Year 6'!AI115*'1. Standard_Cost'!$D$27+'Incremental_Cost Year 6'!AJ115+'Incremental_Cost Year 6'!AL115+AK115</f>
        <v>0</v>
      </c>
      <c r="AN115" s="108">
        <f>AM115*'1. Standard_Cost'!$C$31</f>
        <v>0</v>
      </c>
      <c r="AO115" s="125" t="s">
        <v>349</v>
      </c>
      <c r="AQ115" s="14">
        <f t="shared" si="116"/>
        <v>188470.5</v>
      </c>
      <c r="AR115" s="14">
        <f t="shared" si="117"/>
        <v>2408000</v>
      </c>
      <c r="AS115" s="14">
        <f t="shared" si="118"/>
        <v>0</v>
      </c>
      <c r="AT115" s="14">
        <f t="shared" ref="AT115:AT135" si="120">SUM(AQ115,AR115,AS115)</f>
        <v>2596470.5</v>
      </c>
      <c r="AU115" s="15">
        <v>188470.5</v>
      </c>
      <c r="AV115" s="15"/>
      <c r="AW115" s="15"/>
      <c r="AX115" s="15"/>
      <c r="AY115" s="15"/>
      <c r="AZ115" s="15">
        <v>2408000</v>
      </c>
      <c r="BA115" s="15"/>
      <c r="BB115" s="16">
        <f t="shared" si="119"/>
        <v>0</v>
      </c>
    </row>
    <row r="116" spans="1:54" ht="156" outlineLevel="2">
      <c r="A116" s="98"/>
      <c r="B116" s="102"/>
      <c r="C116" s="23"/>
      <c r="D116" s="269"/>
      <c r="E116" s="269"/>
      <c r="F116" s="269"/>
      <c r="G116" s="269"/>
      <c r="H116" s="302" t="s">
        <v>462</v>
      </c>
      <c r="I116" s="104"/>
      <c r="J116" s="105"/>
      <c r="K116" s="105"/>
      <c r="L116" s="106" t="str">
        <f>IF(I116&lt;&gt;0,((VLOOKUP(I116,'1. Standard_Cost'!$B$4:$D$11,2)+VLOOKUP(I116,'1. Standard_Cost'!$B$4:$D$11,3))*J116*K116),"0")</f>
        <v>0</v>
      </c>
      <c r="M116" s="106">
        <f>L116*'1. Standard_Cost'!$F$4</f>
        <v>0</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c r="AB116" s="108">
        <f>+Z116*'1. Standard_Cost'!$B$23+AA116*'1. Standard_Cost'!$C$23</f>
        <v>0</v>
      </c>
      <c r="AC116" s="109"/>
      <c r="AD116" s="110"/>
      <c r="AE116" s="108">
        <f>SUM(AD116,AC116,AB116,Y116,U116,T116,S116,R116)*'1. Standard_Cost'!$B$31</f>
        <v>0</v>
      </c>
      <c r="AF116" s="108">
        <f t="shared" si="115"/>
        <v>0</v>
      </c>
      <c r="AG116" s="107"/>
      <c r="AH116" s="107"/>
      <c r="AI116" s="107"/>
      <c r="AJ116" s="111"/>
      <c r="AK116" s="111"/>
      <c r="AL116" s="111"/>
      <c r="AM116" s="108">
        <f>AG116*'1. Standard_Cost'!$B$27+'Incremental_Cost Year 6'!AH116*'1. Standard_Cost'!$C$27+'Incremental_Cost Year 6'!AI116*'1. Standard_Cost'!$D$27+'Incremental_Cost Year 6'!AJ116+'Incremental_Cost Year 6'!AL116+AK116</f>
        <v>0</v>
      </c>
      <c r="AN116" s="108">
        <f>AM116*'1. Standard_Cost'!$C$31</f>
        <v>0</v>
      </c>
      <c r="AO116" s="125" t="s">
        <v>351</v>
      </c>
      <c r="AQ116" s="14">
        <f t="shared" si="116"/>
        <v>0</v>
      </c>
      <c r="AR116" s="14">
        <f t="shared" si="117"/>
        <v>0</v>
      </c>
      <c r="AS116" s="14">
        <f t="shared" si="118"/>
        <v>0</v>
      </c>
      <c r="AT116" s="14">
        <f t="shared" si="120"/>
        <v>0</v>
      </c>
      <c r="AU116" s="15">
        <v>0</v>
      </c>
      <c r="AV116" s="15"/>
      <c r="AW116" s="15"/>
      <c r="AX116" s="15">
        <v>0</v>
      </c>
      <c r="AY116" s="15"/>
      <c r="AZ116" s="15"/>
      <c r="BA116" s="15"/>
      <c r="BB116" s="16">
        <f t="shared" si="119"/>
        <v>0</v>
      </c>
    </row>
    <row r="117" spans="1:54" ht="31.2" outlineLevel="2">
      <c r="A117" s="98"/>
      <c r="B117" s="102"/>
      <c r="C117" s="23"/>
      <c r="D117" s="269"/>
      <c r="E117" s="269"/>
      <c r="F117" s="269"/>
      <c r="G117" s="269"/>
      <c r="H117" s="302" t="s">
        <v>463</v>
      </c>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5"/>
        <v>0</v>
      </c>
      <c r="AG117" s="107"/>
      <c r="AH117" s="107"/>
      <c r="AI117" s="107"/>
      <c r="AJ117" s="111"/>
      <c r="AK117" s="111"/>
      <c r="AL117" s="111"/>
      <c r="AM117" s="108">
        <f>AG117*'1. Standard_Cost'!$B$27+'Incremental_Cost Year 6'!AH117*'1. Standard_Cost'!$C$27+'Incremental_Cost Year 6'!AI117*'1. Standard_Cost'!$D$27+'Incremental_Cost Year 6'!AJ117+'Incremental_Cost Year 6'!AL117+AK117</f>
        <v>0</v>
      </c>
      <c r="AN117" s="108">
        <f>AM117*'1. Standard_Cost'!$C$31</f>
        <v>0</v>
      </c>
      <c r="AO117" s="125" t="s">
        <v>349</v>
      </c>
      <c r="AQ117" s="14">
        <f t="shared" si="116"/>
        <v>0</v>
      </c>
      <c r="AR117" s="14">
        <f t="shared" si="117"/>
        <v>0</v>
      </c>
      <c r="AS117" s="14">
        <f t="shared" si="118"/>
        <v>0</v>
      </c>
      <c r="AT117" s="14">
        <f t="shared" si="120"/>
        <v>0</v>
      </c>
      <c r="AU117" s="15"/>
      <c r="AV117" s="15"/>
      <c r="AW117" s="15"/>
      <c r="AX117" s="15"/>
      <c r="AY117" s="15"/>
      <c r="AZ117" s="15"/>
      <c r="BA117" s="15"/>
      <c r="BB117" s="16">
        <f t="shared" si="119"/>
        <v>0</v>
      </c>
    </row>
    <row r="118" spans="1:54" ht="62.4" outlineLevel="2">
      <c r="A118" s="98"/>
      <c r="B118" s="102"/>
      <c r="C118" s="23"/>
      <c r="D118" s="269"/>
      <c r="E118" s="269"/>
      <c r="F118" s="269"/>
      <c r="G118" s="269"/>
      <c r="H118" s="302" t="s">
        <v>464</v>
      </c>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5"/>
        <v>0</v>
      </c>
      <c r="AG118" s="107"/>
      <c r="AH118" s="107"/>
      <c r="AI118" s="107"/>
      <c r="AJ118" s="111"/>
      <c r="AK118" s="111"/>
      <c r="AL118" s="111"/>
      <c r="AM118" s="108">
        <f>AG118*'1. Standard_Cost'!$B$27+'Incremental_Cost Year 6'!AH118*'1. Standard_Cost'!$C$27+'Incremental_Cost Year 6'!AI118*'1. Standard_Cost'!$D$27+'Incremental_Cost Year 6'!AJ118+'Incremental_Cost Year 6'!AL118+AK118</f>
        <v>0</v>
      </c>
      <c r="AN118" s="108">
        <f>AM118*'1. Standard_Cost'!$C$31</f>
        <v>0</v>
      </c>
      <c r="AO118" s="125" t="s">
        <v>352</v>
      </c>
      <c r="AQ118" s="14">
        <f t="shared" si="116"/>
        <v>0</v>
      </c>
      <c r="AR118" s="14">
        <f t="shared" si="117"/>
        <v>0</v>
      </c>
      <c r="AS118" s="14">
        <f t="shared" si="118"/>
        <v>0</v>
      </c>
      <c r="AT118" s="14">
        <f t="shared" si="120"/>
        <v>0</v>
      </c>
      <c r="AU118" s="15"/>
      <c r="AV118" s="15"/>
      <c r="AW118" s="15"/>
      <c r="AX118" s="15"/>
      <c r="AY118" s="15"/>
      <c r="AZ118" s="15"/>
      <c r="BA118" s="15"/>
      <c r="BB118" s="16">
        <f t="shared" si="119"/>
        <v>0</v>
      </c>
    </row>
    <row r="119" spans="1:54" ht="62.4" outlineLevel="2">
      <c r="A119" s="98"/>
      <c r="B119" s="102"/>
      <c r="C119" s="23"/>
      <c r="D119" s="269"/>
      <c r="E119" s="269"/>
      <c r="F119" s="269"/>
      <c r="G119" s="269"/>
      <c r="H119" s="302" t="s">
        <v>465</v>
      </c>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15"/>
        <v>0</v>
      </c>
      <c r="AG119" s="107"/>
      <c r="AH119" s="107"/>
      <c r="AI119" s="107"/>
      <c r="AJ119" s="111"/>
      <c r="AK119" s="111"/>
      <c r="AL119" s="111"/>
      <c r="AM119" s="108">
        <f>AG119*'1. Standard_Cost'!$B$27+'Incremental_Cost Year 6'!AH119*'1. Standard_Cost'!$C$27+'Incremental_Cost Year 6'!AI119*'1. Standard_Cost'!$D$27+'Incremental_Cost Year 6'!AJ119+'Incremental_Cost Year 6'!AL119+AK119</f>
        <v>0</v>
      </c>
      <c r="AN119" s="108">
        <f>AM119*'1. Standard_Cost'!$C$31</f>
        <v>0</v>
      </c>
      <c r="AO119" s="125" t="s">
        <v>353</v>
      </c>
      <c r="AQ119" s="14">
        <f t="shared" si="116"/>
        <v>0</v>
      </c>
      <c r="AR119" s="14">
        <f t="shared" si="117"/>
        <v>0</v>
      </c>
      <c r="AS119" s="14">
        <f t="shared" si="118"/>
        <v>0</v>
      </c>
      <c r="AT119" s="14">
        <f t="shared" si="120"/>
        <v>0</v>
      </c>
      <c r="AU119" s="15"/>
      <c r="AV119" s="15"/>
      <c r="AW119" s="15"/>
      <c r="AX119" s="15"/>
      <c r="AY119" s="15">
        <v>0</v>
      </c>
      <c r="AZ119" s="15">
        <v>0</v>
      </c>
      <c r="BA119" s="15"/>
      <c r="BB119" s="16">
        <f t="shared" si="119"/>
        <v>0</v>
      </c>
    </row>
    <row r="120" spans="1:54" ht="31.2" outlineLevel="2">
      <c r="A120" s="98"/>
      <c r="B120" s="102"/>
      <c r="C120" s="23"/>
      <c r="D120" s="269"/>
      <c r="E120" s="269"/>
      <c r="F120" s="269"/>
      <c r="G120" s="269"/>
      <c r="H120" s="302" t="s">
        <v>466</v>
      </c>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5"/>
        <v>0</v>
      </c>
      <c r="AG120" s="107"/>
      <c r="AH120" s="107"/>
      <c r="AI120" s="107"/>
      <c r="AJ120" s="111"/>
      <c r="AK120" s="111"/>
      <c r="AL120" s="111"/>
      <c r="AM120" s="108">
        <f>AG120*'1. Standard_Cost'!$B$27+'Incremental_Cost Year 6'!AH120*'1. Standard_Cost'!$C$27+'Incremental_Cost Year 6'!AI120*'1. Standard_Cost'!$D$27+'Incremental_Cost Year 6'!AJ120+'Incremental_Cost Year 6'!AL120+AK120</f>
        <v>0</v>
      </c>
      <c r="AN120" s="108">
        <f>AM120*'1. Standard_Cost'!$C$31</f>
        <v>0</v>
      </c>
      <c r="AO120" s="125" t="s">
        <v>354</v>
      </c>
      <c r="AQ120" s="14">
        <f t="shared" si="116"/>
        <v>0</v>
      </c>
      <c r="AR120" s="14">
        <f t="shared" si="117"/>
        <v>0</v>
      </c>
      <c r="AS120" s="14">
        <f t="shared" si="118"/>
        <v>0</v>
      </c>
      <c r="AT120" s="14">
        <f t="shared" si="120"/>
        <v>0</v>
      </c>
      <c r="AU120" s="15"/>
      <c r="AV120" s="15"/>
      <c r="AW120" s="15"/>
      <c r="AX120" s="15"/>
      <c r="AY120" s="15"/>
      <c r="AZ120" s="15"/>
      <c r="BA120" s="15"/>
      <c r="BB120" s="16">
        <f t="shared" si="119"/>
        <v>0</v>
      </c>
    </row>
    <row r="121" spans="1:54" ht="78" outlineLevel="2">
      <c r="A121" s="98"/>
      <c r="B121" s="102"/>
      <c r="C121" s="23"/>
      <c r="D121" s="269"/>
      <c r="E121" s="269"/>
      <c r="F121" s="174"/>
      <c r="G121" s="174"/>
      <c r="H121" s="302" t="s">
        <v>467</v>
      </c>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f>3*500000</f>
        <v>1500000</v>
      </c>
      <c r="AD121" s="110"/>
      <c r="AE121" s="108">
        <v>0</v>
      </c>
      <c r="AF121" s="108">
        <f t="shared" si="115"/>
        <v>1500000</v>
      </c>
      <c r="AG121" s="107"/>
      <c r="AH121" s="107"/>
      <c r="AI121" s="107"/>
      <c r="AJ121" s="111"/>
      <c r="AK121" s="111"/>
      <c r="AL121" s="111"/>
      <c r="AM121" s="108">
        <f>AG121*'1. Standard_Cost'!$B$27+'Incremental_Cost Year 6'!AH121*'1. Standard_Cost'!$C$27+'Incremental_Cost Year 6'!AI121*'1. Standard_Cost'!$D$27+'Incremental_Cost Year 6'!AJ121+'Incremental_Cost Year 6'!AL121+AK121</f>
        <v>0</v>
      </c>
      <c r="AN121" s="108">
        <f>AM121*'1. Standard_Cost'!$C$31</f>
        <v>0</v>
      </c>
      <c r="AO121" s="125" t="s">
        <v>335</v>
      </c>
      <c r="AQ121" s="14">
        <f t="shared" si="116"/>
        <v>0</v>
      </c>
      <c r="AR121" s="14">
        <f t="shared" si="117"/>
        <v>1500000</v>
      </c>
      <c r="AS121" s="14">
        <f t="shared" si="118"/>
        <v>0</v>
      </c>
      <c r="AT121" s="14">
        <f t="shared" si="120"/>
        <v>1500000</v>
      </c>
      <c r="AU121" s="15"/>
      <c r="AV121" s="15"/>
      <c r="AW121" s="15"/>
      <c r="AX121" s="15"/>
      <c r="AY121" s="15"/>
      <c r="AZ121" s="15">
        <v>1500000</v>
      </c>
      <c r="BA121" s="15"/>
      <c r="BB121" s="16">
        <f t="shared" si="119"/>
        <v>0</v>
      </c>
    </row>
    <row r="122" spans="1:54" ht="62.4" outlineLevel="2">
      <c r="A122" s="98"/>
      <c r="B122" s="102"/>
      <c r="C122" s="23"/>
      <c r="D122" s="269"/>
      <c r="E122" s="269"/>
      <c r="F122" s="269"/>
      <c r="G122" s="269"/>
      <c r="H122" s="302" t="s">
        <v>468</v>
      </c>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5"/>
        <v>0</v>
      </c>
      <c r="AG122" s="107"/>
      <c r="AH122" s="107"/>
      <c r="AI122" s="107"/>
      <c r="AJ122" s="111"/>
      <c r="AK122" s="111"/>
      <c r="AL122" s="111"/>
      <c r="AM122" s="108">
        <f>AG122*'1. Standard_Cost'!$B$27+'Incremental_Cost Year 6'!AH122*'1. Standard_Cost'!$C$27+'Incremental_Cost Year 6'!AI122*'1. Standard_Cost'!$D$27+'Incremental_Cost Year 6'!AJ122+'Incremental_Cost Year 6'!AL122+AK122</f>
        <v>0</v>
      </c>
      <c r="AN122" s="108">
        <f>AM122*'1. Standard_Cost'!$C$31</f>
        <v>0</v>
      </c>
      <c r="AO122" s="125" t="s">
        <v>355</v>
      </c>
      <c r="AQ122" s="14">
        <f t="shared" si="116"/>
        <v>0</v>
      </c>
      <c r="AR122" s="14">
        <f t="shared" si="117"/>
        <v>0</v>
      </c>
      <c r="AS122" s="14">
        <f t="shared" si="118"/>
        <v>0</v>
      </c>
      <c r="AT122" s="14">
        <f t="shared" si="120"/>
        <v>0</v>
      </c>
      <c r="AU122" s="15"/>
      <c r="AV122" s="15"/>
      <c r="AW122" s="15"/>
      <c r="AX122" s="15"/>
      <c r="AY122" s="15"/>
      <c r="AZ122" s="15"/>
      <c r="BA122" s="15"/>
      <c r="BB122" s="16">
        <f t="shared" si="119"/>
        <v>0</v>
      </c>
    </row>
    <row r="123" spans="1:54" ht="31.2" outlineLevel="2">
      <c r="A123" s="98"/>
      <c r="B123" s="102"/>
      <c r="C123" s="23"/>
      <c r="D123" s="269"/>
      <c r="E123" s="269"/>
      <c r="F123" s="269"/>
      <c r="G123" s="174"/>
      <c r="H123" s="302" t="s">
        <v>229</v>
      </c>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5"/>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16"/>
        <v>0</v>
      </c>
      <c r="AR123" s="14">
        <f t="shared" si="117"/>
        <v>0</v>
      </c>
      <c r="AS123" s="14">
        <f t="shared" si="118"/>
        <v>0</v>
      </c>
      <c r="AT123" s="14">
        <f t="shared" si="120"/>
        <v>0</v>
      </c>
      <c r="AU123" s="15"/>
      <c r="AV123" s="15"/>
      <c r="AW123" s="15"/>
      <c r="AX123" s="15"/>
      <c r="AY123" s="15"/>
      <c r="AZ123" s="15"/>
      <c r="BA123" s="15"/>
      <c r="BB123" s="16">
        <f t="shared" si="119"/>
        <v>0</v>
      </c>
    </row>
    <row r="124" spans="1:54" ht="93.6" outlineLevel="2">
      <c r="A124" s="98"/>
      <c r="B124" s="102"/>
      <c r="C124" s="23"/>
      <c r="D124" s="269"/>
      <c r="E124" s="269"/>
      <c r="F124" s="251"/>
      <c r="G124" s="250"/>
      <c r="H124" s="302" t="s">
        <v>469</v>
      </c>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c r="AD124" s="110"/>
      <c r="AE124" s="108">
        <f>SUM(AD124,AC124,AB124,Y124,U124,T124,S124,R124)*'1. Standard_Cost'!$B$31</f>
        <v>0</v>
      </c>
      <c r="AF124" s="108">
        <f t="shared" si="115"/>
        <v>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16"/>
        <v>0</v>
      </c>
      <c r="AR124" s="14">
        <f t="shared" si="117"/>
        <v>0</v>
      </c>
      <c r="AS124" s="14">
        <f t="shared" si="118"/>
        <v>0</v>
      </c>
      <c r="AT124" s="14">
        <f t="shared" si="120"/>
        <v>0</v>
      </c>
      <c r="AU124" s="15"/>
      <c r="AV124" s="15"/>
      <c r="AW124" s="15"/>
      <c r="AX124" s="15"/>
      <c r="AY124" s="15">
        <v>0</v>
      </c>
      <c r="AZ124" s="15">
        <v>0</v>
      </c>
      <c r="BA124" s="15"/>
      <c r="BB124" s="16">
        <f t="shared" si="119"/>
        <v>0</v>
      </c>
    </row>
    <row r="125" spans="1:54" ht="62.4" outlineLevel="2">
      <c r="A125" s="98"/>
      <c r="B125" s="102"/>
      <c r="C125" s="23"/>
      <c r="D125" s="269"/>
      <c r="E125" s="269"/>
      <c r="F125" s="269"/>
      <c r="G125" s="269"/>
      <c r="H125" s="302" t="s">
        <v>470</v>
      </c>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5"/>
        <v>0</v>
      </c>
      <c r="AG125" s="107"/>
      <c r="AH125" s="107"/>
      <c r="AI125" s="107"/>
      <c r="AJ125" s="111"/>
      <c r="AK125" s="111"/>
      <c r="AL125" s="111"/>
      <c r="AM125" s="108">
        <f>AG125*'1. Standard_Cost'!$B$27+'Incremental_Cost Year 6'!AH125*'1. Standard_Cost'!$C$27+'Incremental_Cost Year 6'!AI125*'1. Standard_Cost'!$D$27+'Incremental_Cost Year 6'!AJ125+'Incremental_Cost Year 6'!AL125+AK125</f>
        <v>0</v>
      </c>
      <c r="AN125" s="108">
        <f>AM125*'1. Standard_Cost'!$C$31</f>
        <v>0</v>
      </c>
      <c r="AO125" s="125" t="s">
        <v>358</v>
      </c>
      <c r="AQ125" s="14">
        <f t="shared" si="116"/>
        <v>0</v>
      </c>
      <c r="AR125" s="14">
        <f t="shared" si="117"/>
        <v>0</v>
      </c>
      <c r="AS125" s="14">
        <f t="shared" si="118"/>
        <v>0</v>
      </c>
      <c r="AT125" s="14">
        <f t="shared" si="120"/>
        <v>0</v>
      </c>
      <c r="AU125" s="15"/>
      <c r="AV125" s="15"/>
      <c r="AW125" s="15"/>
      <c r="AX125" s="15"/>
      <c r="AY125" s="15"/>
      <c r="AZ125" s="15"/>
      <c r="BA125" s="15"/>
      <c r="BB125" s="16">
        <f t="shared" si="119"/>
        <v>0</v>
      </c>
    </row>
    <row r="126" spans="1:54" ht="62.4" outlineLevel="2">
      <c r="A126" s="98"/>
      <c r="B126" s="102"/>
      <c r="C126" s="23"/>
      <c r="D126" s="269"/>
      <c r="E126" s="269"/>
      <c r="F126" s="269"/>
      <c r="G126" s="269"/>
      <c r="H126" s="302" t="s">
        <v>471</v>
      </c>
      <c r="I126" s="104"/>
      <c r="J126" s="105"/>
      <c r="K126" s="105"/>
      <c r="L126" s="106" t="str">
        <f>IF(I126&lt;&gt;0,((VLOOKUP(I126,'1. Standard_Cost'!$B$4:$D$11,2)+VLOOKUP(I126,'1. Standard_Cost'!$B$4:$D$11,3))*J126*K126),"0")</f>
        <v>0</v>
      </c>
      <c r="M126" s="106">
        <f>L126*'1. Standard_Cost'!$F$4</f>
        <v>0</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5"/>
        <v>0</v>
      </c>
      <c r="AG126" s="107"/>
      <c r="AH126" s="107"/>
      <c r="AI126" s="107"/>
      <c r="AJ126" s="111"/>
      <c r="AK126" s="111"/>
      <c r="AL126" s="111"/>
      <c r="AM126" s="108">
        <f>AG126*'1. Standard_Cost'!$B$27+'Incremental_Cost Year 6'!AH126*'1. Standard_Cost'!$C$27+'Incremental_Cost Year 6'!AI126*'1. Standard_Cost'!$D$27+'Incremental_Cost Year 6'!AJ126+'Incremental_Cost Year 6'!AL126+AK126</f>
        <v>0</v>
      </c>
      <c r="AN126" s="108">
        <f>AM126*'1. Standard_Cost'!$C$31</f>
        <v>0</v>
      </c>
      <c r="AO126" s="125" t="s">
        <v>359</v>
      </c>
      <c r="AQ126" s="14">
        <f t="shared" si="116"/>
        <v>0</v>
      </c>
      <c r="AR126" s="14">
        <f t="shared" si="117"/>
        <v>0</v>
      </c>
      <c r="AS126" s="14">
        <f t="shared" si="118"/>
        <v>0</v>
      </c>
      <c r="AT126" s="14">
        <f t="shared" si="120"/>
        <v>0</v>
      </c>
      <c r="AU126" s="15">
        <v>0</v>
      </c>
      <c r="AV126" s="15"/>
      <c r="AW126" s="15"/>
      <c r="AX126" s="15"/>
      <c r="AY126" s="15"/>
      <c r="AZ126" s="15"/>
      <c r="BA126" s="15"/>
      <c r="BB126" s="16">
        <f t="shared" si="119"/>
        <v>0</v>
      </c>
    </row>
    <row r="127" spans="1:54" ht="46.8" outlineLevel="2">
      <c r="A127" s="98"/>
      <c r="B127" s="102"/>
      <c r="C127" s="23"/>
      <c r="D127" s="269"/>
      <c r="E127" s="269"/>
      <c r="F127" s="174"/>
      <c r="G127" s="269"/>
      <c r="H127" s="302" t="s">
        <v>472</v>
      </c>
      <c r="I127" s="104"/>
      <c r="J127" s="105"/>
      <c r="K127" s="105"/>
      <c r="L127" s="106" t="str">
        <f>IF(I127&lt;&gt;0,((VLOOKUP(I127,'1. Standard_Cost'!$B$4:$D$11,2)+VLOOKUP(I127,'1. Standard_Cost'!$B$4:$D$11,3))*J127*K127),"0")</f>
        <v>0</v>
      </c>
      <c r="M127" s="106">
        <f>L127*'1. Standard_Cost'!$F$4</f>
        <v>0</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5"/>
        <v>0</v>
      </c>
      <c r="AG127" s="107"/>
      <c r="AH127" s="107"/>
      <c r="AI127" s="107"/>
      <c r="AJ127" s="111"/>
      <c r="AK127" s="111"/>
      <c r="AL127" s="111"/>
      <c r="AM127" s="108">
        <f>AG127*'1. Standard_Cost'!$B$27+'Incremental_Cost Year 6'!AH127*'1. Standard_Cost'!$C$27+'Incremental_Cost Year 6'!AI127*'1. Standard_Cost'!$D$27+'Incremental_Cost Year 6'!AJ127+'Incremental_Cost Year 6'!AL127+AK127</f>
        <v>0</v>
      </c>
      <c r="AN127" s="108">
        <f>AM127*'1. Standard_Cost'!$C$31</f>
        <v>0</v>
      </c>
      <c r="AO127" s="125" t="s">
        <v>349</v>
      </c>
      <c r="AQ127" s="14">
        <f t="shared" si="116"/>
        <v>0</v>
      </c>
      <c r="AR127" s="14">
        <f t="shared" si="117"/>
        <v>0</v>
      </c>
      <c r="AS127" s="14">
        <f t="shared" si="118"/>
        <v>0</v>
      </c>
      <c r="AT127" s="14">
        <f t="shared" si="120"/>
        <v>0</v>
      </c>
      <c r="AU127" s="15"/>
      <c r="AV127" s="15"/>
      <c r="AW127" s="15"/>
      <c r="AX127" s="15"/>
      <c r="AY127" s="15"/>
      <c r="AZ127" s="15"/>
      <c r="BA127" s="15"/>
      <c r="BB127" s="16">
        <f t="shared" si="119"/>
        <v>0</v>
      </c>
    </row>
    <row r="128" spans="1:54" ht="46.8" outlineLevel="2">
      <c r="A128" s="98"/>
      <c r="B128" s="102"/>
      <c r="C128" s="23"/>
      <c r="D128" s="269"/>
      <c r="E128" s="269"/>
      <c r="F128" s="174"/>
      <c r="G128" s="174"/>
      <c r="H128" s="302" t="s">
        <v>473</v>
      </c>
      <c r="I128" s="104"/>
      <c r="J128" s="105"/>
      <c r="K128" s="105"/>
      <c r="L128" s="106" t="str">
        <f>IF(I128&lt;&gt;0,((VLOOKUP(I128,'1. Standard_Cost'!$B$4:$D$11,2)+VLOOKUP(I128,'1. Standard_Cost'!$B$4:$D$11,3))*J128*K128),"0")</f>
        <v>0</v>
      </c>
      <c r="M128" s="106">
        <f>L128*'1. Standard_Cost'!$F$4</f>
        <v>0</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5"/>
        <v>0</v>
      </c>
      <c r="AG128" s="107"/>
      <c r="AH128" s="107"/>
      <c r="AI128" s="107"/>
      <c r="AJ128" s="111"/>
      <c r="AK128" s="111"/>
      <c r="AL128" s="111"/>
      <c r="AM128" s="108">
        <f>AG128*'1. Standard_Cost'!$B$27+'Incremental_Cost Year 6'!AH128*'1. Standard_Cost'!$C$27+'Incremental_Cost Year 6'!AI128*'1. Standard_Cost'!$D$27+'Incremental_Cost Year 6'!AJ128+'Incremental_Cost Year 6'!AL128+AK128</f>
        <v>0</v>
      </c>
      <c r="AN128" s="108">
        <f>AM128*'1. Standard_Cost'!$C$31</f>
        <v>0</v>
      </c>
      <c r="AO128" s="125" t="s">
        <v>360</v>
      </c>
      <c r="AQ128" s="14">
        <f t="shared" si="116"/>
        <v>0</v>
      </c>
      <c r="AR128" s="14">
        <f t="shared" si="117"/>
        <v>0</v>
      </c>
      <c r="AS128" s="14">
        <f t="shared" si="118"/>
        <v>0</v>
      </c>
      <c r="AT128" s="14">
        <f t="shared" si="120"/>
        <v>0</v>
      </c>
      <c r="AU128" s="15"/>
      <c r="AV128" s="15"/>
      <c r="AW128" s="15"/>
      <c r="AX128" s="15"/>
      <c r="AY128" s="15"/>
      <c r="AZ128" s="15"/>
      <c r="BA128" s="15"/>
      <c r="BB128" s="16">
        <f t="shared" si="119"/>
        <v>0</v>
      </c>
    </row>
    <row r="129" spans="1:54" ht="78" customHeight="1" outlineLevel="2">
      <c r="A129" s="98"/>
      <c r="B129" s="102"/>
      <c r="C129" s="23"/>
      <c r="D129" s="269"/>
      <c r="E129" s="269"/>
      <c r="F129" s="269"/>
      <c r="G129" s="269"/>
      <c r="H129" s="302" t="s">
        <v>474</v>
      </c>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5"/>
        <v>0</v>
      </c>
      <c r="AG129" s="107"/>
      <c r="AH129" s="107"/>
      <c r="AI129" s="107"/>
      <c r="AJ129" s="111"/>
      <c r="AK129" s="111"/>
      <c r="AL129" s="111"/>
      <c r="AM129" s="108">
        <f>AG129*'1. Standard_Cost'!$B$27+'Incremental_Cost Year 6'!AH129*'1. Standard_Cost'!$C$27+'Incremental_Cost Year 6'!AI129*'1. Standard_Cost'!$D$27+'Incremental_Cost Year 6'!AJ129+'Incremental_Cost Year 6'!AL129+AK129</f>
        <v>0</v>
      </c>
      <c r="AN129" s="108">
        <f>AM129*'1. Standard_Cost'!$C$31</f>
        <v>0</v>
      </c>
      <c r="AO129" s="125" t="s">
        <v>361</v>
      </c>
      <c r="AQ129" s="14">
        <f t="shared" si="116"/>
        <v>0</v>
      </c>
      <c r="AR129" s="14">
        <f t="shared" si="117"/>
        <v>0</v>
      </c>
      <c r="AS129" s="14">
        <f t="shared" si="118"/>
        <v>0</v>
      </c>
      <c r="AT129" s="14">
        <f t="shared" si="120"/>
        <v>0</v>
      </c>
      <c r="AU129" s="15"/>
      <c r="AV129" s="15"/>
      <c r="AW129" s="15"/>
      <c r="AX129" s="15"/>
      <c r="AY129" s="15"/>
      <c r="AZ129" s="15"/>
      <c r="BA129" s="15"/>
      <c r="BB129" s="16">
        <f t="shared" si="119"/>
        <v>0</v>
      </c>
    </row>
    <row r="130" spans="1:54" ht="202.8" outlineLevel="2">
      <c r="A130" s="98"/>
      <c r="B130" s="102"/>
      <c r="C130" s="23"/>
      <c r="D130" s="269"/>
      <c r="E130" s="269"/>
      <c r="F130" s="174"/>
      <c r="G130" s="174"/>
      <c r="H130" s="302" t="s">
        <v>475</v>
      </c>
      <c r="I130" s="104"/>
      <c r="J130" s="105"/>
      <c r="K130" s="105"/>
      <c r="L130" s="106" t="str">
        <f>IF(I130&lt;&gt;0,((VLOOKUP(I130,'1. Standard_Cost'!$B$4:$D$11,2)+VLOOKUP(I130,'1. Standard_Cost'!$B$4:$D$11,3))*J130*K130),"0")</f>
        <v>0</v>
      </c>
      <c r="M130" s="106">
        <f>L130*'1. Standard_Cost'!$F$4</f>
        <v>0</v>
      </c>
      <c r="N130" s="107"/>
      <c r="O130" s="107"/>
      <c r="P130" s="107"/>
      <c r="Q130" s="107"/>
      <c r="R130" s="108">
        <f>'1. Standard_Cost'!$B$15*N130*P130</f>
        <v>0</v>
      </c>
      <c r="S130" s="108">
        <f>N130*O130*P130*'1. Standard_Cost'!$C$15</f>
        <v>0</v>
      </c>
      <c r="T130" s="108">
        <f>N130*P130*Q130*'1. Standard_Cost'!$D$15</f>
        <v>0</v>
      </c>
      <c r="U130" s="108">
        <f>N130*O130*'1. Standard_Cost'!$E$15</f>
        <v>0</v>
      </c>
      <c r="V130" s="107"/>
      <c r="W130" s="107"/>
      <c r="X130" s="107"/>
      <c r="Y130" s="108">
        <f>+V130*((X130*'1. Standard_Cost'!$B$19)+(W130*X130*'1. Standard_Cost'!$C$19))</f>
        <v>0</v>
      </c>
      <c r="Z130" s="107"/>
      <c r="AA130" s="107"/>
      <c r="AB130" s="108">
        <f>+Z130*'1. Standard_Cost'!$B$23+AA130*'1. Standard_Cost'!$C$23</f>
        <v>0</v>
      </c>
      <c r="AC130" s="109"/>
      <c r="AD130" s="110"/>
      <c r="AE130" s="108">
        <f>SUM(AD130,AC130,AB130,Y130,U130,T130,S130,R130)*'1. Standard_Cost'!$B$31</f>
        <v>0</v>
      </c>
      <c r="AF130" s="108">
        <f t="shared" si="115"/>
        <v>0</v>
      </c>
      <c r="AG130" s="107"/>
      <c r="AH130" s="107"/>
      <c r="AI130" s="107"/>
      <c r="AJ130" s="111"/>
      <c r="AK130" s="111"/>
      <c r="AL130" s="111"/>
      <c r="AM130" s="108">
        <f>AG130*'1. Standard_Cost'!$B$27+'Incremental_Cost Year 6'!AH130*'1. Standard_Cost'!$C$27+'Incremental_Cost Year 6'!AI130*'1. Standard_Cost'!$D$27+'Incremental_Cost Year 6'!AJ130+'Incremental_Cost Year 6'!AL130+AK130</f>
        <v>0</v>
      </c>
      <c r="AN130" s="108">
        <f>AM130*'1. Standard_Cost'!$C$31</f>
        <v>0</v>
      </c>
      <c r="AO130" s="125" t="s">
        <v>362</v>
      </c>
      <c r="AQ130" s="14">
        <f t="shared" si="116"/>
        <v>0</v>
      </c>
      <c r="AR130" s="14">
        <f t="shared" si="117"/>
        <v>0</v>
      </c>
      <c r="AS130" s="14">
        <f t="shared" si="118"/>
        <v>0</v>
      </c>
      <c r="AT130" s="14">
        <f t="shared" si="120"/>
        <v>0</v>
      </c>
      <c r="AU130" s="15"/>
      <c r="AV130" s="15"/>
      <c r="AW130" s="15"/>
      <c r="AX130" s="15"/>
      <c r="AY130" s="15"/>
      <c r="AZ130" s="15"/>
      <c r="BA130" s="15"/>
      <c r="BB130" s="16">
        <f t="shared" si="119"/>
        <v>0</v>
      </c>
    </row>
    <row r="131" spans="1:54" ht="113.4" customHeight="1" outlineLevel="2">
      <c r="A131" s="98"/>
      <c r="B131" s="102"/>
      <c r="C131" s="23"/>
      <c r="D131" s="269"/>
      <c r="E131" s="269"/>
      <c r="F131" s="269"/>
      <c r="G131" s="269"/>
      <c r="H131" s="305" t="s">
        <v>442</v>
      </c>
      <c r="I131" s="104"/>
      <c r="J131" s="105"/>
      <c r="K131" s="105"/>
      <c r="L131" s="106" t="str">
        <f>IF(I131&lt;&gt;0,((VLOOKUP(I131,'[1]1. Standard_Cost'!$B$4:$D$11,2)+VLOOKUP(I131,'[1]1. Standard_Cost'!$B$4:$D$11,3))*J131*K131),"0")</f>
        <v>0</v>
      </c>
      <c r="M131" s="106">
        <f>L131*'[1]1. Standard_Cost'!$F$4</f>
        <v>0</v>
      </c>
      <c r="N131" s="107">
        <v>750</v>
      </c>
      <c r="O131" s="107">
        <v>1</v>
      </c>
      <c r="P131" s="107">
        <v>15</v>
      </c>
      <c r="Q131" s="107"/>
      <c r="R131" s="108">
        <v>0</v>
      </c>
      <c r="S131" s="108">
        <v>0</v>
      </c>
      <c r="T131" s="108">
        <f>N131*P131*Q131*'[1]1. Standard_Cost'!$D$15</f>
        <v>0</v>
      </c>
      <c r="U131" s="108">
        <v>0</v>
      </c>
      <c r="V131" s="107"/>
      <c r="W131" s="107"/>
      <c r="X131" s="107"/>
      <c r="Y131" s="108">
        <f>+V131*((X131*'[1]1. Standard_Cost'!$B$19)+(W131*X131*'[1]1. Standard_Cost'!$C$19))</f>
        <v>0</v>
      </c>
      <c r="Z131" s="107"/>
      <c r="AA131" s="107">
        <v>750</v>
      </c>
      <c r="AB131" s="108">
        <f>+Z131*'1. Standard_Cost'!$B$23+AA131*'1. Standard_Cost'!$F$23</f>
        <v>6750000</v>
      </c>
      <c r="AC131" s="109">
        <f>750*300</f>
        <v>225000</v>
      </c>
      <c r="AD131" s="110"/>
      <c r="AE131" s="108">
        <v>0</v>
      </c>
      <c r="AF131" s="108">
        <f t="shared" si="115"/>
        <v>6975000</v>
      </c>
      <c r="AG131" s="107"/>
      <c r="AH131" s="107"/>
      <c r="AI131" s="107"/>
      <c r="AJ131" s="111"/>
      <c r="AK131" s="111"/>
      <c r="AL131" s="111"/>
      <c r="AM131" s="108">
        <f>AG131*'[1]1. Standard_Cost'!$B$27+'[1]Incremental_Cost Year 6'!AH130*'[1]1. Standard_Cost'!$C$27+'[1]Incremental_Cost Year 6'!AI130*'[1]1. Standard_Cost'!$D$27+'[1]Incremental_Cost Year 6'!AJ130+'[1]Incremental_Cost Year 6'!AL130+AK131</f>
        <v>0</v>
      </c>
      <c r="AN131" s="108">
        <f>AM131*'[1]1. Standard_Cost'!$C$31</f>
        <v>0</v>
      </c>
      <c r="AO131" s="125" t="s">
        <v>443</v>
      </c>
      <c r="AQ131" s="14">
        <f t="shared" si="116"/>
        <v>0</v>
      </c>
      <c r="AR131" s="14">
        <f t="shared" si="117"/>
        <v>6975000</v>
      </c>
      <c r="AS131" s="14">
        <f t="shared" si="118"/>
        <v>0</v>
      </c>
      <c r="AT131" s="14">
        <f t="shared" si="120"/>
        <v>6975000</v>
      </c>
      <c r="AU131" s="15"/>
      <c r="AV131" s="15"/>
      <c r="AW131" s="15"/>
      <c r="AX131" s="15"/>
      <c r="AY131" s="15"/>
      <c r="AZ131" s="15">
        <v>6975000</v>
      </c>
      <c r="BA131" s="15"/>
      <c r="BB131" s="16">
        <f t="shared" si="119"/>
        <v>0</v>
      </c>
    </row>
    <row r="132" spans="1:54" ht="156" outlineLevel="2">
      <c r="A132" s="98"/>
      <c r="B132" s="102"/>
      <c r="C132" s="23"/>
      <c r="D132" s="269"/>
      <c r="E132" s="269"/>
      <c r="F132" s="174"/>
      <c r="G132" s="174"/>
      <c r="H132" s="302" t="s">
        <v>476</v>
      </c>
      <c r="I132" s="104" t="s">
        <v>4</v>
      </c>
      <c r="J132" s="105">
        <v>1</v>
      </c>
      <c r="K132" s="105">
        <v>2</v>
      </c>
      <c r="L132" s="106">
        <f>IF(I132&lt;&gt;0,((VLOOKUP(I132,'1. Standard_Cost'!$B$4:$D$11,2)+VLOOKUP(I132,'1. Standard_Cost'!$B$4:$D$11,3))*J132*K132),"0")</f>
        <v>161500</v>
      </c>
      <c r="M132" s="106">
        <f>L132*'1. Standard_Cost'!$F$4</f>
        <v>26970.5</v>
      </c>
      <c r="N132" s="107">
        <v>2</v>
      </c>
      <c r="O132" s="107">
        <v>2</v>
      </c>
      <c r="P132" s="107">
        <v>70</v>
      </c>
      <c r="Q132" s="107"/>
      <c r="R132" s="108">
        <v>0</v>
      </c>
      <c r="S132" s="108">
        <v>0</v>
      </c>
      <c r="T132" s="108">
        <f>N132*P132*Q132*'1. Standard_Cost'!$D$15</f>
        <v>0</v>
      </c>
      <c r="U132" s="108">
        <v>0</v>
      </c>
      <c r="V132" s="107"/>
      <c r="W132" s="107"/>
      <c r="X132" s="107"/>
      <c r="Y132" s="108">
        <f>+V132*((X132*'1. Standard_Cost'!$B$19)+(W132*X132*'1. Standard_Cost'!$C$19))</f>
        <v>0</v>
      </c>
      <c r="Z132" s="107"/>
      <c r="AA132" s="107">
        <v>5</v>
      </c>
      <c r="AB132" s="108">
        <f>+Z132*'1. Standard_Cost'!$B$23+AA132*'1. Standard_Cost'!$C$23</f>
        <v>95000</v>
      </c>
      <c r="AC132" s="109">
        <f>145*200</f>
        <v>29000</v>
      </c>
      <c r="AD132" s="110"/>
      <c r="AE132" s="108">
        <v>0</v>
      </c>
      <c r="AF132" s="108">
        <f t="shared" si="115"/>
        <v>124000</v>
      </c>
      <c r="AG132" s="107"/>
      <c r="AH132" s="107"/>
      <c r="AI132" s="107"/>
      <c r="AJ132" s="111"/>
      <c r="AK132" s="111"/>
      <c r="AL132" s="111"/>
      <c r="AM132" s="108">
        <f>AG132*'1. Standard_Cost'!$B$27+'Incremental_Cost Year 6'!AH132*'1. Standard_Cost'!$C$27+'Incremental_Cost Year 6'!AI132*'1. Standard_Cost'!$D$27+'Incremental_Cost Year 6'!AJ132+'Incremental_Cost Year 6'!AL132+AK132</f>
        <v>0</v>
      </c>
      <c r="AN132" s="108">
        <f>AM132*'1. Standard_Cost'!$C$31</f>
        <v>0</v>
      </c>
      <c r="AO132" s="125" t="s">
        <v>363</v>
      </c>
      <c r="AQ132" s="14">
        <f t="shared" si="116"/>
        <v>188470.5</v>
      </c>
      <c r="AR132" s="14">
        <f t="shared" si="117"/>
        <v>124000</v>
      </c>
      <c r="AS132" s="14">
        <f t="shared" si="118"/>
        <v>0</v>
      </c>
      <c r="AT132" s="14">
        <f t="shared" si="120"/>
        <v>312470.5</v>
      </c>
      <c r="AU132" s="15">
        <v>188470.5</v>
      </c>
      <c r="AV132" s="15"/>
      <c r="AW132" s="15"/>
      <c r="AX132" s="15"/>
      <c r="AY132" s="15"/>
      <c r="AZ132" s="15">
        <v>124000</v>
      </c>
      <c r="BA132" s="15"/>
      <c r="BB132" s="16">
        <f t="shared" si="119"/>
        <v>0</v>
      </c>
    </row>
    <row r="133" spans="1:54" ht="46.8" outlineLevel="2">
      <c r="A133" s="98"/>
      <c r="B133" s="102"/>
      <c r="C133" s="23"/>
      <c r="D133" s="269"/>
      <c r="E133" s="269"/>
      <c r="F133" s="174"/>
      <c r="G133" s="174"/>
      <c r="H133" s="302" t="s">
        <v>477</v>
      </c>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5"/>
        <v>0</v>
      </c>
      <c r="AG133" s="107"/>
      <c r="AH133" s="107"/>
      <c r="AI133" s="107"/>
      <c r="AJ133" s="111"/>
      <c r="AK133" s="111"/>
      <c r="AL133" s="111"/>
      <c r="AM133" s="108">
        <f>AG133*'1. Standard_Cost'!$B$27+'Incremental_Cost Year 6'!AH133*'1. Standard_Cost'!$C$27+'Incremental_Cost Year 6'!AI133*'1. Standard_Cost'!$D$27+'Incremental_Cost Year 6'!AJ133+'Incremental_Cost Year 6'!AL133+AK133</f>
        <v>0</v>
      </c>
      <c r="AN133" s="108">
        <f>AM133*'1. Standard_Cost'!$C$31</f>
        <v>0</v>
      </c>
      <c r="AO133" s="125" t="s">
        <v>364</v>
      </c>
      <c r="AQ133" s="14">
        <f t="shared" si="116"/>
        <v>0</v>
      </c>
      <c r="AR133" s="14">
        <f t="shared" si="117"/>
        <v>0</v>
      </c>
      <c r="AS133" s="14">
        <f t="shared" si="118"/>
        <v>0</v>
      </c>
      <c r="AT133" s="14">
        <f t="shared" si="120"/>
        <v>0</v>
      </c>
      <c r="AU133" s="15"/>
      <c r="AV133" s="15"/>
      <c r="AW133" s="15"/>
      <c r="AX133" s="15"/>
      <c r="AY133" s="15"/>
      <c r="AZ133" s="15"/>
      <c r="BA133" s="15"/>
      <c r="BB133" s="16">
        <f t="shared" si="119"/>
        <v>0</v>
      </c>
    </row>
    <row r="134" spans="1:54" ht="62.4" outlineLevel="2">
      <c r="A134" s="98"/>
      <c r="B134" s="102"/>
      <c r="C134" s="23"/>
      <c r="D134" s="269"/>
      <c r="E134" s="269"/>
      <c r="F134" s="174"/>
      <c r="G134" s="174"/>
      <c r="H134" s="302" t="s">
        <v>478</v>
      </c>
      <c r="I134" s="104" t="s">
        <v>5</v>
      </c>
      <c r="J134" s="105">
        <v>12</v>
      </c>
      <c r="K134" s="105">
        <v>4</v>
      </c>
      <c r="L134" s="106">
        <f>IF(I134&lt;&gt;0,((VLOOKUP(I134,'1. Standard_Cost'!$B$4:$D$11,2)+VLOOKUP(I134,'1. Standard_Cost'!$B$4:$D$11,3))*J134*K134),"0")</f>
        <v>3393600</v>
      </c>
      <c r="M134" s="106">
        <f>L134*'1. Standard_Cost'!$F$4</f>
        <v>566731.20000000007</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5"/>
        <v>0</v>
      </c>
      <c r="AG134" s="107"/>
      <c r="AH134" s="107"/>
      <c r="AI134" s="107"/>
      <c r="AJ134" s="111">
        <v>1000000</v>
      </c>
      <c r="AK134" s="111"/>
      <c r="AL134" s="111"/>
      <c r="AM134" s="108">
        <f>AG134*'1. Standard_Cost'!$B$27+'Incremental_Cost Year 6'!AH134*'1. Standard_Cost'!$C$27+'Incremental_Cost Year 6'!AI134*'1. Standard_Cost'!$D$27+'Incremental_Cost Year 6'!AJ134+'Incremental_Cost Year 6'!AL134+AK134</f>
        <v>1000000</v>
      </c>
      <c r="AN134" s="108">
        <f>AM134*'1. Standard_Cost'!$C$31</f>
        <v>150000</v>
      </c>
      <c r="AO134" s="125" t="s">
        <v>365</v>
      </c>
      <c r="AQ134" s="14">
        <f t="shared" si="116"/>
        <v>3960331.2</v>
      </c>
      <c r="AR134" s="14">
        <f t="shared" si="117"/>
        <v>0</v>
      </c>
      <c r="AS134" s="14">
        <f t="shared" si="118"/>
        <v>1150000</v>
      </c>
      <c r="AT134" s="14">
        <f t="shared" si="120"/>
        <v>5110331.2</v>
      </c>
      <c r="AU134" s="15">
        <v>3960331.2</v>
      </c>
      <c r="AV134" s="15"/>
      <c r="AW134" s="15"/>
      <c r="AX134" s="15"/>
      <c r="AY134" s="15"/>
      <c r="AZ134" s="15"/>
      <c r="BA134" s="15"/>
      <c r="BB134" s="16">
        <f t="shared" si="119"/>
        <v>-1150000</v>
      </c>
    </row>
    <row r="135" spans="1:54" ht="15.6" outlineLevel="2">
      <c r="A135" s="98"/>
      <c r="B135" s="102"/>
      <c r="C135" s="23"/>
      <c r="D135" s="269"/>
      <c r="E135" s="269"/>
      <c r="F135" s="251"/>
      <c r="G135" s="250"/>
      <c r="H135" s="302"/>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107"/>
      <c r="AB135" s="108">
        <f>+Z135*'1. Standard_Cost'!$B$23+AA135*'1. Standard_Cost'!$C$23</f>
        <v>0</v>
      </c>
      <c r="AC135" s="109"/>
      <c r="AD135" s="110"/>
      <c r="AE135" s="108">
        <f>SUM(AD135,AC135,AB135,Y135,U135,T135,S135,R135)*'1. Standard_Cost'!$B$31</f>
        <v>0</v>
      </c>
      <c r="AF135" s="108">
        <f t="shared" si="115"/>
        <v>0</v>
      </c>
      <c r="AG135" s="107"/>
      <c r="AH135" s="107"/>
      <c r="AI135" s="107"/>
      <c r="AJ135" s="111"/>
      <c r="AK135" s="111"/>
      <c r="AL135" s="111"/>
      <c r="AM135" s="108">
        <f>AG135*'1. Standard_Cost'!$B$27+'Incremental_Cost Year 6'!AH135*'1. Standard_Cost'!$C$27+'Incremental_Cost Year 6'!AI135*'1. Standard_Cost'!$D$27+'Incremental_Cost Year 6'!AJ135+'Incremental_Cost Year 6'!AL135+AK135</f>
        <v>0</v>
      </c>
      <c r="AN135" s="108">
        <f>AM135*'1. Standard_Cost'!$C$31</f>
        <v>0</v>
      </c>
      <c r="AO135" s="125" t="s">
        <v>366</v>
      </c>
      <c r="AQ135" s="14">
        <f t="shared" si="116"/>
        <v>0</v>
      </c>
      <c r="AR135" s="14">
        <f t="shared" si="117"/>
        <v>0</v>
      </c>
      <c r="AS135" s="14">
        <f t="shared" si="118"/>
        <v>0</v>
      </c>
      <c r="AT135" s="14">
        <f t="shared" si="120"/>
        <v>0</v>
      </c>
      <c r="AU135" s="15">
        <v>0</v>
      </c>
      <c r="AV135" s="15"/>
      <c r="AW135" s="15"/>
      <c r="AX135" s="15"/>
      <c r="AY135" s="15">
        <v>0</v>
      </c>
      <c r="AZ135" s="15">
        <v>0</v>
      </c>
      <c r="BA135" s="15"/>
      <c r="BB135" s="16">
        <f t="shared" si="119"/>
        <v>0</v>
      </c>
    </row>
    <row r="136" spans="1:54" ht="138" outlineLevel="1">
      <c r="A136" s="98"/>
      <c r="B136" s="102"/>
      <c r="C136" s="23"/>
      <c r="D136" s="346" t="s">
        <v>634</v>
      </c>
      <c r="E136" s="56" t="s">
        <v>228</v>
      </c>
      <c r="F136" s="253">
        <v>2021</v>
      </c>
      <c r="G136" s="254">
        <v>2026</v>
      </c>
      <c r="H136" s="277" t="s">
        <v>227</v>
      </c>
      <c r="I136" s="112"/>
      <c r="J136" s="112"/>
      <c r="K136" s="112"/>
      <c r="L136" s="113">
        <f>SUM(L114:L135)</f>
        <v>3716600</v>
      </c>
      <c r="M136" s="113">
        <f>SUM(M114:M135)</f>
        <v>620672.20000000007</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7453000</v>
      </c>
      <c r="AC136" s="113">
        <f>SUM(AC114:AC135)</f>
        <v>3554000</v>
      </c>
      <c r="AD136" s="113">
        <f>SUM(AD114:AD135)</f>
        <v>0</v>
      </c>
      <c r="AE136" s="113">
        <f>SUM(AE114:AE135)</f>
        <v>0</v>
      </c>
      <c r="AF136" s="113">
        <f>SUM(AF114:AF135)</f>
        <v>11007000</v>
      </c>
      <c r="AG136" s="112"/>
      <c r="AH136" s="112"/>
      <c r="AI136" s="112"/>
      <c r="AJ136" s="113">
        <f>SUM(AJ114:AJ135)</f>
        <v>1000000</v>
      </c>
      <c r="AK136" s="113">
        <f>SUM(AK114:AK135)</f>
        <v>0</v>
      </c>
      <c r="AL136" s="113">
        <f>SUM(AL114:AL135)</f>
        <v>0</v>
      </c>
      <c r="AM136" s="113">
        <f>SUM(AM114:AM135)</f>
        <v>1000000</v>
      </c>
      <c r="AN136" s="113">
        <f>SUM(AN114:AN135)</f>
        <v>150000</v>
      </c>
      <c r="AO136" s="131"/>
      <c r="AP136" s="17"/>
      <c r="AQ136" s="113">
        <f t="shared" ref="AQ136:BB136" si="121">SUM(AQ114:AQ135)</f>
        <v>4337272.2</v>
      </c>
      <c r="AR136" s="113">
        <f t="shared" si="121"/>
        <v>11007000</v>
      </c>
      <c r="AS136" s="113">
        <f t="shared" si="121"/>
        <v>1150000</v>
      </c>
      <c r="AT136" s="113">
        <f t="shared" si="121"/>
        <v>16494272.199999999</v>
      </c>
      <c r="AU136" s="113">
        <f t="shared" si="121"/>
        <v>4337272.2</v>
      </c>
      <c r="AV136" s="113">
        <f t="shared" si="121"/>
        <v>0</v>
      </c>
      <c r="AW136" s="113">
        <f t="shared" si="121"/>
        <v>0</v>
      </c>
      <c r="AX136" s="113">
        <f t="shared" si="121"/>
        <v>0</v>
      </c>
      <c r="AY136" s="113">
        <f t="shared" si="121"/>
        <v>0</v>
      </c>
      <c r="AZ136" s="113">
        <f t="shared" si="121"/>
        <v>11007000</v>
      </c>
      <c r="BA136" s="113">
        <f t="shared" si="121"/>
        <v>0</v>
      </c>
      <c r="BB136" s="113">
        <f t="shared" si="121"/>
        <v>-1150000</v>
      </c>
    </row>
    <row r="137" spans="1:54" ht="78" outlineLevel="2">
      <c r="A137" s="98"/>
      <c r="B137" s="102"/>
      <c r="C137" s="23"/>
      <c r="D137" s="269"/>
      <c r="E137" s="269"/>
      <c r="F137" s="174"/>
      <c r="G137" s="269"/>
      <c r="H137" s="302" t="s">
        <v>479</v>
      </c>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2">SUM(AE137,AD137,AC137,AB137,Y137,U137,T137,S137,R137)</f>
        <v>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23">L137+M137</f>
        <v>0</v>
      </c>
      <c r="AR137" s="14">
        <f t="shared" ref="AR137:AR138" si="124">AF137</f>
        <v>0</v>
      </c>
      <c r="AS137" s="14">
        <f t="shared" ref="AS137:AS138" si="125">AM137+AN137</f>
        <v>0</v>
      </c>
      <c r="AT137" s="14">
        <f t="shared" ref="AT137:AT138" si="126">SUM(AQ137,AR137,AS137)</f>
        <v>0</v>
      </c>
      <c r="AU137" s="15"/>
      <c r="AV137" s="15"/>
      <c r="AW137" s="15"/>
      <c r="AX137" s="15"/>
      <c r="AY137" s="15"/>
      <c r="AZ137" s="15"/>
      <c r="BA137" s="15"/>
      <c r="BB137" s="16">
        <f t="shared" ref="BB137:BB138" si="127">SUM(AU137:BA137)-AT137</f>
        <v>0</v>
      </c>
    </row>
    <row r="138" spans="1:54" ht="62.4" outlineLevel="2">
      <c r="A138" s="98"/>
      <c r="B138" s="102"/>
      <c r="C138" s="23"/>
      <c r="D138" s="269"/>
      <c r="E138" s="269"/>
      <c r="F138" s="174"/>
      <c r="G138" s="174"/>
      <c r="H138" s="302" t="s">
        <v>480</v>
      </c>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2"/>
        <v>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23"/>
        <v>0</v>
      </c>
      <c r="AR138" s="14">
        <f t="shared" si="124"/>
        <v>0</v>
      </c>
      <c r="AS138" s="14">
        <f t="shared" si="125"/>
        <v>0</v>
      </c>
      <c r="AT138" s="14">
        <f t="shared" si="126"/>
        <v>0</v>
      </c>
      <c r="AU138" s="15"/>
      <c r="AV138" s="15"/>
      <c r="AW138" s="15"/>
      <c r="AX138" s="15"/>
      <c r="AY138" s="15"/>
      <c r="AZ138" s="15"/>
      <c r="BA138" s="15"/>
      <c r="BB138" s="16">
        <f t="shared" si="127"/>
        <v>0</v>
      </c>
    </row>
    <row r="139" spans="1:54" ht="110.4" outlineLevel="1">
      <c r="A139" s="98"/>
      <c r="B139" s="102"/>
      <c r="C139" s="23"/>
      <c r="D139" s="56" t="s">
        <v>635</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8">SUM(R137:R138)</f>
        <v>0</v>
      </c>
      <c r="S139" s="113">
        <f t="shared" si="128"/>
        <v>0</v>
      </c>
      <c r="T139" s="113">
        <f t="shared" si="128"/>
        <v>0</v>
      </c>
      <c r="U139" s="113">
        <f t="shared" si="128"/>
        <v>0</v>
      </c>
      <c r="V139" s="112"/>
      <c r="W139" s="112"/>
      <c r="X139" s="112"/>
      <c r="Y139" s="113">
        <f>SUM(Y137:Y138)</f>
        <v>0</v>
      </c>
      <c r="Z139" s="112"/>
      <c r="AA139" s="112"/>
      <c r="AB139" s="113">
        <f t="shared" ref="AB139:AF139" si="129">SUM(AB137:AB138)</f>
        <v>0</v>
      </c>
      <c r="AC139" s="113">
        <f t="shared" ref="AC139:AD139" si="130">SUM(AC137:AC138)</f>
        <v>0</v>
      </c>
      <c r="AD139" s="113">
        <f t="shared" si="130"/>
        <v>0</v>
      </c>
      <c r="AE139" s="113">
        <f t="shared" si="129"/>
        <v>0</v>
      </c>
      <c r="AF139" s="113">
        <f t="shared" si="129"/>
        <v>0</v>
      </c>
      <c r="AG139" s="112"/>
      <c r="AH139" s="112"/>
      <c r="AI139" s="112"/>
      <c r="AJ139" s="113">
        <f t="shared" ref="AJ139:AL139" si="131">SUM(AJ137:AJ138)</f>
        <v>0</v>
      </c>
      <c r="AK139" s="113">
        <f t="shared" si="131"/>
        <v>0</v>
      </c>
      <c r="AL139" s="113">
        <f t="shared" si="131"/>
        <v>0</v>
      </c>
      <c r="AM139" s="113">
        <f t="shared" ref="AM139:AN139" si="132">SUM(AM137:AM138)</f>
        <v>0</v>
      </c>
      <c r="AN139" s="113">
        <f t="shared" si="132"/>
        <v>0</v>
      </c>
      <c r="AO139" s="131"/>
      <c r="AP139" s="17"/>
      <c r="AQ139" s="113">
        <f t="shared" ref="AQ139:BB139" si="133">SUM(AQ137:AQ138)</f>
        <v>0</v>
      </c>
      <c r="AR139" s="113">
        <f t="shared" si="133"/>
        <v>0</v>
      </c>
      <c r="AS139" s="113">
        <f t="shared" si="133"/>
        <v>0</v>
      </c>
      <c r="AT139" s="113">
        <f t="shared" si="133"/>
        <v>0</v>
      </c>
      <c r="AU139" s="113">
        <f t="shared" si="133"/>
        <v>0</v>
      </c>
      <c r="AV139" s="113">
        <f t="shared" si="133"/>
        <v>0</v>
      </c>
      <c r="AW139" s="113">
        <f t="shared" si="133"/>
        <v>0</v>
      </c>
      <c r="AX139" s="113">
        <f t="shared" si="133"/>
        <v>0</v>
      </c>
      <c r="AY139" s="113">
        <f t="shared" si="133"/>
        <v>0</v>
      </c>
      <c r="AZ139" s="113">
        <f t="shared" si="133"/>
        <v>0</v>
      </c>
      <c r="BA139" s="113">
        <f t="shared" si="133"/>
        <v>0</v>
      </c>
      <c r="BB139" s="113">
        <f t="shared" si="133"/>
        <v>0</v>
      </c>
    </row>
    <row r="140" spans="1:54" ht="93.6" outlineLevel="2">
      <c r="A140" s="98"/>
      <c r="B140" s="102"/>
      <c r="C140" s="23"/>
      <c r="D140" s="269"/>
      <c r="E140" s="269"/>
      <c r="F140" s="269"/>
      <c r="G140" s="269"/>
      <c r="H140" s="302" t="s">
        <v>481</v>
      </c>
      <c r="I140" s="104"/>
      <c r="J140" s="105"/>
      <c r="K140" s="105"/>
      <c r="L140" s="106" t="str">
        <f>IF(I140&lt;&gt;0,((VLOOKUP(I140,'1. Standard_Cost'!$B$4:$D$11,2)+VLOOKUP(I140,'1. Standard_Cost'!$B$4:$D$11,3))*J140*K140),"0")</f>
        <v>0</v>
      </c>
      <c r="M140" s="106">
        <f>L140*'1. Standard_Cost'!$F$4</f>
        <v>0</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c r="AB140" s="108">
        <f>+Z140*'1. Standard_Cost'!$B$23+AA140*'1. Standard_Cost'!$C$23</f>
        <v>0</v>
      </c>
      <c r="AC140" s="109"/>
      <c r="AD140" s="110"/>
      <c r="AE140" s="108">
        <f>SUM(AD140,AC140,AB140,Y140,U140,T140,S140,R140)*'1. Standard_Cost'!$B$31</f>
        <v>0</v>
      </c>
      <c r="AF140" s="108">
        <f t="shared" ref="AF140:AF141" si="134">SUM(AE140,AD140,AC140,AB140,Y140,U140,T140,S140,R140)</f>
        <v>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35">L140+M140</f>
        <v>0</v>
      </c>
      <c r="AR140" s="14">
        <f t="shared" ref="AR140:AR141" si="136">AF140</f>
        <v>0</v>
      </c>
      <c r="AS140" s="14">
        <f t="shared" ref="AS140:AS141" si="137">AM140+AN140</f>
        <v>0</v>
      </c>
      <c r="AT140" s="14">
        <f t="shared" ref="AT140:AT141" si="138">SUM(AQ140,AR140,AS140)</f>
        <v>0</v>
      </c>
      <c r="AU140" s="15">
        <v>0</v>
      </c>
      <c r="AV140" s="15"/>
      <c r="AW140" s="15"/>
      <c r="AX140" s="15"/>
      <c r="AY140" s="15">
        <v>0</v>
      </c>
      <c r="AZ140" s="15">
        <v>0</v>
      </c>
      <c r="BA140" s="15"/>
      <c r="BB140" s="16">
        <f t="shared" ref="BB140:BB141" si="139">SUM(AU140:BA140)-AT140</f>
        <v>0</v>
      </c>
    </row>
    <row r="141" spans="1:54" ht="109.2" outlineLevel="2">
      <c r="A141" s="98"/>
      <c r="B141" s="102"/>
      <c r="C141" s="23"/>
      <c r="D141" s="269"/>
      <c r="E141" s="269"/>
      <c r="F141" s="172"/>
      <c r="G141" s="173"/>
      <c r="H141" s="302" t="s">
        <v>482</v>
      </c>
      <c r="I141" s="104"/>
      <c r="J141" s="105"/>
      <c r="K141" s="105"/>
      <c r="L141" s="106" t="str">
        <f>IF(I141&lt;&gt;0,((VLOOKUP(I141,'1. Standard_Cost'!$B$4:$D$11,2)+VLOOKUP(I141,'1. Standard_Cost'!$B$4:$D$11,3))*J141*K141),"0")</f>
        <v>0</v>
      </c>
      <c r="M141" s="106">
        <f>L141*'1. Standard_Cost'!$F$4</f>
        <v>0</v>
      </c>
      <c r="N141" s="107"/>
      <c r="O141" s="107"/>
      <c r="P141" s="107"/>
      <c r="Q141" s="107"/>
      <c r="R141" s="108">
        <f>'1. Standard_Cost'!$B$15*N141*P141</f>
        <v>0</v>
      </c>
      <c r="S141" s="108">
        <f>N141*O141*P141*'1. Standard_Cost'!$C$15</f>
        <v>0</v>
      </c>
      <c r="T141" s="108">
        <f>N141*P141*Q141*'1. Standard_Cost'!$D$15</f>
        <v>0</v>
      </c>
      <c r="U141" s="108">
        <f>N141*O141*'1. Standard_Cost'!$E$15</f>
        <v>0</v>
      </c>
      <c r="V141" s="107"/>
      <c r="W141" s="107"/>
      <c r="X141" s="107"/>
      <c r="Y141" s="108">
        <f>+V141*((X141*'1. Standard_Cost'!$B$19)+(W141*X141*'1. Standard_Cost'!$C$19))</f>
        <v>0</v>
      </c>
      <c r="Z141" s="107"/>
      <c r="AA141" s="107"/>
      <c r="AB141" s="108">
        <f>+Z141*'1. Standard_Cost'!$B$23+AA141*'1. Standard_Cost'!$C$23</f>
        <v>0</v>
      </c>
      <c r="AC141" s="109"/>
      <c r="AD141" s="110"/>
      <c r="AE141" s="108">
        <f>SUM(AD141,AC141,AB141,Y141,U141,T141,S141,R141)*'1. Standard_Cost'!$B$31</f>
        <v>0</v>
      </c>
      <c r="AF141" s="108">
        <f t="shared" si="134"/>
        <v>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35"/>
        <v>0</v>
      </c>
      <c r="AR141" s="14">
        <f t="shared" si="136"/>
        <v>0</v>
      </c>
      <c r="AS141" s="14">
        <f t="shared" si="137"/>
        <v>0</v>
      </c>
      <c r="AT141" s="14">
        <f t="shared" si="138"/>
        <v>0</v>
      </c>
      <c r="AU141" s="15"/>
      <c r="AV141" s="15"/>
      <c r="AW141" s="15"/>
      <c r="AX141" s="15"/>
      <c r="AY141" s="15"/>
      <c r="AZ141" s="15"/>
      <c r="BA141" s="15"/>
      <c r="BB141" s="16">
        <f t="shared" si="139"/>
        <v>0</v>
      </c>
    </row>
    <row r="142" spans="1:54" ht="28.5" customHeight="1" outlineLevel="1">
      <c r="A142" s="98"/>
      <c r="B142" s="102"/>
      <c r="C142" s="23"/>
      <c r="D142" s="56" t="s">
        <v>636</v>
      </c>
      <c r="E142" s="56" t="s">
        <v>232</v>
      </c>
      <c r="F142" s="253">
        <v>2022</v>
      </c>
      <c r="G142" s="254">
        <v>2023</v>
      </c>
      <c r="H142" s="277" t="s">
        <v>230</v>
      </c>
      <c r="I142" s="112"/>
      <c r="J142" s="112"/>
      <c r="K142" s="112"/>
      <c r="L142" s="113">
        <f>SUM(L140:L141)</f>
        <v>0</v>
      </c>
      <c r="M142" s="113">
        <f>SUM(M140:M141)</f>
        <v>0</v>
      </c>
      <c r="N142" s="112"/>
      <c r="O142" s="112"/>
      <c r="P142" s="112"/>
      <c r="Q142" s="112"/>
      <c r="R142" s="113">
        <f t="shared" ref="R142:U142" si="140">SUM(R140:R141)</f>
        <v>0</v>
      </c>
      <c r="S142" s="113">
        <f t="shared" si="140"/>
        <v>0</v>
      </c>
      <c r="T142" s="113">
        <f t="shared" si="140"/>
        <v>0</v>
      </c>
      <c r="U142" s="113">
        <f t="shared" si="140"/>
        <v>0</v>
      </c>
      <c r="V142" s="112"/>
      <c r="W142" s="112"/>
      <c r="X142" s="112"/>
      <c r="Y142" s="113">
        <f>SUM(Y140:Y141)</f>
        <v>0</v>
      </c>
      <c r="Z142" s="112"/>
      <c r="AA142" s="112"/>
      <c r="AB142" s="113">
        <f t="shared" ref="AB142:AF142" si="141">SUM(AB140:AB141)</f>
        <v>0</v>
      </c>
      <c r="AC142" s="113">
        <f t="shared" ref="AC142:AD142" si="142">SUM(AC140:AC141)</f>
        <v>0</v>
      </c>
      <c r="AD142" s="113">
        <f t="shared" si="142"/>
        <v>0</v>
      </c>
      <c r="AE142" s="113">
        <f t="shared" si="141"/>
        <v>0</v>
      </c>
      <c r="AF142" s="113">
        <f t="shared" si="141"/>
        <v>0</v>
      </c>
      <c r="AG142" s="112"/>
      <c r="AH142" s="112"/>
      <c r="AI142" s="112"/>
      <c r="AJ142" s="113">
        <f t="shared" ref="AJ142:AL142" si="143">SUM(AJ140:AJ141)</f>
        <v>0</v>
      </c>
      <c r="AK142" s="113">
        <f t="shared" si="143"/>
        <v>0</v>
      </c>
      <c r="AL142" s="113">
        <f t="shared" si="143"/>
        <v>0</v>
      </c>
      <c r="AM142" s="113">
        <f t="shared" ref="AM142:AN142" si="144">SUM(AM140:AM141)</f>
        <v>0</v>
      </c>
      <c r="AN142" s="113">
        <f t="shared" si="144"/>
        <v>0</v>
      </c>
      <c r="AO142" s="131"/>
      <c r="AP142" s="17"/>
      <c r="AQ142" s="113">
        <f t="shared" ref="AQ142" si="145">SUM(AQ140:AQ141)</f>
        <v>0</v>
      </c>
      <c r="AR142" s="113">
        <f t="shared" ref="AR142:BB142" si="146">SUM(AR140:AR141)</f>
        <v>0</v>
      </c>
      <c r="AS142" s="113">
        <f t="shared" si="146"/>
        <v>0</v>
      </c>
      <c r="AT142" s="113">
        <f t="shared" si="146"/>
        <v>0</v>
      </c>
      <c r="AU142" s="113">
        <f t="shared" si="146"/>
        <v>0</v>
      </c>
      <c r="AV142" s="113">
        <f t="shared" si="146"/>
        <v>0</v>
      </c>
      <c r="AW142" s="113">
        <f t="shared" si="146"/>
        <v>0</v>
      </c>
      <c r="AX142" s="113">
        <f t="shared" si="146"/>
        <v>0</v>
      </c>
      <c r="AY142" s="113">
        <f t="shared" si="146"/>
        <v>0</v>
      </c>
      <c r="AZ142" s="113">
        <f t="shared" si="146"/>
        <v>0</v>
      </c>
      <c r="BA142" s="113">
        <f t="shared" si="146"/>
        <v>0</v>
      </c>
      <c r="BB142" s="113">
        <f t="shared" si="146"/>
        <v>0</v>
      </c>
    </row>
    <row r="143" spans="1:54" s="24" customFormat="1" ht="13.8" customHeight="1">
      <c r="A143" s="114"/>
      <c r="B143" s="115"/>
      <c r="C143" s="314" t="s">
        <v>233</v>
      </c>
      <c r="D143" s="314"/>
      <c r="E143" s="315"/>
      <c r="F143" s="246"/>
      <c r="G143" s="246"/>
      <c r="H143" s="278" t="s">
        <v>188</v>
      </c>
      <c r="I143" s="116"/>
      <c r="J143" s="116"/>
      <c r="K143" s="116"/>
      <c r="L143" s="117">
        <f>SUM(L168,L178)</f>
        <v>9140850</v>
      </c>
      <c r="M143" s="117">
        <f>SUM(M168,M178)</f>
        <v>1526521.9500000002</v>
      </c>
      <c r="N143" s="116"/>
      <c r="O143" s="116"/>
      <c r="P143" s="116"/>
      <c r="Q143" s="116"/>
      <c r="R143" s="117">
        <f t="shared" ref="R143:U143" si="147">SUM(R168,R178)</f>
        <v>400000</v>
      </c>
      <c r="S143" s="117">
        <f t="shared" si="147"/>
        <v>750000</v>
      </c>
      <c r="T143" s="117">
        <f t="shared" si="147"/>
        <v>875000</v>
      </c>
      <c r="U143" s="117">
        <f t="shared" si="147"/>
        <v>160000</v>
      </c>
      <c r="V143" s="116"/>
      <c r="W143" s="116"/>
      <c r="X143" s="116"/>
      <c r="Y143" s="117">
        <f>SUM(Y168,Y178)</f>
        <v>0</v>
      </c>
      <c r="Z143" s="117"/>
      <c r="AA143" s="117"/>
      <c r="AB143" s="117">
        <f t="shared" ref="AB143:AF143" si="148">SUM(AB168,AB178)</f>
        <v>1254000</v>
      </c>
      <c r="AC143" s="117">
        <f>SUM(AC168,AC178)</f>
        <v>75999767.5</v>
      </c>
      <c r="AD143" s="117">
        <f>SUM(AD168,AD178)</f>
        <v>0</v>
      </c>
      <c r="AE143" s="117">
        <f t="shared" si="148"/>
        <v>15020953.5</v>
      </c>
      <c r="AF143" s="117">
        <f t="shared" si="148"/>
        <v>94459721</v>
      </c>
      <c r="AG143" s="116"/>
      <c r="AH143" s="116"/>
      <c r="AI143" s="116"/>
      <c r="AJ143" s="117">
        <f>SUM(AJ168,AJ178)</f>
        <v>0</v>
      </c>
      <c r="AK143" s="117">
        <f>SUM(AK168,AK178)</f>
        <v>0</v>
      </c>
      <c r="AL143" s="117">
        <f>SUM(AL168,AL178)</f>
        <v>0</v>
      </c>
      <c r="AM143" s="117">
        <f t="shared" ref="AM143:AN143" si="149">SUM(AM168,AM178)</f>
        <v>0</v>
      </c>
      <c r="AN143" s="117">
        <f t="shared" si="149"/>
        <v>0</v>
      </c>
      <c r="AO143" s="132"/>
      <c r="AP143" s="25"/>
      <c r="AQ143" s="117">
        <f t="shared" ref="AQ143" si="150">SUM(AQ168,AQ178)</f>
        <v>10667371.949999999</v>
      </c>
      <c r="AR143" s="117">
        <f t="shared" ref="AR143:BB143" si="151">SUM(AR168,AR178)</f>
        <v>94459721</v>
      </c>
      <c r="AS143" s="117">
        <f t="shared" si="151"/>
        <v>0</v>
      </c>
      <c r="AT143" s="117">
        <f t="shared" si="151"/>
        <v>105127092.95</v>
      </c>
      <c r="AU143" s="117">
        <f t="shared" si="151"/>
        <v>98167492.950000003</v>
      </c>
      <c r="AV143" s="117">
        <f t="shared" si="151"/>
        <v>0</v>
      </c>
      <c r="AW143" s="117">
        <f t="shared" si="151"/>
        <v>0</v>
      </c>
      <c r="AX143" s="117">
        <f t="shared" si="151"/>
        <v>0</v>
      </c>
      <c r="AY143" s="117">
        <f t="shared" si="151"/>
        <v>0</v>
      </c>
      <c r="AZ143" s="117">
        <f t="shared" si="151"/>
        <v>1668000</v>
      </c>
      <c r="BA143" s="117">
        <f t="shared" si="151"/>
        <v>0</v>
      </c>
      <c r="BB143" s="117">
        <f t="shared" si="151"/>
        <v>-5291600</v>
      </c>
    </row>
    <row r="144" spans="1:54" ht="93.6" outlineLevel="2">
      <c r="A144" s="98"/>
      <c r="B144" s="102"/>
      <c r="C144" s="23"/>
      <c r="D144" s="257"/>
      <c r="E144" s="123"/>
      <c r="F144" s="249"/>
      <c r="G144" s="283"/>
      <c r="H144" s="302" t="s">
        <v>490</v>
      </c>
      <c r="I144" s="104" t="s">
        <v>558</v>
      </c>
      <c r="J144" s="105">
        <v>4</v>
      </c>
      <c r="K144" s="105">
        <v>50</v>
      </c>
      <c r="L144" s="106">
        <f>IF(I144&lt;&gt;0,((VLOOKUP(I144,'1. Standard_Cost'!$B$4:$D$11,2)+VLOOKUP(I144,'1. Standard_Cost'!$B$4:$D$11,3))*J144*K144),"0")</f>
        <v>6880000</v>
      </c>
      <c r="M144" s="106">
        <f>L144*'1. Standard_Cost'!$F$4</f>
        <v>1148960</v>
      </c>
      <c r="N144" s="107">
        <v>1</v>
      </c>
      <c r="O144" s="107">
        <v>4</v>
      </c>
      <c r="P144" s="107">
        <v>50</v>
      </c>
      <c r="Q144" s="162">
        <v>0.5</v>
      </c>
      <c r="R144" s="108">
        <f>'1. Standard_Cost'!$B$15*N144*P144</f>
        <v>100000</v>
      </c>
      <c r="S144" s="108">
        <f>N144*O144*P144*'1. Standard_Cost'!$C$15</f>
        <v>300000</v>
      </c>
      <c r="T144" s="108">
        <f>N144*P144*Q144*'1. Standard_Cost'!$D$15</f>
        <v>125000</v>
      </c>
      <c r="U144" s="108">
        <f>N144*O144*'1. Standard_Cost'!$E$15</f>
        <v>160000</v>
      </c>
      <c r="V144" s="107"/>
      <c r="W144" s="107"/>
      <c r="X144" s="107"/>
      <c r="Y144" s="108">
        <f>+V144*((X144*'1. Standard_Cost'!$B$19)+(W144*X144*'1. Standard_Cost'!$C$19))</f>
        <v>0</v>
      </c>
      <c r="Z144" s="107"/>
      <c r="AA144" s="107"/>
      <c r="AB144" s="108">
        <f>+Z144*'1. Standard_Cost'!$B$23+AA144*'1. Standard_Cost'!$C$23</f>
        <v>0</v>
      </c>
      <c r="AC144" s="109">
        <f>50*3500*4+50*300*4</f>
        <v>760000</v>
      </c>
      <c r="AD144" s="110"/>
      <c r="AE144" s="108">
        <f>SUM(AD144,AC144,AB144,Y144,U144,T144,S144,R144)*'1. Standard_Cost'!$B$31</f>
        <v>289000</v>
      </c>
      <c r="AF144" s="108">
        <f t="shared" ref="AF144:AF167" si="152">SUM(AE144,AD144,AC144,AB144,Y144,U144,T144,S144,R144)</f>
        <v>1734000</v>
      </c>
      <c r="AG144" s="107"/>
      <c r="AH144" s="107"/>
      <c r="AI144" s="107"/>
      <c r="AJ144" s="111"/>
      <c r="AK144" s="111"/>
      <c r="AL144" s="111"/>
      <c r="AM144" s="108">
        <f>AG144*'1. Standard_Cost'!$B$27+'Incremental_Cost Year 6'!AH144*'1. Standard_Cost'!$C$27+'Incremental_Cost Year 6'!AI144*'1. Standard_Cost'!$D$27+'Incremental_Cost Year 6'!AJ144+'Incremental_Cost Year 6'!AL144+AK144</f>
        <v>0</v>
      </c>
      <c r="AN144" s="108">
        <f>AM144*'1. Standard_Cost'!$C$31</f>
        <v>0</v>
      </c>
      <c r="AO144" s="125" t="s">
        <v>370</v>
      </c>
      <c r="AQ144" s="14">
        <f t="shared" ref="AQ144:AQ167" si="153">L144+M144</f>
        <v>8028960</v>
      </c>
      <c r="AR144" s="14">
        <f t="shared" ref="AR144:AR167" si="154">AF144</f>
        <v>1734000</v>
      </c>
      <c r="AS144" s="14">
        <f t="shared" ref="AS144:AS167" si="155">AM144+AN144</f>
        <v>0</v>
      </c>
      <c r="AT144" s="14">
        <f>SUM(AQ144,AR144,AS144)</f>
        <v>9762960</v>
      </c>
      <c r="AU144" s="15">
        <v>9762960</v>
      </c>
      <c r="AV144" s="15"/>
      <c r="AW144" s="15"/>
      <c r="AX144" s="15"/>
      <c r="AY144" s="15"/>
      <c r="AZ144" s="15"/>
      <c r="BA144" s="15"/>
      <c r="BB144" s="16">
        <f t="shared" ref="BB144:BB167" si="156">SUM(AU144:BA144)-AT144</f>
        <v>0</v>
      </c>
    </row>
    <row r="145" spans="1:54" ht="21.6" customHeight="1" outlineLevel="2">
      <c r="A145" s="98"/>
      <c r="B145" s="102"/>
      <c r="C145" s="23"/>
      <c r="D145" s="269"/>
      <c r="E145" s="271"/>
      <c r="F145" s="161"/>
      <c r="G145" s="161"/>
      <c r="H145" s="305" t="s">
        <v>483</v>
      </c>
      <c r="I145" s="104" t="s">
        <v>484</v>
      </c>
      <c r="J145" s="105">
        <v>4</v>
      </c>
      <c r="K145" s="105">
        <v>3</v>
      </c>
      <c r="L145" s="106">
        <f>IF(I145&lt;&gt;0,((VLOOKUP(I145,'1. Standard_Cost'!$B$4:$D$11,2)+VLOOKUP(I145,'1. Standard_Cost'!$B$4:$D$11,3))*J145*K145),"0")</f>
        <v>532800</v>
      </c>
      <c r="M145" s="106">
        <f>L145*'1. Standard_Cost'!$F$4</f>
        <v>88977.600000000006</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52"/>
        <v>0</v>
      </c>
      <c r="AG145" s="107"/>
      <c r="AH145" s="107"/>
      <c r="AI145" s="107"/>
      <c r="AJ145" s="111"/>
      <c r="AK145" s="111"/>
      <c r="AL145" s="111"/>
      <c r="AM145" s="108">
        <f>AG145*'[1]1. Standard_Cost'!$B$27+'[1]Incremental_Cost Year 6'!AH145*'[1]1. Standard_Cost'!$C$27+'[1]Incremental_Cost Year 6'!AI145*'[1]1. Standard_Cost'!$D$27+'[1]Incremental_Cost Year 6'!AJ145+'[1]Incremental_Cost Year 6'!AL145+AK145</f>
        <v>0</v>
      </c>
      <c r="AN145" s="108">
        <f>AM145*'[1]1. Standard_Cost'!$C$31</f>
        <v>0</v>
      </c>
      <c r="AO145" s="125"/>
      <c r="AQ145" s="14">
        <f t="shared" si="153"/>
        <v>621777.6</v>
      </c>
      <c r="AR145" s="14">
        <f t="shared" si="154"/>
        <v>0</v>
      </c>
      <c r="AS145" s="14">
        <f t="shared" si="155"/>
        <v>0</v>
      </c>
      <c r="AT145" s="14">
        <f>SUM(AQ145,AR145,AS145)</f>
        <v>621777.6</v>
      </c>
      <c r="AU145" s="15">
        <v>621777.6</v>
      </c>
      <c r="AV145" s="15"/>
      <c r="AW145" s="15"/>
      <c r="AX145" s="15"/>
      <c r="AY145" s="15"/>
      <c r="AZ145" s="15"/>
      <c r="BA145" s="15"/>
      <c r="BB145" s="16">
        <f t="shared" si="156"/>
        <v>0</v>
      </c>
    </row>
    <row r="146" spans="1:54" ht="19.95" customHeight="1" outlineLevel="2">
      <c r="A146" s="98"/>
      <c r="B146" s="102"/>
      <c r="C146" s="23"/>
      <c r="D146" s="269"/>
      <c r="E146" s="271"/>
      <c r="F146" s="161"/>
      <c r="G146" s="161"/>
      <c r="H146" s="305" t="s">
        <v>485</v>
      </c>
      <c r="I146" s="104" t="s">
        <v>4</v>
      </c>
      <c r="J146" s="105">
        <v>4</v>
      </c>
      <c r="K146" s="105">
        <v>4</v>
      </c>
      <c r="L146" s="106">
        <f>IF(I146&lt;&gt;0,((VLOOKUP(I146,'1. Standard_Cost'!$B$4:$D$11,2)+VLOOKUP(I146,'1. Standard_Cost'!$B$4:$D$11,3))*J146*K146),"0")</f>
        <v>1292000</v>
      </c>
      <c r="M146" s="106">
        <f>L146*'1. Standard_Cost'!$F$4</f>
        <v>215764</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52"/>
        <v>0</v>
      </c>
      <c r="AG146" s="107"/>
      <c r="AH146" s="107"/>
      <c r="AI146" s="107"/>
      <c r="AJ146" s="111"/>
      <c r="AK146" s="111"/>
      <c r="AL146" s="111"/>
      <c r="AM146" s="108">
        <f>AG146*'[1]1. Standard_Cost'!$B$27+'[1]Incremental_Cost Year 6'!AH146*'[1]1. Standard_Cost'!$C$27+'[1]Incremental_Cost Year 6'!AI146*'[1]1. Standard_Cost'!$D$27+'[1]Incremental_Cost Year 6'!AJ146+'[1]Incremental_Cost Year 6'!AL146+AK146</f>
        <v>0</v>
      </c>
      <c r="AN146" s="108">
        <f>AM146*'[1]1. Standard_Cost'!$C$31</f>
        <v>0</v>
      </c>
      <c r="AO146" s="125"/>
      <c r="AQ146" s="14">
        <f t="shared" si="153"/>
        <v>1507764</v>
      </c>
      <c r="AR146" s="14">
        <f t="shared" si="154"/>
        <v>0</v>
      </c>
      <c r="AS146" s="14">
        <f t="shared" si="155"/>
        <v>0</v>
      </c>
      <c r="AT146" s="14">
        <f>SUM(AQ146,AR146,AS146)</f>
        <v>1507764</v>
      </c>
      <c r="AU146" s="15">
        <v>1507764</v>
      </c>
      <c r="AV146" s="15"/>
      <c r="AW146" s="15"/>
      <c r="AX146" s="15"/>
      <c r="AY146" s="15"/>
      <c r="AZ146" s="15"/>
      <c r="BA146" s="15"/>
      <c r="BB146" s="16">
        <f t="shared" si="156"/>
        <v>0</v>
      </c>
    </row>
    <row r="147" spans="1:54" ht="46.8" outlineLevel="2">
      <c r="A147" s="98"/>
      <c r="B147" s="102"/>
      <c r="C147" s="23"/>
      <c r="D147" s="269"/>
      <c r="E147" s="271"/>
      <c r="F147" s="250"/>
      <c r="G147" s="255"/>
      <c r="H147" s="302" t="s">
        <v>491</v>
      </c>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52"/>
        <v>0</v>
      </c>
      <c r="AG147" s="107"/>
      <c r="AH147" s="107"/>
      <c r="AI147" s="107"/>
      <c r="AJ147" s="111"/>
      <c r="AK147" s="111"/>
      <c r="AL147" s="111"/>
      <c r="AM147" s="108">
        <f>AG147*'1. Standard_Cost'!$B$27+'Incremental_Cost Year 6'!AH147*'1. Standard_Cost'!$C$27+'Incremental_Cost Year 6'!AI147*'1. Standard_Cost'!$D$27+'Incremental_Cost Year 6'!AJ147+'Incremental_Cost Year 6'!AL147+AK147</f>
        <v>0</v>
      </c>
      <c r="AN147" s="108">
        <f>AM147*'1. Standard_Cost'!$C$31</f>
        <v>0</v>
      </c>
      <c r="AO147" s="125" t="s">
        <v>371</v>
      </c>
      <c r="AQ147" s="14">
        <f t="shared" si="153"/>
        <v>0</v>
      </c>
      <c r="AR147" s="14">
        <f t="shared" si="154"/>
        <v>0</v>
      </c>
      <c r="AS147" s="14">
        <f t="shared" si="155"/>
        <v>0</v>
      </c>
      <c r="AT147" s="14">
        <f t="shared" ref="AT147:AT167" si="157">SUM(AQ147,AR147,AS147)</f>
        <v>0</v>
      </c>
      <c r="AU147" s="15">
        <v>0</v>
      </c>
      <c r="AV147" s="15"/>
      <c r="AW147" s="15"/>
      <c r="AX147" s="15"/>
      <c r="AY147" s="15"/>
      <c r="AZ147" s="15"/>
      <c r="BA147" s="15"/>
      <c r="BB147" s="16">
        <f t="shared" si="156"/>
        <v>0</v>
      </c>
    </row>
    <row r="148" spans="1:54" ht="124.2" customHeight="1" outlineLevel="2">
      <c r="A148" s="98"/>
      <c r="B148" s="102"/>
      <c r="C148" s="23"/>
      <c r="D148" s="269"/>
      <c r="E148" s="271"/>
      <c r="F148" s="161"/>
      <c r="G148" s="161"/>
      <c r="H148" s="306" t="s">
        <v>486</v>
      </c>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c r="AD148" s="110"/>
      <c r="AE148" s="108">
        <v>0</v>
      </c>
      <c r="AF148" s="108">
        <f t="shared" si="152"/>
        <v>0</v>
      </c>
      <c r="AG148" s="107"/>
      <c r="AH148" s="107"/>
      <c r="AI148" s="107"/>
      <c r="AJ148" s="111"/>
      <c r="AK148" s="111"/>
      <c r="AL148" s="111"/>
      <c r="AM148" s="108">
        <f>AG148*'[1]1. Standard_Cost'!$B$27+'[1]Incremental_Cost Year 6'!AH148*'[1]1. Standard_Cost'!$C$27+'[1]Incremental_Cost Year 6'!AI148*'[1]1. Standard_Cost'!$D$27+'[1]Incremental_Cost Year 6'!AJ148+'[1]Incremental_Cost Year 6'!AL148+AK148</f>
        <v>0</v>
      </c>
      <c r="AN148" s="108">
        <f>AM148*'[1]1. Standard_Cost'!$C$31</f>
        <v>0</v>
      </c>
      <c r="AO148" s="163" t="s">
        <v>487</v>
      </c>
      <c r="AQ148" s="14">
        <f t="shared" si="153"/>
        <v>0</v>
      </c>
      <c r="AR148" s="14">
        <f t="shared" si="154"/>
        <v>0</v>
      </c>
      <c r="AS148" s="14">
        <f t="shared" si="155"/>
        <v>0</v>
      </c>
      <c r="AT148" s="14">
        <f t="shared" si="157"/>
        <v>0</v>
      </c>
      <c r="AU148" s="15"/>
      <c r="AV148" s="15"/>
      <c r="AW148" s="15"/>
      <c r="AX148" s="15"/>
      <c r="AY148" s="15">
        <v>0</v>
      </c>
      <c r="AZ148" s="15">
        <v>0</v>
      </c>
      <c r="BA148" s="15"/>
      <c r="BB148" s="16">
        <f t="shared" si="156"/>
        <v>0</v>
      </c>
    </row>
    <row r="149" spans="1:54" ht="93.6" outlineLevel="2">
      <c r="A149" s="98"/>
      <c r="B149" s="102"/>
      <c r="C149" s="23"/>
      <c r="D149" s="269"/>
      <c r="E149" s="271"/>
      <c r="F149" s="250"/>
      <c r="G149" s="255"/>
      <c r="H149" s="302" t="s">
        <v>492</v>
      </c>
      <c r="I149" s="104"/>
      <c r="J149" s="105"/>
      <c r="K149" s="105"/>
      <c r="L149" s="106" t="str">
        <f>IF(I149&lt;&gt;0,((VLOOKUP(I149,'1. Standard_Cost'!$B$4:$D$11,2)+VLOOKUP(I149,'1. Standard_Cost'!$B$4:$D$11,3))*J149*K149),"0")</f>
        <v>0</v>
      </c>
      <c r="M149" s="106">
        <f>L149*'1. Standard_Cost'!$F$4</f>
        <v>0</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c r="AB149" s="108">
        <f>+Z149*'1. Standard_Cost'!$B$23+AA149*'1. Standard_Cost'!$C$23</f>
        <v>0</v>
      </c>
      <c r="AC149" s="109"/>
      <c r="AD149" s="110"/>
      <c r="AE149" s="108">
        <f>SUM(AD149,AC149,AB149,Y149,U149,T149,S149,R149)*'1. Standard_Cost'!$B$31</f>
        <v>0</v>
      </c>
      <c r="AF149" s="108">
        <f t="shared" si="152"/>
        <v>0</v>
      </c>
      <c r="AG149" s="107"/>
      <c r="AH149" s="107"/>
      <c r="AI149" s="107"/>
      <c r="AJ149" s="111"/>
      <c r="AK149" s="111"/>
      <c r="AL149" s="111"/>
      <c r="AM149" s="108">
        <f>AG149*'1. Standard_Cost'!$B$27+'Incremental_Cost Year 6'!AH149*'1. Standard_Cost'!$C$27+'Incremental_Cost Year 6'!AI149*'1. Standard_Cost'!$D$27+'Incremental_Cost Year 6'!AJ149+'Incremental_Cost Year 6'!AL149+AK149</f>
        <v>0</v>
      </c>
      <c r="AN149" s="108">
        <f>AM149*'1. Standard_Cost'!$C$31</f>
        <v>0</v>
      </c>
      <c r="AO149" s="125" t="s">
        <v>372</v>
      </c>
      <c r="AQ149" s="14">
        <f t="shared" si="153"/>
        <v>0</v>
      </c>
      <c r="AR149" s="14">
        <f t="shared" si="154"/>
        <v>0</v>
      </c>
      <c r="AS149" s="14">
        <f t="shared" si="155"/>
        <v>0</v>
      </c>
      <c r="AT149" s="14">
        <f t="shared" si="157"/>
        <v>0</v>
      </c>
      <c r="AU149" s="15">
        <v>0</v>
      </c>
      <c r="AV149" s="15"/>
      <c r="AW149" s="15"/>
      <c r="AX149" s="15"/>
      <c r="AY149" s="15"/>
      <c r="AZ149" s="15"/>
      <c r="BA149" s="15"/>
      <c r="BB149" s="16">
        <f t="shared" si="156"/>
        <v>0</v>
      </c>
    </row>
    <row r="150" spans="1:54" ht="124.8" outlineLevel="2">
      <c r="A150" s="98"/>
      <c r="B150" s="102"/>
      <c r="C150" s="23"/>
      <c r="D150" s="269"/>
      <c r="E150" s="271"/>
      <c r="F150" s="250"/>
      <c r="G150" s="255"/>
      <c r="H150" s="302" t="s">
        <v>493</v>
      </c>
      <c r="I150" s="104"/>
      <c r="J150" s="105"/>
      <c r="K150" s="105"/>
      <c r="L150" s="106" t="str">
        <f>IF(I150&lt;&gt;0,((VLOOKUP(I150,'1. Standard_Cost'!$B$4:$D$11,2)+VLOOKUP(I150,'1. Standard_Cost'!$B$4:$D$11,3))*J150*K150),"0")</f>
        <v>0</v>
      </c>
      <c r="M150" s="106">
        <f>L150*'1. Standard_Cost'!$F$4</f>
        <v>0</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c r="AB150" s="108">
        <f>+Z150*'1. Standard_Cost'!$B$23+AA150*'1. Standard_Cost'!$C$23</f>
        <v>0</v>
      </c>
      <c r="AC150" s="109"/>
      <c r="AD150" s="110"/>
      <c r="AE150" s="108"/>
      <c r="AF150" s="108">
        <f t="shared" si="152"/>
        <v>0</v>
      </c>
      <c r="AG150" s="107"/>
      <c r="AH150" s="107"/>
      <c r="AI150" s="107"/>
      <c r="AJ150" s="111"/>
      <c r="AK150" s="111"/>
      <c r="AL150" s="111"/>
      <c r="AM150" s="108">
        <f>AG150*'1. Standard_Cost'!$B$27+'Incremental_Cost Year 6'!AH150*'1. Standard_Cost'!$C$27+'Incremental_Cost Year 6'!AI150*'1. Standard_Cost'!$D$27+'Incremental_Cost Year 6'!AJ150+'Incremental_Cost Year 6'!AL150+AK150</f>
        <v>0</v>
      </c>
      <c r="AN150" s="108">
        <f>AM150*'1. Standard_Cost'!$C$31</f>
        <v>0</v>
      </c>
      <c r="AO150" s="125" t="s">
        <v>373</v>
      </c>
      <c r="AQ150" s="14">
        <f t="shared" si="153"/>
        <v>0</v>
      </c>
      <c r="AR150" s="14">
        <f t="shared" si="154"/>
        <v>0</v>
      </c>
      <c r="AS150" s="14">
        <f t="shared" si="155"/>
        <v>0</v>
      </c>
      <c r="AT150" s="14">
        <f t="shared" si="157"/>
        <v>0</v>
      </c>
      <c r="AU150" s="15">
        <v>0</v>
      </c>
      <c r="AV150" s="15"/>
      <c r="AW150" s="15"/>
      <c r="AX150" s="15">
        <v>0</v>
      </c>
      <c r="AY150" s="15"/>
      <c r="AZ150" s="15"/>
      <c r="BA150" s="15"/>
      <c r="BB150" s="16">
        <f t="shared" si="156"/>
        <v>0</v>
      </c>
    </row>
    <row r="151" spans="1:54" ht="78" outlineLevel="2">
      <c r="A151" s="98"/>
      <c r="B151" s="102"/>
      <c r="C151" s="23"/>
      <c r="D151" s="269"/>
      <c r="E151" s="271"/>
      <c r="F151" s="250"/>
      <c r="G151" s="177"/>
      <c r="H151" s="302" t="s">
        <v>494</v>
      </c>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c r="AA151" s="107"/>
      <c r="AB151" s="108">
        <f>+Z151*'1. Standard_Cost'!$B$23+AA151*'1. Standard_Cost'!$C$23</f>
        <v>0</v>
      </c>
      <c r="AC151" s="109"/>
      <c r="AD151" s="110"/>
      <c r="AE151" s="108">
        <f>SUM(AD151,AC151,AB151,Y151,U151,T151,S151,R151)*'1. Standard_Cost'!$B$31</f>
        <v>0</v>
      </c>
      <c r="AF151" s="108">
        <f t="shared" si="152"/>
        <v>0</v>
      </c>
      <c r="AG151" s="107"/>
      <c r="AH151" s="107"/>
      <c r="AI151" s="107"/>
      <c r="AJ151" s="111"/>
      <c r="AK151" s="111"/>
      <c r="AL151" s="111"/>
      <c r="AM151" s="108">
        <f>AG151*'1. Standard_Cost'!$B$27+'Incremental_Cost Year 6'!AH151*'1. Standard_Cost'!$C$27+'Incremental_Cost Year 6'!AI151*'1. Standard_Cost'!$D$27+'Incremental_Cost Year 6'!AJ151+'Incremental_Cost Year 6'!AL151+AK151</f>
        <v>0</v>
      </c>
      <c r="AN151" s="108">
        <f>AM151*'1. Standard_Cost'!$C$31</f>
        <v>0</v>
      </c>
      <c r="AO151" s="125" t="s">
        <v>374</v>
      </c>
      <c r="AQ151" s="14">
        <f t="shared" si="153"/>
        <v>0</v>
      </c>
      <c r="AR151" s="14">
        <f t="shared" si="154"/>
        <v>0</v>
      </c>
      <c r="AS151" s="14">
        <f t="shared" si="155"/>
        <v>0</v>
      </c>
      <c r="AT151" s="14">
        <f t="shared" si="157"/>
        <v>0</v>
      </c>
      <c r="AU151" s="15"/>
      <c r="AV151" s="15"/>
      <c r="AW151" s="15"/>
      <c r="AX151" s="15">
        <v>0</v>
      </c>
      <c r="AY151" s="15"/>
      <c r="AZ151" s="15"/>
      <c r="BA151" s="15"/>
      <c r="BB151" s="16">
        <f t="shared" si="156"/>
        <v>0</v>
      </c>
    </row>
    <row r="152" spans="1:54" ht="41.4" customHeight="1" outlineLevel="2">
      <c r="A152" s="98"/>
      <c r="B152" s="102"/>
      <c r="C152" s="23"/>
      <c r="D152" s="269"/>
      <c r="E152" s="271"/>
      <c r="F152" s="161"/>
      <c r="G152" s="161"/>
      <c r="H152" s="303" t="s">
        <v>488</v>
      </c>
      <c r="I152" s="104"/>
      <c r="J152" s="105"/>
      <c r="K152" s="105"/>
      <c r="L152" s="106" t="str">
        <f>IF(I152&lt;&gt;0,((VLOOKUP(I152,'1. Standard_Cost'!$B$4:$D$11,2)+VLOOKUP(I152,'1. Standard_Cost'!$B$4:$D$11,3))*J152*K152),"0")</f>
        <v>0</v>
      </c>
      <c r="M152" s="106">
        <f>L152*'1. Standard_Cost'!$F$4</f>
        <v>0</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52"/>
        <v>0</v>
      </c>
      <c r="AG152" s="107"/>
      <c r="AH152" s="107"/>
      <c r="AI152" s="107"/>
      <c r="AJ152" s="111"/>
      <c r="AK152" s="111"/>
      <c r="AL152" s="111"/>
      <c r="AM152" s="108">
        <f>AG152*'[1]1. Standard_Cost'!$B$27+'[1]Incremental_Cost Year 6'!AH152*'[1]1. Standard_Cost'!$C$27+'[1]Incremental_Cost Year 6'!AI152*'[1]1. Standard_Cost'!$D$27+'[1]Incremental_Cost Year 6'!AJ152+'[1]Incremental_Cost Year 6'!AL152+AK152</f>
        <v>0</v>
      </c>
      <c r="AN152" s="108">
        <f>AM152*'[1]1. Standard_Cost'!$C$31</f>
        <v>0</v>
      </c>
      <c r="AO152" s="125" t="s">
        <v>374</v>
      </c>
      <c r="AQ152" s="14">
        <f t="shared" si="153"/>
        <v>0</v>
      </c>
      <c r="AR152" s="14">
        <f t="shared" si="154"/>
        <v>0</v>
      </c>
      <c r="AS152" s="14">
        <f t="shared" si="155"/>
        <v>0</v>
      </c>
      <c r="AT152" s="14">
        <f t="shared" si="157"/>
        <v>0</v>
      </c>
      <c r="AU152" s="15">
        <v>0</v>
      </c>
      <c r="AV152" s="15"/>
      <c r="AW152" s="15"/>
      <c r="AX152" s="15"/>
      <c r="AY152" s="15"/>
      <c r="AZ152" s="15"/>
      <c r="BA152" s="15"/>
      <c r="BB152" s="16">
        <f t="shared" si="156"/>
        <v>0</v>
      </c>
    </row>
    <row r="153" spans="1:54" ht="234" outlineLevel="2">
      <c r="A153" s="98"/>
      <c r="B153" s="102"/>
      <c r="C153" s="23"/>
      <c r="D153" s="269"/>
      <c r="E153" s="271"/>
      <c r="F153" s="250"/>
      <c r="G153" s="255"/>
      <c r="H153" s="302" t="s">
        <v>495</v>
      </c>
      <c r="I153" s="104" t="s">
        <v>4</v>
      </c>
      <c r="J153" s="105">
        <v>0.4</v>
      </c>
      <c r="K153" s="105">
        <v>3</v>
      </c>
      <c r="L153" s="106">
        <f>IF(I153&lt;&gt;0,((VLOOKUP(I153,'1. Standard_Cost'!$B$4:$D$11,2)+VLOOKUP(I153,'1. Standard_Cost'!$B$4:$D$11,3))*J153*K153),"0")</f>
        <v>96900</v>
      </c>
      <c r="M153" s="106">
        <f>L153*'1. Standard_Cost'!$F$4</f>
        <v>16182.300000000001</v>
      </c>
      <c r="N153" s="107">
        <v>10</v>
      </c>
      <c r="O153" s="107">
        <v>2</v>
      </c>
      <c r="P153" s="107">
        <v>10</v>
      </c>
      <c r="Q153" s="107"/>
      <c r="R153" s="108">
        <v>0</v>
      </c>
      <c r="S153" s="108">
        <v>0</v>
      </c>
      <c r="T153" s="108">
        <f>N153*P153*Q153*'1. Standard_Cost'!$D$15</f>
        <v>0</v>
      </c>
      <c r="U153" s="108">
        <v>0</v>
      </c>
      <c r="V153" s="107"/>
      <c r="W153" s="107"/>
      <c r="X153" s="107"/>
      <c r="Y153" s="108">
        <f>+V153*((X153*'1. Standard_Cost'!$B$19)+(W153*X153*'1. Standard_Cost'!$C$19))</f>
        <v>0</v>
      </c>
      <c r="Z153" s="107"/>
      <c r="AA153" s="107">
        <f>2*10+2</f>
        <v>22</v>
      </c>
      <c r="AB153" s="108">
        <f>+Z153*'1. Standard_Cost'!$B$23+AA153*'1. Standard_Cost'!$C$23</f>
        <v>418000</v>
      </c>
      <c r="AC153" s="109">
        <f>105*2*3500+105*2*300+700000+500000</f>
        <v>1998000</v>
      </c>
      <c r="AD153" s="110"/>
      <c r="AE153" s="108">
        <v>0</v>
      </c>
      <c r="AF153" s="108">
        <f t="shared" si="152"/>
        <v>2416000</v>
      </c>
      <c r="AG153" s="107"/>
      <c r="AH153" s="107"/>
      <c r="AI153" s="107"/>
      <c r="AJ153" s="111"/>
      <c r="AK153" s="111"/>
      <c r="AL153" s="111"/>
      <c r="AM153" s="108">
        <f>AG153*'1. Standard_Cost'!$B$27+'Incremental_Cost Year 6'!AH153*'1. Standard_Cost'!$C$27+'Incremental_Cost Year 6'!AI153*'1. Standard_Cost'!$D$27+'Incremental_Cost Year 6'!AJ153+'Incremental_Cost Year 6'!AL153+AK153</f>
        <v>0</v>
      </c>
      <c r="AN153" s="108">
        <f>AM153*'1. Standard_Cost'!$C$31</f>
        <v>0</v>
      </c>
      <c r="AO153" s="125" t="s">
        <v>313</v>
      </c>
      <c r="AQ153" s="14">
        <f t="shared" si="153"/>
        <v>113082.3</v>
      </c>
      <c r="AR153" s="14">
        <f t="shared" si="154"/>
        <v>2416000</v>
      </c>
      <c r="AS153" s="14">
        <f t="shared" si="155"/>
        <v>0</v>
      </c>
      <c r="AT153" s="14">
        <f t="shared" si="157"/>
        <v>2529082.2999999998</v>
      </c>
      <c r="AU153" s="15">
        <v>113082.3</v>
      </c>
      <c r="AV153" s="15"/>
      <c r="AW153" s="15"/>
      <c r="AX153" s="15"/>
      <c r="AY153" s="15">
        <v>0</v>
      </c>
      <c r="AZ153" s="15">
        <v>0</v>
      </c>
      <c r="BA153" s="15"/>
      <c r="BB153" s="16">
        <f t="shared" si="156"/>
        <v>-2416000</v>
      </c>
    </row>
    <row r="154" spans="1:54" ht="140.4" outlineLevel="2">
      <c r="A154" s="98"/>
      <c r="B154" s="102"/>
      <c r="C154" s="23"/>
      <c r="D154" s="269"/>
      <c r="E154" s="271"/>
      <c r="F154" s="250"/>
      <c r="G154" s="255"/>
      <c r="H154" s="302" t="s">
        <v>496</v>
      </c>
      <c r="I154" s="104"/>
      <c r="J154" s="105"/>
      <c r="K154" s="105"/>
      <c r="L154" s="106" t="str">
        <f>IF(I154&lt;&gt;0,((VLOOKUP(I154,'1. Standard_Cost'!$B$4:$D$11,2)+VLOOKUP(I154,'1. Standard_Cost'!$B$4:$D$11,3))*J154*K154),"0")</f>
        <v>0</v>
      </c>
      <c r="M154" s="106">
        <f>L154*'1. Standard_Cost'!$F$4</f>
        <v>0</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c r="AB154" s="108">
        <f>+Z154*'1. Standard_Cost'!$B$23+AA154*'1. Standard_Cost'!$C$23</f>
        <v>0</v>
      </c>
      <c r="AC154" s="109"/>
      <c r="AD154" s="110"/>
      <c r="AE154" s="108">
        <f>SUM(AD154,AC154,AB154,Y154,U154,T154,S154,R154)*'1. Standard_Cost'!$B$31</f>
        <v>0</v>
      </c>
      <c r="AF154" s="108">
        <f t="shared" si="152"/>
        <v>0</v>
      </c>
      <c r="AG154" s="107"/>
      <c r="AH154" s="107"/>
      <c r="AI154" s="107"/>
      <c r="AJ154" s="111"/>
      <c r="AK154" s="111"/>
      <c r="AL154" s="111"/>
      <c r="AM154" s="108">
        <f>AG154*'1. Standard_Cost'!$B$27+'Incremental_Cost Year 6'!AH154*'1. Standard_Cost'!$C$27+'Incremental_Cost Year 6'!AI154*'1. Standard_Cost'!$D$27+'Incremental_Cost Year 6'!AJ154+'Incremental_Cost Year 6'!AL154+AK154</f>
        <v>0</v>
      </c>
      <c r="AN154" s="108">
        <f>AM154*'1. Standard_Cost'!$C$31</f>
        <v>0</v>
      </c>
      <c r="AO154" s="125" t="s">
        <v>375</v>
      </c>
      <c r="AQ154" s="14">
        <f t="shared" si="153"/>
        <v>0</v>
      </c>
      <c r="AR154" s="14">
        <f t="shared" si="154"/>
        <v>0</v>
      </c>
      <c r="AS154" s="14">
        <f t="shared" si="155"/>
        <v>0</v>
      </c>
      <c r="AT154" s="14">
        <f t="shared" si="157"/>
        <v>0</v>
      </c>
      <c r="AU154" s="15">
        <v>0</v>
      </c>
      <c r="AV154" s="15"/>
      <c r="AW154" s="15"/>
      <c r="AX154" s="15"/>
      <c r="AY154" s="15"/>
      <c r="AZ154" s="15"/>
      <c r="BA154" s="15"/>
      <c r="BB154" s="16">
        <f t="shared" si="156"/>
        <v>0</v>
      </c>
    </row>
    <row r="155" spans="1:54" ht="31.2" outlineLevel="2">
      <c r="A155" s="98"/>
      <c r="B155" s="102"/>
      <c r="C155" s="23"/>
      <c r="D155" s="269"/>
      <c r="E155" s="271"/>
      <c r="F155" s="250"/>
      <c r="G155" s="255"/>
      <c r="H155" s="304" t="s">
        <v>489</v>
      </c>
      <c r="I155" s="104"/>
      <c r="J155" s="105"/>
      <c r="K155" s="105"/>
      <c r="L155" s="106" t="str">
        <f>IF(I155&lt;&gt;0,((VLOOKUP(I155,'1. Standard_Cost'!$B$4:$D$11,2)+VLOOKUP(I155,'1. Standard_Cost'!$B$4:$D$11,3))*J155*K155),"0")</f>
        <v>0</v>
      </c>
      <c r="M155" s="106">
        <f>L155*'1. Standard_Cost'!$F$4</f>
        <v>0</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c r="AB155" s="108">
        <f>+Z155*'[1]1. Standard_Cost'!$B$23+AA155*'[1]1. Standard_Cost'!$C$23</f>
        <v>0</v>
      </c>
      <c r="AC155" s="109"/>
      <c r="AD155" s="110"/>
      <c r="AE155" s="108">
        <f>SUM(AD155,AC155,AB155,Y155,U155,T155,S155,R155)*'[1]1. Standard_Cost'!$B$31</f>
        <v>0</v>
      </c>
      <c r="AF155" s="108">
        <f t="shared" si="152"/>
        <v>0</v>
      </c>
      <c r="AG155" s="107"/>
      <c r="AH155" s="107"/>
      <c r="AI155" s="107"/>
      <c r="AJ155" s="111"/>
      <c r="AK155" s="111"/>
      <c r="AL155" s="111"/>
      <c r="AM155" s="108">
        <f>AG155*'[1]1. Standard_Cost'!$B$27+'[1]Incremental_Cost Year 6'!AH155*'[1]1. Standard_Cost'!$C$27+'[1]Incremental_Cost Year 6'!AI155*'[1]1. Standard_Cost'!$D$27+'[1]Incremental_Cost Year 6'!AJ155+'[1]Incremental_Cost Year 6'!AL155+AK155</f>
        <v>0</v>
      </c>
      <c r="AN155" s="108">
        <f>AM155*'[1]1. Standard_Cost'!$C$31</f>
        <v>0</v>
      </c>
      <c r="AO155" s="125" t="s">
        <v>376</v>
      </c>
      <c r="AQ155" s="14">
        <f t="shared" si="153"/>
        <v>0</v>
      </c>
      <c r="AR155" s="14">
        <f t="shared" si="154"/>
        <v>0</v>
      </c>
      <c r="AS155" s="14">
        <f t="shared" si="155"/>
        <v>0</v>
      </c>
      <c r="AT155" s="14">
        <f t="shared" si="157"/>
        <v>0</v>
      </c>
      <c r="AU155" s="15">
        <v>0</v>
      </c>
      <c r="AV155" s="15"/>
      <c r="AW155" s="15"/>
      <c r="AX155" s="15"/>
      <c r="AY155" s="15"/>
      <c r="AZ155" s="15"/>
      <c r="BA155" s="15"/>
      <c r="BB155" s="16">
        <f t="shared" si="156"/>
        <v>0</v>
      </c>
    </row>
    <row r="156" spans="1:54" ht="78" outlineLevel="2">
      <c r="A156" s="98"/>
      <c r="B156" s="102"/>
      <c r="C156" s="23"/>
      <c r="D156" s="269"/>
      <c r="E156" s="271"/>
      <c r="F156" s="250"/>
      <c r="G156" s="255"/>
      <c r="H156" s="302" t="s">
        <v>497</v>
      </c>
      <c r="I156" s="104"/>
      <c r="J156" s="105"/>
      <c r="K156" s="105"/>
      <c r="L156" s="106" t="str">
        <f>IF(I156&lt;&gt;0,((VLOOKUP(I156,'1. Standard_Cost'!$B$4:$D$11,2)+VLOOKUP(I156,'1. Standard_Cost'!$B$4:$D$11,3))*J156*K156),"0")</f>
        <v>0</v>
      </c>
      <c r="M156" s="106">
        <f>L156*'1. Standard_Cost'!$F$4</f>
        <v>0</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c r="AB156" s="108">
        <f>+Z156*'1. Standard_Cost'!$B$23+AA156*'1. Standard_Cost'!$C$23</f>
        <v>0</v>
      </c>
      <c r="AC156" s="109"/>
      <c r="AD156" s="110"/>
      <c r="AE156" s="108">
        <f>SUM(AD156,AC156,AB156,Y156,U156,T156,S156,R156)*'1. Standard_Cost'!$B$31</f>
        <v>0</v>
      </c>
      <c r="AF156" s="108">
        <f t="shared" si="152"/>
        <v>0</v>
      </c>
      <c r="AG156" s="107"/>
      <c r="AH156" s="107"/>
      <c r="AI156" s="107"/>
      <c r="AJ156" s="111"/>
      <c r="AK156" s="111"/>
      <c r="AL156" s="111"/>
      <c r="AM156" s="108">
        <f>AG156*'1. Standard_Cost'!$B$27+'Incremental_Cost Year 6'!AH156*'1. Standard_Cost'!$C$27+'Incremental_Cost Year 6'!AI156*'1. Standard_Cost'!$D$27+'Incremental_Cost Year 6'!AJ156+'Incremental_Cost Year 6'!AL156+AK156</f>
        <v>0</v>
      </c>
      <c r="AN156" s="108">
        <f>AM156*'1. Standard_Cost'!$C$31</f>
        <v>0</v>
      </c>
      <c r="AO156" s="125" t="s">
        <v>377</v>
      </c>
      <c r="AQ156" s="14">
        <f t="shared" si="153"/>
        <v>0</v>
      </c>
      <c r="AR156" s="14">
        <f t="shared" si="154"/>
        <v>0</v>
      </c>
      <c r="AS156" s="14">
        <f t="shared" si="155"/>
        <v>0</v>
      </c>
      <c r="AT156" s="14">
        <f t="shared" si="157"/>
        <v>0</v>
      </c>
      <c r="AU156" s="15">
        <v>0</v>
      </c>
      <c r="AV156" s="15"/>
      <c r="AW156" s="15"/>
      <c r="AX156" s="15"/>
      <c r="AY156" s="15">
        <v>0</v>
      </c>
      <c r="AZ156" s="15">
        <v>0</v>
      </c>
      <c r="BA156" s="15"/>
      <c r="BB156" s="16">
        <f t="shared" si="156"/>
        <v>0</v>
      </c>
    </row>
    <row r="157" spans="1:54" ht="93.6" outlineLevel="2">
      <c r="A157" s="98"/>
      <c r="B157" s="102"/>
      <c r="C157" s="23"/>
      <c r="D157" s="269"/>
      <c r="E157" s="271"/>
      <c r="F157" s="250"/>
      <c r="G157" s="255"/>
      <c r="H157" s="302" t="s">
        <v>498</v>
      </c>
      <c r="I157" s="104"/>
      <c r="J157" s="105"/>
      <c r="K157" s="105"/>
      <c r="L157" s="106" t="str">
        <f>IF(I157&lt;&gt;0,((VLOOKUP(I157,'1. Standard_Cost'!$B$4:$D$11,2)+VLOOKUP(I157,'1. Standard_Cost'!$B$4:$D$11,3))*J157*K157),"0")</f>
        <v>0</v>
      </c>
      <c r="M157" s="106">
        <f>L157*'1. Standard_Cost'!$F$4</f>
        <v>0</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152"/>
        <v>0</v>
      </c>
      <c r="AG157" s="107"/>
      <c r="AH157" s="107"/>
      <c r="AI157" s="107"/>
      <c r="AJ157" s="111"/>
      <c r="AK157" s="111"/>
      <c r="AL157" s="111"/>
      <c r="AM157" s="108">
        <f>AG157*'1. Standard_Cost'!$B$27+'Incremental_Cost Year 6'!AH157*'1. Standard_Cost'!$C$27+'Incremental_Cost Year 6'!AI157*'1. Standard_Cost'!$D$27+'Incremental_Cost Year 6'!AJ157+'Incremental_Cost Year 6'!AL157+AK157</f>
        <v>0</v>
      </c>
      <c r="AN157" s="108">
        <f>AM157*'1. Standard_Cost'!$C$31</f>
        <v>0</v>
      </c>
      <c r="AO157" s="125" t="s">
        <v>378</v>
      </c>
      <c r="AQ157" s="14">
        <f t="shared" si="153"/>
        <v>0</v>
      </c>
      <c r="AR157" s="14">
        <f t="shared" si="154"/>
        <v>0</v>
      </c>
      <c r="AS157" s="14">
        <f t="shared" si="155"/>
        <v>0</v>
      </c>
      <c r="AT157" s="14">
        <f t="shared" si="157"/>
        <v>0</v>
      </c>
      <c r="AU157" s="15">
        <v>0</v>
      </c>
      <c r="AV157" s="15"/>
      <c r="AW157" s="15"/>
      <c r="AX157" s="15"/>
      <c r="AY157" s="15"/>
      <c r="AZ157" s="15"/>
      <c r="BA157" s="15"/>
      <c r="BB157" s="16">
        <f t="shared" si="156"/>
        <v>0</v>
      </c>
    </row>
    <row r="158" spans="1:54" ht="109.2" outlineLevel="2">
      <c r="A158" s="98"/>
      <c r="B158" s="102"/>
      <c r="C158" s="23"/>
      <c r="D158" s="269"/>
      <c r="E158" s="271"/>
      <c r="F158" s="250"/>
      <c r="G158" s="255"/>
      <c r="H158" s="302" t="s">
        <v>499</v>
      </c>
      <c r="I158" s="104" t="s">
        <v>4</v>
      </c>
      <c r="J158" s="105">
        <v>1</v>
      </c>
      <c r="K158" s="105">
        <v>0.4</v>
      </c>
      <c r="L158" s="106">
        <f>IF(I158&lt;&gt;0,((VLOOKUP(I158,'1. Standard_Cost'!$B$4:$D$11,2)+VLOOKUP(I158,'1. Standard_Cost'!$B$4:$D$11,3))*J158*K158),"0")</f>
        <v>32300</v>
      </c>
      <c r="M158" s="106">
        <f>L158*'1. Standard_Cost'!$F$4</f>
        <v>5394.1</v>
      </c>
      <c r="N158" s="107">
        <v>10</v>
      </c>
      <c r="O158" s="107">
        <v>1</v>
      </c>
      <c r="P158" s="107">
        <v>15</v>
      </c>
      <c r="Q158" s="107"/>
      <c r="R158" s="108">
        <v>0</v>
      </c>
      <c r="S158" s="108">
        <v>0</v>
      </c>
      <c r="T158" s="108">
        <f>N158*P158*Q158*'1. Standard_Cost'!$D$15</f>
        <v>0</v>
      </c>
      <c r="U158" s="108">
        <v>0</v>
      </c>
      <c r="V158" s="107"/>
      <c r="W158" s="107"/>
      <c r="X158" s="107"/>
      <c r="Y158" s="108">
        <f>+V158*((X158*'1. Standard_Cost'!$B$19)+(W158*X158*'1. Standard_Cost'!$C$19))</f>
        <v>0</v>
      </c>
      <c r="Z158" s="107"/>
      <c r="AA158" s="107">
        <v>12</v>
      </c>
      <c r="AB158" s="108">
        <f>+Z158*'1. Standard_Cost'!$B$23+AA158*'1. Standard_Cost'!$C$23</f>
        <v>228000</v>
      </c>
      <c r="AC158" s="109">
        <f>10*15*3500+10*15*300</f>
        <v>570000</v>
      </c>
      <c r="AD158" s="110"/>
      <c r="AE158" s="108">
        <f>SUM(AD158,AC158,AB158,Y158,U158,T158,S158,R158)*'1. Standard_Cost'!$B$31</f>
        <v>159600</v>
      </c>
      <c r="AF158" s="108">
        <f t="shared" si="152"/>
        <v>957600</v>
      </c>
      <c r="AG158" s="107"/>
      <c r="AH158" s="107"/>
      <c r="AI158" s="107"/>
      <c r="AJ158" s="111"/>
      <c r="AK158" s="111"/>
      <c r="AL158" s="111"/>
      <c r="AM158" s="108">
        <f>AG158*'1. Standard_Cost'!$B$27+'Incremental_Cost Year 6'!AH158*'1. Standard_Cost'!$C$27+'Incremental_Cost Year 6'!AI158*'1. Standard_Cost'!$D$27+'Incremental_Cost Year 6'!AJ158+'Incremental_Cost Year 6'!AL158+AK158</f>
        <v>0</v>
      </c>
      <c r="AN158" s="108">
        <f>AM158*'1. Standard_Cost'!$C$31</f>
        <v>0</v>
      </c>
      <c r="AO158" s="125" t="s">
        <v>379</v>
      </c>
      <c r="AQ158" s="14">
        <f t="shared" si="153"/>
        <v>37694.1</v>
      </c>
      <c r="AR158" s="14">
        <f t="shared" si="154"/>
        <v>957600</v>
      </c>
      <c r="AS158" s="14">
        <f t="shared" si="155"/>
        <v>0</v>
      </c>
      <c r="AT158" s="14">
        <f t="shared" si="157"/>
        <v>995294.1</v>
      </c>
      <c r="AU158" s="15">
        <v>37694.1</v>
      </c>
      <c r="AV158" s="15"/>
      <c r="AW158" s="15"/>
      <c r="AX158" s="15"/>
      <c r="AY158" s="15"/>
      <c r="AZ158" s="15"/>
      <c r="BA158" s="15"/>
      <c r="BB158" s="16">
        <f t="shared" si="156"/>
        <v>-957600</v>
      </c>
    </row>
    <row r="159" spans="1:54" ht="124.8" outlineLevel="2">
      <c r="A159" s="98"/>
      <c r="B159" s="102"/>
      <c r="C159" s="23"/>
      <c r="D159" s="269"/>
      <c r="E159" s="271"/>
      <c r="F159" s="250"/>
      <c r="G159" s="255"/>
      <c r="H159" s="302" t="s">
        <v>500</v>
      </c>
      <c r="I159" s="104"/>
      <c r="J159" s="105"/>
      <c r="K159" s="105"/>
      <c r="L159" s="106" t="str">
        <f>IF(I159&lt;&gt;0,((VLOOKUP(I159,'1. Standard_Cost'!$B$4:$D$11,2)+VLOOKUP(I159,'1. Standard_Cost'!$B$4:$D$11,3))*J159*K159),"0")</f>
        <v>0</v>
      </c>
      <c r="M159" s="106">
        <f>L159*'1. Standard_Cost'!$F$4</f>
        <v>0</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c r="AB159" s="108">
        <f>+Z159*'1. Standard_Cost'!$B$23+AA159*'1. Standard_Cost'!$C$23</f>
        <v>0</v>
      </c>
      <c r="AC159" s="109"/>
      <c r="AD159" s="110"/>
      <c r="AE159" s="108">
        <f>SUM(AD159,AC159,AB159,Y159,U159,T159,S159,R159)*'1. Standard_Cost'!$B$31</f>
        <v>0</v>
      </c>
      <c r="AF159" s="108">
        <f t="shared" si="152"/>
        <v>0</v>
      </c>
      <c r="AG159" s="107"/>
      <c r="AH159" s="107"/>
      <c r="AI159" s="107"/>
      <c r="AJ159" s="111"/>
      <c r="AK159" s="111"/>
      <c r="AL159" s="111"/>
      <c r="AM159" s="108">
        <f>AG159*'1. Standard_Cost'!$B$27+'Incremental_Cost Year 6'!AH159*'1. Standard_Cost'!$C$27+'Incremental_Cost Year 6'!AI159*'1. Standard_Cost'!$D$27+'Incremental_Cost Year 6'!AJ159+'Incremental_Cost Year 6'!AL159+AK159</f>
        <v>0</v>
      </c>
      <c r="AN159" s="108">
        <f>AM159*'1. Standard_Cost'!$C$31</f>
        <v>0</v>
      </c>
      <c r="AO159" s="125" t="s">
        <v>380</v>
      </c>
      <c r="AQ159" s="14">
        <f t="shared" si="153"/>
        <v>0</v>
      </c>
      <c r="AR159" s="14">
        <f t="shared" si="154"/>
        <v>0</v>
      </c>
      <c r="AS159" s="14">
        <f t="shared" si="155"/>
        <v>0</v>
      </c>
      <c r="AT159" s="14">
        <f t="shared" si="157"/>
        <v>0</v>
      </c>
      <c r="AU159" s="15">
        <v>0</v>
      </c>
      <c r="AV159" s="15"/>
      <c r="AW159" s="15"/>
      <c r="AX159" s="15"/>
      <c r="AY159" s="15"/>
      <c r="AZ159" s="15"/>
      <c r="BA159" s="15"/>
      <c r="BB159" s="16">
        <f t="shared" si="156"/>
        <v>0</v>
      </c>
    </row>
    <row r="160" spans="1:54" ht="62.4" outlineLevel="2">
      <c r="A160" s="98"/>
      <c r="B160" s="102"/>
      <c r="C160" s="23"/>
      <c r="D160" s="269"/>
      <c r="E160" s="271"/>
      <c r="F160" s="250"/>
      <c r="G160" s="177"/>
      <c r="H160" s="302" t="s">
        <v>501</v>
      </c>
      <c r="I160" s="104"/>
      <c r="J160" s="105"/>
      <c r="K160" s="105"/>
      <c r="L160" s="106" t="str">
        <f>IF(I160&lt;&gt;0,((VLOOKUP(I160,'1. Standard_Cost'!$B$4:$D$11,2)+VLOOKUP(I160,'1. Standard_Cost'!$B$4:$D$11,3))*J160*K160),"0")</f>
        <v>0</v>
      </c>
      <c r="M160" s="106">
        <f>L160*'1. Standard_Cost'!$F$4</f>
        <v>0</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c r="AB160" s="108">
        <f>+Z160*'1. Standard_Cost'!$B$23+AA160*'1. Standard_Cost'!$C$23</f>
        <v>0</v>
      </c>
      <c r="AC160" s="109"/>
      <c r="AD160" s="110"/>
      <c r="AE160" s="108">
        <f>SUM(AD160,AC160,AB160,Y160,U160,T160,S160,R160)*'1. Standard_Cost'!$B$31</f>
        <v>0</v>
      </c>
      <c r="AF160" s="108">
        <f t="shared" si="152"/>
        <v>0</v>
      </c>
      <c r="AG160" s="107"/>
      <c r="AH160" s="107"/>
      <c r="AI160" s="107"/>
      <c r="AJ160" s="111"/>
      <c r="AK160" s="111"/>
      <c r="AL160" s="111"/>
      <c r="AM160" s="108">
        <f>AG160*'1. Standard_Cost'!$B$27+'Incremental_Cost Year 6'!AH160*'1. Standard_Cost'!$C$27+'Incremental_Cost Year 6'!AI160*'1. Standard_Cost'!$D$27+'Incremental_Cost Year 6'!AJ160+'Incremental_Cost Year 6'!AL160+AK160</f>
        <v>0</v>
      </c>
      <c r="AN160" s="108">
        <f>AM160*'1. Standard_Cost'!$C$31</f>
        <v>0</v>
      </c>
      <c r="AO160" s="125" t="s">
        <v>381</v>
      </c>
      <c r="AQ160" s="14">
        <f t="shared" si="153"/>
        <v>0</v>
      </c>
      <c r="AR160" s="14">
        <f t="shared" si="154"/>
        <v>0</v>
      </c>
      <c r="AS160" s="14">
        <f t="shared" si="155"/>
        <v>0</v>
      </c>
      <c r="AT160" s="14">
        <f t="shared" si="157"/>
        <v>0</v>
      </c>
      <c r="AU160" s="15">
        <v>0</v>
      </c>
      <c r="AV160" s="15"/>
      <c r="AW160" s="15"/>
      <c r="AX160" s="15"/>
      <c r="AY160" s="15"/>
      <c r="AZ160" s="15"/>
      <c r="BA160" s="15"/>
      <c r="BB160" s="16">
        <f t="shared" si="156"/>
        <v>0</v>
      </c>
    </row>
    <row r="161" spans="1:54" ht="78" outlineLevel="2">
      <c r="A161" s="98"/>
      <c r="B161" s="102"/>
      <c r="C161" s="23"/>
      <c r="D161" s="269"/>
      <c r="E161" s="271"/>
      <c r="F161" s="250"/>
      <c r="G161" s="255"/>
      <c r="H161" s="302" t="s">
        <v>502</v>
      </c>
      <c r="I161" s="104"/>
      <c r="J161" s="105"/>
      <c r="K161" s="105"/>
      <c r="L161" s="106" t="str">
        <f>IF(I161&lt;&gt;0,((VLOOKUP(I161,'1. Standard_Cost'!$B$4:$D$11,2)+VLOOKUP(I161,'1. Standard_Cost'!$B$4:$D$11,3))*J161*K161),"0")</f>
        <v>0</v>
      </c>
      <c r="M161" s="106">
        <f>L161*'1. Standard_Cost'!$F$4</f>
        <v>0</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c r="AD161" s="110"/>
      <c r="AE161" s="108">
        <f>SUM(AD161,AC161,AB161,Y161,U161,T161,S161,R161)*'1. Standard_Cost'!$B$31</f>
        <v>0</v>
      </c>
      <c r="AF161" s="108">
        <f t="shared" si="152"/>
        <v>0</v>
      </c>
      <c r="AG161" s="107"/>
      <c r="AH161" s="107"/>
      <c r="AI161" s="107"/>
      <c r="AJ161" s="111"/>
      <c r="AK161" s="111"/>
      <c r="AL161" s="111"/>
      <c r="AM161" s="108">
        <f>AG161*'1. Standard_Cost'!$B$27+'Incremental_Cost Year 6'!AH161*'1. Standard_Cost'!$C$27+'Incremental_Cost Year 6'!AI161*'1. Standard_Cost'!$D$27+'Incremental_Cost Year 6'!AJ161+'Incremental_Cost Year 6'!AL161+AK161</f>
        <v>0</v>
      </c>
      <c r="AN161" s="108">
        <f>AM161*'1. Standard_Cost'!$C$31</f>
        <v>0</v>
      </c>
      <c r="AO161" s="125" t="s">
        <v>277</v>
      </c>
      <c r="AQ161" s="14">
        <f t="shared" si="153"/>
        <v>0</v>
      </c>
      <c r="AR161" s="14">
        <f t="shared" si="154"/>
        <v>0</v>
      </c>
      <c r="AS161" s="14">
        <f t="shared" si="155"/>
        <v>0</v>
      </c>
      <c r="AT161" s="14">
        <f t="shared" si="157"/>
        <v>0</v>
      </c>
      <c r="AU161" s="15">
        <v>0</v>
      </c>
      <c r="AV161" s="15"/>
      <c r="AW161" s="15"/>
      <c r="AX161" s="15"/>
      <c r="AY161" s="15"/>
      <c r="AZ161" s="15"/>
      <c r="BA161" s="15"/>
      <c r="BB161" s="16">
        <f t="shared" si="156"/>
        <v>0</v>
      </c>
    </row>
    <row r="162" spans="1:54" ht="93.6" outlineLevel="2">
      <c r="A162" s="98"/>
      <c r="B162" s="102"/>
      <c r="C162" s="23"/>
      <c r="D162" s="251"/>
      <c r="E162" s="251"/>
      <c r="F162" s="251"/>
      <c r="G162" s="250"/>
      <c r="H162" s="302" t="s">
        <v>503</v>
      </c>
      <c r="I162" s="104"/>
      <c r="J162" s="105"/>
      <c r="K162" s="105"/>
      <c r="L162" s="106" t="str">
        <f>IF(I162&lt;&gt;0,((VLOOKUP(I162,'1. Standard_Cost'!$B$4:$D$11,2)+VLOOKUP(I162,'1. Standard_Cost'!$B$4:$D$11,3))*J162*K162),"0")</f>
        <v>0</v>
      </c>
      <c r="M162" s="106">
        <f>L162*'1. Standard_Cost'!$F$4</f>
        <v>0</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c r="AB162" s="108">
        <f>+Z162*'1. Standard_Cost'!$B$23+AA162*'1. Standard_Cost'!$C$23</f>
        <v>0</v>
      </c>
      <c r="AC162" s="109"/>
      <c r="AD162" s="110"/>
      <c r="AE162" s="108">
        <f>SUM(AD162,AC162,AB162,Y162,U162,T162,S162,R162)*'1. Standard_Cost'!$B$31</f>
        <v>0</v>
      </c>
      <c r="AF162" s="108">
        <f t="shared" si="152"/>
        <v>0</v>
      </c>
      <c r="AG162" s="107"/>
      <c r="AH162" s="107"/>
      <c r="AI162" s="107"/>
      <c r="AJ162" s="111"/>
      <c r="AK162" s="111"/>
      <c r="AL162" s="111"/>
      <c r="AM162" s="108">
        <f>AG162*'1. Standard_Cost'!$B$27+'Incremental_Cost Year 6'!AH162*'1. Standard_Cost'!$C$27+'Incremental_Cost Year 6'!AI162*'1. Standard_Cost'!$D$27+'Incremental_Cost Year 6'!AJ162+'Incremental_Cost Year 6'!AL162+AK162</f>
        <v>0</v>
      </c>
      <c r="AN162" s="108">
        <f>AM162*'1. Standard_Cost'!$C$31</f>
        <v>0</v>
      </c>
      <c r="AO162" s="125" t="s">
        <v>382</v>
      </c>
      <c r="AQ162" s="14">
        <f t="shared" si="153"/>
        <v>0</v>
      </c>
      <c r="AR162" s="14">
        <f t="shared" si="154"/>
        <v>0</v>
      </c>
      <c r="AS162" s="14">
        <f t="shared" si="155"/>
        <v>0</v>
      </c>
      <c r="AT162" s="14">
        <f t="shared" si="157"/>
        <v>0</v>
      </c>
      <c r="AU162" s="15">
        <v>0</v>
      </c>
      <c r="AV162" s="15"/>
      <c r="AW162" s="15"/>
      <c r="AX162" s="15"/>
      <c r="AY162" s="15"/>
      <c r="AZ162" s="15"/>
      <c r="BA162" s="15"/>
      <c r="BB162" s="16">
        <f t="shared" si="156"/>
        <v>0</v>
      </c>
    </row>
    <row r="163" spans="1:54" ht="32.25" customHeight="1" outlineLevel="2">
      <c r="A163" s="98"/>
      <c r="B163" s="102"/>
      <c r="C163" s="23"/>
      <c r="D163" s="251"/>
      <c r="E163" s="251"/>
      <c r="F163" s="251"/>
      <c r="G163" s="250"/>
      <c r="H163" s="302" t="s">
        <v>504</v>
      </c>
      <c r="I163" s="104"/>
      <c r="J163" s="105"/>
      <c r="K163" s="105"/>
      <c r="L163" s="106" t="str">
        <f>IF(I163&lt;&gt;0,((VLOOKUP(I163,'1. Standard_Cost'!$B$4:$D$11,2)+VLOOKUP(I163,'1. Standard_Cost'!$B$4:$D$11,3))*J163*K163),"0")</f>
        <v>0</v>
      </c>
      <c r="M163" s="106">
        <f>L163*'1. Standard_Cost'!$F$4</f>
        <v>0</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152"/>
        <v>0</v>
      </c>
      <c r="AG163" s="107"/>
      <c r="AH163" s="107"/>
      <c r="AI163" s="107"/>
      <c r="AJ163" s="111"/>
      <c r="AK163" s="111"/>
      <c r="AL163" s="111"/>
      <c r="AM163" s="108">
        <f>AG163*'1. Standard_Cost'!$B$27+'Incremental_Cost Year 6'!AH163*'1. Standard_Cost'!$C$27+'Incremental_Cost Year 6'!AI163*'1. Standard_Cost'!$D$27+'Incremental_Cost Year 6'!AJ163+'Incremental_Cost Year 6'!AL163+AK163</f>
        <v>0</v>
      </c>
      <c r="AN163" s="108">
        <f>AM163*'1. Standard_Cost'!$C$31</f>
        <v>0</v>
      </c>
      <c r="AO163" s="125" t="s">
        <v>383</v>
      </c>
      <c r="AQ163" s="14">
        <f t="shared" si="153"/>
        <v>0</v>
      </c>
      <c r="AR163" s="14">
        <f t="shared" si="154"/>
        <v>0</v>
      </c>
      <c r="AS163" s="14">
        <f t="shared" si="155"/>
        <v>0</v>
      </c>
      <c r="AT163" s="14">
        <f t="shared" si="157"/>
        <v>0</v>
      </c>
      <c r="AU163" s="15">
        <v>0</v>
      </c>
      <c r="AV163" s="15"/>
      <c r="AW163" s="15"/>
      <c r="AX163" s="15"/>
      <c r="AY163" s="15"/>
      <c r="AZ163" s="15"/>
      <c r="BA163" s="15"/>
      <c r="BB163" s="16">
        <f t="shared" si="156"/>
        <v>0</v>
      </c>
    </row>
    <row r="164" spans="1:54" ht="45" customHeight="1" outlineLevel="2">
      <c r="A164" s="98"/>
      <c r="B164" s="102"/>
      <c r="C164" s="23"/>
      <c r="D164" s="251"/>
      <c r="E164" s="251"/>
      <c r="F164" s="251"/>
      <c r="G164" s="250"/>
      <c r="H164" s="302" t="s">
        <v>505</v>
      </c>
      <c r="I164" s="104"/>
      <c r="J164" s="105"/>
      <c r="K164" s="105"/>
      <c r="L164" s="106" t="str">
        <f>IF(I164&lt;&gt;0,((VLOOKUP(I164,'1. Standard_Cost'!$B$4:$D$11,2)+VLOOKUP(I164,'1. Standard_Cost'!$B$4:$D$11,3))*J164*K164),"0")</f>
        <v>0</v>
      </c>
      <c r="M164" s="106">
        <f>L164*'1. Standard_Cost'!$F$4</f>
        <v>0</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c r="AB164" s="108">
        <f>+Z164*'1. Standard_Cost'!$B$23+AA164*'1. Standard_Cost'!$C$23</f>
        <v>0</v>
      </c>
      <c r="AC164" s="109"/>
      <c r="AD164" s="110"/>
      <c r="AE164" s="108">
        <f>SUM(AD164,AC164,AB164,Y164,U164,T164,S164,R164)*'1. Standard_Cost'!$B$31</f>
        <v>0</v>
      </c>
      <c r="AF164" s="108">
        <f t="shared" si="152"/>
        <v>0</v>
      </c>
      <c r="AG164" s="107"/>
      <c r="AH164" s="107"/>
      <c r="AI164" s="107"/>
      <c r="AJ164" s="111"/>
      <c r="AK164" s="111"/>
      <c r="AL164" s="111"/>
      <c r="AM164" s="108">
        <f>AG164*'1. Standard_Cost'!$B$27+'Incremental_Cost Year 6'!AH164*'1. Standard_Cost'!$C$27+'Incremental_Cost Year 6'!AI164*'1. Standard_Cost'!$D$27+'Incremental_Cost Year 6'!AJ164+'Incremental_Cost Year 6'!AL164+AK164</f>
        <v>0</v>
      </c>
      <c r="AN164" s="108">
        <f>AM164*'1. Standard_Cost'!$C$31</f>
        <v>0</v>
      </c>
      <c r="AO164" s="125" t="s">
        <v>384</v>
      </c>
      <c r="AQ164" s="14">
        <f t="shared" si="153"/>
        <v>0</v>
      </c>
      <c r="AR164" s="14">
        <f t="shared" si="154"/>
        <v>0</v>
      </c>
      <c r="AS164" s="14">
        <f t="shared" si="155"/>
        <v>0</v>
      </c>
      <c r="AT164" s="14">
        <f t="shared" si="157"/>
        <v>0</v>
      </c>
      <c r="AU164" s="15">
        <v>0</v>
      </c>
      <c r="AV164" s="15"/>
      <c r="AW164" s="15"/>
      <c r="AX164" s="15"/>
      <c r="AY164" s="15"/>
      <c r="AZ164" s="15"/>
      <c r="BA164" s="15"/>
      <c r="BB164" s="16">
        <f t="shared" si="156"/>
        <v>0</v>
      </c>
    </row>
    <row r="165" spans="1:54" ht="124.8" outlineLevel="2">
      <c r="A165" s="98"/>
      <c r="B165" s="102"/>
      <c r="C165" s="23"/>
      <c r="D165" s="251"/>
      <c r="E165" s="251"/>
      <c r="F165" s="251"/>
      <c r="G165" s="250"/>
      <c r="H165" s="302" t="s">
        <v>506</v>
      </c>
      <c r="I165" s="104" t="s">
        <v>4</v>
      </c>
      <c r="J165" s="105">
        <v>1</v>
      </c>
      <c r="K165" s="105">
        <v>3</v>
      </c>
      <c r="L165" s="106">
        <f>IF(I165&lt;&gt;0,((VLOOKUP(I165,'1. Standard_Cost'!$B$4:$D$11,2)+VLOOKUP(I165,'1. Standard_Cost'!$B$4:$D$11,3))*J165*K165),"0")</f>
        <v>242250</v>
      </c>
      <c r="M165" s="106">
        <f>L165*'1. Standard_Cost'!$F$4</f>
        <v>40455.75</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f>56000000*1.05*1.05*1.05*1.05*1.05</f>
        <v>71471767.5</v>
      </c>
      <c r="AD165" s="110"/>
      <c r="AE165" s="108">
        <f>SUM(AD165,AC165,AB165,Y165,U165,T165,S165,R165)*'1. Standard_Cost'!$B$31</f>
        <v>14294353.5</v>
      </c>
      <c r="AF165" s="108">
        <f t="shared" si="152"/>
        <v>85766121</v>
      </c>
      <c r="AG165" s="107">
        <v>0</v>
      </c>
      <c r="AH165" s="107"/>
      <c r="AI165" s="107"/>
      <c r="AJ165" s="111"/>
      <c r="AK165" s="111"/>
      <c r="AL165" s="111"/>
      <c r="AM165" s="108">
        <f>AG165*'1. Standard_Cost'!$B$27+'Incremental_Cost Year 6'!AH165*'1. Standard_Cost'!$C$27+'Incremental_Cost Year 6'!AI165*'1. Standard_Cost'!$D$27+'Incremental_Cost Year 6'!AJ165+'Incremental_Cost Year 6'!AL165+AK165</f>
        <v>0</v>
      </c>
      <c r="AN165" s="108">
        <f>AM165*'1. Standard_Cost'!$C$31</f>
        <v>0</v>
      </c>
      <c r="AO165" s="125" t="s">
        <v>385</v>
      </c>
      <c r="AQ165" s="14">
        <f t="shared" si="153"/>
        <v>282705.75</v>
      </c>
      <c r="AR165" s="14">
        <f t="shared" si="154"/>
        <v>85766121</v>
      </c>
      <c r="AS165" s="14">
        <f t="shared" si="155"/>
        <v>0</v>
      </c>
      <c r="AT165" s="14">
        <f t="shared" si="157"/>
        <v>86048826.75</v>
      </c>
      <c r="AU165" s="15">
        <v>86048826.75</v>
      </c>
      <c r="AV165" s="15"/>
      <c r="AW165" s="15"/>
      <c r="AX165" s="15"/>
      <c r="AY165" s="15"/>
      <c r="AZ165" s="15"/>
      <c r="BA165" s="15"/>
      <c r="BB165" s="16">
        <f t="shared" si="156"/>
        <v>0</v>
      </c>
    </row>
    <row r="166" spans="1:54" ht="161.4" customHeight="1" outlineLevel="2">
      <c r="A166" s="98"/>
      <c r="B166" s="102"/>
      <c r="C166" s="23"/>
      <c r="D166" s="251"/>
      <c r="E166" s="251"/>
      <c r="F166" s="161"/>
      <c r="G166" s="161"/>
      <c r="H166" s="302" t="s">
        <v>507</v>
      </c>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v>0</v>
      </c>
      <c r="AD166" s="110"/>
      <c r="AE166" s="108">
        <f>SUM(AD166,AC166,AB166,Y166,U166,T166,S166,R166)*'[1]1. Standard_Cost'!$B$31</f>
        <v>0</v>
      </c>
      <c r="AF166" s="108">
        <f t="shared" si="152"/>
        <v>0</v>
      </c>
      <c r="AG166" s="107"/>
      <c r="AH166" s="107"/>
      <c r="AI166" s="107"/>
      <c r="AJ166" s="111"/>
      <c r="AK166" s="111"/>
      <c r="AL166" s="111"/>
      <c r="AM166" s="108">
        <f>AG166*'[1]1. Standard_Cost'!$B$27+'[1]Incremental_Cost Year 6'!AH166*'[1]1. Standard_Cost'!$C$27+'[1]Incremental_Cost Year 6'!AI166*'[1]1. Standard_Cost'!$D$27+'[1]Incremental_Cost Year 6'!AJ166+'[1]Incremental_Cost Year 6'!AL166+AK166</f>
        <v>0</v>
      </c>
      <c r="AN166" s="108">
        <f>AM166*'[1]1. Standard_Cost'!$C$31</f>
        <v>0</v>
      </c>
      <c r="AO166" s="163" t="s">
        <v>509</v>
      </c>
      <c r="AQ166" s="14">
        <f t="shared" si="153"/>
        <v>0</v>
      </c>
      <c r="AR166" s="14">
        <f t="shared" si="154"/>
        <v>0</v>
      </c>
      <c r="AS166" s="14">
        <f t="shared" si="155"/>
        <v>0</v>
      </c>
      <c r="AT166" s="14">
        <f t="shared" si="157"/>
        <v>0</v>
      </c>
      <c r="AU166" s="15"/>
      <c r="AV166" s="15"/>
      <c r="AW166" s="15"/>
      <c r="AX166" s="15"/>
      <c r="AY166" s="15">
        <v>0</v>
      </c>
      <c r="AZ166" s="15">
        <v>0</v>
      </c>
      <c r="BA166" s="15"/>
      <c r="BB166" s="16">
        <f t="shared" si="156"/>
        <v>0</v>
      </c>
    </row>
    <row r="167" spans="1:54" ht="32.25" customHeight="1" outlineLevel="2">
      <c r="A167" s="98"/>
      <c r="B167" s="102"/>
      <c r="C167" s="23"/>
      <c r="D167" s="251"/>
      <c r="E167" s="251"/>
      <c r="F167" s="251"/>
      <c r="G167" s="250"/>
      <c r="H167" s="302" t="s">
        <v>508</v>
      </c>
      <c r="I167" s="104"/>
      <c r="J167" s="105"/>
      <c r="K167" s="105"/>
      <c r="L167" s="106" t="str">
        <f>IF(I167&lt;&gt;0,((VLOOKUP(I167,'1. Standard_Cost'!$B$4:$D$11,2)+VLOOKUP(I167,'1. Standard_Cost'!$B$4:$D$11,3))*J167*K167),"0")</f>
        <v>0</v>
      </c>
      <c r="M167" s="106">
        <f>L167*'1. Standard_Cost'!$F$4</f>
        <v>0</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c r="AB167" s="108">
        <f>+Z167*'1. Standard_Cost'!$B$23+AA167*'1. Standard_Cost'!$C$23</f>
        <v>0</v>
      </c>
      <c r="AC167" s="109">
        <v>0</v>
      </c>
      <c r="AD167" s="110"/>
      <c r="AE167" s="108">
        <f>SUM(AD167,AC167,AB167,Y167,U167,T167,S167,R167)*'1. Standard_Cost'!$B$31</f>
        <v>0</v>
      </c>
      <c r="AF167" s="108">
        <f t="shared" si="152"/>
        <v>0</v>
      </c>
      <c r="AG167" s="107"/>
      <c r="AH167" s="107"/>
      <c r="AI167" s="107"/>
      <c r="AJ167" s="111"/>
      <c r="AK167" s="111"/>
      <c r="AL167" s="111"/>
      <c r="AM167" s="108">
        <f>AG167*'1. Standard_Cost'!$B$27+'Incremental_Cost Year 6'!AH167*'1. Standard_Cost'!$C$27+'Incremental_Cost Year 6'!AI167*'1. Standard_Cost'!$D$27+'Incremental_Cost Year 6'!AJ167+'Incremental_Cost Year 6'!AL167+AK167</f>
        <v>0</v>
      </c>
      <c r="AN167" s="108">
        <f>AM167*'1. Standard_Cost'!$C$31</f>
        <v>0</v>
      </c>
      <c r="AO167" s="137" t="s">
        <v>386</v>
      </c>
      <c r="AQ167" s="14">
        <f t="shared" si="153"/>
        <v>0</v>
      </c>
      <c r="AR167" s="14">
        <f t="shared" si="154"/>
        <v>0</v>
      </c>
      <c r="AS167" s="14">
        <f t="shared" si="155"/>
        <v>0</v>
      </c>
      <c r="AT167" s="14">
        <f t="shared" si="157"/>
        <v>0</v>
      </c>
      <c r="AU167" s="15">
        <v>0</v>
      </c>
      <c r="AV167" s="15"/>
      <c r="AW167" s="15"/>
      <c r="AX167" s="15"/>
      <c r="AY167" s="15"/>
      <c r="AZ167" s="15"/>
      <c r="BA167" s="15"/>
      <c r="BB167" s="16">
        <f t="shared" si="156"/>
        <v>0</v>
      </c>
    </row>
    <row r="168" spans="1:54" ht="110.4" outlineLevel="1">
      <c r="A168" s="98"/>
      <c r="B168" s="102"/>
      <c r="C168" s="23"/>
      <c r="D168" s="56" t="s">
        <v>637</v>
      </c>
      <c r="E168" s="56" t="s">
        <v>234</v>
      </c>
      <c r="F168" s="253">
        <v>2021</v>
      </c>
      <c r="G168" s="254">
        <v>2026</v>
      </c>
      <c r="H168" s="279" t="s">
        <v>189</v>
      </c>
      <c r="I168" s="112"/>
      <c r="J168" s="112"/>
      <c r="K168" s="112"/>
      <c r="L168" s="113">
        <f>SUM(L144:L167)</f>
        <v>9076250</v>
      </c>
      <c r="M168" s="113">
        <f>SUM(M144:M167)</f>
        <v>1515733.7500000002</v>
      </c>
      <c r="N168" s="112"/>
      <c r="O168" s="112"/>
      <c r="P168" s="112"/>
      <c r="Q168" s="112"/>
      <c r="R168" s="113">
        <f t="shared" ref="R168:U168" si="158">SUM(R144:R167)</f>
        <v>100000</v>
      </c>
      <c r="S168" s="113">
        <f t="shared" si="158"/>
        <v>300000</v>
      </c>
      <c r="T168" s="113">
        <f t="shared" si="158"/>
        <v>125000</v>
      </c>
      <c r="U168" s="113">
        <f t="shared" si="158"/>
        <v>160000</v>
      </c>
      <c r="V168" s="112"/>
      <c r="W168" s="112"/>
      <c r="X168" s="112"/>
      <c r="Y168" s="113">
        <f>SUM(Y144:Y167)</f>
        <v>0</v>
      </c>
      <c r="Z168" s="113"/>
      <c r="AA168" s="112"/>
      <c r="AB168" s="113">
        <f t="shared" ref="AB168:AF168" si="159">SUM(AB144:AB167)</f>
        <v>646000</v>
      </c>
      <c r="AC168" s="113">
        <f t="shared" si="159"/>
        <v>74799767.5</v>
      </c>
      <c r="AD168" s="113">
        <f t="shared" si="159"/>
        <v>0</v>
      </c>
      <c r="AE168" s="113">
        <f t="shared" si="159"/>
        <v>14742953.5</v>
      </c>
      <c r="AF168" s="113">
        <f t="shared" si="159"/>
        <v>90873721</v>
      </c>
      <c r="AG168" s="112"/>
      <c r="AH168" s="112"/>
      <c r="AI168" s="112"/>
      <c r="AJ168" s="113">
        <f t="shared" ref="AJ168:AL168" si="160">SUM(AJ144:AJ167)</f>
        <v>0</v>
      </c>
      <c r="AK168" s="113">
        <f t="shared" si="160"/>
        <v>0</v>
      </c>
      <c r="AL168" s="113">
        <f t="shared" si="160"/>
        <v>0</v>
      </c>
      <c r="AM168" s="113">
        <f t="shared" ref="AM168:AN168" si="161">SUM(AM144:AM167)</f>
        <v>0</v>
      </c>
      <c r="AN168" s="113">
        <f t="shared" si="161"/>
        <v>0</v>
      </c>
      <c r="AO168" s="131"/>
      <c r="AP168" s="17"/>
      <c r="AQ168" s="113">
        <f t="shared" ref="AQ168:BB168" si="162">SUM(AQ144:AQ167)</f>
        <v>10591983.75</v>
      </c>
      <c r="AR168" s="113">
        <f t="shared" si="162"/>
        <v>90873721</v>
      </c>
      <c r="AS168" s="113">
        <f t="shared" si="162"/>
        <v>0</v>
      </c>
      <c r="AT168" s="113">
        <f t="shared" si="162"/>
        <v>101465704.75</v>
      </c>
      <c r="AU168" s="113">
        <f t="shared" si="162"/>
        <v>98092104.75</v>
      </c>
      <c r="AV168" s="113">
        <f t="shared" si="162"/>
        <v>0</v>
      </c>
      <c r="AW168" s="113">
        <f t="shared" si="162"/>
        <v>0</v>
      </c>
      <c r="AX168" s="113">
        <f t="shared" si="162"/>
        <v>0</v>
      </c>
      <c r="AY168" s="113">
        <f t="shared" si="162"/>
        <v>0</v>
      </c>
      <c r="AZ168" s="113">
        <f t="shared" si="162"/>
        <v>0</v>
      </c>
      <c r="BA168" s="113">
        <f t="shared" si="162"/>
        <v>0</v>
      </c>
      <c r="BB168" s="113">
        <f t="shared" si="162"/>
        <v>-3373600</v>
      </c>
    </row>
    <row r="169" spans="1:54" ht="93.6" outlineLevel="2">
      <c r="A169" s="98"/>
      <c r="B169" s="102"/>
      <c r="C169" s="23"/>
      <c r="D169" s="257"/>
      <c r="E169" s="123"/>
      <c r="F169" s="249"/>
      <c r="G169" s="283"/>
      <c r="H169" s="302" t="s">
        <v>511</v>
      </c>
      <c r="I169" s="104"/>
      <c r="J169" s="105"/>
      <c r="K169" s="105"/>
      <c r="L169" s="106" t="str">
        <f>IF(I169&lt;&gt;0,((VLOOKUP(I169,'1. Standard_Cost'!$B$4:$D$11,2)+VLOOKUP(I169,'1. Standard_Cost'!$B$4:$D$11,3))*J169*K169),"0")</f>
        <v>0</v>
      </c>
      <c r="M169" s="106">
        <f>L169*'1. Standard_Cost'!$F$4</f>
        <v>0</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c r="AB169" s="108">
        <f>+Z169*'1. Standard_Cost'!$B$23+AA169*'1. Standard_Cost'!$C$23</f>
        <v>0</v>
      </c>
      <c r="AC169" s="109"/>
      <c r="AD169" s="110"/>
      <c r="AE169" s="108">
        <f>SUM(AD169,AC169,AB169,Y169,U169,T169,S169,R169)*'1. Standard_Cost'!$B$31</f>
        <v>0</v>
      </c>
      <c r="AF169" s="108">
        <f t="shared" ref="AF169:AF177" si="163">SUM(AE169,AD169,AC169,AB169,Y169,U169,T169,S169,R169)</f>
        <v>0</v>
      </c>
      <c r="AG169" s="107"/>
      <c r="AH169" s="107"/>
      <c r="AI169" s="107"/>
      <c r="AJ169" s="111"/>
      <c r="AK169" s="111"/>
      <c r="AL169" s="111"/>
      <c r="AM169" s="108">
        <f>AG169*'1. Standard_Cost'!$B$27+'Incremental_Cost Year 6'!AH169*'1. Standard_Cost'!$C$27+'Incremental_Cost Year 6'!AI169*'1. Standard_Cost'!$D$27+'Incremental_Cost Year 6'!AJ169+'Incremental_Cost Year 6'!AL169+AK169</f>
        <v>0</v>
      </c>
      <c r="AN169" s="108">
        <f>AM169*'1. Standard_Cost'!$C$31</f>
        <v>0</v>
      </c>
      <c r="AO169" s="125" t="s">
        <v>387</v>
      </c>
      <c r="AQ169" s="14">
        <f t="shared" ref="AQ169:AQ177" si="164">L169+M169</f>
        <v>0</v>
      </c>
      <c r="AR169" s="14">
        <f t="shared" ref="AR169:AR177" si="165">AF169</f>
        <v>0</v>
      </c>
      <c r="AS169" s="14">
        <f t="shared" ref="AS169:AS177" si="166">AM169+AN169</f>
        <v>0</v>
      </c>
      <c r="AT169" s="14">
        <f>SUM(AQ169,AR169,AS169)</f>
        <v>0</v>
      </c>
      <c r="AU169" s="15">
        <v>0</v>
      </c>
      <c r="AV169" s="15"/>
      <c r="AW169" s="15"/>
      <c r="AX169" s="15"/>
      <c r="AY169" s="15"/>
      <c r="AZ169" s="15"/>
      <c r="BA169" s="15"/>
      <c r="BB169" s="16">
        <f t="shared" ref="BB169:BB177" si="167">SUM(AU169:BA169)-AT169</f>
        <v>0</v>
      </c>
    </row>
    <row r="170" spans="1:54" ht="46.8" outlineLevel="2">
      <c r="A170" s="98"/>
      <c r="B170" s="102"/>
      <c r="C170" s="23"/>
      <c r="D170" s="269"/>
      <c r="E170" s="271"/>
      <c r="F170" s="250"/>
      <c r="G170" s="255"/>
      <c r="H170" s="302" t="s">
        <v>235</v>
      </c>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63"/>
        <v>0</v>
      </c>
      <c r="AG170" s="107"/>
      <c r="AH170" s="107"/>
      <c r="AI170" s="107"/>
      <c r="AJ170" s="111"/>
      <c r="AK170" s="111"/>
      <c r="AL170" s="111"/>
      <c r="AM170" s="108">
        <f>AG170*'1. Standard_Cost'!$B$27+'Incremental_Cost Year 6'!AH170*'1. Standard_Cost'!$C$27+'Incremental_Cost Year 6'!AI170*'1. Standard_Cost'!$D$27+'Incremental_Cost Year 6'!AJ170+'Incremental_Cost Year 6'!AL170+AK170</f>
        <v>0</v>
      </c>
      <c r="AN170" s="108">
        <f>AM170*'1. Standard_Cost'!$C$31</f>
        <v>0</v>
      </c>
      <c r="AO170" s="125" t="s">
        <v>388</v>
      </c>
      <c r="AQ170" s="14">
        <f t="shared" si="164"/>
        <v>0</v>
      </c>
      <c r="AR170" s="14">
        <f t="shared" si="165"/>
        <v>0</v>
      </c>
      <c r="AS170" s="14">
        <f t="shared" si="166"/>
        <v>0</v>
      </c>
      <c r="AT170" s="14">
        <f t="shared" ref="AT170:AT177" si="168">SUM(AQ170,AR170,AS170)</f>
        <v>0</v>
      </c>
      <c r="AU170" s="15"/>
      <c r="AV170" s="15"/>
      <c r="AW170" s="15"/>
      <c r="AX170" s="15"/>
      <c r="AY170" s="15"/>
      <c r="AZ170" s="15"/>
      <c r="BA170" s="15"/>
      <c r="BB170" s="16">
        <f t="shared" si="167"/>
        <v>0</v>
      </c>
    </row>
    <row r="171" spans="1:54" ht="78" outlineLevel="2">
      <c r="A171" s="98"/>
      <c r="B171" s="102"/>
      <c r="C171" s="23"/>
      <c r="D171" s="269"/>
      <c r="E171" s="271"/>
      <c r="F171" s="250"/>
      <c r="G171" s="255"/>
      <c r="H171" s="302" t="s">
        <v>236</v>
      </c>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63"/>
        <v>0</v>
      </c>
      <c r="AG171" s="107"/>
      <c r="AH171" s="107"/>
      <c r="AI171" s="107"/>
      <c r="AJ171" s="111"/>
      <c r="AK171" s="111"/>
      <c r="AL171" s="111"/>
      <c r="AM171" s="108">
        <f>AG171*'1. Standard_Cost'!$B$27+'Incremental_Cost Year 6'!AH171*'1. Standard_Cost'!$C$27+'Incremental_Cost Year 6'!AI171*'1. Standard_Cost'!$D$27+'Incremental_Cost Year 6'!AJ171+'Incremental_Cost Year 6'!AL171+AK171</f>
        <v>0</v>
      </c>
      <c r="AN171" s="108">
        <f>AM171*'1. Standard_Cost'!$C$31</f>
        <v>0</v>
      </c>
      <c r="AO171" s="125" t="s">
        <v>389</v>
      </c>
      <c r="AQ171" s="14">
        <f t="shared" si="164"/>
        <v>0</v>
      </c>
      <c r="AR171" s="14">
        <f t="shared" si="165"/>
        <v>0</v>
      </c>
      <c r="AS171" s="14">
        <f t="shared" si="166"/>
        <v>0</v>
      </c>
      <c r="AT171" s="14">
        <f t="shared" si="168"/>
        <v>0</v>
      </c>
      <c r="AU171" s="15"/>
      <c r="AV171" s="15"/>
      <c r="AW171" s="15"/>
      <c r="AX171" s="15"/>
      <c r="AY171" s="15"/>
      <c r="AZ171" s="15"/>
      <c r="BA171" s="15"/>
      <c r="BB171" s="16">
        <f t="shared" si="167"/>
        <v>0</v>
      </c>
    </row>
    <row r="172" spans="1:54" ht="46.8" outlineLevel="2">
      <c r="A172" s="98"/>
      <c r="B172" s="102"/>
      <c r="C172" s="23"/>
      <c r="D172" s="269"/>
      <c r="E172" s="271"/>
      <c r="F172" s="250"/>
      <c r="G172" s="255"/>
      <c r="H172" s="302" t="s">
        <v>237</v>
      </c>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63"/>
        <v>0</v>
      </c>
      <c r="AG172" s="107"/>
      <c r="AH172" s="107"/>
      <c r="AI172" s="107"/>
      <c r="AJ172" s="111"/>
      <c r="AK172" s="111"/>
      <c r="AL172" s="111"/>
      <c r="AM172" s="108">
        <f>AG172*'1. Standard_Cost'!$B$27+'Incremental_Cost Year 6'!AH172*'1. Standard_Cost'!$C$27+'Incremental_Cost Year 6'!AI172*'1. Standard_Cost'!$D$27+'Incremental_Cost Year 6'!AJ172+'Incremental_Cost Year 6'!AL172+AK172</f>
        <v>0</v>
      </c>
      <c r="AN172" s="108">
        <f>AM172*'1. Standard_Cost'!$C$31</f>
        <v>0</v>
      </c>
      <c r="AO172" s="125" t="s">
        <v>390</v>
      </c>
      <c r="AQ172" s="14">
        <f t="shared" si="164"/>
        <v>0</v>
      </c>
      <c r="AR172" s="14">
        <f t="shared" si="165"/>
        <v>0</v>
      </c>
      <c r="AS172" s="14">
        <f t="shared" si="166"/>
        <v>0</v>
      </c>
      <c r="AT172" s="14">
        <f t="shared" si="168"/>
        <v>0</v>
      </c>
      <c r="AU172" s="15"/>
      <c r="AV172" s="15"/>
      <c r="AW172" s="15"/>
      <c r="AX172" s="15"/>
      <c r="AY172" s="15"/>
      <c r="AZ172" s="15"/>
      <c r="BA172" s="15"/>
      <c r="BB172" s="16">
        <f t="shared" si="167"/>
        <v>0</v>
      </c>
    </row>
    <row r="173" spans="1:54" ht="46.8" outlineLevel="2">
      <c r="A173" s="98"/>
      <c r="B173" s="102"/>
      <c r="C173" s="23"/>
      <c r="D173" s="269"/>
      <c r="E173" s="271"/>
      <c r="F173" s="250"/>
      <c r="G173" s="255"/>
      <c r="H173" s="302" t="s">
        <v>238</v>
      </c>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63"/>
        <v>0</v>
      </c>
      <c r="AG173" s="107"/>
      <c r="AH173" s="107"/>
      <c r="AI173" s="107"/>
      <c r="AJ173" s="111"/>
      <c r="AK173" s="111"/>
      <c r="AL173" s="111"/>
      <c r="AM173" s="108">
        <f>AG173*'1. Standard_Cost'!$B$27+'Incremental_Cost Year 6'!AH173*'1. Standard_Cost'!$C$27+'Incremental_Cost Year 6'!AI173*'1. Standard_Cost'!$D$27+'Incremental_Cost Year 6'!AJ173+'Incremental_Cost Year 6'!AL173+AK173</f>
        <v>0</v>
      </c>
      <c r="AN173" s="108">
        <f>AM173*'1. Standard_Cost'!$C$31</f>
        <v>0</v>
      </c>
      <c r="AO173" s="125" t="s">
        <v>391</v>
      </c>
      <c r="AQ173" s="14">
        <f t="shared" si="164"/>
        <v>0</v>
      </c>
      <c r="AR173" s="14">
        <f t="shared" si="165"/>
        <v>0</v>
      </c>
      <c r="AS173" s="14">
        <f t="shared" si="166"/>
        <v>0</v>
      </c>
      <c r="AT173" s="14">
        <f t="shared" si="168"/>
        <v>0</v>
      </c>
      <c r="AU173" s="15"/>
      <c r="AV173" s="15"/>
      <c r="AW173" s="15"/>
      <c r="AX173" s="15"/>
      <c r="AY173" s="15"/>
      <c r="AZ173" s="15"/>
      <c r="BA173" s="15"/>
      <c r="BB173" s="16">
        <f t="shared" si="167"/>
        <v>0</v>
      </c>
    </row>
    <row r="174" spans="1:54" ht="78" outlineLevel="2">
      <c r="A174" s="98"/>
      <c r="B174" s="102"/>
      <c r="C174" s="23"/>
      <c r="D174" s="269"/>
      <c r="E174" s="271"/>
      <c r="F174" s="250"/>
      <c r="G174" s="255"/>
      <c r="H174" s="302" t="s">
        <v>512</v>
      </c>
      <c r="I174" s="104"/>
      <c r="J174" s="105"/>
      <c r="K174" s="105"/>
      <c r="L174" s="106" t="str">
        <f>IF(I174&lt;&gt;0,((VLOOKUP(I174,'1. Standard_Cost'!$B$4:$D$11,2)+VLOOKUP(I174,'1. Standard_Cost'!$B$4:$D$11,3))*J174*K174),"0")</f>
        <v>0</v>
      </c>
      <c r="M174" s="106">
        <f>L174*'1. Standard_Cost'!$F$4</f>
        <v>0</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c r="AB174" s="108">
        <f>+Z174*'1. Standard_Cost'!$B$23+AA174*'1. Standard_Cost'!$C$23</f>
        <v>0</v>
      </c>
      <c r="AC174" s="109"/>
      <c r="AD174" s="110"/>
      <c r="AE174" s="108">
        <f>SUM(AD174,AC174,AB174,Y174,U174,T174,S174,R174)*'1. Standard_Cost'!$B$31</f>
        <v>0</v>
      </c>
      <c r="AF174" s="108">
        <f t="shared" si="163"/>
        <v>0</v>
      </c>
      <c r="AG174" s="107"/>
      <c r="AH174" s="107"/>
      <c r="AI174" s="107"/>
      <c r="AJ174" s="111"/>
      <c r="AK174" s="111"/>
      <c r="AL174" s="111"/>
      <c r="AM174" s="108">
        <f>AG174*'1. Standard_Cost'!$B$27+'Incremental_Cost Year 6'!AH174*'1. Standard_Cost'!$C$27+'Incremental_Cost Year 6'!AI174*'1. Standard_Cost'!$D$27+'Incremental_Cost Year 6'!AJ174+'Incremental_Cost Year 6'!AL174+AK174</f>
        <v>0</v>
      </c>
      <c r="AN174" s="108">
        <f>AM174*'1. Standard_Cost'!$C$31</f>
        <v>0</v>
      </c>
      <c r="AO174" s="125" t="s">
        <v>392</v>
      </c>
      <c r="AQ174" s="14">
        <f t="shared" si="164"/>
        <v>0</v>
      </c>
      <c r="AR174" s="14">
        <f t="shared" si="165"/>
        <v>0</v>
      </c>
      <c r="AS174" s="14">
        <f t="shared" si="166"/>
        <v>0</v>
      </c>
      <c r="AT174" s="14">
        <f t="shared" si="168"/>
        <v>0</v>
      </c>
      <c r="AU174" s="15">
        <v>0</v>
      </c>
      <c r="AV174" s="15"/>
      <c r="AW174" s="15"/>
      <c r="AX174" s="15"/>
      <c r="AY174" s="15"/>
      <c r="AZ174" s="15"/>
      <c r="BA174" s="15"/>
      <c r="BB174" s="16">
        <f t="shared" si="167"/>
        <v>0</v>
      </c>
    </row>
    <row r="175" spans="1:54" ht="140.4" outlineLevel="2">
      <c r="A175" s="98"/>
      <c r="B175" s="102"/>
      <c r="C175" s="23"/>
      <c r="D175" s="269"/>
      <c r="E175" s="271"/>
      <c r="F175" s="250"/>
      <c r="G175" s="255"/>
      <c r="H175" s="302" t="s">
        <v>513</v>
      </c>
      <c r="I175" s="104" t="s">
        <v>4</v>
      </c>
      <c r="J175" s="105">
        <v>0.4</v>
      </c>
      <c r="K175" s="105">
        <v>1</v>
      </c>
      <c r="L175" s="106">
        <f>IF(I175&lt;&gt;0,((VLOOKUP(I175,'1. Standard_Cost'!$B$4:$D$11,2)+VLOOKUP(I175,'1. Standard_Cost'!$B$4:$D$11,3))*J175*K175),"0")</f>
        <v>32300</v>
      </c>
      <c r="M175" s="106">
        <f>L175*'1. Standard_Cost'!$F$4</f>
        <v>5394.1</v>
      </c>
      <c r="N175" s="107">
        <v>10</v>
      </c>
      <c r="O175" s="107">
        <v>2</v>
      </c>
      <c r="P175" s="107">
        <v>15</v>
      </c>
      <c r="Q175" s="107">
        <v>1</v>
      </c>
      <c r="R175" s="108">
        <f>'1. Standard_Cost'!$B$15*N175*P175</f>
        <v>300000</v>
      </c>
      <c r="S175" s="108">
        <f>N175*O175*P175*'1. Standard_Cost'!$C$15</f>
        <v>450000</v>
      </c>
      <c r="T175" s="108">
        <f>N175*P175*Q175*'1. Standard_Cost'!$D$15</f>
        <v>750000</v>
      </c>
      <c r="U175" s="108">
        <v>0</v>
      </c>
      <c r="V175" s="107"/>
      <c r="W175" s="107"/>
      <c r="X175" s="107"/>
      <c r="Y175" s="108">
        <f>+V175*((X175*'1. Standard_Cost'!$B$19)+(W175*X175*'1. Standard_Cost'!$C$19))</f>
        <v>0</v>
      </c>
      <c r="Z175" s="107"/>
      <c r="AA175" s="107"/>
      <c r="AB175" s="108">
        <f>+Z175*'1. Standard_Cost'!$B$23+AA175*'1. Standard_Cost'!$C$23</f>
        <v>0</v>
      </c>
      <c r="AC175" s="109"/>
      <c r="AD175" s="110"/>
      <c r="AE175" s="108">
        <v>0</v>
      </c>
      <c r="AF175" s="108">
        <f t="shared" si="163"/>
        <v>1500000</v>
      </c>
      <c r="AG175" s="107"/>
      <c r="AH175" s="107"/>
      <c r="AI175" s="107"/>
      <c r="AJ175" s="111"/>
      <c r="AK175" s="111"/>
      <c r="AL175" s="111"/>
      <c r="AM175" s="108">
        <f>AG175*'1. Standard_Cost'!$B$27+'Incremental_Cost Year 6'!AH175*'1. Standard_Cost'!$C$27+'Incremental_Cost Year 6'!AI175*'1. Standard_Cost'!$D$27+'Incremental_Cost Year 6'!AJ175+'Incremental_Cost Year 6'!AL175+AK175</f>
        <v>0</v>
      </c>
      <c r="AN175" s="108">
        <f>AM175*'1. Standard_Cost'!$C$31</f>
        <v>0</v>
      </c>
      <c r="AO175" s="125" t="s">
        <v>393</v>
      </c>
      <c r="AQ175" s="14">
        <f t="shared" si="164"/>
        <v>37694.1</v>
      </c>
      <c r="AR175" s="14">
        <f t="shared" si="165"/>
        <v>1500000</v>
      </c>
      <c r="AS175" s="14">
        <f t="shared" si="166"/>
        <v>0</v>
      </c>
      <c r="AT175" s="14">
        <f t="shared" si="168"/>
        <v>1537694.1</v>
      </c>
      <c r="AU175" s="15">
        <v>37694.1</v>
      </c>
      <c r="AV175" s="15"/>
      <c r="AW175" s="15"/>
      <c r="AX175" s="15"/>
      <c r="AY175" s="15"/>
      <c r="AZ175" s="15"/>
      <c r="BA175" s="15"/>
      <c r="BB175" s="16">
        <f t="shared" si="167"/>
        <v>-1500000</v>
      </c>
    </row>
    <row r="176" spans="1:54" ht="25.2" customHeight="1" outlineLevel="2">
      <c r="A176" s="98"/>
      <c r="B176" s="102"/>
      <c r="C176" s="23"/>
      <c r="D176" s="269"/>
      <c r="E176" s="271"/>
      <c r="F176" s="271"/>
      <c r="G176" s="167"/>
      <c r="H176" s="302" t="s">
        <v>510</v>
      </c>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v>22</v>
      </c>
      <c r="AB176" s="108">
        <f>+Z176*'[1]1. Standard_Cost'!$B$23+AA176*'[1]1. Standard_Cost'!$C$23</f>
        <v>418000</v>
      </c>
      <c r="AC176" s="109"/>
      <c r="AD176" s="110"/>
      <c r="AE176" s="108">
        <v>0</v>
      </c>
      <c r="AF176" s="108">
        <f t="shared" si="163"/>
        <v>418000</v>
      </c>
      <c r="AG176" s="107"/>
      <c r="AH176" s="107"/>
      <c r="AI176" s="107"/>
      <c r="AJ176" s="111"/>
      <c r="AK176" s="111"/>
      <c r="AL176" s="111"/>
      <c r="AM176" s="108">
        <f>AG176*'[1]1. Standard_Cost'!$B$27+'[1]Incremental_Cost Year 6'!AH176*'[1]1. Standard_Cost'!$C$27+'[1]Incremental_Cost Year 6'!AI176*'[1]1. Standard_Cost'!$D$27+'[1]Incremental_Cost Year 6'!AJ176+'[1]Incremental_Cost Year 6'!AL176+AK176</f>
        <v>0</v>
      </c>
      <c r="AN176" s="108">
        <f>AM176*'[1]1. Standard_Cost'!$C$31</f>
        <v>0</v>
      </c>
      <c r="AO176" s="125" t="s">
        <v>393</v>
      </c>
      <c r="AQ176" s="14">
        <f t="shared" si="164"/>
        <v>0</v>
      </c>
      <c r="AR176" s="14">
        <f t="shared" si="165"/>
        <v>418000</v>
      </c>
      <c r="AS176" s="14">
        <f t="shared" si="166"/>
        <v>0</v>
      </c>
      <c r="AT176" s="14">
        <f t="shared" si="168"/>
        <v>418000</v>
      </c>
      <c r="AU176" s="15"/>
      <c r="AV176" s="15"/>
      <c r="AW176" s="15"/>
      <c r="AX176" s="15"/>
      <c r="AY176" s="15"/>
      <c r="AZ176" s="15"/>
      <c r="BA176" s="15"/>
      <c r="BB176" s="16">
        <f t="shared" si="167"/>
        <v>-418000</v>
      </c>
    </row>
    <row r="177" spans="1:54" ht="156" outlineLevel="2">
      <c r="A177" s="98"/>
      <c r="B177" s="102"/>
      <c r="C177" s="23"/>
      <c r="D177" s="269"/>
      <c r="E177" s="271"/>
      <c r="F177" s="250"/>
      <c r="G177" s="255"/>
      <c r="H177" s="302" t="s">
        <v>514</v>
      </c>
      <c r="I177" s="104" t="s">
        <v>4</v>
      </c>
      <c r="J177" s="105">
        <v>0.4</v>
      </c>
      <c r="K177" s="105">
        <v>1</v>
      </c>
      <c r="L177" s="106">
        <f>IF(I177&lt;&gt;0,((VLOOKUP(I177,'1. Standard_Cost'!$B$4:$D$11,2)+VLOOKUP(I177,'1. Standard_Cost'!$B$4:$D$11,3))*J177*K177),"0")</f>
        <v>32300</v>
      </c>
      <c r="M177" s="106">
        <f>L177*'1. Standard_Cost'!$F$4</f>
        <v>5394.1</v>
      </c>
      <c r="N177" s="107">
        <v>10</v>
      </c>
      <c r="O177" s="107">
        <v>2</v>
      </c>
      <c r="P177" s="107">
        <v>15</v>
      </c>
      <c r="Q177" s="107">
        <v>1</v>
      </c>
      <c r="R177" s="108">
        <v>0</v>
      </c>
      <c r="S177" s="108">
        <v>0</v>
      </c>
      <c r="T177" s="108">
        <v>0</v>
      </c>
      <c r="U177" s="108">
        <v>0</v>
      </c>
      <c r="V177" s="107"/>
      <c r="W177" s="107"/>
      <c r="X177" s="107"/>
      <c r="Y177" s="108">
        <f>+V177*((X177*'1. Standard_Cost'!$B$19)+(W177*X177*'1. Standard_Cost'!$C$19))</f>
        <v>0</v>
      </c>
      <c r="Z177" s="107"/>
      <c r="AA177" s="107">
        <v>10</v>
      </c>
      <c r="AB177" s="108">
        <f>+Z177*'1. Standard_Cost'!$B$23+AA177*'1. Standard_Cost'!$C$23</f>
        <v>190000</v>
      </c>
      <c r="AC177" s="109">
        <f>150*3500*2+150*500*2</f>
        <v>1200000</v>
      </c>
      <c r="AD177" s="110"/>
      <c r="AE177" s="108">
        <f>SUM(AD177,AC177,AB177,Y177,U177,T177,S177,R177)*'1. Standard_Cost'!$B$31</f>
        <v>278000</v>
      </c>
      <c r="AF177" s="108">
        <f t="shared" si="163"/>
        <v>1668000</v>
      </c>
      <c r="AG177" s="107"/>
      <c r="AH177" s="107"/>
      <c r="AI177" s="107"/>
      <c r="AJ177" s="111"/>
      <c r="AK177" s="111"/>
      <c r="AL177" s="111"/>
      <c r="AM177" s="108">
        <f>AG177*'1. Standard_Cost'!$B$27+'Incremental_Cost Year 6'!AH177*'1. Standard_Cost'!$C$27+'Incremental_Cost Year 6'!AI177*'1. Standard_Cost'!$D$27+'Incremental_Cost Year 6'!AJ177+'Incremental_Cost Year 6'!AL177+AK177</f>
        <v>0</v>
      </c>
      <c r="AN177" s="108">
        <f>AM177*'1. Standard_Cost'!$C$31</f>
        <v>0</v>
      </c>
      <c r="AO177" s="125" t="s">
        <v>394</v>
      </c>
      <c r="AQ177" s="14">
        <f t="shared" si="164"/>
        <v>37694.1</v>
      </c>
      <c r="AR177" s="14">
        <f t="shared" si="165"/>
        <v>1668000</v>
      </c>
      <c r="AS177" s="14">
        <f t="shared" si="166"/>
        <v>0</v>
      </c>
      <c r="AT177" s="14">
        <f t="shared" si="168"/>
        <v>1705694.1</v>
      </c>
      <c r="AU177" s="15">
        <v>37694.1</v>
      </c>
      <c r="AV177" s="15"/>
      <c r="AW177" s="15"/>
      <c r="AX177" s="15"/>
      <c r="AY177" s="15"/>
      <c r="AZ177" s="15">
        <v>1668000</v>
      </c>
      <c r="BA177" s="15"/>
      <c r="BB177" s="16">
        <f t="shared" si="167"/>
        <v>0</v>
      </c>
    </row>
    <row r="178" spans="1:54" ht="27.6" outlineLevel="1">
      <c r="A178" s="98"/>
      <c r="B178" s="102"/>
      <c r="C178" s="23"/>
      <c r="D178" s="31" t="s">
        <v>638</v>
      </c>
      <c r="E178" s="56" t="s">
        <v>239</v>
      </c>
      <c r="F178" s="253">
        <v>2021</v>
      </c>
      <c r="G178" s="254">
        <v>2026</v>
      </c>
      <c r="H178" s="279" t="s">
        <v>240</v>
      </c>
      <c r="I178" s="112"/>
      <c r="J178" s="112"/>
      <c r="K178" s="112"/>
      <c r="L178" s="113">
        <f>SUM(L169:L177)</f>
        <v>64600</v>
      </c>
      <c r="M178" s="113">
        <f>SUM(M169:M177)</f>
        <v>10788.2</v>
      </c>
      <c r="N178" s="112"/>
      <c r="O178" s="112"/>
      <c r="P178" s="112"/>
      <c r="Q178" s="112"/>
      <c r="R178" s="113">
        <f>SUM(R169:R177)</f>
        <v>300000</v>
      </c>
      <c r="S178" s="113">
        <f>SUM(S169:S177)</f>
        <v>450000</v>
      </c>
      <c r="T178" s="113">
        <f>SUM(T169:T177)</f>
        <v>750000</v>
      </c>
      <c r="U178" s="113">
        <f>SUM(U169:U177)</f>
        <v>0</v>
      </c>
      <c r="V178" s="112"/>
      <c r="W178" s="112"/>
      <c r="X178" s="112"/>
      <c r="Y178" s="113">
        <f>SUM(Y169:Y177)</f>
        <v>0</v>
      </c>
      <c r="Z178" s="113"/>
      <c r="AA178" s="112"/>
      <c r="AB178" s="113">
        <f>SUM(AB169:AB177)</f>
        <v>608000</v>
      </c>
      <c r="AC178" s="113">
        <f>SUM(AC169:AC177)</f>
        <v>1200000</v>
      </c>
      <c r="AD178" s="113">
        <f>SUM(AD169:AD177)</f>
        <v>0</v>
      </c>
      <c r="AE178" s="113">
        <f>SUM(AE169:AE177)</f>
        <v>278000</v>
      </c>
      <c r="AF178" s="113">
        <f>SUM(AF169:AF177)</f>
        <v>3586000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 si="169">SUM(AQ169:AQ177)</f>
        <v>75388.2</v>
      </c>
      <c r="AR178" s="113">
        <f t="shared" ref="AR178:BB178" si="170">SUM(AR169:AR177)</f>
        <v>3586000</v>
      </c>
      <c r="AS178" s="113">
        <f t="shared" si="170"/>
        <v>0</v>
      </c>
      <c r="AT178" s="113">
        <f t="shared" si="170"/>
        <v>3661388.2</v>
      </c>
      <c r="AU178" s="113">
        <f t="shared" si="170"/>
        <v>75388.2</v>
      </c>
      <c r="AV178" s="113">
        <f t="shared" si="170"/>
        <v>0</v>
      </c>
      <c r="AW178" s="113">
        <f t="shared" si="170"/>
        <v>0</v>
      </c>
      <c r="AX178" s="113">
        <f t="shared" si="170"/>
        <v>0</v>
      </c>
      <c r="AY178" s="113">
        <f t="shared" si="170"/>
        <v>0</v>
      </c>
      <c r="AZ178" s="113">
        <f t="shared" si="170"/>
        <v>1668000</v>
      </c>
      <c r="BA178" s="113">
        <f t="shared" si="170"/>
        <v>0</v>
      </c>
      <c r="BB178" s="113">
        <f t="shared" si="170"/>
        <v>-1918000</v>
      </c>
    </row>
    <row r="179" spans="1:54" s="24" customFormat="1" ht="13.8" customHeight="1">
      <c r="A179" s="114"/>
      <c r="B179" s="115"/>
      <c r="C179" s="314" t="s">
        <v>241</v>
      </c>
      <c r="D179" s="314"/>
      <c r="E179" s="315"/>
      <c r="F179" s="246"/>
      <c r="G179" s="246"/>
      <c r="H179" s="278" t="s">
        <v>242</v>
      </c>
      <c r="I179" s="116"/>
      <c r="J179" s="116"/>
      <c r="K179" s="116"/>
      <c r="L179" s="117">
        <f>SUM(L201)</f>
        <v>18542250</v>
      </c>
      <c r="M179" s="117">
        <f>SUM(M201)</f>
        <v>3096555.75</v>
      </c>
      <c r="N179" s="116"/>
      <c r="O179" s="116"/>
      <c r="P179" s="116"/>
      <c r="Q179" s="116"/>
      <c r="R179" s="117">
        <f t="shared" ref="R179:U179" si="171">SUM(R201)</f>
        <v>440000</v>
      </c>
      <c r="S179" s="117">
        <f t="shared" si="171"/>
        <v>660000</v>
      </c>
      <c r="T179" s="117">
        <f t="shared" si="171"/>
        <v>1100000</v>
      </c>
      <c r="U179" s="117">
        <f t="shared" si="171"/>
        <v>0</v>
      </c>
      <c r="V179" s="116"/>
      <c r="W179" s="116"/>
      <c r="X179" s="116"/>
      <c r="Y179" s="117">
        <f>SUM(Y201)</f>
        <v>0</v>
      </c>
      <c r="Z179" s="117"/>
      <c r="AA179" s="117"/>
      <c r="AB179" s="117">
        <f t="shared" ref="AB179:AF179" si="172">SUM(AB201)</f>
        <v>2660000</v>
      </c>
      <c r="AC179" s="117">
        <f t="shared" ref="AC179:AD179" si="173">SUM(AC201)</f>
        <v>4776000</v>
      </c>
      <c r="AD179" s="117">
        <f t="shared" si="173"/>
        <v>0</v>
      </c>
      <c r="AE179" s="117">
        <f t="shared" si="172"/>
        <v>281200</v>
      </c>
      <c r="AF179" s="117">
        <f t="shared" si="172"/>
        <v>9917200</v>
      </c>
      <c r="AG179" s="116"/>
      <c r="AH179" s="116"/>
      <c r="AI179" s="116"/>
      <c r="AJ179" s="117">
        <f t="shared" ref="AJ179:AL179" si="174">SUM(AJ201)</f>
        <v>0</v>
      </c>
      <c r="AK179" s="117">
        <f t="shared" si="174"/>
        <v>0</v>
      </c>
      <c r="AL179" s="117">
        <f t="shared" si="174"/>
        <v>0</v>
      </c>
      <c r="AM179" s="117">
        <f t="shared" ref="AM179:AN179" si="175">SUM(AM201)</f>
        <v>0</v>
      </c>
      <c r="AN179" s="117">
        <f t="shared" si="175"/>
        <v>0</v>
      </c>
      <c r="AO179" s="132"/>
      <c r="AP179" s="25"/>
      <c r="AQ179" s="117">
        <f t="shared" ref="AQ179" si="176">SUM(AQ201)</f>
        <v>21638805.750000004</v>
      </c>
      <c r="AR179" s="117">
        <f t="shared" ref="AR179:BB179" si="177">SUM(AR201)</f>
        <v>9917200</v>
      </c>
      <c r="AS179" s="117">
        <f t="shared" si="177"/>
        <v>0</v>
      </c>
      <c r="AT179" s="117">
        <f t="shared" si="177"/>
        <v>31556005.750000004</v>
      </c>
      <c r="AU179" s="117">
        <f t="shared" si="177"/>
        <v>21638805.750000004</v>
      </c>
      <c r="AV179" s="117">
        <f t="shared" si="177"/>
        <v>0</v>
      </c>
      <c r="AW179" s="117">
        <f t="shared" si="177"/>
        <v>0</v>
      </c>
      <c r="AX179" s="117">
        <f t="shared" si="177"/>
        <v>0</v>
      </c>
      <c r="AY179" s="117">
        <f t="shared" si="177"/>
        <v>0</v>
      </c>
      <c r="AZ179" s="117">
        <f t="shared" si="177"/>
        <v>471176.25</v>
      </c>
      <c r="BA179" s="117">
        <f t="shared" si="177"/>
        <v>0</v>
      </c>
      <c r="BB179" s="117">
        <f t="shared" si="177"/>
        <v>-9446023.75</v>
      </c>
    </row>
    <row r="180" spans="1:54" ht="124.8" outlineLevel="2">
      <c r="A180" s="98"/>
      <c r="B180" s="102"/>
      <c r="C180" s="23"/>
      <c r="D180" s="257"/>
      <c r="E180" s="123"/>
      <c r="F180" s="249"/>
      <c r="G180" s="283"/>
      <c r="H180" s="302" t="s">
        <v>516</v>
      </c>
      <c r="I180" s="104"/>
      <c r="J180" s="105"/>
      <c r="K180" s="105"/>
      <c r="L180" s="106" t="str">
        <f>IF(I180&lt;&gt;0,((VLOOKUP(I180,'1. Standard_Cost'!$B$4:$D$11,2)+VLOOKUP(I180,'1. Standard_Cost'!$B$4:$D$11,3))*J180*K180),"0")</f>
        <v>0</v>
      </c>
      <c r="M180" s="106">
        <f>L180*'1. Standard_Cost'!$F$4</f>
        <v>0</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c r="AB180" s="108">
        <f>+Z180*'1. Standard_Cost'!$B$23+AA180*'1. Standard_Cost'!$C$23</f>
        <v>0</v>
      </c>
      <c r="AC180" s="109"/>
      <c r="AD180" s="110"/>
      <c r="AE180" s="108">
        <f>SUM(AD180,AC180,AB180,Y180,U180,T180,S180,R180)*'1. Standard_Cost'!$B$31</f>
        <v>0</v>
      </c>
      <c r="AF180" s="108">
        <f t="shared" ref="AF180:AF200" si="178">SUM(AE180,AD180,AC180,AB180,Y180,U180,T180,S180,R180)</f>
        <v>0</v>
      </c>
      <c r="AG180" s="107"/>
      <c r="AH180" s="107"/>
      <c r="AI180" s="107"/>
      <c r="AJ180" s="111"/>
      <c r="AK180" s="111"/>
      <c r="AL180" s="111"/>
      <c r="AM180" s="108">
        <f>AG180*'1. Standard_Cost'!$B$27+'Incremental_Cost Year 6'!AH180*'1. Standard_Cost'!$C$27+'Incremental_Cost Year 6'!AI180*'1. Standard_Cost'!$D$27+'Incremental_Cost Year 6'!AJ180+'Incremental_Cost Year 6'!AL180+AK180</f>
        <v>0</v>
      </c>
      <c r="AN180" s="108">
        <f>AM180*'1. Standard_Cost'!$C$31</f>
        <v>0</v>
      </c>
      <c r="AO180" s="125" t="s">
        <v>395</v>
      </c>
      <c r="AQ180" s="14">
        <f t="shared" ref="AQ180:AQ200" si="179">L180+M180</f>
        <v>0</v>
      </c>
      <c r="AR180" s="14">
        <f t="shared" ref="AR180:AR200" si="180">AF180</f>
        <v>0</v>
      </c>
      <c r="AS180" s="14">
        <f t="shared" ref="AS180:AS200" si="181">AM180+AN180</f>
        <v>0</v>
      </c>
      <c r="AT180" s="14">
        <f>SUM(AQ180,AR180,AS180)</f>
        <v>0</v>
      </c>
      <c r="AU180" s="15">
        <v>0</v>
      </c>
      <c r="AV180" s="15"/>
      <c r="AW180" s="15"/>
      <c r="AX180" s="15"/>
      <c r="AY180" s="15"/>
      <c r="AZ180" s="15"/>
      <c r="BA180" s="15"/>
      <c r="BB180" s="16">
        <f t="shared" ref="BB180:BB200" si="182">SUM(AU180:BA180)-AT180</f>
        <v>0</v>
      </c>
    </row>
    <row r="181" spans="1:54" ht="187.2" customHeight="1" outlineLevel="2">
      <c r="A181" s="98"/>
      <c r="B181" s="102"/>
      <c r="C181" s="23"/>
      <c r="D181" s="269"/>
      <c r="E181" s="271"/>
      <c r="F181" s="250"/>
      <c r="G181" s="255"/>
      <c r="H181" s="302" t="s">
        <v>517</v>
      </c>
      <c r="I181" s="104"/>
      <c r="J181" s="105"/>
      <c r="K181" s="105"/>
      <c r="L181" s="106" t="str">
        <f>IF(I181&lt;&gt;0,((VLOOKUP(I181,'1. Standard_Cost'!$B$4:$D$11,2)+VLOOKUP(I181,'1. Standard_Cost'!$B$4:$D$11,3))*J181*K181),"0")</f>
        <v>0</v>
      </c>
      <c r="M181" s="106">
        <f>L181*'1. Standard_Cost'!$F$4</f>
        <v>0</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c r="AB181" s="108">
        <f>+Z181*'1. Standard_Cost'!$B$23+AA181*'1. Standard_Cost'!$C$23</f>
        <v>0</v>
      </c>
      <c r="AC181" s="109"/>
      <c r="AD181" s="110"/>
      <c r="AE181" s="108">
        <f>SUM(AD181,AC181,AB181,Y181,U181,T181,S181,R181)*'1. Standard_Cost'!$B$31</f>
        <v>0</v>
      </c>
      <c r="AF181" s="108">
        <f t="shared" si="178"/>
        <v>0</v>
      </c>
      <c r="AG181" s="107"/>
      <c r="AH181" s="107"/>
      <c r="AI181" s="107"/>
      <c r="AJ181" s="111"/>
      <c r="AK181" s="111"/>
      <c r="AL181" s="111"/>
      <c r="AM181" s="108">
        <f>AG181*'1. Standard_Cost'!$B$27+'Incremental_Cost Year 6'!AH181*'1. Standard_Cost'!$C$27+'Incremental_Cost Year 6'!AI181*'1. Standard_Cost'!$D$27+'Incremental_Cost Year 6'!AJ181+'Incremental_Cost Year 6'!AL181+AK181</f>
        <v>0</v>
      </c>
      <c r="AN181" s="108">
        <f>AM181*'1. Standard_Cost'!$C$31</f>
        <v>0</v>
      </c>
      <c r="AO181" s="125" t="s">
        <v>396</v>
      </c>
      <c r="AQ181" s="14">
        <f t="shared" si="179"/>
        <v>0</v>
      </c>
      <c r="AR181" s="14">
        <f t="shared" si="180"/>
        <v>0</v>
      </c>
      <c r="AS181" s="14">
        <f t="shared" si="181"/>
        <v>0</v>
      </c>
      <c r="AT181" s="14">
        <f t="shared" ref="AT181:AT200" si="183">SUM(AQ181,AR181,AS181)</f>
        <v>0</v>
      </c>
      <c r="AU181" s="15">
        <v>0</v>
      </c>
      <c r="AV181" s="15"/>
      <c r="AW181" s="15"/>
      <c r="AX181" s="15"/>
      <c r="AY181" s="15"/>
      <c r="AZ181" s="15"/>
      <c r="BA181" s="15"/>
      <c r="BB181" s="16">
        <f t="shared" si="182"/>
        <v>0</v>
      </c>
    </row>
    <row r="182" spans="1:54" ht="124.8" outlineLevel="2">
      <c r="A182" s="98"/>
      <c r="B182" s="102"/>
      <c r="C182" s="23"/>
      <c r="D182" s="269"/>
      <c r="E182" s="271"/>
      <c r="F182" s="250"/>
      <c r="G182" s="255"/>
      <c r="H182" s="302" t="s">
        <v>518</v>
      </c>
      <c r="I182" s="104"/>
      <c r="J182" s="105"/>
      <c r="K182" s="105"/>
      <c r="L182" s="106" t="str">
        <f>IF(I182&lt;&gt;0,((VLOOKUP(I182,'1. Standard_Cost'!$B$4:$D$11,2)+VLOOKUP(I182,'1. Standard_Cost'!$B$4:$D$11,3))*J182*K182),"0")</f>
        <v>0</v>
      </c>
      <c r="M182" s="106">
        <f>L182*'1. Standard_Cost'!$F$4</f>
        <v>0</v>
      </c>
      <c r="N182" s="107"/>
      <c r="O182" s="107"/>
      <c r="P182" s="107"/>
      <c r="Q182" s="107"/>
      <c r="R182" s="108">
        <f>'1. Standard_Cost'!$B$15*N182*P182</f>
        <v>0</v>
      </c>
      <c r="S182" s="108">
        <f>N182*O182*P182*'1. Standard_Cost'!$C$15</f>
        <v>0</v>
      </c>
      <c r="T182" s="108">
        <f>N182*P182*Q182*'1. Standard_Cost'!$D$15</f>
        <v>0</v>
      </c>
      <c r="U182" s="108">
        <f>N182*O182*'1. Standard_Cost'!$E$15</f>
        <v>0</v>
      </c>
      <c r="V182" s="107"/>
      <c r="W182" s="107"/>
      <c r="X182" s="107"/>
      <c r="Y182" s="108">
        <f>+V182*((X182*'1. Standard_Cost'!$B$19)+(W182*X182*'1. Standard_Cost'!$C$19))</f>
        <v>0</v>
      </c>
      <c r="Z182" s="107"/>
      <c r="AA182" s="107"/>
      <c r="AB182" s="108">
        <f>+Z182*'1. Standard_Cost'!$B$23+AA182*'1. Standard_Cost'!$C$23</f>
        <v>0</v>
      </c>
      <c r="AC182" s="109"/>
      <c r="AD182" s="110"/>
      <c r="AE182" s="108">
        <f>SUM(AD182,AC182,AB182,Y182,U182,T182,S182,R182)*'1. Standard_Cost'!$B$31</f>
        <v>0</v>
      </c>
      <c r="AF182" s="108">
        <f t="shared" si="178"/>
        <v>0</v>
      </c>
      <c r="AG182" s="107"/>
      <c r="AH182" s="107"/>
      <c r="AI182" s="107"/>
      <c r="AJ182" s="111"/>
      <c r="AK182" s="111"/>
      <c r="AL182" s="111"/>
      <c r="AM182" s="108">
        <f>AG182*'1. Standard_Cost'!$B$27+'Incremental_Cost Year 6'!AH182*'1. Standard_Cost'!$C$27+'Incremental_Cost Year 6'!AI182*'1. Standard_Cost'!$D$27+'Incremental_Cost Year 6'!AJ182+'Incremental_Cost Year 6'!AL182+AK182</f>
        <v>0</v>
      </c>
      <c r="AN182" s="108">
        <f>AM182*'1. Standard_Cost'!$C$31</f>
        <v>0</v>
      </c>
      <c r="AO182" s="125" t="s">
        <v>397</v>
      </c>
      <c r="AQ182" s="14">
        <f t="shared" si="179"/>
        <v>0</v>
      </c>
      <c r="AR182" s="14">
        <f t="shared" si="180"/>
        <v>0</v>
      </c>
      <c r="AS182" s="14">
        <f t="shared" si="181"/>
        <v>0</v>
      </c>
      <c r="AT182" s="14">
        <f t="shared" si="183"/>
        <v>0</v>
      </c>
      <c r="AU182" s="15">
        <v>0</v>
      </c>
      <c r="AV182" s="15"/>
      <c r="AW182" s="15"/>
      <c r="AX182" s="15"/>
      <c r="AY182" s="15"/>
      <c r="AZ182" s="15"/>
      <c r="BA182" s="15"/>
      <c r="BB182" s="16">
        <f t="shared" si="182"/>
        <v>0</v>
      </c>
    </row>
    <row r="183" spans="1:54" ht="93.6" outlineLevel="2">
      <c r="A183" s="98"/>
      <c r="B183" s="102"/>
      <c r="C183" s="23"/>
      <c r="D183" s="269"/>
      <c r="E183" s="271"/>
      <c r="F183" s="250"/>
      <c r="G183" s="255"/>
      <c r="H183" s="302" t="s">
        <v>519</v>
      </c>
      <c r="I183" s="104" t="s">
        <v>4</v>
      </c>
      <c r="J183" s="105">
        <v>1</v>
      </c>
      <c r="K183" s="105">
        <v>3</v>
      </c>
      <c r="L183" s="106">
        <f>IF(I183&lt;&gt;0,((VLOOKUP(I183,'1. Standard_Cost'!$B$4:$D$11,2)+VLOOKUP(I183,'1. Standard_Cost'!$B$4:$D$11,3))*J183*K183),"0")</f>
        <v>242250</v>
      </c>
      <c r="M183" s="106">
        <f>L183*'1. Standard_Cost'!$F$4</f>
        <v>40455.75</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f>50000+2*200000+4000*30</f>
        <v>570000</v>
      </c>
      <c r="AD183" s="110"/>
      <c r="AE183" s="108">
        <f>SUM(AD183,AC183,AB183,Y183,U183,T183,S183,R183)*'1. Standard_Cost'!$B$31</f>
        <v>114000</v>
      </c>
      <c r="AF183" s="108">
        <f t="shared" si="178"/>
        <v>684000</v>
      </c>
      <c r="AG183" s="107"/>
      <c r="AH183" s="107"/>
      <c r="AI183" s="107"/>
      <c r="AJ183" s="111"/>
      <c r="AK183" s="111"/>
      <c r="AL183" s="111"/>
      <c r="AM183" s="108">
        <f>AG183*'1. Standard_Cost'!$B$27+'Incremental_Cost Year 6'!AH183*'1. Standard_Cost'!$C$27+'Incremental_Cost Year 6'!AI183*'1. Standard_Cost'!$D$27+'Incremental_Cost Year 6'!AJ183+'Incremental_Cost Year 6'!AL183+AK183</f>
        <v>0</v>
      </c>
      <c r="AN183" s="108">
        <f>AM183*'1. Standard_Cost'!$C$31</f>
        <v>0</v>
      </c>
      <c r="AO183" s="125" t="s">
        <v>398</v>
      </c>
      <c r="AQ183" s="14">
        <f t="shared" si="179"/>
        <v>282705.75</v>
      </c>
      <c r="AR183" s="14">
        <f t="shared" si="180"/>
        <v>684000</v>
      </c>
      <c r="AS183" s="14">
        <f t="shared" si="181"/>
        <v>0</v>
      </c>
      <c r="AT183" s="14">
        <f t="shared" si="183"/>
        <v>966705.75</v>
      </c>
      <c r="AU183" s="15">
        <v>282705.75</v>
      </c>
      <c r="AV183" s="15"/>
      <c r="AW183" s="15"/>
      <c r="AX183" s="15"/>
      <c r="AY183" s="15"/>
      <c r="AZ183" s="15"/>
      <c r="BA183" s="15"/>
      <c r="BB183" s="16">
        <f t="shared" si="182"/>
        <v>-684000</v>
      </c>
    </row>
    <row r="184" spans="1:54" ht="171.6" outlineLevel="2">
      <c r="A184" s="98"/>
      <c r="B184" s="102"/>
      <c r="C184" s="23"/>
      <c r="D184" s="269"/>
      <c r="E184" s="271"/>
      <c r="F184" s="250"/>
      <c r="G184" s="255"/>
      <c r="H184" s="302" t="s">
        <v>520</v>
      </c>
      <c r="I184" s="104" t="s">
        <v>4</v>
      </c>
      <c r="J184" s="105">
        <v>1</v>
      </c>
      <c r="K184" s="105">
        <v>2</v>
      </c>
      <c r="L184" s="106">
        <f>IF(I184&lt;&gt;0,((VLOOKUP(I184,'1. Standard_Cost'!$B$4:$D$11,2)+VLOOKUP(I184,'1. Standard_Cost'!$B$4:$D$11,3))*J184*K184),"0")</f>
        <v>161500</v>
      </c>
      <c r="M184" s="106">
        <f>L184*'1. Standard_Cost'!$F$4</f>
        <v>26970.5</v>
      </c>
      <c r="N184" s="107">
        <v>10</v>
      </c>
      <c r="O184" s="107">
        <v>2</v>
      </c>
      <c r="P184" s="107">
        <v>10</v>
      </c>
      <c r="Q184" s="107">
        <v>1</v>
      </c>
      <c r="R184" s="108">
        <f>'1. Standard_Cost'!$B$15*N184*P184</f>
        <v>200000</v>
      </c>
      <c r="S184" s="108">
        <f>N184*O184*P184*'1. Standard_Cost'!$C$15</f>
        <v>300000</v>
      </c>
      <c r="T184" s="108">
        <f>N184*P184*Q184*'1. Standard_Cost'!$D$15</f>
        <v>500000</v>
      </c>
      <c r="U184" s="108">
        <v>0</v>
      </c>
      <c r="V184" s="107"/>
      <c r="W184" s="107"/>
      <c r="X184" s="107"/>
      <c r="Y184" s="108">
        <f>+V184*((X184*'1. Standard_Cost'!$B$19)+(W184*X184*'1. Standard_Cost'!$C$19))</f>
        <v>0</v>
      </c>
      <c r="Z184" s="107"/>
      <c r="AA184" s="107">
        <v>10</v>
      </c>
      <c r="AB184" s="108">
        <f>+Z184*'1. Standard_Cost'!$B$23+AA184*'1. Standard_Cost'!$C$23</f>
        <v>190000</v>
      </c>
      <c r="AC184" s="109"/>
      <c r="AD184" s="110"/>
      <c r="AE184" s="108">
        <v>0</v>
      </c>
      <c r="AF184" s="108">
        <f t="shared" si="178"/>
        <v>1190000</v>
      </c>
      <c r="AG184" s="107"/>
      <c r="AH184" s="107"/>
      <c r="AI184" s="107"/>
      <c r="AJ184" s="111"/>
      <c r="AK184" s="111"/>
      <c r="AL184" s="111"/>
      <c r="AM184" s="108">
        <f>AG184*'1. Standard_Cost'!$B$27+'Incremental_Cost Year 6'!AH184*'1. Standard_Cost'!$C$27+'Incremental_Cost Year 6'!AI184*'1. Standard_Cost'!$D$27+'Incremental_Cost Year 6'!AJ184+'Incremental_Cost Year 6'!AL184+AK184</f>
        <v>0</v>
      </c>
      <c r="AN184" s="108">
        <f>AM184*'1. Standard_Cost'!$C$31</f>
        <v>0</v>
      </c>
      <c r="AO184" s="125" t="s">
        <v>399</v>
      </c>
      <c r="AQ184" s="14">
        <f t="shared" si="179"/>
        <v>188470.5</v>
      </c>
      <c r="AR184" s="14">
        <f t="shared" si="180"/>
        <v>1190000</v>
      </c>
      <c r="AS184" s="14">
        <f t="shared" si="181"/>
        <v>0</v>
      </c>
      <c r="AT184" s="14">
        <f t="shared" si="183"/>
        <v>1378470.5</v>
      </c>
      <c r="AU184" s="15">
        <v>188470.5</v>
      </c>
      <c r="AV184" s="15"/>
      <c r="AW184" s="15"/>
      <c r="AX184" s="15"/>
      <c r="AY184" s="15">
        <v>0</v>
      </c>
      <c r="AZ184" s="15">
        <v>0</v>
      </c>
      <c r="BA184" s="15"/>
      <c r="BB184" s="16">
        <f t="shared" si="182"/>
        <v>-1190000</v>
      </c>
    </row>
    <row r="185" spans="1:54" ht="124.8" outlineLevel="2">
      <c r="A185" s="98"/>
      <c r="B185" s="102"/>
      <c r="C185" s="23"/>
      <c r="D185" s="269"/>
      <c r="E185" s="271"/>
      <c r="F185" s="250"/>
      <c r="G185" s="255"/>
      <c r="H185" s="302" t="s">
        <v>521</v>
      </c>
      <c r="I185" s="104"/>
      <c r="J185" s="105"/>
      <c r="K185" s="105"/>
      <c r="L185" s="106" t="str">
        <f>IF(I185&lt;&gt;0,((VLOOKUP(I185,'1. Standard_Cost'!$B$4:$D$11,2)+VLOOKUP(I185,'1. Standard_Cost'!$B$4:$D$11,3))*J185*K185),"0")</f>
        <v>0</v>
      </c>
      <c r="M185" s="106">
        <f>L185*'1. Standard_Cost'!$F$4</f>
        <v>0</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c r="AD185" s="110"/>
      <c r="AE185" s="108">
        <f>SUM(AD185,AC185,AB185,Y185,U185,T185,S185,R185)*'1. Standard_Cost'!$B$31</f>
        <v>0</v>
      </c>
      <c r="AF185" s="108">
        <f t="shared" si="178"/>
        <v>0</v>
      </c>
      <c r="AG185" s="107"/>
      <c r="AH185" s="107"/>
      <c r="AI185" s="107"/>
      <c r="AJ185" s="111"/>
      <c r="AK185" s="111"/>
      <c r="AL185" s="111"/>
      <c r="AM185" s="108">
        <f>AG185*'1. Standard_Cost'!$B$27+'Incremental_Cost Year 6'!AH185*'1. Standard_Cost'!$C$27+'Incremental_Cost Year 6'!AI185*'1. Standard_Cost'!$D$27+'Incremental_Cost Year 6'!AJ185+'Incremental_Cost Year 6'!AL185+AK185</f>
        <v>0</v>
      </c>
      <c r="AN185" s="108">
        <f>AM185*'1. Standard_Cost'!$C$31</f>
        <v>0</v>
      </c>
      <c r="AO185" s="125" t="s">
        <v>400</v>
      </c>
      <c r="AQ185" s="14">
        <f t="shared" si="179"/>
        <v>0</v>
      </c>
      <c r="AR185" s="14">
        <f t="shared" si="180"/>
        <v>0</v>
      </c>
      <c r="AS185" s="14">
        <f t="shared" si="181"/>
        <v>0</v>
      </c>
      <c r="AT185" s="14">
        <f t="shared" si="183"/>
        <v>0</v>
      </c>
      <c r="AU185" s="15">
        <v>0</v>
      </c>
      <c r="AV185" s="15"/>
      <c r="AW185" s="15"/>
      <c r="AX185" s="15"/>
      <c r="AY185" s="15">
        <v>0</v>
      </c>
      <c r="AZ185" s="15">
        <v>0</v>
      </c>
      <c r="BA185" s="15"/>
      <c r="BB185" s="16">
        <f t="shared" si="182"/>
        <v>0</v>
      </c>
    </row>
    <row r="186" spans="1:54" ht="62.4" outlineLevel="2">
      <c r="A186" s="98"/>
      <c r="B186" s="102"/>
      <c r="C186" s="23"/>
      <c r="D186" s="269"/>
      <c r="E186" s="271"/>
      <c r="F186" s="250"/>
      <c r="G186" s="255"/>
      <c r="H186" s="302" t="s">
        <v>522</v>
      </c>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78"/>
        <v>0</v>
      </c>
      <c r="AG186" s="107"/>
      <c r="AH186" s="107"/>
      <c r="AI186" s="107"/>
      <c r="AJ186" s="111"/>
      <c r="AK186" s="111"/>
      <c r="AL186" s="111"/>
      <c r="AM186" s="108">
        <f>AG186*'1. Standard_Cost'!$B$27+'Incremental_Cost Year 6'!AH186*'1. Standard_Cost'!$C$27+'Incremental_Cost Year 6'!AI186*'1. Standard_Cost'!$D$27+'Incremental_Cost Year 6'!AJ186+'Incremental_Cost Year 6'!AL186+AK186</f>
        <v>0</v>
      </c>
      <c r="AN186" s="108">
        <f>AM186*'1. Standard_Cost'!$C$31</f>
        <v>0</v>
      </c>
      <c r="AO186" s="125" t="s">
        <v>401</v>
      </c>
      <c r="AQ186" s="14">
        <f t="shared" si="179"/>
        <v>0</v>
      </c>
      <c r="AR186" s="14">
        <f t="shared" si="180"/>
        <v>0</v>
      </c>
      <c r="AS186" s="14">
        <f t="shared" si="181"/>
        <v>0</v>
      </c>
      <c r="AT186" s="14">
        <f t="shared" si="183"/>
        <v>0</v>
      </c>
      <c r="AU186" s="15">
        <v>0</v>
      </c>
      <c r="AV186" s="15"/>
      <c r="AW186" s="15"/>
      <c r="AX186" s="15"/>
      <c r="AY186" s="15"/>
      <c r="AZ186" s="15"/>
      <c r="BA186" s="15"/>
      <c r="BB186" s="16">
        <f t="shared" si="182"/>
        <v>0</v>
      </c>
    </row>
    <row r="187" spans="1:54" ht="109.2" outlineLevel="2">
      <c r="A187" s="98"/>
      <c r="B187" s="102"/>
      <c r="C187" s="23"/>
      <c r="D187" s="269"/>
      <c r="E187" s="271"/>
      <c r="F187" s="250"/>
      <c r="G187" s="255"/>
      <c r="H187" s="302" t="s">
        <v>523</v>
      </c>
      <c r="I187" s="104" t="s">
        <v>4</v>
      </c>
      <c r="J187" s="105">
        <v>0.4</v>
      </c>
      <c r="K187" s="105">
        <v>2</v>
      </c>
      <c r="L187" s="106">
        <f>IF(I187&lt;&gt;0,((VLOOKUP(I187,'1. Standard_Cost'!$B$4:$D$11,2)+VLOOKUP(I187,'1. Standard_Cost'!$B$4:$D$11,3))*J187*K187),"0")</f>
        <v>64600</v>
      </c>
      <c r="M187" s="106">
        <f>L187*'1. Standard_Cost'!$F$4</f>
        <v>10788.2</v>
      </c>
      <c r="N187" s="107">
        <v>4</v>
      </c>
      <c r="O187" s="107">
        <v>2</v>
      </c>
      <c r="P187" s="107">
        <v>30</v>
      </c>
      <c r="Q187" s="107">
        <v>1</v>
      </c>
      <c r="R187" s="108">
        <f>'1. Standard_Cost'!$B$15*N187*P187</f>
        <v>240000</v>
      </c>
      <c r="S187" s="108">
        <f>N187*O187*P187*'1. Standard_Cost'!$C$15</f>
        <v>360000</v>
      </c>
      <c r="T187" s="108">
        <f>N187*P187*Q187*'1. Standard_Cost'!$D$15</f>
        <v>600000</v>
      </c>
      <c r="U187" s="108">
        <v>0</v>
      </c>
      <c r="V187" s="107"/>
      <c r="W187" s="107"/>
      <c r="X187" s="107"/>
      <c r="Y187" s="108">
        <f>+V187*((X187*'1. Standard_Cost'!$B$19)+(W187*X187*'1. Standard_Cost'!$C$19))</f>
        <v>0</v>
      </c>
      <c r="Z187" s="107"/>
      <c r="AA187" s="107">
        <v>29</v>
      </c>
      <c r="AB187" s="108">
        <f>+Z187*'1. Standard_Cost'!$B$23+AA187*'1. Standard_Cost'!$C$23</f>
        <v>551000</v>
      </c>
      <c r="AC187" s="109">
        <f>120*300</f>
        <v>36000</v>
      </c>
      <c r="AD187" s="110"/>
      <c r="AE187" s="108">
        <v>0</v>
      </c>
      <c r="AF187" s="108">
        <f t="shared" si="178"/>
        <v>1787000</v>
      </c>
      <c r="AG187" s="107"/>
      <c r="AH187" s="107"/>
      <c r="AI187" s="107"/>
      <c r="AJ187" s="111"/>
      <c r="AK187" s="111"/>
      <c r="AL187" s="111"/>
      <c r="AM187" s="108">
        <f>AG187*'1. Standard_Cost'!$B$27+'Incremental_Cost Year 6'!AH187*'1. Standard_Cost'!$C$27+'Incremental_Cost Year 6'!AI187*'1. Standard_Cost'!$D$27+'Incremental_Cost Year 6'!AJ187+'Incremental_Cost Year 6'!AL187+AK187</f>
        <v>0</v>
      </c>
      <c r="AN187" s="108">
        <f>AM187*'1. Standard_Cost'!$C$31</f>
        <v>0</v>
      </c>
      <c r="AO187" s="125" t="s">
        <v>402</v>
      </c>
      <c r="AQ187" s="14">
        <f t="shared" si="179"/>
        <v>75388.2</v>
      </c>
      <c r="AR187" s="14">
        <f t="shared" si="180"/>
        <v>1787000</v>
      </c>
      <c r="AS187" s="14">
        <f t="shared" si="181"/>
        <v>0</v>
      </c>
      <c r="AT187" s="14">
        <f t="shared" si="183"/>
        <v>1862388.2</v>
      </c>
      <c r="AU187" s="15">
        <v>75388.2</v>
      </c>
      <c r="AV187" s="15"/>
      <c r="AW187" s="15"/>
      <c r="AX187" s="15"/>
      <c r="AY187" s="15"/>
      <c r="AZ187" s="15"/>
      <c r="BA187" s="15"/>
      <c r="BB187" s="16">
        <f t="shared" si="182"/>
        <v>-1787000</v>
      </c>
    </row>
    <row r="188" spans="1:54" ht="124.8" outlineLevel="2">
      <c r="A188" s="98"/>
      <c r="B188" s="102"/>
      <c r="C188" s="23"/>
      <c r="D188" s="269"/>
      <c r="E188" s="271"/>
      <c r="F188" s="250"/>
      <c r="G188" s="177"/>
      <c r="H188" s="302" t="s">
        <v>524</v>
      </c>
      <c r="I188" s="104" t="s">
        <v>4</v>
      </c>
      <c r="J188" s="105">
        <v>1</v>
      </c>
      <c r="K188" s="105">
        <v>3</v>
      </c>
      <c r="L188" s="106">
        <f>IF(I188&lt;&gt;0,((VLOOKUP(I188,'1. Standard_Cost'!$B$4:$D$11,2)+VLOOKUP(I188,'1. Standard_Cost'!$B$4:$D$11,3))*J188*K188),"0")</f>
        <v>242250</v>
      </c>
      <c r="M188" s="106">
        <f>L188*'1. Standard_Cost'!$F$4</f>
        <v>40455.75</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f>50000+2*200000+4000*30</f>
        <v>570000</v>
      </c>
      <c r="AD188" s="110"/>
      <c r="AE188" s="108">
        <v>0</v>
      </c>
      <c r="AF188" s="108">
        <f t="shared" si="178"/>
        <v>570000</v>
      </c>
      <c r="AG188" s="107"/>
      <c r="AH188" s="107"/>
      <c r="AI188" s="107"/>
      <c r="AJ188" s="111"/>
      <c r="AK188" s="111"/>
      <c r="AL188" s="111"/>
      <c r="AM188" s="108">
        <f>AG188*'1. Standard_Cost'!$B$27+'Incremental_Cost Year 6'!AH188*'1. Standard_Cost'!$C$27+'Incremental_Cost Year 6'!AI188*'1. Standard_Cost'!$D$27+'Incremental_Cost Year 6'!AJ188+'Incremental_Cost Year 6'!AL188+AK188</f>
        <v>0</v>
      </c>
      <c r="AN188" s="108">
        <f>AM188*'1. Standard_Cost'!$C$31</f>
        <v>0</v>
      </c>
      <c r="AO188" s="125" t="s">
        <v>335</v>
      </c>
      <c r="AQ188" s="14">
        <f t="shared" si="179"/>
        <v>282705.75</v>
      </c>
      <c r="AR188" s="14">
        <f t="shared" si="180"/>
        <v>570000</v>
      </c>
      <c r="AS188" s="14">
        <f t="shared" si="181"/>
        <v>0</v>
      </c>
      <c r="AT188" s="14">
        <f t="shared" si="183"/>
        <v>852705.75</v>
      </c>
      <c r="AU188" s="15">
        <v>282705.75</v>
      </c>
      <c r="AV188" s="15"/>
      <c r="AW188" s="15"/>
      <c r="AX188" s="15"/>
      <c r="AY188" s="15"/>
      <c r="AZ188" s="15"/>
      <c r="BA188" s="15"/>
      <c r="BB188" s="16">
        <f t="shared" si="182"/>
        <v>-570000</v>
      </c>
    </row>
    <row r="189" spans="1:54" ht="46.8" outlineLevel="2">
      <c r="A189" s="98"/>
      <c r="B189" s="102"/>
      <c r="C189" s="23"/>
      <c r="D189" s="269"/>
      <c r="E189" s="271"/>
      <c r="F189" s="250"/>
      <c r="G189" s="177"/>
      <c r="H189" s="302" t="s">
        <v>525</v>
      </c>
      <c r="I189" s="104" t="s">
        <v>2</v>
      </c>
      <c r="J189" s="105">
        <v>1</v>
      </c>
      <c r="K189" s="105">
        <v>3</v>
      </c>
      <c r="L189" s="106">
        <f>IF(I189&lt;&gt;0,((VLOOKUP(I189,'1. Standard_Cost'!$B$4:$D$11,2)+VLOOKUP(I189,'1. Standard_Cost'!$B$4:$D$11,3))*J189*K189),"0")</f>
        <v>363000</v>
      </c>
      <c r="M189" s="106">
        <f>L189*'1. Standard_Cost'!$F$4</f>
        <v>60621</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78"/>
        <v>0</v>
      </c>
      <c r="AG189" s="107"/>
      <c r="AH189" s="107"/>
      <c r="AI189" s="107"/>
      <c r="AJ189" s="111"/>
      <c r="AK189" s="111"/>
      <c r="AL189" s="111"/>
      <c r="AM189" s="108">
        <f>AG189*'1. Standard_Cost'!$B$27+'Incremental_Cost Year 6'!AH189*'1. Standard_Cost'!$C$27+'Incremental_Cost Year 6'!AI189*'1. Standard_Cost'!$D$27+'Incremental_Cost Year 6'!AJ189+'Incremental_Cost Year 6'!AL189+AK189</f>
        <v>0</v>
      </c>
      <c r="AN189" s="108">
        <f>AM189*'1. Standard_Cost'!$C$31</f>
        <v>0</v>
      </c>
      <c r="AO189" s="125" t="s">
        <v>403</v>
      </c>
      <c r="AQ189" s="14">
        <f t="shared" si="179"/>
        <v>423621</v>
      </c>
      <c r="AR189" s="14">
        <f t="shared" si="180"/>
        <v>0</v>
      </c>
      <c r="AS189" s="14">
        <f t="shared" si="181"/>
        <v>0</v>
      </c>
      <c r="AT189" s="14">
        <f t="shared" si="183"/>
        <v>423621</v>
      </c>
      <c r="AU189" s="15">
        <v>423621</v>
      </c>
      <c r="AV189" s="15"/>
      <c r="AW189" s="15"/>
      <c r="AX189" s="15"/>
      <c r="AY189" s="15"/>
      <c r="AZ189" s="15"/>
      <c r="BA189" s="15"/>
      <c r="BB189" s="16">
        <f t="shared" si="182"/>
        <v>0</v>
      </c>
    </row>
    <row r="190" spans="1:54" ht="124.8" outlineLevel="2">
      <c r="A190" s="98"/>
      <c r="B190" s="102"/>
      <c r="C190" s="23"/>
      <c r="D190" s="269"/>
      <c r="E190" s="271"/>
      <c r="F190" s="250"/>
      <c r="G190" s="255"/>
      <c r="H190" s="302" t="s">
        <v>526</v>
      </c>
      <c r="I190" s="104" t="s">
        <v>4</v>
      </c>
      <c r="J190" s="105">
        <v>0.4</v>
      </c>
      <c r="K190" s="105">
        <v>1</v>
      </c>
      <c r="L190" s="106">
        <f>IF(I190&lt;&gt;0,((VLOOKUP(I190,'1. Standard_Cost'!$B$4:$D$11,2)+VLOOKUP(I190,'1. Standard_Cost'!$B$4:$D$11,3))*J190*K190),"0")</f>
        <v>32300</v>
      </c>
      <c r="M190" s="106">
        <f>L190*'1. Standard_Cost'!$F$4</f>
        <v>5394.1</v>
      </c>
      <c r="N190" s="107">
        <v>10</v>
      </c>
      <c r="O190" s="107">
        <v>2</v>
      </c>
      <c r="P190" s="107">
        <v>15</v>
      </c>
      <c r="Q190" s="107">
        <v>0</v>
      </c>
      <c r="R190" s="108">
        <v>0</v>
      </c>
      <c r="S190" s="108">
        <v>0</v>
      </c>
      <c r="T190" s="108">
        <f>N190*P190*Q190*'1. Standard_Cost'!$D$15</f>
        <v>0</v>
      </c>
      <c r="U190" s="108">
        <v>0</v>
      </c>
      <c r="V190" s="107"/>
      <c r="W190" s="107"/>
      <c r="X190" s="107"/>
      <c r="Y190" s="108">
        <f>+V190*((X190*'1. Standard_Cost'!$B$19)+(W190*X190*'1. Standard_Cost'!$C$19))</f>
        <v>0</v>
      </c>
      <c r="Z190" s="107"/>
      <c r="AA190" s="107">
        <f>20+22</f>
        <v>42</v>
      </c>
      <c r="AB190" s="108">
        <f>+Z190*'1. Standard_Cost'!$B$23+AA190*'1. Standard_Cost'!$C$23</f>
        <v>798000</v>
      </c>
      <c r="AC190" s="109">
        <f>150*3500*2+150*500*2</f>
        <v>1200000</v>
      </c>
      <c r="AD190" s="110"/>
      <c r="AE190" s="108">
        <v>0</v>
      </c>
      <c r="AF190" s="108">
        <f t="shared" si="178"/>
        <v>1998000</v>
      </c>
      <c r="AG190" s="107"/>
      <c r="AH190" s="107"/>
      <c r="AI190" s="107"/>
      <c r="AJ190" s="111"/>
      <c r="AK190" s="111"/>
      <c r="AL190" s="111"/>
      <c r="AM190" s="108">
        <f>AG190*'1. Standard_Cost'!$B$27+'Incremental_Cost Year 6'!AH190*'1. Standard_Cost'!$C$27+'Incremental_Cost Year 6'!AI190*'1. Standard_Cost'!$D$27+'Incremental_Cost Year 6'!AJ190+'Incremental_Cost Year 6'!AL190+AK190</f>
        <v>0</v>
      </c>
      <c r="AN190" s="108">
        <f>AM190*'1. Standard_Cost'!$C$31</f>
        <v>0</v>
      </c>
      <c r="AO190" s="125" t="s">
        <v>404</v>
      </c>
      <c r="AQ190" s="14">
        <f t="shared" si="179"/>
        <v>37694.1</v>
      </c>
      <c r="AR190" s="14">
        <f t="shared" si="180"/>
        <v>1998000</v>
      </c>
      <c r="AS190" s="14">
        <f t="shared" si="181"/>
        <v>0</v>
      </c>
      <c r="AT190" s="14">
        <f t="shared" si="183"/>
        <v>2035694.1</v>
      </c>
      <c r="AU190" s="15">
        <v>37694.1</v>
      </c>
      <c r="AV190" s="15"/>
      <c r="AW190" s="15"/>
      <c r="AX190" s="15"/>
      <c r="AY190" s="15"/>
      <c r="AZ190" s="15"/>
      <c r="BA190" s="15"/>
      <c r="BB190" s="16">
        <f t="shared" si="182"/>
        <v>-1998000</v>
      </c>
    </row>
    <row r="191" spans="1:54" ht="109.2" outlineLevel="2">
      <c r="A191" s="98"/>
      <c r="B191" s="102"/>
      <c r="C191" s="23"/>
      <c r="D191" s="269"/>
      <c r="E191" s="271"/>
      <c r="F191" s="250"/>
      <c r="G191" s="255"/>
      <c r="H191" s="302" t="s">
        <v>527</v>
      </c>
      <c r="I191" s="104"/>
      <c r="J191" s="105"/>
      <c r="K191" s="105"/>
      <c r="L191" s="106" t="str">
        <f>IF(I191&lt;&gt;0,((VLOOKUP(I191,'1. Standard_Cost'!$B$4:$D$11,2)+VLOOKUP(I191,'1. Standard_Cost'!$B$4:$D$11,3))*J191*K191),"0")</f>
        <v>0</v>
      </c>
      <c r="M191" s="106">
        <f>L191*'1. Standard_Cost'!$F$4</f>
        <v>0</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c r="AB191" s="108">
        <f>+Z191*'1. Standard_Cost'!$B$23+AA191*'1. Standard_Cost'!$C$23</f>
        <v>0</v>
      </c>
      <c r="AC191" s="109"/>
      <c r="AD191" s="110"/>
      <c r="AE191" s="108">
        <f>SUM(AD191,AC191,AB191,Y191,U191,T191,S191,R191)*'1. Standard_Cost'!$B$31</f>
        <v>0</v>
      </c>
      <c r="AF191" s="108">
        <f t="shared" si="178"/>
        <v>0</v>
      </c>
      <c r="AG191" s="107"/>
      <c r="AH191" s="107"/>
      <c r="AI191" s="107"/>
      <c r="AJ191" s="111"/>
      <c r="AK191" s="111"/>
      <c r="AL191" s="111"/>
      <c r="AM191" s="108">
        <f>AG191*'1. Standard_Cost'!$B$27+'Incremental_Cost Year 6'!AH191*'1. Standard_Cost'!$C$27+'Incremental_Cost Year 6'!AI191*'1. Standard_Cost'!$D$27+'Incremental_Cost Year 6'!AJ191+'Incremental_Cost Year 6'!AL191+AK191</f>
        <v>0</v>
      </c>
      <c r="AN191" s="108">
        <f>AM191*'1. Standard_Cost'!$C$31</f>
        <v>0</v>
      </c>
      <c r="AO191" s="125" t="s">
        <v>405</v>
      </c>
      <c r="AQ191" s="14">
        <f t="shared" si="179"/>
        <v>0</v>
      </c>
      <c r="AR191" s="14">
        <f t="shared" si="180"/>
        <v>0</v>
      </c>
      <c r="AS191" s="14">
        <f t="shared" si="181"/>
        <v>0</v>
      </c>
      <c r="AT191" s="14">
        <f t="shared" si="183"/>
        <v>0</v>
      </c>
      <c r="AU191" s="15">
        <v>0</v>
      </c>
      <c r="AV191" s="15"/>
      <c r="AW191" s="15"/>
      <c r="AX191" s="15"/>
      <c r="AY191" s="15"/>
      <c r="AZ191" s="15"/>
      <c r="BA191" s="15"/>
      <c r="BB191" s="16">
        <f t="shared" si="182"/>
        <v>0</v>
      </c>
    </row>
    <row r="192" spans="1:54" ht="62.4" outlineLevel="2">
      <c r="A192" s="98"/>
      <c r="B192" s="102"/>
      <c r="C192" s="23"/>
      <c r="D192" s="269"/>
      <c r="E192" s="271"/>
      <c r="F192" s="250"/>
      <c r="G192" s="255"/>
      <c r="H192" s="302" t="s">
        <v>528</v>
      </c>
      <c r="I192" s="104" t="s">
        <v>5</v>
      </c>
      <c r="J192" s="105">
        <v>12</v>
      </c>
      <c r="K192" s="105">
        <v>20</v>
      </c>
      <c r="L192" s="106">
        <f>IF(I192&lt;&gt;0,((VLOOKUP(I192,'1. Standard_Cost'!$B$4:$D$11,2)+VLOOKUP(I192,'1. Standard_Cost'!$B$4:$D$11,3))*J192*K192),"0")</f>
        <v>16968000</v>
      </c>
      <c r="M192" s="106">
        <f>L192*'1. Standard_Cost'!$F$4</f>
        <v>2833656</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78"/>
        <v>0</v>
      </c>
      <c r="AG192" s="107"/>
      <c r="AH192" s="107"/>
      <c r="AI192" s="107"/>
      <c r="AJ192" s="111"/>
      <c r="AK192" s="111"/>
      <c r="AL192" s="111"/>
      <c r="AM192" s="108">
        <f>AG192*'1. Standard_Cost'!$B$27+'Incremental_Cost Year 6'!AH192*'1. Standard_Cost'!$C$27+'Incremental_Cost Year 6'!AI192*'1. Standard_Cost'!$D$27+'Incremental_Cost Year 6'!AJ192+'Incremental_Cost Year 6'!AL192+AK192</f>
        <v>0</v>
      </c>
      <c r="AN192" s="108">
        <f>AM192*'1. Standard_Cost'!$C$31</f>
        <v>0</v>
      </c>
      <c r="AO192" s="125" t="s">
        <v>406</v>
      </c>
      <c r="AQ192" s="14">
        <f t="shared" si="179"/>
        <v>19801656</v>
      </c>
      <c r="AR192" s="14">
        <f t="shared" si="180"/>
        <v>0</v>
      </c>
      <c r="AS192" s="14">
        <f t="shared" si="181"/>
        <v>0</v>
      </c>
      <c r="AT192" s="14">
        <f t="shared" si="183"/>
        <v>19801656</v>
      </c>
      <c r="AU192" s="15">
        <v>19801656</v>
      </c>
      <c r="AV192" s="15"/>
      <c r="AW192" s="15"/>
      <c r="AX192" s="15"/>
      <c r="AY192" s="15"/>
      <c r="AZ192" s="15"/>
      <c r="BA192" s="15"/>
      <c r="BB192" s="16">
        <f t="shared" si="182"/>
        <v>0</v>
      </c>
    </row>
    <row r="193" spans="1:54" ht="78" outlineLevel="2">
      <c r="A193" s="98"/>
      <c r="B193" s="102"/>
      <c r="C193" s="23"/>
      <c r="D193" s="269"/>
      <c r="E193" s="271"/>
      <c r="F193" s="250"/>
      <c r="G193" s="255"/>
      <c r="H193" s="302" t="s">
        <v>529</v>
      </c>
      <c r="I193" s="104"/>
      <c r="J193" s="105"/>
      <c r="K193" s="105"/>
      <c r="L193" s="106" t="str">
        <f>IF(I193&lt;&gt;0,((VLOOKUP(I193,'1. Standard_Cost'!$B$4:$D$11,2)+VLOOKUP(I193,'1. Standard_Cost'!$B$4:$D$11,3))*J193*K193),"0")</f>
        <v>0</v>
      </c>
      <c r="M193" s="106">
        <f>L193*'1. Standard_Cost'!$F$4</f>
        <v>0</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c r="AB193" s="108">
        <f>+Z193*'1. Standard_Cost'!$B$23+AA193*'1. Standard_Cost'!$C$23</f>
        <v>0</v>
      </c>
      <c r="AC193" s="109"/>
      <c r="AD193" s="110"/>
      <c r="AE193" s="108">
        <f>SUM(AD193,AC193,AB193,Y193,U193,T193,S193,R193)*'1. Standard_Cost'!$B$31</f>
        <v>0</v>
      </c>
      <c r="AF193" s="108">
        <f t="shared" si="178"/>
        <v>0</v>
      </c>
      <c r="AG193" s="107"/>
      <c r="AH193" s="107"/>
      <c r="AI193" s="107"/>
      <c r="AJ193" s="111"/>
      <c r="AK193" s="111"/>
      <c r="AL193" s="111"/>
      <c r="AM193" s="108">
        <f>AG193*'1. Standard_Cost'!$B$27+'Incremental_Cost Year 6'!AH193*'1. Standard_Cost'!$C$27+'Incremental_Cost Year 6'!AI193*'1. Standard_Cost'!$D$27+'Incremental_Cost Year 6'!AJ193+'Incremental_Cost Year 6'!AL193+AK193</f>
        <v>0</v>
      </c>
      <c r="AN193" s="108">
        <f>AM193*'1. Standard_Cost'!$C$31</f>
        <v>0</v>
      </c>
      <c r="AO193" s="125" t="s">
        <v>407</v>
      </c>
      <c r="AQ193" s="14">
        <f t="shared" si="179"/>
        <v>0</v>
      </c>
      <c r="AR193" s="14">
        <f t="shared" si="180"/>
        <v>0</v>
      </c>
      <c r="AS193" s="14">
        <f t="shared" si="181"/>
        <v>0</v>
      </c>
      <c r="AT193" s="14">
        <f t="shared" si="183"/>
        <v>0</v>
      </c>
      <c r="AU193" s="15">
        <v>0</v>
      </c>
      <c r="AV193" s="15"/>
      <c r="AW193" s="15"/>
      <c r="AX193" s="15"/>
      <c r="AY193" s="15"/>
      <c r="AZ193" s="15"/>
      <c r="BA193" s="15"/>
      <c r="BB193" s="16">
        <f t="shared" si="182"/>
        <v>0</v>
      </c>
    </row>
    <row r="194" spans="1:54" ht="36" customHeight="1" outlineLevel="2">
      <c r="A194" s="98"/>
      <c r="B194" s="102"/>
      <c r="C194" s="23"/>
      <c r="D194" s="251"/>
      <c r="E194" s="251"/>
      <c r="F194" s="251"/>
      <c r="G194" s="250"/>
      <c r="H194" s="302" t="s">
        <v>530</v>
      </c>
      <c r="I194" s="104" t="s">
        <v>4</v>
      </c>
      <c r="J194" s="105">
        <v>0.4</v>
      </c>
      <c r="K194" s="105">
        <v>1</v>
      </c>
      <c r="L194" s="106">
        <f>IF(I194&lt;&gt;0,((VLOOKUP(I194,'1. Standard_Cost'!$B$4:$D$11,2)+VLOOKUP(I194,'1. Standard_Cost'!$B$4:$D$11,3))*J194*K194),"0")</f>
        <v>32300</v>
      </c>
      <c r="M194" s="106">
        <f>L194*'1. Standard_Cost'!$F$4</f>
        <v>5394.1</v>
      </c>
      <c r="N194" s="107">
        <v>10</v>
      </c>
      <c r="O194" s="107">
        <v>2</v>
      </c>
      <c r="P194" s="107">
        <v>15</v>
      </c>
      <c r="Q194" s="107"/>
      <c r="R194" s="108">
        <v>0</v>
      </c>
      <c r="S194" s="108">
        <v>0</v>
      </c>
      <c r="T194" s="108">
        <f>N194*P194*Q194*'1. Standard_Cost'!$D$15</f>
        <v>0</v>
      </c>
      <c r="U194" s="108">
        <v>0</v>
      </c>
      <c r="V194" s="107"/>
      <c r="W194" s="107"/>
      <c r="X194" s="107"/>
      <c r="Y194" s="108">
        <f>+V194*((X194*'1. Standard_Cost'!$B$19)+(W194*X194*'1. Standard_Cost'!$C$19))</f>
        <v>0</v>
      </c>
      <c r="Z194" s="107"/>
      <c r="AA194" s="107">
        <v>15</v>
      </c>
      <c r="AB194" s="108">
        <f>+Z194*'1. Standard_Cost'!$B$23+AA194*'1. Standard_Cost'!$C$23</f>
        <v>285000</v>
      </c>
      <c r="AC194" s="109">
        <f>150*2*3500+150*2*500</f>
        <v>1200000</v>
      </c>
      <c r="AD194" s="110"/>
      <c r="AE194" s="108">
        <v>0</v>
      </c>
      <c r="AF194" s="108">
        <f t="shared" si="178"/>
        <v>1485000</v>
      </c>
      <c r="AG194" s="107"/>
      <c r="AH194" s="107"/>
      <c r="AI194" s="107"/>
      <c r="AJ194" s="111"/>
      <c r="AK194" s="111"/>
      <c r="AL194" s="111"/>
      <c r="AM194" s="108">
        <f>AG194*'1. Standard_Cost'!$B$27+'Incremental_Cost Year 6'!AH194*'1. Standard_Cost'!$C$27+'Incremental_Cost Year 6'!AI194*'1. Standard_Cost'!$D$27+'Incremental_Cost Year 6'!AJ194+'Incremental_Cost Year 6'!AL194+AK194</f>
        <v>0</v>
      </c>
      <c r="AN194" s="108">
        <f>AM194*'1. Standard_Cost'!$C$31</f>
        <v>0</v>
      </c>
      <c r="AO194" s="125" t="s">
        <v>408</v>
      </c>
      <c r="AQ194" s="14">
        <f t="shared" si="179"/>
        <v>37694.1</v>
      </c>
      <c r="AR194" s="14">
        <f t="shared" si="180"/>
        <v>1485000</v>
      </c>
      <c r="AS194" s="14">
        <f t="shared" si="181"/>
        <v>0</v>
      </c>
      <c r="AT194" s="14">
        <f t="shared" si="183"/>
        <v>1522694.1</v>
      </c>
      <c r="AU194" s="15">
        <v>37694.1</v>
      </c>
      <c r="AV194" s="15"/>
      <c r="AW194" s="15"/>
      <c r="AX194" s="15"/>
      <c r="AY194" s="15"/>
      <c r="AZ194" s="15"/>
      <c r="BA194" s="15"/>
      <c r="BB194" s="16">
        <f t="shared" si="182"/>
        <v>-1485000</v>
      </c>
    </row>
    <row r="195" spans="1:54" ht="28.95" customHeight="1" outlineLevel="2">
      <c r="A195" s="98"/>
      <c r="B195" s="102"/>
      <c r="C195" s="23"/>
      <c r="D195" s="251"/>
      <c r="E195" s="251"/>
      <c r="F195" s="269"/>
      <c r="G195" s="271"/>
      <c r="H195" s="302" t="s">
        <v>515</v>
      </c>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v>22</v>
      </c>
      <c r="AB195" s="108">
        <f>+Z195*'[1]1. Standard_Cost'!$B$23+AA195*'[1]1. Standard_Cost'!$C$23</f>
        <v>418000</v>
      </c>
      <c r="AC195" s="109"/>
      <c r="AD195" s="110"/>
      <c r="AE195" s="108">
        <f>SUM(AD195,AC195,AB195,Y195,U195,T195,S195,R195)*'[1]1. Standard_Cost'!$B$31</f>
        <v>83600</v>
      </c>
      <c r="AF195" s="108">
        <f t="shared" si="178"/>
        <v>501600</v>
      </c>
      <c r="AG195" s="107"/>
      <c r="AH195" s="107"/>
      <c r="AI195" s="107"/>
      <c r="AJ195" s="111"/>
      <c r="AK195" s="111"/>
      <c r="AL195" s="111"/>
      <c r="AM195" s="108">
        <f>AG195*'[1]1. Standard_Cost'!$B$27+'[1]Incremental_Cost Year 6'!AH195*'[1]1. Standard_Cost'!$C$27+'[1]Incremental_Cost Year 6'!AI195*'[1]1. Standard_Cost'!$D$27+'[1]Incremental_Cost Year 6'!AJ195+'[1]Incremental_Cost Year 6'!AL195+AK195</f>
        <v>0</v>
      </c>
      <c r="AN195" s="108">
        <f>AM195*'[1]1. Standard_Cost'!$C$31</f>
        <v>0</v>
      </c>
      <c r="AO195" s="125" t="s">
        <v>408</v>
      </c>
      <c r="AQ195" s="14">
        <f t="shared" si="179"/>
        <v>0</v>
      </c>
      <c r="AR195" s="14">
        <f t="shared" si="180"/>
        <v>501600</v>
      </c>
      <c r="AS195" s="14">
        <f t="shared" si="181"/>
        <v>0</v>
      </c>
      <c r="AT195" s="14">
        <f t="shared" si="183"/>
        <v>501600</v>
      </c>
      <c r="AU195" s="15"/>
      <c r="AV195" s="15"/>
      <c r="AW195" s="15"/>
      <c r="AX195" s="15"/>
      <c r="AY195" s="15"/>
      <c r="AZ195" s="15"/>
      <c r="BA195" s="15"/>
      <c r="BB195" s="16">
        <f t="shared" si="182"/>
        <v>-501600</v>
      </c>
    </row>
    <row r="196" spans="1:54" ht="32.25" customHeight="1" outlineLevel="2">
      <c r="A196" s="98"/>
      <c r="B196" s="102"/>
      <c r="C196" s="23"/>
      <c r="D196" s="251"/>
      <c r="E196" s="251"/>
      <c r="F196" s="251"/>
      <c r="G196" s="250"/>
      <c r="H196" s="302" t="s">
        <v>531</v>
      </c>
      <c r="I196" s="104"/>
      <c r="J196" s="105"/>
      <c r="K196" s="105"/>
      <c r="L196" s="106" t="str">
        <f>IF(I196&lt;&gt;0,((VLOOKUP(I196,'1. Standard_Cost'!$B$4:$D$11,2)+VLOOKUP(I196,'1. Standard_Cost'!$B$4:$D$11,3))*J196*K196),"0")</f>
        <v>0</v>
      </c>
      <c r="M196" s="106">
        <f>L196*'1. Standard_Cost'!$F$4</f>
        <v>0</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c r="AB196" s="108">
        <f>+Z196*'1. Standard_Cost'!$B$23+AA196*'1. Standard_Cost'!$C$23</f>
        <v>0</v>
      </c>
      <c r="AC196" s="109"/>
      <c r="AD196" s="110"/>
      <c r="AE196" s="108">
        <f>SUM(AD196,AC196,AB196,Y196,U196,T196,S196,R196)*'1. Standard_Cost'!$B$31</f>
        <v>0</v>
      </c>
      <c r="AF196" s="108">
        <f t="shared" si="178"/>
        <v>0</v>
      </c>
      <c r="AG196" s="107"/>
      <c r="AH196" s="107"/>
      <c r="AI196" s="107"/>
      <c r="AJ196" s="111"/>
      <c r="AK196" s="111"/>
      <c r="AL196" s="111"/>
      <c r="AM196" s="108">
        <f>AG196*'1. Standard_Cost'!$B$27+'Incremental_Cost Year 6'!AH196*'1. Standard_Cost'!$C$27+'Incremental_Cost Year 6'!AI196*'1. Standard_Cost'!$D$27+'Incremental_Cost Year 6'!AJ196+'Incremental_Cost Year 6'!AL196+AK196</f>
        <v>0</v>
      </c>
      <c r="AN196" s="108">
        <f>AM196*'1. Standard_Cost'!$C$31</f>
        <v>0</v>
      </c>
      <c r="AO196" s="125" t="s">
        <v>409</v>
      </c>
      <c r="AQ196" s="14">
        <f t="shared" si="179"/>
        <v>0</v>
      </c>
      <c r="AR196" s="14">
        <f t="shared" si="180"/>
        <v>0</v>
      </c>
      <c r="AS196" s="14">
        <f t="shared" si="181"/>
        <v>0</v>
      </c>
      <c r="AT196" s="14">
        <f t="shared" si="183"/>
        <v>0</v>
      </c>
      <c r="AU196" s="15">
        <v>0</v>
      </c>
      <c r="AV196" s="15"/>
      <c r="AW196" s="15"/>
      <c r="AX196" s="15"/>
      <c r="AY196" s="15"/>
      <c r="AZ196" s="15"/>
      <c r="BA196" s="15"/>
      <c r="BB196" s="16">
        <f t="shared" si="182"/>
        <v>0</v>
      </c>
    </row>
    <row r="197" spans="1:54" ht="45" customHeight="1" outlineLevel="2">
      <c r="A197" s="98"/>
      <c r="B197" s="102"/>
      <c r="C197" s="23"/>
      <c r="D197" s="251"/>
      <c r="E197" s="251"/>
      <c r="F197" s="251"/>
      <c r="G197" s="250"/>
      <c r="H197" s="302" t="s">
        <v>532</v>
      </c>
      <c r="I197" s="104" t="s">
        <v>4</v>
      </c>
      <c r="J197" s="105">
        <v>0.4</v>
      </c>
      <c r="K197" s="105">
        <v>1</v>
      </c>
      <c r="L197" s="106">
        <f>IF(I197&lt;&gt;0,((VLOOKUP(I197,'1. Standard_Cost'!$B$4:$D$11,2)+VLOOKUP(I197,'1. Standard_Cost'!$B$4:$D$11,3))*J197*K197),"0")</f>
        <v>32300</v>
      </c>
      <c r="M197" s="106">
        <f>L197*'1. Standard_Cost'!$F$4</f>
        <v>5394.1</v>
      </c>
      <c r="N197" s="107">
        <v>10</v>
      </c>
      <c r="O197" s="107">
        <v>2</v>
      </c>
      <c r="P197" s="107">
        <v>15</v>
      </c>
      <c r="Q197" s="107"/>
      <c r="R197" s="108">
        <v>0</v>
      </c>
      <c r="S197" s="108">
        <v>0</v>
      </c>
      <c r="T197" s="108">
        <f>N197*P197*Q197*'1. Standard_Cost'!$D$15</f>
        <v>0</v>
      </c>
      <c r="U197" s="108">
        <v>0</v>
      </c>
      <c r="V197" s="107"/>
      <c r="W197" s="107"/>
      <c r="X197" s="107"/>
      <c r="Y197" s="108">
        <f>+V197*((X197*'1. Standard_Cost'!$B$19)+(W197*X197*'1. Standard_Cost'!$C$19))</f>
        <v>0</v>
      </c>
      <c r="Z197" s="107"/>
      <c r="AA197" s="107"/>
      <c r="AB197" s="108">
        <f>+Z197*'1. Standard_Cost'!$B$23+AA197*'1. Standard_Cost'!$C$23</f>
        <v>0</v>
      </c>
      <c r="AC197" s="109">
        <f>150*3500*2+150*500*2</f>
        <v>1200000</v>
      </c>
      <c r="AD197" s="110"/>
      <c r="AE197" s="108">
        <v>0</v>
      </c>
      <c r="AF197" s="108">
        <f t="shared" si="178"/>
        <v>1200000</v>
      </c>
      <c r="AG197" s="107"/>
      <c r="AH197" s="107"/>
      <c r="AI197" s="107"/>
      <c r="AJ197" s="111"/>
      <c r="AK197" s="111"/>
      <c r="AL197" s="111"/>
      <c r="AM197" s="108">
        <f>AG197*'1. Standard_Cost'!$B$27+'Incremental_Cost Year 6'!AH197*'1. Standard_Cost'!$C$27+'Incremental_Cost Year 6'!AI197*'1. Standard_Cost'!$D$27+'Incremental_Cost Year 6'!AJ197+'Incremental_Cost Year 6'!AL197+AK197</f>
        <v>0</v>
      </c>
      <c r="AN197" s="108">
        <f>AM197*'1. Standard_Cost'!$C$31</f>
        <v>0</v>
      </c>
      <c r="AO197" s="125" t="s">
        <v>410</v>
      </c>
      <c r="AQ197" s="14">
        <f t="shared" si="179"/>
        <v>37694.1</v>
      </c>
      <c r="AR197" s="14">
        <f t="shared" si="180"/>
        <v>1200000</v>
      </c>
      <c r="AS197" s="14">
        <f t="shared" si="181"/>
        <v>0</v>
      </c>
      <c r="AT197" s="14">
        <f t="shared" si="183"/>
        <v>1237694.1000000001</v>
      </c>
      <c r="AU197" s="15">
        <v>37694.1</v>
      </c>
      <c r="AV197" s="15"/>
      <c r="AW197" s="15"/>
      <c r="AX197" s="15"/>
      <c r="AY197" s="15"/>
      <c r="AZ197" s="15"/>
      <c r="BA197" s="15"/>
      <c r="BB197" s="16">
        <f t="shared" si="182"/>
        <v>-1200000</v>
      </c>
    </row>
    <row r="198" spans="1:54" ht="34.950000000000003" customHeight="1" outlineLevel="2">
      <c r="A198" s="98"/>
      <c r="B198" s="102"/>
      <c r="C198" s="23"/>
      <c r="D198" s="251"/>
      <c r="E198" s="251"/>
      <c r="F198" s="269"/>
      <c r="G198" s="271"/>
      <c r="H198" s="302" t="s">
        <v>515</v>
      </c>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v>22</v>
      </c>
      <c r="AB198" s="108">
        <f>+Z198*'[1]1. Standard_Cost'!$B$23+AA198*'[1]1. Standard_Cost'!$C$23</f>
        <v>418000</v>
      </c>
      <c r="AC198" s="109"/>
      <c r="AD198" s="110"/>
      <c r="AE198" s="108">
        <f>SUM(AD198,AC198,AB198,Y198,U198,T198,S198,R198)*'[1]1. Standard_Cost'!$B$31</f>
        <v>83600</v>
      </c>
      <c r="AF198" s="108">
        <f t="shared" si="178"/>
        <v>501600</v>
      </c>
      <c r="AG198" s="107"/>
      <c r="AH198" s="107"/>
      <c r="AI198" s="107"/>
      <c r="AJ198" s="111"/>
      <c r="AK198" s="111"/>
      <c r="AL198" s="111"/>
      <c r="AM198" s="108">
        <f>AG198*'[1]1. Standard_Cost'!$B$27+'[1]Incremental_Cost Year 6'!AH197*'[1]1. Standard_Cost'!$C$27+'[1]Incremental_Cost Year 6'!AI197*'[1]1. Standard_Cost'!$D$27+'[1]Incremental_Cost Year 6'!AJ197+'[1]Incremental_Cost Year 6'!AL197+AK198</f>
        <v>0</v>
      </c>
      <c r="AN198" s="108">
        <f>AM198*'[1]1. Standard_Cost'!$C$31</f>
        <v>0</v>
      </c>
      <c r="AO198" s="125" t="s">
        <v>410</v>
      </c>
      <c r="AQ198" s="14">
        <f t="shared" si="179"/>
        <v>0</v>
      </c>
      <c r="AR198" s="14">
        <f t="shared" si="180"/>
        <v>501600</v>
      </c>
      <c r="AS198" s="14">
        <f t="shared" si="181"/>
        <v>0</v>
      </c>
      <c r="AT198" s="14">
        <f t="shared" si="183"/>
        <v>501600</v>
      </c>
      <c r="AU198" s="15"/>
      <c r="AV198" s="15"/>
      <c r="AW198" s="15"/>
      <c r="AX198" s="15"/>
      <c r="AY198" s="15"/>
      <c r="AZ198" s="15"/>
      <c r="BA198" s="15"/>
      <c r="BB198" s="16">
        <f t="shared" si="182"/>
        <v>-501600</v>
      </c>
    </row>
    <row r="199" spans="1:54" ht="140.4" outlineLevel="2">
      <c r="A199" s="98"/>
      <c r="B199" s="102"/>
      <c r="C199" s="23"/>
      <c r="D199" s="251"/>
      <c r="E199" s="251"/>
      <c r="F199" s="251"/>
      <c r="G199" s="250"/>
      <c r="H199" s="302" t="s">
        <v>533</v>
      </c>
      <c r="I199" s="104"/>
      <c r="J199" s="105"/>
      <c r="K199" s="105"/>
      <c r="L199" s="106" t="str">
        <f>IF(I199&lt;&gt;0,((VLOOKUP(I199,'1. Standard_Cost'!$B$4:$D$11,2)+VLOOKUP(I199,'1. Standard_Cost'!$B$4:$D$11,3))*J199*K199),"0")</f>
        <v>0</v>
      </c>
      <c r="M199" s="106">
        <f>L199*'1. Standard_Cost'!$F$4</f>
        <v>0</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c r="AB199" s="108">
        <f>+Z199*'1. Standard_Cost'!$B$23+AA199*'1. Standard_Cost'!$C$23</f>
        <v>0</v>
      </c>
      <c r="AC199" s="109"/>
      <c r="AD199" s="110"/>
      <c r="AE199" s="108">
        <f>SUM(AD199,AC199,AB199,Y199,U199,T199,S199,R199)*'1. Standard_Cost'!$B$31</f>
        <v>0</v>
      </c>
      <c r="AF199" s="108">
        <f t="shared" si="178"/>
        <v>0</v>
      </c>
      <c r="AG199" s="107"/>
      <c r="AH199" s="107"/>
      <c r="AI199" s="107"/>
      <c r="AJ199" s="111"/>
      <c r="AK199" s="111"/>
      <c r="AL199" s="111"/>
      <c r="AM199" s="108">
        <f>AG199*'1. Standard_Cost'!$B$27+'Incremental_Cost Year 6'!AH199*'1. Standard_Cost'!$C$27+'Incremental_Cost Year 6'!AI199*'1. Standard_Cost'!$D$27+'Incremental_Cost Year 6'!AJ199+'Incremental_Cost Year 6'!AL199+AK199</f>
        <v>0</v>
      </c>
      <c r="AN199" s="108">
        <f>AM199*'1. Standard_Cost'!$C$31</f>
        <v>0</v>
      </c>
      <c r="AO199" s="125" t="s">
        <v>411</v>
      </c>
      <c r="AQ199" s="14">
        <f t="shared" si="179"/>
        <v>0</v>
      </c>
      <c r="AR199" s="14">
        <f t="shared" si="180"/>
        <v>0</v>
      </c>
      <c r="AS199" s="14">
        <f t="shared" si="181"/>
        <v>0</v>
      </c>
      <c r="AT199" s="14">
        <f t="shared" si="183"/>
        <v>0</v>
      </c>
      <c r="AU199" s="15">
        <v>0</v>
      </c>
      <c r="AV199" s="15"/>
      <c r="AW199" s="15"/>
      <c r="AX199" s="15"/>
      <c r="AY199" s="15">
        <v>0</v>
      </c>
      <c r="AZ199" s="15">
        <v>0</v>
      </c>
      <c r="BA199" s="15"/>
      <c r="BB199" s="16">
        <f t="shared" si="182"/>
        <v>0</v>
      </c>
    </row>
    <row r="200" spans="1:54" ht="32.25" customHeight="1" outlineLevel="2">
      <c r="A200" s="98"/>
      <c r="B200" s="102"/>
      <c r="C200" s="23"/>
      <c r="D200" s="251"/>
      <c r="E200" s="251"/>
      <c r="F200" s="172"/>
      <c r="G200" s="250"/>
      <c r="H200" s="302" t="s">
        <v>534</v>
      </c>
      <c r="I200" s="104" t="s">
        <v>4</v>
      </c>
      <c r="J200" s="105">
        <v>1</v>
      </c>
      <c r="K200" s="105">
        <v>5</v>
      </c>
      <c r="L200" s="106">
        <f>IF(I200&lt;&gt;0,((VLOOKUP(I200,'1. Standard_Cost'!$B$4:$D$11,2)+VLOOKUP(I200,'1. Standard_Cost'!$B$4:$D$11,3))*J200*K200),"0")</f>
        <v>403750</v>
      </c>
      <c r="M200" s="106">
        <f>L200*'1. Standard_Cost'!$F$4</f>
        <v>67426.25</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c r="AB200" s="108">
        <f>+Z200*'1. Standard_Cost'!$B$23+AA200*'1. Standard_Cost'!$C$23</f>
        <v>0</v>
      </c>
      <c r="AC200" s="109"/>
      <c r="AD200" s="110"/>
      <c r="AE200" s="108">
        <f>SUM(AD200,AC200,AB200,Y200,U200,T200,S200,R200)*'1. Standard_Cost'!$B$31</f>
        <v>0</v>
      </c>
      <c r="AF200" s="108">
        <f t="shared" si="178"/>
        <v>0</v>
      </c>
      <c r="AG200" s="107"/>
      <c r="AH200" s="107"/>
      <c r="AI200" s="107"/>
      <c r="AJ200" s="111"/>
      <c r="AK200" s="111"/>
      <c r="AL200" s="111"/>
      <c r="AM200" s="108">
        <f>AG200*'1. Standard_Cost'!$B$27+'Incremental_Cost Year 6'!AH200*'1. Standard_Cost'!$C$27+'Incremental_Cost Year 6'!AI200*'1. Standard_Cost'!$D$27+'Incremental_Cost Year 6'!AJ200+'Incremental_Cost Year 6'!AL200+AK200</f>
        <v>0</v>
      </c>
      <c r="AN200" s="108">
        <f>AM200*'1. Standard_Cost'!$C$31</f>
        <v>0</v>
      </c>
      <c r="AO200" s="137" t="s">
        <v>412</v>
      </c>
      <c r="AQ200" s="14">
        <f t="shared" si="179"/>
        <v>471176.25</v>
      </c>
      <c r="AR200" s="14">
        <f t="shared" si="180"/>
        <v>0</v>
      </c>
      <c r="AS200" s="14">
        <f t="shared" si="181"/>
        <v>0</v>
      </c>
      <c r="AT200" s="14">
        <f t="shared" si="183"/>
        <v>471176.25</v>
      </c>
      <c r="AU200" s="15">
        <v>471176.25</v>
      </c>
      <c r="AV200" s="15"/>
      <c r="AW200" s="15"/>
      <c r="AX200" s="15"/>
      <c r="AY200" s="15"/>
      <c r="AZ200" s="15">
        <v>471176.25</v>
      </c>
      <c r="BA200" s="15"/>
      <c r="BB200" s="16">
        <f t="shared" si="182"/>
        <v>471176.25</v>
      </c>
    </row>
    <row r="201" spans="1:54" ht="193.2" outlineLevel="1">
      <c r="A201" s="98"/>
      <c r="B201" s="102"/>
      <c r="C201" s="23"/>
      <c r="D201" s="31" t="s">
        <v>639</v>
      </c>
      <c r="E201" s="56" t="s">
        <v>243</v>
      </c>
      <c r="F201" s="253"/>
      <c r="G201" s="254"/>
      <c r="H201" s="279" t="s">
        <v>244</v>
      </c>
      <c r="I201" s="112"/>
      <c r="J201" s="112"/>
      <c r="K201" s="112"/>
      <c r="L201" s="113">
        <f>SUM(L180:L200)</f>
        <v>18542250</v>
      </c>
      <c r="M201" s="113">
        <f>SUM(M180:M200)</f>
        <v>3096555.75</v>
      </c>
      <c r="N201" s="112"/>
      <c r="O201" s="112"/>
      <c r="P201" s="112"/>
      <c r="Q201" s="112"/>
      <c r="R201" s="113">
        <f>SUM(R180:R200)</f>
        <v>440000</v>
      </c>
      <c r="S201" s="113">
        <f>SUM(S180:S200)</f>
        <v>660000</v>
      </c>
      <c r="T201" s="113">
        <f>SUM(T180:T200)</f>
        <v>1100000</v>
      </c>
      <c r="U201" s="113">
        <f>SUM(U180:U200)</f>
        <v>0</v>
      </c>
      <c r="V201" s="112"/>
      <c r="W201" s="112"/>
      <c r="X201" s="112"/>
      <c r="Y201" s="113">
        <f>SUM(Y180:Y200)</f>
        <v>0</v>
      </c>
      <c r="Z201" s="113"/>
      <c r="AA201" s="112"/>
      <c r="AB201" s="113">
        <f>SUM(AB180:AB200)</f>
        <v>2660000</v>
      </c>
      <c r="AC201" s="113">
        <f>SUM(AC180:AC200)</f>
        <v>4776000</v>
      </c>
      <c r="AD201" s="113">
        <f>SUM(AD180:AD200)</f>
        <v>0</v>
      </c>
      <c r="AE201" s="113">
        <f>SUM(AE180:AE200)</f>
        <v>281200</v>
      </c>
      <c r="AF201" s="113">
        <f>SUM(AF180:AF200)</f>
        <v>9917200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 si="184">SUM(AQ180:AQ200)</f>
        <v>21638805.750000004</v>
      </c>
      <c r="AR201" s="113">
        <f t="shared" ref="AR201:BB201" si="185">SUM(AR180:AR200)</f>
        <v>9917200</v>
      </c>
      <c r="AS201" s="113">
        <f t="shared" si="185"/>
        <v>0</v>
      </c>
      <c r="AT201" s="113">
        <f t="shared" si="185"/>
        <v>31556005.750000004</v>
      </c>
      <c r="AU201" s="113">
        <f t="shared" si="185"/>
        <v>21638805.750000004</v>
      </c>
      <c r="AV201" s="113">
        <f t="shared" si="185"/>
        <v>0</v>
      </c>
      <c r="AW201" s="113">
        <f t="shared" si="185"/>
        <v>0</v>
      </c>
      <c r="AX201" s="113">
        <f t="shared" si="185"/>
        <v>0</v>
      </c>
      <c r="AY201" s="113">
        <f t="shared" si="185"/>
        <v>0</v>
      </c>
      <c r="AZ201" s="113">
        <f t="shared" si="185"/>
        <v>471176.25</v>
      </c>
      <c r="BA201" s="113">
        <f t="shared" si="185"/>
        <v>0</v>
      </c>
      <c r="BB201" s="113">
        <f t="shared" si="185"/>
        <v>-9446023.75</v>
      </c>
    </row>
    <row r="202" spans="1:54" s="24" customFormat="1" ht="13.8" customHeight="1">
      <c r="A202" s="114"/>
      <c r="B202" s="115"/>
      <c r="C202" s="314" t="s">
        <v>246</v>
      </c>
      <c r="D202" s="314"/>
      <c r="E202" s="315"/>
      <c r="F202" s="246"/>
      <c r="G202" s="246"/>
      <c r="H202" s="278" t="s">
        <v>245</v>
      </c>
      <c r="I202" s="116"/>
      <c r="J202" s="116"/>
      <c r="K202" s="116"/>
      <c r="L202" s="117">
        <f>SUM(L222)</f>
        <v>3587400</v>
      </c>
      <c r="M202" s="117">
        <f>SUM(M222)</f>
        <v>599095.80000000016</v>
      </c>
      <c r="N202" s="116"/>
      <c r="O202" s="116"/>
      <c r="P202" s="116"/>
      <c r="Q202" s="116"/>
      <c r="R202" s="117">
        <f t="shared" ref="R202:U202" si="186">SUM(R222)</f>
        <v>26000</v>
      </c>
      <c r="S202" s="117">
        <f t="shared" si="186"/>
        <v>58500</v>
      </c>
      <c r="T202" s="117">
        <f t="shared" si="186"/>
        <v>0</v>
      </c>
      <c r="U202" s="117">
        <f t="shared" si="186"/>
        <v>0</v>
      </c>
      <c r="V202" s="116"/>
      <c r="W202" s="116"/>
      <c r="X202" s="116"/>
      <c r="Y202" s="117">
        <f>SUM(Y222)</f>
        <v>0</v>
      </c>
      <c r="Z202" s="117"/>
      <c r="AA202" s="117"/>
      <c r="AB202" s="117">
        <f t="shared" ref="AB202:AF202" si="187">SUM(AB222)</f>
        <v>399000</v>
      </c>
      <c r="AC202" s="117">
        <f t="shared" ref="AC202:AD202" si="188">SUM(AC222)</f>
        <v>453800</v>
      </c>
      <c r="AD202" s="117">
        <f t="shared" si="188"/>
        <v>0</v>
      </c>
      <c r="AE202" s="117">
        <f t="shared" si="187"/>
        <v>7600</v>
      </c>
      <c r="AF202" s="117">
        <f t="shared" si="187"/>
        <v>944900</v>
      </c>
      <c r="AG202" s="116"/>
      <c r="AH202" s="116"/>
      <c r="AI202" s="116"/>
      <c r="AJ202" s="117">
        <f t="shared" ref="AJ202:AL202" si="189">SUM(AJ222)</f>
        <v>0</v>
      </c>
      <c r="AK202" s="117">
        <f t="shared" si="189"/>
        <v>0</v>
      </c>
      <c r="AL202" s="117">
        <f t="shared" si="189"/>
        <v>0</v>
      </c>
      <c r="AM202" s="117">
        <f t="shared" ref="AM202:AN202" si="190">SUM(AM222)</f>
        <v>0</v>
      </c>
      <c r="AN202" s="117">
        <f t="shared" si="190"/>
        <v>0</v>
      </c>
      <c r="AO202" s="132"/>
      <c r="AP202" s="25"/>
      <c r="AQ202" s="117">
        <f t="shared" ref="AQ202" si="191">SUM(AQ222)</f>
        <v>4186495.8</v>
      </c>
      <c r="AR202" s="117">
        <f t="shared" ref="AR202:BB202" si="192">SUM(AR222)</f>
        <v>944900</v>
      </c>
      <c r="AS202" s="117">
        <f t="shared" si="192"/>
        <v>0</v>
      </c>
      <c r="AT202" s="117">
        <f t="shared" si="192"/>
        <v>5131395.8</v>
      </c>
      <c r="AU202" s="117">
        <f t="shared" si="192"/>
        <v>4186495.8</v>
      </c>
      <c r="AV202" s="117">
        <f t="shared" si="192"/>
        <v>0</v>
      </c>
      <c r="AW202" s="117">
        <f t="shared" si="192"/>
        <v>0</v>
      </c>
      <c r="AX202" s="117">
        <f t="shared" si="192"/>
        <v>655900</v>
      </c>
      <c r="AY202" s="117">
        <f t="shared" si="192"/>
        <v>0</v>
      </c>
      <c r="AZ202" s="117">
        <f t="shared" si="192"/>
        <v>0</v>
      </c>
      <c r="BA202" s="117">
        <f t="shared" si="192"/>
        <v>0</v>
      </c>
      <c r="BB202" s="117">
        <f t="shared" si="192"/>
        <v>-289000</v>
      </c>
    </row>
    <row r="203" spans="1:54" ht="78" outlineLevel="2">
      <c r="A203" s="98"/>
      <c r="B203" s="102"/>
      <c r="C203" s="23"/>
      <c r="D203" s="257"/>
      <c r="E203" s="123"/>
      <c r="F203" s="249"/>
      <c r="G203" s="283"/>
      <c r="H203" s="302" t="s">
        <v>538</v>
      </c>
      <c r="I203" s="104"/>
      <c r="J203" s="105"/>
      <c r="K203" s="105"/>
      <c r="L203" s="106" t="str">
        <f>IF(I203&lt;&gt;0,((VLOOKUP(I203,'1. Standard_Cost'!$B$4:$D$11,2)+VLOOKUP(I203,'1. Standard_Cost'!$B$4:$D$11,3))*J203*K203),"0")</f>
        <v>0</v>
      </c>
      <c r="M203" s="106">
        <f>L203*'1. Standard_Cost'!$F$4</f>
        <v>0</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c r="AB203" s="108">
        <f>+Z203*'1. Standard_Cost'!$B$23+AA203*'1. Standard_Cost'!$C$23</f>
        <v>0</v>
      </c>
      <c r="AC203" s="109"/>
      <c r="AD203" s="110"/>
      <c r="AE203" s="108">
        <f>SUM(AD203,AC203,AB203,Y203,U203,T203,S203,R203)*'1. Standard_Cost'!$B$31</f>
        <v>0</v>
      </c>
      <c r="AF203" s="108">
        <f t="shared" ref="AF203:AF221" si="193">SUM(AE203,AD203,AC203,AB203,Y203,U203,T203,S203,R203)</f>
        <v>0</v>
      </c>
      <c r="AG203" s="107"/>
      <c r="AH203" s="107"/>
      <c r="AI203" s="107"/>
      <c r="AJ203" s="111"/>
      <c r="AK203" s="111"/>
      <c r="AL203" s="111"/>
      <c r="AM203" s="108">
        <f>AG203*'1. Standard_Cost'!$B$27+'Incremental_Cost Year 6'!AH203*'1. Standard_Cost'!$C$27+'Incremental_Cost Year 6'!AI203*'1. Standard_Cost'!$D$27+'Incremental_Cost Year 6'!AJ203+'Incremental_Cost Year 6'!AL203+AK203</f>
        <v>0</v>
      </c>
      <c r="AN203" s="108">
        <f>AM203*'1. Standard_Cost'!$C$31</f>
        <v>0</v>
      </c>
      <c r="AO203" s="125" t="s">
        <v>413</v>
      </c>
      <c r="AQ203" s="14">
        <f t="shared" ref="AQ203:AQ221" si="194">L203+M203</f>
        <v>0</v>
      </c>
      <c r="AR203" s="14">
        <f t="shared" ref="AR203:AR221" si="195">AF203</f>
        <v>0</v>
      </c>
      <c r="AS203" s="14">
        <f t="shared" ref="AS203:AS221" si="196">AM203+AN203</f>
        <v>0</v>
      </c>
      <c r="AT203" s="14">
        <f>SUM(AQ203,AR203,AS203)</f>
        <v>0</v>
      </c>
      <c r="AU203" s="15">
        <v>0</v>
      </c>
      <c r="AV203" s="15"/>
      <c r="AW203" s="15"/>
      <c r="AX203" s="15"/>
      <c r="AY203" s="15"/>
      <c r="AZ203" s="15"/>
      <c r="BA203" s="15"/>
      <c r="BB203" s="16">
        <f t="shared" ref="BB203:BB221" si="197">SUM(AU203:BA203)-AT203</f>
        <v>0</v>
      </c>
    </row>
    <row r="204" spans="1:54" ht="140.4" outlineLevel="2">
      <c r="A204" s="98"/>
      <c r="B204" s="102"/>
      <c r="C204" s="23"/>
      <c r="D204" s="269"/>
      <c r="E204" s="271"/>
      <c r="F204" s="250"/>
      <c r="G204" s="255"/>
      <c r="H204" s="302" t="s">
        <v>539</v>
      </c>
      <c r="I204" s="104" t="s">
        <v>5</v>
      </c>
      <c r="J204" s="105">
        <v>4</v>
      </c>
      <c r="K204" s="105">
        <v>12</v>
      </c>
      <c r="L204" s="106">
        <f>IF(I204&lt;&gt;0,((VLOOKUP(I204,'1. Standard_Cost'!$B$4:$D$11,2)+VLOOKUP(I204,'1. Standard_Cost'!$B$4:$D$11,3))*J204*K204),"0")</f>
        <v>3393600</v>
      </c>
      <c r="M204" s="106">
        <f>L204*'1. Standard_Cost'!$F$4</f>
        <v>566731.20000000007</v>
      </c>
      <c r="N204" s="107">
        <v>1</v>
      </c>
      <c r="O204" s="107">
        <v>2</v>
      </c>
      <c r="P204" s="107">
        <v>12</v>
      </c>
      <c r="Q204" s="107"/>
      <c r="R204" s="108">
        <v>0</v>
      </c>
      <c r="S204" s="108">
        <v>0</v>
      </c>
      <c r="T204" s="108">
        <f>N204*P204*Q204*'1. Standard_Cost'!$D$15</f>
        <v>0</v>
      </c>
      <c r="U204" s="108">
        <v>0</v>
      </c>
      <c r="V204" s="107"/>
      <c r="W204" s="107"/>
      <c r="X204" s="107"/>
      <c r="Y204" s="108">
        <f>+V204*((X204*'1. Standard_Cost'!$B$19)+(W204*X204*'1. Standard_Cost'!$C$19))</f>
        <v>0</v>
      </c>
      <c r="Z204" s="107"/>
      <c r="AA204" s="107">
        <v>10</v>
      </c>
      <c r="AB204" s="108">
        <f>+Z204*'1. Standard_Cost'!$B$23+AA204*'1. Standard_Cost'!$C$23</f>
        <v>190000</v>
      </c>
      <c r="AC204" s="109">
        <f>13*3500*2+13*2*500</f>
        <v>104000</v>
      </c>
      <c r="AD204" s="110"/>
      <c r="AE204" s="108">
        <v>0</v>
      </c>
      <c r="AF204" s="108">
        <f t="shared" si="193"/>
        <v>294000</v>
      </c>
      <c r="AG204" s="107"/>
      <c r="AH204" s="107"/>
      <c r="AI204" s="107"/>
      <c r="AJ204" s="111"/>
      <c r="AK204" s="111"/>
      <c r="AL204" s="111"/>
      <c r="AM204" s="108">
        <f>AG204*'1. Standard_Cost'!$B$27+'Incremental_Cost Year 6'!AH204*'1. Standard_Cost'!$C$27+'Incremental_Cost Year 6'!AI204*'1. Standard_Cost'!$D$27+'Incremental_Cost Year 6'!AJ204+'Incremental_Cost Year 6'!AL204+AK204</f>
        <v>0</v>
      </c>
      <c r="AN204" s="108">
        <f>AM204*'1. Standard_Cost'!$C$31</f>
        <v>0</v>
      </c>
      <c r="AO204" s="125" t="s">
        <v>414</v>
      </c>
      <c r="AQ204" s="14">
        <f t="shared" si="194"/>
        <v>3960331.2</v>
      </c>
      <c r="AR204" s="14">
        <f t="shared" si="195"/>
        <v>294000</v>
      </c>
      <c r="AS204" s="14">
        <f t="shared" si="196"/>
        <v>0</v>
      </c>
      <c r="AT204" s="14">
        <f t="shared" ref="AT204:AT221" si="198">SUM(AQ204,AR204,AS204)</f>
        <v>4254331.2</v>
      </c>
      <c r="AU204" s="15">
        <v>3960331.2</v>
      </c>
      <c r="AV204" s="15"/>
      <c r="AW204" s="15"/>
      <c r="AX204" s="15">
        <v>294000</v>
      </c>
      <c r="AY204" s="15"/>
      <c r="AZ204" s="15"/>
      <c r="BA204" s="15"/>
      <c r="BB204" s="16">
        <f t="shared" si="197"/>
        <v>0</v>
      </c>
    </row>
    <row r="205" spans="1:54" ht="31.2" customHeight="1" outlineLevel="2">
      <c r="A205" s="98"/>
      <c r="B205" s="102"/>
      <c r="C205" s="23"/>
      <c r="D205" s="269"/>
      <c r="E205" s="271"/>
      <c r="F205" s="271"/>
      <c r="G205" s="167"/>
      <c r="H205" s="302" t="s">
        <v>535</v>
      </c>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v>2</v>
      </c>
      <c r="AB205" s="108">
        <f>+Z205*'[1]1. Standard_Cost'!$B$23+AA205*'[1]1. Standard_Cost'!$C$23</f>
        <v>38000</v>
      </c>
      <c r="AC205" s="109"/>
      <c r="AD205" s="110"/>
      <c r="AE205" s="108">
        <f>SUM(AD205,AC205,AB205,Y205,U205,T205,S205,R205)*'[1]1. Standard_Cost'!$B$31</f>
        <v>7600</v>
      </c>
      <c r="AF205" s="108">
        <f t="shared" si="193"/>
        <v>45600</v>
      </c>
      <c r="AG205" s="107"/>
      <c r="AH205" s="107"/>
      <c r="AI205" s="107"/>
      <c r="AJ205" s="111"/>
      <c r="AK205" s="111"/>
      <c r="AL205" s="111"/>
      <c r="AM205" s="108">
        <f>AG205*'[1]1. Standard_Cost'!$B$27+'[1]Incremental_Cost Year 6'!AH205*'[1]1. Standard_Cost'!$C$27+'[1]Incremental_Cost Year 6'!AI205*'[1]1. Standard_Cost'!$D$27+'[1]Incremental_Cost Year 6'!AJ205+'[1]Incremental_Cost Year 6'!AL205+AK205</f>
        <v>0</v>
      </c>
      <c r="AN205" s="108">
        <f>AM205*'[1]1. Standard_Cost'!$C$31</f>
        <v>0</v>
      </c>
      <c r="AO205" s="125"/>
      <c r="AQ205" s="14">
        <f t="shared" si="194"/>
        <v>0</v>
      </c>
      <c r="AR205" s="14">
        <f t="shared" si="195"/>
        <v>45600</v>
      </c>
      <c r="AS205" s="14">
        <f t="shared" si="196"/>
        <v>0</v>
      </c>
      <c r="AT205" s="14">
        <f t="shared" si="198"/>
        <v>45600</v>
      </c>
      <c r="AU205" s="15"/>
      <c r="AV205" s="15"/>
      <c r="AW205" s="15"/>
      <c r="AX205" s="15">
        <v>45600</v>
      </c>
      <c r="AY205" s="15"/>
      <c r="AZ205" s="15"/>
      <c r="BA205" s="15"/>
      <c r="BB205" s="16">
        <f t="shared" si="197"/>
        <v>0</v>
      </c>
    </row>
    <row r="206" spans="1:54" ht="62.4" outlineLevel="2">
      <c r="A206" s="98"/>
      <c r="B206" s="102"/>
      <c r="C206" s="23"/>
      <c r="D206" s="269"/>
      <c r="E206" s="271"/>
      <c r="F206" s="250"/>
      <c r="G206" s="255"/>
      <c r="H206" s="302" t="s">
        <v>540</v>
      </c>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193"/>
        <v>0</v>
      </c>
      <c r="AG206" s="107"/>
      <c r="AH206" s="107"/>
      <c r="AI206" s="107"/>
      <c r="AJ206" s="111"/>
      <c r="AK206" s="111"/>
      <c r="AL206" s="111"/>
      <c r="AM206" s="108">
        <f>AG206*'1. Standard_Cost'!$B$27+'Incremental_Cost Year 6'!AH206*'1. Standard_Cost'!$C$27+'Incremental_Cost Year 6'!AI206*'1. Standard_Cost'!$D$27+'Incremental_Cost Year 6'!AJ206+'Incremental_Cost Year 6'!AL206+AK206</f>
        <v>0</v>
      </c>
      <c r="AN206" s="108">
        <f>AM206*'1. Standard_Cost'!$C$31</f>
        <v>0</v>
      </c>
      <c r="AO206" s="125" t="s">
        <v>415</v>
      </c>
      <c r="AQ206" s="14">
        <f t="shared" si="194"/>
        <v>0</v>
      </c>
      <c r="AR206" s="14">
        <f t="shared" si="195"/>
        <v>0</v>
      </c>
      <c r="AS206" s="14">
        <f t="shared" si="196"/>
        <v>0</v>
      </c>
      <c r="AT206" s="14">
        <f t="shared" si="198"/>
        <v>0</v>
      </c>
      <c r="AU206" s="15"/>
      <c r="AV206" s="15"/>
      <c r="AW206" s="15"/>
      <c r="AX206" s="15"/>
      <c r="AY206" s="15"/>
      <c r="AZ206" s="15"/>
      <c r="BA206" s="15"/>
      <c r="BB206" s="16">
        <f t="shared" si="197"/>
        <v>0</v>
      </c>
    </row>
    <row r="207" spans="1:54" ht="36" customHeight="1" outlineLevel="2">
      <c r="A207" s="98"/>
      <c r="B207" s="102"/>
      <c r="C207" s="23"/>
      <c r="D207" s="269"/>
      <c r="E207" s="271"/>
      <c r="F207" s="250"/>
      <c r="G207" s="255"/>
      <c r="H207" s="302" t="s">
        <v>541</v>
      </c>
      <c r="I207" s="104"/>
      <c r="J207" s="105"/>
      <c r="K207" s="105"/>
      <c r="L207" s="106" t="str">
        <f>IF(I207&lt;&gt;0,((VLOOKUP(I207,'1. Standard_Cost'!$B$4:$D$11,2)+VLOOKUP(I207,'1. Standard_Cost'!$B$4:$D$11,3))*J207*K207),"0")</f>
        <v>0</v>
      </c>
      <c r="M207" s="106">
        <f>L207*'1. Standard_Cost'!$F$4</f>
        <v>0</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c r="AB207" s="108">
        <f>+Z207*'1. Standard_Cost'!$B$23+AA207*'1. Standard_Cost'!$C$23</f>
        <v>0</v>
      </c>
      <c r="AC207" s="109"/>
      <c r="AD207" s="110"/>
      <c r="AE207" s="108">
        <f>SUM(AD207,AC207,AB207,Y207,U207,T207,S207,R207)*'1. Standard_Cost'!$B$31</f>
        <v>0</v>
      </c>
      <c r="AF207" s="108">
        <f t="shared" si="193"/>
        <v>0</v>
      </c>
      <c r="AG207" s="107"/>
      <c r="AH207" s="107"/>
      <c r="AI207" s="107"/>
      <c r="AJ207" s="111"/>
      <c r="AK207" s="111"/>
      <c r="AL207" s="111"/>
      <c r="AM207" s="108">
        <f>AG207*'1. Standard_Cost'!$B$27+'Incremental_Cost Year 6'!AH207*'1. Standard_Cost'!$C$27+'Incremental_Cost Year 6'!AI207*'1. Standard_Cost'!$D$27+'Incremental_Cost Year 6'!AJ207+'Incremental_Cost Year 6'!AL207+AK207</f>
        <v>0</v>
      </c>
      <c r="AN207" s="108">
        <f>AM207*'1. Standard_Cost'!$C$31</f>
        <v>0</v>
      </c>
      <c r="AO207" s="125" t="s">
        <v>416</v>
      </c>
      <c r="AQ207" s="14">
        <f t="shared" si="194"/>
        <v>0</v>
      </c>
      <c r="AR207" s="14">
        <f t="shared" si="195"/>
        <v>0</v>
      </c>
      <c r="AS207" s="14">
        <f t="shared" si="196"/>
        <v>0</v>
      </c>
      <c r="AT207" s="14">
        <f t="shared" si="198"/>
        <v>0</v>
      </c>
      <c r="AU207" s="15">
        <v>0</v>
      </c>
      <c r="AV207" s="15"/>
      <c r="AW207" s="15"/>
      <c r="AX207" s="15"/>
      <c r="AY207" s="15"/>
      <c r="AZ207" s="15"/>
      <c r="BA207" s="15"/>
      <c r="BB207" s="16">
        <f t="shared" si="197"/>
        <v>0</v>
      </c>
    </row>
    <row r="208" spans="1:54" ht="109.2" outlineLevel="2">
      <c r="A208" s="98"/>
      <c r="B208" s="102"/>
      <c r="C208" s="23"/>
      <c r="D208" s="269"/>
      <c r="E208" s="271"/>
      <c r="F208" s="250"/>
      <c r="G208" s="255"/>
      <c r="H208" s="302" t="s">
        <v>542</v>
      </c>
      <c r="I208" s="104"/>
      <c r="J208" s="105"/>
      <c r="K208" s="105"/>
      <c r="L208" s="106" t="str">
        <f>IF(I208&lt;&gt;0,((VLOOKUP(I208,'1. Standard_Cost'!$B$4:$D$11,2)+VLOOKUP(I208,'1. Standard_Cost'!$B$4:$D$11,3))*J208*K208),"0")</f>
        <v>0</v>
      </c>
      <c r="M208" s="106">
        <f>L208*'1. Standard_Cost'!$F$4</f>
        <v>0</v>
      </c>
      <c r="N208" s="107">
        <v>3</v>
      </c>
      <c r="O208" s="107">
        <v>1</v>
      </c>
      <c r="P208" s="107">
        <v>13</v>
      </c>
      <c r="Q208" s="107"/>
      <c r="R208" s="108">
        <v>0</v>
      </c>
      <c r="S208" s="108">
        <v>0</v>
      </c>
      <c r="T208" s="108">
        <f>N208*P208*Q208*'1. Standard_Cost'!$D$15</f>
        <v>0</v>
      </c>
      <c r="U208" s="108">
        <v>0</v>
      </c>
      <c r="V208" s="107"/>
      <c r="W208" s="107"/>
      <c r="X208" s="107"/>
      <c r="Y208" s="108">
        <f>+V208*((X208*'1. Standard_Cost'!$B$19)+(W208*X208*'1. Standard_Cost'!$C$19))</f>
        <v>0</v>
      </c>
      <c r="Z208" s="107"/>
      <c r="AA208" s="107"/>
      <c r="AB208" s="108">
        <f>+Z208*'1. Standard_Cost'!$B$23+AA208*'1. Standard_Cost'!$C$23</f>
        <v>0</v>
      </c>
      <c r="AC208" s="109">
        <f>13*3500*3+13*500*3</f>
        <v>156000</v>
      </c>
      <c r="AD208" s="110"/>
      <c r="AE208" s="108">
        <v>0</v>
      </c>
      <c r="AF208" s="108">
        <f t="shared" si="193"/>
        <v>156000</v>
      </c>
      <c r="AG208" s="107"/>
      <c r="AH208" s="107"/>
      <c r="AI208" s="107"/>
      <c r="AJ208" s="111"/>
      <c r="AK208" s="111"/>
      <c r="AL208" s="111"/>
      <c r="AM208" s="108">
        <f>AG208*'1. Standard_Cost'!$B$27+'Incremental_Cost Year 6'!AH208*'1. Standard_Cost'!$C$27+'Incremental_Cost Year 6'!AI208*'1. Standard_Cost'!$D$27+'Incremental_Cost Year 6'!AJ208+'Incremental_Cost Year 6'!AL208+AK208</f>
        <v>0</v>
      </c>
      <c r="AN208" s="108">
        <f>AM208*'1. Standard_Cost'!$C$31</f>
        <v>0</v>
      </c>
      <c r="AO208" s="125" t="s">
        <v>417</v>
      </c>
      <c r="AQ208" s="14">
        <f t="shared" si="194"/>
        <v>0</v>
      </c>
      <c r="AR208" s="14">
        <f t="shared" si="195"/>
        <v>156000</v>
      </c>
      <c r="AS208" s="14">
        <f t="shared" si="196"/>
        <v>0</v>
      </c>
      <c r="AT208" s="14">
        <f t="shared" si="198"/>
        <v>156000</v>
      </c>
      <c r="AU208" s="15"/>
      <c r="AV208" s="15"/>
      <c r="AW208" s="15"/>
      <c r="AX208" s="15"/>
      <c r="AY208" s="15"/>
      <c r="AZ208" s="15"/>
      <c r="BA208" s="15"/>
      <c r="BB208" s="16">
        <f t="shared" si="197"/>
        <v>-156000</v>
      </c>
    </row>
    <row r="209" spans="1:54" ht="15.6" outlineLevel="2">
      <c r="A209" s="98"/>
      <c r="B209" s="102"/>
      <c r="C209" s="23"/>
      <c r="D209" s="269"/>
      <c r="E209" s="271"/>
      <c r="F209" s="271"/>
      <c r="G209" s="167"/>
      <c r="H209" s="302" t="s">
        <v>536</v>
      </c>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v>3</v>
      </c>
      <c r="AB209" s="108">
        <f>+Z209*'[1]1. Standard_Cost'!$B$23+AA209*'[1]1. Standard_Cost'!$C$23</f>
        <v>57000</v>
      </c>
      <c r="AC209" s="109"/>
      <c r="AD209" s="110"/>
      <c r="AE209" s="108">
        <v>0</v>
      </c>
      <c r="AF209" s="108">
        <f t="shared" si="193"/>
        <v>57000</v>
      </c>
      <c r="AG209" s="107"/>
      <c r="AH209" s="107"/>
      <c r="AI209" s="107"/>
      <c r="AJ209" s="111"/>
      <c r="AK209" s="111"/>
      <c r="AL209" s="111"/>
      <c r="AM209" s="108">
        <f>AG209*'[1]1. Standard_Cost'!$B$27+'[1]Incremental_Cost Year 6'!AH209*'[1]1. Standard_Cost'!$C$27+'[1]Incremental_Cost Year 6'!AI209*'[1]1. Standard_Cost'!$D$27+'[1]Incremental_Cost Year 6'!AJ209+'[1]Incremental_Cost Year 6'!AL209+AK209</f>
        <v>0</v>
      </c>
      <c r="AN209" s="108">
        <f>AM209*'[1]1. Standard_Cost'!$C$31</f>
        <v>0</v>
      </c>
      <c r="AO209" s="125" t="s">
        <v>418</v>
      </c>
      <c r="AQ209" s="14">
        <f t="shared" si="194"/>
        <v>0</v>
      </c>
      <c r="AR209" s="14">
        <f t="shared" si="195"/>
        <v>57000</v>
      </c>
      <c r="AS209" s="14">
        <f t="shared" si="196"/>
        <v>0</v>
      </c>
      <c r="AT209" s="14">
        <f t="shared" si="198"/>
        <v>57000</v>
      </c>
      <c r="AU209" s="15"/>
      <c r="AV209" s="15"/>
      <c r="AW209" s="15"/>
      <c r="AX209" s="15"/>
      <c r="AY209" s="15"/>
      <c r="AZ209" s="15"/>
      <c r="BA209" s="15"/>
      <c r="BB209" s="16">
        <f t="shared" si="197"/>
        <v>-57000</v>
      </c>
    </row>
    <row r="210" spans="1:54" ht="109.2" outlineLevel="2">
      <c r="A210" s="98"/>
      <c r="B210" s="102"/>
      <c r="C210" s="23"/>
      <c r="D210" s="269"/>
      <c r="E210" s="271"/>
      <c r="F210" s="250"/>
      <c r="G210" s="255"/>
      <c r="H210" s="302" t="s">
        <v>543</v>
      </c>
      <c r="I210" s="104"/>
      <c r="J210" s="105"/>
      <c r="K210" s="105"/>
      <c r="L210" s="106" t="str">
        <f>IF(I210&lt;&gt;0,((VLOOKUP(I210,'1. Standard_Cost'!$B$4:$D$11,2)+VLOOKUP(I210,'1. Standard_Cost'!$B$4:$D$11,3))*J210*K210),"0")</f>
        <v>0</v>
      </c>
      <c r="M210" s="106">
        <f>L210*'1. Standard_Cost'!$F$4</f>
        <v>0</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c r="AB210" s="108">
        <f>+Z210*'1. Standard_Cost'!$B$23+AA210*'1. Standard_Cost'!$C$23</f>
        <v>0</v>
      </c>
      <c r="AC210" s="109"/>
      <c r="AD210" s="110"/>
      <c r="AE210" s="108">
        <f>SUM(AD210,AC210,AB210,Y210,U210,T210,S210,R210)*'1. Standard_Cost'!$B$31</f>
        <v>0</v>
      </c>
      <c r="AF210" s="108">
        <f t="shared" si="193"/>
        <v>0</v>
      </c>
      <c r="AG210" s="107"/>
      <c r="AH210" s="107"/>
      <c r="AI210" s="107"/>
      <c r="AJ210" s="111"/>
      <c r="AK210" s="111"/>
      <c r="AL210" s="111"/>
      <c r="AM210" s="108">
        <f>AG210*'1. Standard_Cost'!$B$27+'Incremental_Cost Year 6'!AH210*'1. Standard_Cost'!$C$27+'Incremental_Cost Year 6'!AI210*'1. Standard_Cost'!$D$27+'Incremental_Cost Year 6'!AJ210+'Incremental_Cost Year 6'!AL210+AK210</f>
        <v>0</v>
      </c>
      <c r="AN210" s="108">
        <f>AM210*'1. Standard_Cost'!$C$31</f>
        <v>0</v>
      </c>
      <c r="AO210" s="125" t="s">
        <v>418</v>
      </c>
      <c r="AQ210" s="14">
        <f t="shared" si="194"/>
        <v>0</v>
      </c>
      <c r="AR210" s="14">
        <f t="shared" si="195"/>
        <v>0</v>
      </c>
      <c r="AS210" s="14">
        <f t="shared" si="196"/>
        <v>0</v>
      </c>
      <c r="AT210" s="14">
        <f t="shared" si="198"/>
        <v>0</v>
      </c>
      <c r="AU210" s="15">
        <v>0</v>
      </c>
      <c r="AV210" s="15"/>
      <c r="AW210" s="15"/>
      <c r="AX210" s="15"/>
      <c r="AY210" s="15"/>
      <c r="AZ210" s="15"/>
      <c r="BA210" s="15"/>
      <c r="BB210" s="16">
        <f t="shared" si="197"/>
        <v>0</v>
      </c>
    </row>
    <row r="211" spans="1:54" ht="78" outlineLevel="2">
      <c r="A211" s="98"/>
      <c r="B211" s="102"/>
      <c r="C211" s="23"/>
      <c r="D211" s="269"/>
      <c r="E211" s="271"/>
      <c r="F211" s="250"/>
      <c r="G211" s="255"/>
      <c r="H211" s="302" t="s">
        <v>544</v>
      </c>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c r="AD211" s="110"/>
      <c r="AE211" s="108">
        <f>SUM(AD211,AC211,AB211,Y211,U211,T211,S211,R211)*'1. Standard_Cost'!$B$31</f>
        <v>0</v>
      </c>
      <c r="AF211" s="108">
        <f t="shared" si="193"/>
        <v>0</v>
      </c>
      <c r="AG211" s="107"/>
      <c r="AH211" s="107"/>
      <c r="AI211" s="107"/>
      <c r="AJ211" s="111"/>
      <c r="AK211" s="111"/>
      <c r="AL211" s="111"/>
      <c r="AM211" s="108">
        <f>AG211*'1. Standard_Cost'!$B$27+'Incremental_Cost Year 6'!AH211*'1. Standard_Cost'!$C$27+'Incremental_Cost Year 6'!AI211*'1. Standard_Cost'!$D$27+'Incremental_Cost Year 6'!AJ211+'Incremental_Cost Year 6'!AL211+AK211</f>
        <v>0</v>
      </c>
      <c r="AN211" s="108">
        <f>AM211*'1. Standard_Cost'!$C$31</f>
        <v>0</v>
      </c>
      <c r="AO211" s="125" t="s">
        <v>419</v>
      </c>
      <c r="AQ211" s="14">
        <f t="shared" si="194"/>
        <v>0</v>
      </c>
      <c r="AR211" s="14">
        <f t="shared" si="195"/>
        <v>0</v>
      </c>
      <c r="AS211" s="14">
        <f t="shared" si="196"/>
        <v>0</v>
      </c>
      <c r="AT211" s="14">
        <f t="shared" si="198"/>
        <v>0</v>
      </c>
      <c r="AU211" s="15"/>
      <c r="AV211" s="15"/>
      <c r="AW211" s="15"/>
      <c r="AX211" s="15"/>
      <c r="AY211" s="15"/>
      <c r="AZ211" s="15"/>
      <c r="BA211" s="15"/>
      <c r="BB211" s="16">
        <f t="shared" si="197"/>
        <v>0</v>
      </c>
    </row>
    <row r="212" spans="1:54" ht="109.2" outlineLevel="2">
      <c r="A212" s="98"/>
      <c r="B212" s="102"/>
      <c r="C212" s="23"/>
      <c r="D212" s="269"/>
      <c r="E212" s="271"/>
      <c r="F212" s="250"/>
      <c r="G212" s="255"/>
      <c r="H212" s="302" t="s">
        <v>545</v>
      </c>
      <c r="I212" s="104"/>
      <c r="J212" s="105"/>
      <c r="K212" s="105"/>
      <c r="L212" s="106" t="str">
        <f>IF(I212&lt;&gt;0,((VLOOKUP(I212,'1. Standard_Cost'!$B$4:$D$11,2)+VLOOKUP(I212,'1. Standard_Cost'!$B$4:$D$11,3))*J212*K212),"0")</f>
        <v>0</v>
      </c>
      <c r="M212" s="106">
        <f>L212*'1. Standard_Cost'!$F$4</f>
        <v>0</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c r="AB212" s="108">
        <f>+Z212*'1. Standard_Cost'!$B$23+AA212*'1. Standard_Cost'!$C$23</f>
        <v>0</v>
      </c>
      <c r="AC212" s="109"/>
      <c r="AD212" s="110"/>
      <c r="AE212" s="108">
        <f>SUM(AD212,AC212,AB212,Y212,U212,T212,S212,R212)*'1. Standard_Cost'!$B$31</f>
        <v>0</v>
      </c>
      <c r="AF212" s="108">
        <f t="shared" si="193"/>
        <v>0</v>
      </c>
      <c r="AG212" s="107"/>
      <c r="AH212" s="107"/>
      <c r="AI212" s="107"/>
      <c r="AJ212" s="111"/>
      <c r="AK212" s="111"/>
      <c r="AL212" s="111"/>
      <c r="AM212" s="108">
        <f>AG212*'1. Standard_Cost'!$B$27+'Incremental_Cost Year 6'!AH212*'1. Standard_Cost'!$C$27+'Incremental_Cost Year 6'!AI212*'1. Standard_Cost'!$D$27+'Incremental_Cost Year 6'!AJ212+'Incremental_Cost Year 6'!AL212+AK212</f>
        <v>0</v>
      </c>
      <c r="AN212" s="108">
        <f>AM212*'1. Standard_Cost'!$C$31</f>
        <v>0</v>
      </c>
      <c r="AO212" s="125" t="s">
        <v>300</v>
      </c>
      <c r="AQ212" s="14">
        <f t="shared" si="194"/>
        <v>0</v>
      </c>
      <c r="AR212" s="14">
        <f t="shared" si="195"/>
        <v>0</v>
      </c>
      <c r="AS212" s="14">
        <f t="shared" si="196"/>
        <v>0</v>
      </c>
      <c r="AT212" s="14">
        <f t="shared" si="198"/>
        <v>0</v>
      </c>
      <c r="AU212" s="15">
        <v>0</v>
      </c>
      <c r="AV212" s="15"/>
      <c r="AW212" s="15"/>
      <c r="AX212" s="15"/>
      <c r="AY212" s="15"/>
      <c r="AZ212" s="15"/>
      <c r="BA212" s="15"/>
      <c r="BB212" s="16">
        <f t="shared" si="197"/>
        <v>0</v>
      </c>
    </row>
    <row r="213" spans="1:54" ht="93.6" outlineLevel="2">
      <c r="A213" s="98"/>
      <c r="B213" s="102"/>
      <c r="C213" s="23"/>
      <c r="D213" s="269"/>
      <c r="E213" s="271"/>
      <c r="F213" s="250"/>
      <c r="G213" s="255"/>
      <c r="H213" s="302" t="s">
        <v>546</v>
      </c>
      <c r="I213" s="104" t="s">
        <v>4</v>
      </c>
      <c r="J213" s="105">
        <v>0.2</v>
      </c>
      <c r="K213" s="105">
        <v>1</v>
      </c>
      <c r="L213" s="106">
        <f>IF(I213&lt;&gt;0,((VLOOKUP(I213,'1. Standard_Cost'!$B$4:$D$11,2)+VLOOKUP(I213,'1. Standard_Cost'!$B$4:$D$11,3))*J213*K213),"0")</f>
        <v>16150</v>
      </c>
      <c r="M213" s="106">
        <f>L213*'1. Standard_Cost'!$F$4</f>
        <v>2697.05</v>
      </c>
      <c r="N213" s="107">
        <v>1</v>
      </c>
      <c r="O213" s="107">
        <v>3</v>
      </c>
      <c r="P213" s="107">
        <v>13</v>
      </c>
      <c r="Q213" s="107">
        <v>0</v>
      </c>
      <c r="R213" s="108">
        <f>'1. Standard_Cost'!$B$15*N213*P213</f>
        <v>26000</v>
      </c>
      <c r="S213" s="108">
        <f>N213*O213*P213*'1. Standard_Cost'!$C$15</f>
        <v>58500</v>
      </c>
      <c r="T213" s="108">
        <f>N213*P213*Q213*'1. Standard_Cost'!$D$15</f>
        <v>0</v>
      </c>
      <c r="U213" s="108">
        <v>0</v>
      </c>
      <c r="V213" s="107"/>
      <c r="W213" s="107"/>
      <c r="X213" s="107"/>
      <c r="Y213" s="108">
        <f>+V213*((X213*'1. Standard_Cost'!$B$19)+(W213*X213*'1. Standard_Cost'!$C$19))</f>
        <v>0</v>
      </c>
      <c r="Z213" s="107"/>
      <c r="AA213" s="107"/>
      <c r="AB213" s="108">
        <f>+Z213*'1. Standard_Cost'!$B$23+AA213*'1. Standard_Cost'!$C$23</f>
        <v>0</v>
      </c>
      <c r="AC213" s="109"/>
      <c r="AD213" s="110"/>
      <c r="AE213" s="108">
        <v>0</v>
      </c>
      <c r="AF213" s="108">
        <f t="shared" si="193"/>
        <v>84500</v>
      </c>
      <c r="AG213" s="107"/>
      <c r="AH213" s="107"/>
      <c r="AI213" s="107"/>
      <c r="AJ213" s="111"/>
      <c r="AK213" s="111"/>
      <c r="AL213" s="111"/>
      <c r="AM213" s="108">
        <f>AG213*'1. Standard_Cost'!$B$27+'Incremental_Cost Year 6'!AH213*'1. Standard_Cost'!$C$27+'Incremental_Cost Year 6'!AI213*'1. Standard_Cost'!$D$27+'Incremental_Cost Year 6'!AJ213+'Incremental_Cost Year 6'!AL213+AK213</f>
        <v>0</v>
      </c>
      <c r="AN213" s="108">
        <f>AM213*'1. Standard_Cost'!$C$31</f>
        <v>0</v>
      </c>
      <c r="AO213" s="125" t="s">
        <v>420</v>
      </c>
      <c r="AQ213" s="14">
        <f t="shared" si="194"/>
        <v>18847.05</v>
      </c>
      <c r="AR213" s="14">
        <f t="shared" si="195"/>
        <v>84500</v>
      </c>
      <c r="AS213" s="14">
        <f t="shared" si="196"/>
        <v>0</v>
      </c>
      <c r="AT213" s="14">
        <f t="shared" si="198"/>
        <v>103347.05</v>
      </c>
      <c r="AU213" s="15">
        <v>18847.05</v>
      </c>
      <c r="AV213" s="15"/>
      <c r="AW213" s="15"/>
      <c r="AX213" s="15">
        <v>84500</v>
      </c>
      <c r="AY213" s="15"/>
      <c r="AZ213" s="15"/>
      <c r="BA213" s="15"/>
      <c r="BB213" s="16">
        <f t="shared" si="197"/>
        <v>0</v>
      </c>
    </row>
    <row r="214" spans="1:54" ht="21" customHeight="1" outlineLevel="2">
      <c r="A214" s="98"/>
      <c r="B214" s="102"/>
      <c r="C214" s="23"/>
      <c r="D214" s="269"/>
      <c r="E214" s="271"/>
      <c r="F214" s="271"/>
      <c r="G214" s="167"/>
      <c r="H214" s="305" t="s">
        <v>537</v>
      </c>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v>4</v>
      </c>
      <c r="AB214" s="108">
        <f>+Z214*'[1]1. Standard_Cost'!$B$23+AA214*'[1]1. Standard_Cost'!$C$23</f>
        <v>76000</v>
      </c>
      <c r="AC214" s="109"/>
      <c r="AD214" s="110"/>
      <c r="AE214" s="108">
        <v>0</v>
      </c>
      <c r="AF214" s="108">
        <f t="shared" si="193"/>
        <v>76000</v>
      </c>
      <c r="AG214" s="107"/>
      <c r="AH214" s="107"/>
      <c r="AI214" s="107"/>
      <c r="AJ214" s="111"/>
      <c r="AK214" s="111"/>
      <c r="AL214" s="111"/>
      <c r="AM214" s="108">
        <f>AG214*'[1]1. Standard_Cost'!$B$27+'[1]Incremental_Cost Year 6'!AH214*'[1]1. Standard_Cost'!$C$27+'[1]Incremental_Cost Year 6'!AI214*'[1]1. Standard_Cost'!$D$27+'[1]Incremental_Cost Year 6'!AJ214+'[1]Incremental_Cost Year 6'!AL214+AK214</f>
        <v>0</v>
      </c>
      <c r="AN214" s="108">
        <f>AM214*'[1]1. Standard_Cost'!$C$31</f>
        <v>0</v>
      </c>
      <c r="AO214" s="125" t="s">
        <v>421</v>
      </c>
      <c r="AQ214" s="14">
        <f t="shared" si="194"/>
        <v>0</v>
      </c>
      <c r="AR214" s="14">
        <f t="shared" si="195"/>
        <v>76000</v>
      </c>
      <c r="AS214" s="14">
        <f t="shared" si="196"/>
        <v>0</v>
      </c>
      <c r="AT214" s="14">
        <f t="shared" si="198"/>
        <v>76000</v>
      </c>
      <c r="AU214" s="15"/>
      <c r="AV214" s="15"/>
      <c r="AW214" s="15"/>
      <c r="AX214" s="15"/>
      <c r="AY214" s="15"/>
      <c r="AZ214" s="15"/>
      <c r="BA214" s="15"/>
      <c r="BB214" s="16">
        <f t="shared" si="197"/>
        <v>-76000</v>
      </c>
    </row>
    <row r="215" spans="1:54" ht="187.2" outlineLevel="2">
      <c r="A215" s="98"/>
      <c r="B215" s="102"/>
      <c r="C215" s="23"/>
      <c r="D215" s="269"/>
      <c r="E215" s="271"/>
      <c r="F215" s="250"/>
      <c r="G215" s="255"/>
      <c r="H215" s="302" t="s">
        <v>547</v>
      </c>
      <c r="I215" s="104" t="s">
        <v>4</v>
      </c>
      <c r="J215" s="105">
        <v>0.2</v>
      </c>
      <c r="K215" s="105">
        <v>1</v>
      </c>
      <c r="L215" s="106">
        <f>IF(I215&lt;&gt;0,((VLOOKUP(I215,'1. Standard_Cost'!$B$4:$D$11,2)+VLOOKUP(I215,'1. Standard_Cost'!$B$4:$D$11,3))*J215*K215),"0")</f>
        <v>16150</v>
      </c>
      <c r="M215" s="106">
        <f>L215*'1. Standard_Cost'!$F$4</f>
        <v>2697.05</v>
      </c>
      <c r="N215" s="107">
        <v>1</v>
      </c>
      <c r="O215" s="107">
        <v>1</v>
      </c>
      <c r="P215" s="107">
        <v>50</v>
      </c>
      <c r="Q215" s="107"/>
      <c r="R215" s="108">
        <v>0</v>
      </c>
      <c r="S215" s="108">
        <v>0</v>
      </c>
      <c r="T215" s="108">
        <f>N215*P215*Q215*'1. Standard_Cost'!$D$15</f>
        <v>0</v>
      </c>
      <c r="U215" s="108">
        <v>0</v>
      </c>
      <c r="V215" s="107"/>
      <c r="W215" s="107"/>
      <c r="X215" s="107"/>
      <c r="Y215" s="108">
        <f>+V215*((X215*'1. Standard_Cost'!$B$19)+(W215*X215*'1. Standard_Cost'!$C$19))</f>
        <v>0</v>
      </c>
      <c r="Z215" s="107"/>
      <c r="AA215" s="107">
        <v>2</v>
      </c>
      <c r="AB215" s="108">
        <f>+Z215*'1. Standard_Cost'!$B$23+AA215*'1. Standard_Cost'!$C$23</f>
        <v>38000</v>
      </c>
      <c r="AC215" s="109">
        <f>51*3500+51*300</f>
        <v>193800</v>
      </c>
      <c r="AD215" s="110"/>
      <c r="AE215" s="108">
        <v>0</v>
      </c>
      <c r="AF215" s="108">
        <f t="shared" si="193"/>
        <v>231800</v>
      </c>
      <c r="AG215" s="107"/>
      <c r="AH215" s="107"/>
      <c r="AI215" s="107"/>
      <c r="AJ215" s="111"/>
      <c r="AK215" s="111"/>
      <c r="AL215" s="111"/>
      <c r="AM215" s="108">
        <f>AG215*'1. Standard_Cost'!$B$27+'Incremental_Cost Year 6'!AH215*'1. Standard_Cost'!$C$27+'Incremental_Cost Year 6'!AI215*'1. Standard_Cost'!$D$27+'Incremental_Cost Year 6'!AJ215+'Incremental_Cost Year 6'!AL215+AK215</f>
        <v>0</v>
      </c>
      <c r="AN215" s="108">
        <f>AM215*'1. Standard_Cost'!$C$31</f>
        <v>0</v>
      </c>
      <c r="AO215" s="125" t="s">
        <v>421</v>
      </c>
      <c r="AQ215" s="14">
        <f t="shared" si="194"/>
        <v>18847.05</v>
      </c>
      <c r="AR215" s="14">
        <f t="shared" si="195"/>
        <v>231800</v>
      </c>
      <c r="AS215" s="14">
        <f t="shared" si="196"/>
        <v>0</v>
      </c>
      <c r="AT215" s="14">
        <f t="shared" si="198"/>
        <v>250647.05</v>
      </c>
      <c r="AU215" s="15">
        <v>18847.05</v>
      </c>
      <c r="AV215" s="15"/>
      <c r="AW215" s="15"/>
      <c r="AX215" s="15">
        <v>231800</v>
      </c>
      <c r="AY215" s="15"/>
      <c r="AZ215" s="15"/>
      <c r="BA215" s="15"/>
      <c r="BB215" s="16">
        <f t="shared" si="197"/>
        <v>0</v>
      </c>
    </row>
    <row r="216" spans="1:54" ht="41.4" outlineLevel="2">
      <c r="A216" s="98"/>
      <c r="B216" s="102"/>
      <c r="C216" s="23"/>
      <c r="D216" s="269"/>
      <c r="E216" s="271"/>
      <c r="F216" s="250"/>
      <c r="G216" s="255"/>
      <c r="H216" s="302" t="s">
        <v>249</v>
      </c>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93"/>
        <v>0</v>
      </c>
      <c r="AG216" s="107"/>
      <c r="AH216" s="107"/>
      <c r="AI216" s="107"/>
      <c r="AJ216" s="111"/>
      <c r="AK216" s="111"/>
      <c r="AL216" s="111"/>
      <c r="AM216" s="108">
        <f>AG216*'1. Standard_Cost'!$B$27+'Incremental_Cost Year 6'!AH216*'1. Standard_Cost'!$C$27+'Incremental_Cost Year 6'!AI216*'1. Standard_Cost'!$D$27+'Incremental_Cost Year 6'!AJ216+'Incremental_Cost Year 6'!AL216+AK216</f>
        <v>0</v>
      </c>
      <c r="AN216" s="108">
        <f>AM216*'1. Standard_Cost'!$C$31</f>
        <v>0</v>
      </c>
      <c r="AO216" s="125" t="s">
        <v>422</v>
      </c>
      <c r="AQ216" s="14">
        <f t="shared" si="194"/>
        <v>0</v>
      </c>
      <c r="AR216" s="14">
        <f t="shared" si="195"/>
        <v>0</v>
      </c>
      <c r="AS216" s="14">
        <f t="shared" si="196"/>
        <v>0</v>
      </c>
      <c r="AT216" s="14">
        <f t="shared" si="198"/>
        <v>0</v>
      </c>
      <c r="AU216" s="15"/>
      <c r="AV216" s="15"/>
      <c r="AW216" s="15"/>
      <c r="AX216" s="15"/>
      <c r="AY216" s="15"/>
      <c r="AZ216" s="15"/>
      <c r="BA216" s="15"/>
      <c r="BB216" s="16">
        <f t="shared" si="197"/>
        <v>0</v>
      </c>
    </row>
    <row r="217" spans="1:54" ht="124.8" outlineLevel="2">
      <c r="A217" s="98"/>
      <c r="B217" s="102"/>
      <c r="C217" s="23"/>
      <c r="D217" s="269"/>
      <c r="E217" s="271"/>
      <c r="F217" s="250"/>
      <c r="G217" s="255"/>
      <c r="H217" s="302" t="s">
        <v>548</v>
      </c>
      <c r="I217" s="104"/>
      <c r="J217" s="105"/>
      <c r="K217" s="105"/>
      <c r="L217" s="106" t="str">
        <f>IF(I217&lt;&gt;0,((VLOOKUP(I217,'1. Standard_Cost'!$B$4:$D$11,2)+VLOOKUP(I217,'1. Standard_Cost'!$B$4:$D$11,3))*J217*K217),"0")</f>
        <v>0</v>
      </c>
      <c r="M217" s="106">
        <f>L217*'1. Standard_Cost'!$F$4</f>
        <v>0</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c r="AB217" s="108">
        <f>+Z217*'1. Standard_Cost'!$B$23+AA217*'1. Standard_Cost'!$C$23</f>
        <v>0</v>
      </c>
      <c r="AC217" s="109"/>
      <c r="AD217" s="110"/>
      <c r="AE217" s="108">
        <f>SUM(AD217,AC217,AB217,Y217,U217,T217,S217,R217)*'1. Standard_Cost'!$B$31</f>
        <v>0</v>
      </c>
      <c r="AF217" s="108">
        <f t="shared" si="193"/>
        <v>0</v>
      </c>
      <c r="AG217" s="107"/>
      <c r="AH217" s="107"/>
      <c r="AI217" s="107"/>
      <c r="AJ217" s="111"/>
      <c r="AK217" s="111"/>
      <c r="AL217" s="111"/>
      <c r="AM217" s="108">
        <f>AG217*'1. Standard_Cost'!$B$27+'Incremental_Cost Year 6'!AH217*'1. Standard_Cost'!$C$27+'Incremental_Cost Year 6'!AI217*'1. Standard_Cost'!$D$27+'Incremental_Cost Year 6'!AJ217+'Incremental_Cost Year 6'!AL217+AK217</f>
        <v>0</v>
      </c>
      <c r="AN217" s="108">
        <f>AM217*'1. Standard_Cost'!$C$31</f>
        <v>0</v>
      </c>
      <c r="AO217" s="125" t="s">
        <v>423</v>
      </c>
      <c r="AQ217" s="14">
        <f t="shared" si="194"/>
        <v>0</v>
      </c>
      <c r="AR217" s="14">
        <f t="shared" si="195"/>
        <v>0</v>
      </c>
      <c r="AS217" s="14">
        <f t="shared" si="196"/>
        <v>0</v>
      </c>
      <c r="AT217" s="14">
        <f t="shared" si="198"/>
        <v>0</v>
      </c>
      <c r="AU217" s="15">
        <v>0</v>
      </c>
      <c r="AV217" s="15"/>
      <c r="AW217" s="15"/>
      <c r="AX217" s="15">
        <v>0</v>
      </c>
      <c r="AY217" s="15"/>
      <c r="AZ217" s="15"/>
      <c r="BA217" s="15"/>
      <c r="BB217" s="16">
        <f t="shared" si="197"/>
        <v>0</v>
      </c>
    </row>
    <row r="218" spans="1:54" ht="234" outlineLevel="2">
      <c r="A218" s="98"/>
      <c r="B218" s="102"/>
      <c r="C218" s="23"/>
      <c r="D218" s="269"/>
      <c r="E218" s="271"/>
      <c r="F218" s="250"/>
      <c r="G218" s="255"/>
      <c r="H218" s="302" t="s">
        <v>549</v>
      </c>
      <c r="I218" s="104"/>
      <c r="J218" s="105"/>
      <c r="K218" s="105"/>
      <c r="L218" s="106" t="str">
        <f>IF(I218&lt;&gt;0,((VLOOKUP(I218,'1. Standard_Cost'!$B$4:$D$11,2)+VLOOKUP(I218,'1. Standard_Cost'!$B$4:$D$11,3))*J218*K218),"0")</f>
        <v>0</v>
      </c>
      <c r="M218" s="106">
        <f>L218*'1. Standard_Cost'!$F$4</f>
        <v>0</v>
      </c>
      <c r="N218" s="107">
        <v>0</v>
      </c>
      <c r="O218" s="107">
        <v>0</v>
      </c>
      <c r="P218" s="107">
        <v>0</v>
      </c>
      <c r="Q218" s="107"/>
      <c r="R218" s="108">
        <f>'1. Standard_Cost'!$B$15*N218*P218</f>
        <v>0</v>
      </c>
      <c r="S218" s="108">
        <f>N218*O218*P218*'1. Standard_Cost'!$C$15</f>
        <v>0</v>
      </c>
      <c r="T218" s="108">
        <f>N218*P218*Q218*'1. Standard_Cost'!$D$15</f>
        <v>0</v>
      </c>
      <c r="U218" s="108">
        <f>N218*O218*'1. Standard_Cost'!$E$15</f>
        <v>0</v>
      </c>
      <c r="V218" s="107"/>
      <c r="W218" s="107"/>
      <c r="X218" s="107"/>
      <c r="Y218" s="108">
        <f>+V218*((X218*'1. Standard_Cost'!$B$19)+(W218*X218*'1. Standard_Cost'!$C$19))</f>
        <v>0</v>
      </c>
      <c r="Z218" s="107"/>
      <c r="AA218" s="107"/>
      <c r="AB218" s="108">
        <f>+Z218*'1. Standard_Cost'!$B$23+AA218*'1. Standard_Cost'!$C$23</f>
        <v>0</v>
      </c>
      <c r="AC218" s="109"/>
      <c r="AD218" s="110"/>
      <c r="AE218" s="108">
        <f>SUM(AD218,AC218,AB218,Y218,U218,T218,S218,R218)*'1. Standard_Cost'!$B$31</f>
        <v>0</v>
      </c>
      <c r="AF218" s="108">
        <f t="shared" si="193"/>
        <v>0</v>
      </c>
      <c r="AG218" s="107"/>
      <c r="AH218" s="107"/>
      <c r="AI218" s="107"/>
      <c r="AJ218" s="111"/>
      <c r="AK218" s="111"/>
      <c r="AL218" s="111"/>
      <c r="AM218" s="108">
        <f>AG218*'1. Standard_Cost'!$B$27+'Incremental_Cost Year 6'!AH218*'1. Standard_Cost'!$C$27+'Incremental_Cost Year 6'!AI218*'1. Standard_Cost'!$D$27+'Incremental_Cost Year 6'!AJ218+'Incremental_Cost Year 6'!AL218+AK218</f>
        <v>0</v>
      </c>
      <c r="AN218" s="108">
        <f>AM218*'1. Standard_Cost'!$C$31</f>
        <v>0</v>
      </c>
      <c r="AO218" s="125" t="s">
        <v>424</v>
      </c>
      <c r="AQ218" s="14">
        <f t="shared" si="194"/>
        <v>0</v>
      </c>
      <c r="AR218" s="14">
        <f t="shared" si="195"/>
        <v>0</v>
      </c>
      <c r="AS218" s="14">
        <f t="shared" si="196"/>
        <v>0</v>
      </c>
      <c r="AT218" s="14">
        <f t="shared" si="198"/>
        <v>0</v>
      </c>
      <c r="AU218" s="15">
        <v>0</v>
      </c>
      <c r="AV218" s="15"/>
      <c r="AW218" s="15"/>
      <c r="AX218" s="15">
        <v>0</v>
      </c>
      <c r="AY218" s="15"/>
      <c r="AZ218" s="15"/>
      <c r="BA218" s="15"/>
      <c r="BB218" s="16">
        <f t="shared" si="197"/>
        <v>0</v>
      </c>
    </row>
    <row r="219" spans="1:54" ht="36" customHeight="1" outlineLevel="2">
      <c r="A219" s="98"/>
      <c r="B219" s="102"/>
      <c r="C219" s="23"/>
      <c r="D219" s="251"/>
      <c r="E219" s="251"/>
      <c r="F219" s="251"/>
      <c r="G219" s="250"/>
      <c r="H219" s="302" t="s">
        <v>250</v>
      </c>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93"/>
        <v>0</v>
      </c>
      <c r="AG219" s="107"/>
      <c r="AH219" s="107"/>
      <c r="AI219" s="107"/>
      <c r="AJ219" s="111"/>
      <c r="AK219" s="111"/>
      <c r="AL219" s="111"/>
      <c r="AM219" s="108">
        <f>AG219*'1. Standard_Cost'!$B$27+'Incremental_Cost Year 6'!AH219*'1. Standard_Cost'!$C$27+'Incremental_Cost Year 6'!AI219*'1. Standard_Cost'!$D$27+'Incremental_Cost Year 6'!AJ219+'Incremental_Cost Year 6'!AL219+AK219</f>
        <v>0</v>
      </c>
      <c r="AN219" s="108">
        <f>AM219*'1. Standard_Cost'!$C$31</f>
        <v>0</v>
      </c>
      <c r="AO219" s="125" t="s">
        <v>425</v>
      </c>
      <c r="AQ219" s="14">
        <f t="shared" si="194"/>
        <v>0</v>
      </c>
      <c r="AR219" s="14">
        <f t="shared" si="195"/>
        <v>0</v>
      </c>
      <c r="AS219" s="14">
        <f t="shared" si="196"/>
        <v>0</v>
      </c>
      <c r="AT219" s="14">
        <f t="shared" si="198"/>
        <v>0</v>
      </c>
      <c r="AU219" s="15"/>
      <c r="AV219" s="15"/>
      <c r="AW219" s="15"/>
      <c r="AX219" s="15"/>
      <c r="AY219" s="15"/>
      <c r="AZ219" s="15"/>
      <c r="BA219" s="15"/>
      <c r="BB219" s="16">
        <f t="shared" si="197"/>
        <v>0</v>
      </c>
    </row>
    <row r="220" spans="1:54" ht="32.25" customHeight="1" outlineLevel="2">
      <c r="A220" s="98"/>
      <c r="B220" s="102"/>
      <c r="C220" s="23"/>
      <c r="D220" s="251"/>
      <c r="E220" s="251"/>
      <c r="F220" s="251"/>
      <c r="G220" s="250"/>
      <c r="H220" s="302" t="s">
        <v>251</v>
      </c>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93"/>
        <v>0</v>
      </c>
      <c r="AG220" s="107"/>
      <c r="AH220" s="107"/>
      <c r="AI220" s="107"/>
      <c r="AJ220" s="111"/>
      <c r="AK220" s="111"/>
      <c r="AL220" s="111"/>
      <c r="AM220" s="108">
        <f>AG220*'1. Standard_Cost'!$B$27+'Incremental_Cost Year 6'!AH220*'1. Standard_Cost'!$C$27+'Incremental_Cost Year 6'!AI220*'1. Standard_Cost'!$D$27+'Incremental_Cost Year 6'!AJ220+'Incremental_Cost Year 6'!AL220+AK220</f>
        <v>0</v>
      </c>
      <c r="AN220" s="108">
        <f>AM220*'1. Standard_Cost'!$C$31</f>
        <v>0</v>
      </c>
      <c r="AO220" s="125" t="s">
        <v>426</v>
      </c>
      <c r="AQ220" s="14">
        <f t="shared" si="194"/>
        <v>0</v>
      </c>
      <c r="AR220" s="14">
        <f t="shared" si="195"/>
        <v>0</v>
      </c>
      <c r="AS220" s="14">
        <f t="shared" si="196"/>
        <v>0</v>
      </c>
      <c r="AT220" s="14">
        <f t="shared" si="198"/>
        <v>0</v>
      </c>
      <c r="AU220" s="15"/>
      <c r="AV220" s="15"/>
      <c r="AW220" s="15"/>
      <c r="AX220" s="15"/>
      <c r="AY220" s="15"/>
      <c r="AZ220" s="15"/>
      <c r="BA220" s="15"/>
      <c r="BB220" s="16">
        <f t="shared" si="197"/>
        <v>0</v>
      </c>
    </row>
    <row r="221" spans="1:54" ht="45" customHeight="1" outlineLevel="2">
      <c r="A221" s="98"/>
      <c r="B221" s="102"/>
      <c r="C221" s="23"/>
      <c r="D221" s="251"/>
      <c r="E221" s="251"/>
      <c r="F221" s="251"/>
      <c r="G221" s="250"/>
      <c r="H221" s="302" t="s">
        <v>550</v>
      </c>
      <c r="I221" s="104" t="s">
        <v>4</v>
      </c>
      <c r="J221" s="105">
        <v>1</v>
      </c>
      <c r="K221" s="105">
        <v>2</v>
      </c>
      <c r="L221" s="106">
        <f>IF(I221&lt;&gt;0,((VLOOKUP(I221,'1. Standard_Cost'!$B$4:$D$11,2)+VLOOKUP(I221,'1. Standard_Cost'!$B$4:$D$11,3))*J221*K221),"0")</f>
        <v>161500</v>
      </c>
      <c r="M221" s="106">
        <f>L221*'1. Standard_Cost'!$F$4</f>
        <v>26970.5</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93"/>
        <v>0</v>
      </c>
      <c r="AG221" s="107"/>
      <c r="AH221" s="107"/>
      <c r="AI221" s="107"/>
      <c r="AJ221" s="111"/>
      <c r="AK221" s="111"/>
      <c r="AL221" s="111"/>
      <c r="AM221" s="108">
        <f>AG221*'1. Standard_Cost'!$B$27+'Incremental_Cost Year 6'!AH221*'1. Standard_Cost'!$C$27+'Incremental_Cost Year 6'!AI221*'1. Standard_Cost'!$D$27+'Incremental_Cost Year 6'!AJ221+'Incremental_Cost Year 6'!AL221+AK221</f>
        <v>0</v>
      </c>
      <c r="AN221" s="108">
        <f>AM221*'1. Standard_Cost'!$C$31</f>
        <v>0</v>
      </c>
      <c r="AO221" s="125" t="s">
        <v>427</v>
      </c>
      <c r="AQ221" s="14">
        <f t="shared" si="194"/>
        <v>188470.5</v>
      </c>
      <c r="AR221" s="14">
        <f t="shared" si="195"/>
        <v>0</v>
      </c>
      <c r="AS221" s="14">
        <f t="shared" si="196"/>
        <v>0</v>
      </c>
      <c r="AT221" s="14">
        <f t="shared" si="198"/>
        <v>188470.5</v>
      </c>
      <c r="AU221" s="15">
        <v>188470.5</v>
      </c>
      <c r="AV221" s="15"/>
      <c r="AW221" s="15"/>
      <c r="AX221" s="15"/>
      <c r="AY221" s="15"/>
      <c r="AZ221" s="15"/>
      <c r="BA221" s="15"/>
      <c r="BB221" s="16">
        <f t="shared" si="197"/>
        <v>0</v>
      </c>
    </row>
    <row r="222" spans="1:54" ht="82.8" outlineLevel="1">
      <c r="A222" s="98"/>
      <c r="B222" s="102"/>
      <c r="C222" s="23"/>
      <c r="D222" s="31" t="s">
        <v>712</v>
      </c>
      <c r="E222" s="56" t="s">
        <v>247</v>
      </c>
      <c r="F222" s="253">
        <v>2021</v>
      </c>
      <c r="G222" s="254">
        <v>2026</v>
      </c>
      <c r="H222" s="279" t="s">
        <v>248</v>
      </c>
      <c r="I222" s="112"/>
      <c r="J222" s="112"/>
      <c r="K222" s="112"/>
      <c r="L222" s="113">
        <f>SUM(L203:L221)</f>
        <v>3587400</v>
      </c>
      <c r="M222" s="113">
        <f>SUM(M203:M221)</f>
        <v>599095.80000000016</v>
      </c>
      <c r="N222" s="112"/>
      <c r="O222" s="112"/>
      <c r="P222" s="112"/>
      <c r="Q222" s="112"/>
      <c r="R222" s="113">
        <f>SUM(R203:R221)</f>
        <v>26000</v>
      </c>
      <c r="S222" s="113">
        <f>SUM(S203:S221)</f>
        <v>58500</v>
      </c>
      <c r="T222" s="113">
        <f>SUM(T203:T221)</f>
        <v>0</v>
      </c>
      <c r="U222" s="113">
        <f>SUM(U203:U221)</f>
        <v>0</v>
      </c>
      <c r="V222" s="112"/>
      <c r="W222" s="112"/>
      <c r="X222" s="112"/>
      <c r="Y222" s="113">
        <f>SUM(Y203:Y221)</f>
        <v>0</v>
      </c>
      <c r="Z222" s="113"/>
      <c r="AA222" s="112"/>
      <c r="AB222" s="113">
        <f>SUM(AB203:AB221)</f>
        <v>399000</v>
      </c>
      <c r="AC222" s="113">
        <f>SUM(AC203:AC221)</f>
        <v>453800</v>
      </c>
      <c r="AD222" s="113">
        <f>SUM(AD203:AD221)</f>
        <v>0</v>
      </c>
      <c r="AE222" s="113">
        <f>SUM(AE203:AE221)</f>
        <v>7600</v>
      </c>
      <c r="AF222" s="113">
        <f>SUM(AF203:AF221)</f>
        <v>944900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 si="199">SUM(AQ203:AQ221)</f>
        <v>4186495.8</v>
      </c>
      <c r="AR222" s="113">
        <f t="shared" ref="AR222:BB222" si="200">SUM(AR203:AR221)</f>
        <v>944900</v>
      </c>
      <c r="AS222" s="113">
        <f t="shared" si="200"/>
        <v>0</v>
      </c>
      <c r="AT222" s="113">
        <f t="shared" si="200"/>
        <v>5131395.8</v>
      </c>
      <c r="AU222" s="113">
        <f t="shared" si="200"/>
        <v>4186495.8</v>
      </c>
      <c r="AV222" s="113">
        <f t="shared" si="200"/>
        <v>0</v>
      </c>
      <c r="AW222" s="113">
        <f t="shared" si="200"/>
        <v>0</v>
      </c>
      <c r="AX222" s="113">
        <f t="shared" si="200"/>
        <v>655900</v>
      </c>
      <c r="AY222" s="113">
        <f t="shared" si="200"/>
        <v>0</v>
      </c>
      <c r="AZ222" s="113">
        <f t="shared" si="200"/>
        <v>0</v>
      </c>
      <c r="BA222" s="113">
        <f t="shared" si="200"/>
        <v>0</v>
      </c>
      <c r="BB222" s="113">
        <f t="shared" si="200"/>
        <v>-289000</v>
      </c>
    </row>
    <row r="223" spans="1:54" s="13" customFormat="1" ht="13.8" customHeight="1">
      <c r="A223" s="101"/>
      <c r="B223" s="316" t="s">
        <v>253</v>
      </c>
      <c r="C223" s="317"/>
      <c r="D223" s="317"/>
      <c r="E223" s="318"/>
      <c r="F223" s="241"/>
      <c r="G223" s="241"/>
      <c r="H223" s="241" t="s">
        <v>252</v>
      </c>
      <c r="I223" s="40"/>
      <c r="J223" s="40"/>
      <c r="K223" s="40"/>
      <c r="L223" s="41">
        <f>SUM(L224)</f>
        <v>96900</v>
      </c>
      <c r="M223" s="41">
        <f>SUM(M224)</f>
        <v>16182.3</v>
      </c>
      <c r="N223" s="40"/>
      <c r="O223" s="40"/>
      <c r="P223" s="40"/>
      <c r="Q223" s="40"/>
      <c r="R223" s="41">
        <f t="shared" ref="R223:U223" si="201">SUM(R224)</f>
        <v>0</v>
      </c>
      <c r="S223" s="41">
        <f t="shared" si="201"/>
        <v>0</v>
      </c>
      <c r="T223" s="41">
        <f t="shared" si="201"/>
        <v>0</v>
      </c>
      <c r="U223" s="41">
        <f t="shared" si="201"/>
        <v>0</v>
      </c>
      <c r="V223" s="40"/>
      <c r="W223" s="40"/>
      <c r="X223" s="40"/>
      <c r="Y223" s="41">
        <f t="shared" ref="Y223" si="202">SUM(Y224)</f>
        <v>0</v>
      </c>
      <c r="Z223" s="41">
        <f t="shared" ref="Z223" si="203">SUM(Z224)</f>
        <v>0</v>
      </c>
      <c r="AA223" s="40"/>
      <c r="AB223" s="41">
        <f t="shared" ref="AB223:AF223" si="204">SUM(AB224)</f>
        <v>228000</v>
      </c>
      <c r="AC223" s="41">
        <f t="shared" ref="AC223:AD223" si="205">SUM(AC224)</f>
        <v>630000</v>
      </c>
      <c r="AD223" s="41">
        <f t="shared" si="205"/>
        <v>0</v>
      </c>
      <c r="AE223" s="41">
        <f t="shared" si="204"/>
        <v>171600</v>
      </c>
      <c r="AF223" s="41">
        <f t="shared" si="204"/>
        <v>1029600</v>
      </c>
      <c r="AG223" s="40"/>
      <c r="AH223" s="40"/>
      <c r="AI223" s="40"/>
      <c r="AJ223" s="41">
        <f t="shared" ref="AJ223:AL223" si="206">SUM(AJ224)</f>
        <v>0</v>
      </c>
      <c r="AK223" s="41">
        <f t="shared" si="206"/>
        <v>0</v>
      </c>
      <c r="AL223" s="41">
        <f t="shared" si="206"/>
        <v>0</v>
      </c>
      <c r="AM223" s="41">
        <f t="shared" ref="AM223:AN223" si="207">SUM(AM224)</f>
        <v>0</v>
      </c>
      <c r="AN223" s="41">
        <f t="shared" si="207"/>
        <v>0</v>
      </c>
      <c r="AO223" s="129"/>
      <c r="AQ223" s="41">
        <f t="shared" ref="AQ223:BB223" si="208">SUM(AQ224)</f>
        <v>113082.3</v>
      </c>
      <c r="AR223" s="41">
        <f t="shared" si="208"/>
        <v>1029600</v>
      </c>
      <c r="AS223" s="41">
        <f t="shared" si="208"/>
        <v>0</v>
      </c>
      <c r="AT223" s="41">
        <f t="shared" si="208"/>
        <v>1142682.3</v>
      </c>
      <c r="AU223" s="41">
        <f t="shared" si="208"/>
        <v>113082.3</v>
      </c>
      <c r="AV223" s="41">
        <f t="shared" si="208"/>
        <v>0</v>
      </c>
      <c r="AW223" s="41">
        <f t="shared" si="208"/>
        <v>0</v>
      </c>
      <c r="AX223" s="41">
        <f t="shared" si="208"/>
        <v>0</v>
      </c>
      <c r="AY223" s="41">
        <f t="shared" si="208"/>
        <v>0</v>
      </c>
      <c r="AZ223" s="41">
        <f t="shared" si="208"/>
        <v>0</v>
      </c>
      <c r="BA223" s="41">
        <f t="shared" si="208"/>
        <v>0</v>
      </c>
      <c r="BB223" s="41">
        <f t="shared" si="208"/>
        <v>-1029600</v>
      </c>
    </row>
    <row r="224" spans="1:54" s="24" customFormat="1" ht="13.8" customHeight="1">
      <c r="A224" s="114"/>
      <c r="B224" s="115"/>
      <c r="C224" s="314" t="s">
        <v>254</v>
      </c>
      <c r="D224" s="314"/>
      <c r="E224" s="315"/>
      <c r="F224" s="246"/>
      <c r="G224" s="246"/>
      <c r="H224" s="278" t="s">
        <v>255</v>
      </c>
      <c r="I224" s="116"/>
      <c r="J224" s="116"/>
      <c r="K224" s="116"/>
      <c r="L224" s="117">
        <f>SUM(L232,L236,L242)</f>
        <v>96900</v>
      </c>
      <c r="M224" s="117">
        <f>SUM(M232,M236,M242)</f>
        <v>16182.3</v>
      </c>
      <c r="N224" s="116"/>
      <c r="O224" s="116"/>
      <c r="P224" s="116"/>
      <c r="Q224" s="116"/>
      <c r="R224" s="117">
        <f t="shared" ref="R224:U224" si="209">SUM(R232,R236,R242)</f>
        <v>0</v>
      </c>
      <c r="S224" s="117">
        <f t="shared" si="209"/>
        <v>0</v>
      </c>
      <c r="T224" s="117">
        <f t="shared" si="209"/>
        <v>0</v>
      </c>
      <c r="U224" s="117">
        <f t="shared" si="209"/>
        <v>0</v>
      </c>
      <c r="V224" s="116"/>
      <c r="W224" s="116"/>
      <c r="X224" s="116"/>
      <c r="Y224" s="117">
        <f>SUM(Y232,Y236,Y242)</f>
        <v>0</v>
      </c>
      <c r="Z224" s="116"/>
      <c r="AA224" s="116"/>
      <c r="AB224" s="117">
        <f t="shared" ref="AB224:AF224" si="210">SUM(AB232,AB236,AB242)</f>
        <v>228000</v>
      </c>
      <c r="AC224" s="117">
        <f t="shared" si="210"/>
        <v>630000</v>
      </c>
      <c r="AD224" s="117">
        <f t="shared" si="210"/>
        <v>0</v>
      </c>
      <c r="AE224" s="117">
        <f t="shared" si="210"/>
        <v>171600</v>
      </c>
      <c r="AF224" s="117">
        <f t="shared" si="210"/>
        <v>1029600</v>
      </c>
      <c r="AG224" s="116"/>
      <c r="AH224" s="116"/>
      <c r="AI224" s="116"/>
      <c r="AJ224" s="117">
        <f t="shared" ref="AJ224:AL224" si="211">SUM(AJ232,AJ236,AJ242)</f>
        <v>0</v>
      </c>
      <c r="AK224" s="117">
        <f t="shared" si="211"/>
        <v>0</v>
      </c>
      <c r="AL224" s="117">
        <f t="shared" si="211"/>
        <v>0</v>
      </c>
      <c r="AM224" s="117">
        <f t="shared" ref="AM224:AN224" si="212">SUM(AM232,AM236,AM242)</f>
        <v>0</v>
      </c>
      <c r="AN224" s="117">
        <f t="shared" si="212"/>
        <v>0</v>
      </c>
      <c r="AO224" s="132"/>
      <c r="AP224" s="25"/>
      <c r="AQ224" s="117">
        <f t="shared" ref="AQ224" si="213">SUM(AQ232,AQ236,AQ242)</f>
        <v>113082.3</v>
      </c>
      <c r="AR224" s="117">
        <f t="shared" ref="AR224:BB224" si="214">SUM(AR232,AR236,AR242)</f>
        <v>1029600</v>
      </c>
      <c r="AS224" s="117">
        <f t="shared" si="214"/>
        <v>0</v>
      </c>
      <c r="AT224" s="117">
        <f t="shared" si="214"/>
        <v>1142682.3</v>
      </c>
      <c r="AU224" s="117">
        <f t="shared" si="214"/>
        <v>113082.3</v>
      </c>
      <c r="AV224" s="117">
        <f t="shared" si="214"/>
        <v>0</v>
      </c>
      <c r="AW224" s="117">
        <f t="shared" si="214"/>
        <v>0</v>
      </c>
      <c r="AX224" s="117">
        <f t="shared" si="214"/>
        <v>0</v>
      </c>
      <c r="AY224" s="117">
        <f t="shared" si="214"/>
        <v>0</v>
      </c>
      <c r="AZ224" s="117">
        <f t="shared" si="214"/>
        <v>0</v>
      </c>
      <c r="BA224" s="117">
        <f t="shared" si="214"/>
        <v>0</v>
      </c>
      <c r="BB224" s="117">
        <f t="shared" si="214"/>
        <v>-1029600</v>
      </c>
    </row>
    <row r="225" spans="1:54" ht="46.8" outlineLevel="2">
      <c r="A225" s="98"/>
      <c r="B225" s="102"/>
      <c r="C225" s="23"/>
      <c r="D225" s="257"/>
      <c r="E225" s="257"/>
      <c r="F225" s="257"/>
      <c r="G225" s="257"/>
      <c r="H225" s="302" t="s">
        <v>256</v>
      </c>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215">SUM(AE225,AD225,AC225,AB225,Y225,U225,T225,S225,R225)</f>
        <v>0</v>
      </c>
      <c r="AG225" s="107"/>
      <c r="AH225" s="107"/>
      <c r="AI225" s="107"/>
      <c r="AJ225" s="111"/>
      <c r="AK225" s="111"/>
      <c r="AL225" s="111"/>
      <c r="AM225" s="108">
        <f>AG225*'1. Standard_Cost'!$B$27+'Incremental_Cost Year 6'!AH225*'1. Standard_Cost'!$C$27+'Incremental_Cost Year 6'!AI225*'1. Standard_Cost'!$D$27+'Incremental_Cost Year 6'!AJ225+'Incremental_Cost Year 6'!AL225+AK225</f>
        <v>0</v>
      </c>
      <c r="AN225" s="108">
        <f>AM225*'1. Standard_Cost'!$C$31</f>
        <v>0</v>
      </c>
      <c r="AO225" s="125" t="s">
        <v>428</v>
      </c>
      <c r="AQ225" s="14">
        <f t="shared" ref="AQ225:AQ231" si="216">L225+M225</f>
        <v>0</v>
      </c>
      <c r="AR225" s="14">
        <f t="shared" ref="AR225:AR231" si="217">AF225</f>
        <v>0</v>
      </c>
      <c r="AS225" s="14">
        <f t="shared" ref="AS225:AS231" si="218">AM225+AN225</f>
        <v>0</v>
      </c>
      <c r="AT225" s="14">
        <f>SUM(AQ225,AR225,AS225)</f>
        <v>0</v>
      </c>
      <c r="AU225" s="15"/>
      <c r="AV225" s="15"/>
      <c r="AW225" s="15"/>
      <c r="AX225" s="15"/>
      <c r="AY225" s="15"/>
      <c r="AZ225" s="15"/>
      <c r="BA225" s="15"/>
      <c r="BB225" s="16">
        <f t="shared" ref="BB225:BB231" si="219">SUM(AU225:BA225)-AT225</f>
        <v>0</v>
      </c>
    </row>
    <row r="226" spans="1:54" ht="202.8" outlineLevel="2">
      <c r="A226" s="98"/>
      <c r="B226" s="102"/>
      <c r="C226" s="23"/>
      <c r="D226" s="269"/>
      <c r="E226" s="269"/>
      <c r="F226" s="269"/>
      <c r="G226" s="269"/>
      <c r="H226" s="302" t="s">
        <v>552</v>
      </c>
      <c r="I226" s="104"/>
      <c r="J226" s="105"/>
      <c r="K226" s="105"/>
      <c r="L226" s="106" t="str">
        <f>IF(I226&lt;&gt;0,((VLOOKUP(I226,'1. Standard_Cost'!$B$4:$D$11,2)+VLOOKUP(I226,'1. Standard_Cost'!$B$4:$D$11,3))*J226*K226),"0")</f>
        <v>0</v>
      </c>
      <c r="M226" s="106">
        <f>L226*'1. Standard_Cost'!$F$4</f>
        <v>0</v>
      </c>
      <c r="N226" s="107"/>
      <c r="O226" s="107"/>
      <c r="P226" s="107"/>
      <c r="Q226" s="107"/>
      <c r="R226" s="108">
        <f>'1. Standard_Cost'!$B$15*N226*P226</f>
        <v>0</v>
      </c>
      <c r="S226" s="108">
        <f>N226*O226*P226*'1. Standard_Cost'!$C$15</f>
        <v>0</v>
      </c>
      <c r="T226" s="108">
        <f>N226*P226*Q226*'1. Standard_Cost'!$D$15</f>
        <v>0</v>
      </c>
      <c r="U226" s="108">
        <f>N226*O226*'1. Standard_Cost'!$E$15</f>
        <v>0</v>
      </c>
      <c r="V226" s="107"/>
      <c r="W226" s="107"/>
      <c r="X226" s="107"/>
      <c r="Y226" s="108">
        <f>+V226*((X226*'1. Standard_Cost'!$B$19)+(W226*X226*'1. Standard_Cost'!$C$19))</f>
        <v>0</v>
      </c>
      <c r="Z226" s="107"/>
      <c r="AA226" s="107"/>
      <c r="AB226" s="108">
        <f>+Z226*'1. Standard_Cost'!$B$23+AA226*'1. Standard_Cost'!$C$23</f>
        <v>0</v>
      </c>
      <c r="AC226" s="109"/>
      <c r="AD226" s="110"/>
      <c r="AE226" s="108">
        <f>SUM(AD226,AC226,AB226,Y226,U226,T226,S226,R226)*'1. Standard_Cost'!$B$31</f>
        <v>0</v>
      </c>
      <c r="AF226" s="108">
        <f t="shared" si="215"/>
        <v>0</v>
      </c>
      <c r="AG226" s="107"/>
      <c r="AH226" s="107"/>
      <c r="AI226" s="107"/>
      <c r="AJ226" s="111"/>
      <c r="AK226" s="111"/>
      <c r="AL226" s="111"/>
      <c r="AM226" s="108">
        <f>AG226*'1. Standard_Cost'!$B$27+'Incremental_Cost Year 6'!AH226*'1. Standard_Cost'!$C$27+'Incremental_Cost Year 6'!AI226*'1. Standard_Cost'!$D$27+'Incremental_Cost Year 6'!AJ226+'Incremental_Cost Year 6'!AL226+AK226</f>
        <v>0</v>
      </c>
      <c r="AN226" s="108">
        <f>AM226*'1. Standard_Cost'!$C$31</f>
        <v>0</v>
      </c>
      <c r="AO226" s="125" t="s">
        <v>429</v>
      </c>
      <c r="AQ226" s="14">
        <f t="shared" si="216"/>
        <v>0</v>
      </c>
      <c r="AR226" s="14">
        <f t="shared" si="217"/>
        <v>0</v>
      </c>
      <c r="AS226" s="14">
        <f t="shared" si="218"/>
        <v>0</v>
      </c>
      <c r="AT226" s="14">
        <f t="shared" ref="AT226:AT231" si="220">SUM(AQ226,AR226,AS226)</f>
        <v>0</v>
      </c>
      <c r="AU226" s="15"/>
      <c r="AV226" s="15"/>
      <c r="AW226" s="15"/>
      <c r="AX226" s="15">
        <v>0</v>
      </c>
      <c r="AY226" s="15"/>
      <c r="AZ226" s="15"/>
      <c r="BA226" s="15"/>
      <c r="BB226" s="16">
        <f t="shared" si="219"/>
        <v>0</v>
      </c>
    </row>
    <row r="227" spans="1:54" ht="27.6" outlineLevel="2">
      <c r="A227" s="98"/>
      <c r="B227" s="102"/>
      <c r="C227" s="23"/>
      <c r="D227" s="269"/>
      <c r="E227" s="269"/>
      <c r="F227" s="269"/>
      <c r="G227" s="269"/>
      <c r="H227" s="305" t="s">
        <v>551</v>
      </c>
      <c r="I227" s="104"/>
      <c r="J227" s="105"/>
      <c r="K227" s="105"/>
      <c r="L227" s="106" t="str">
        <f>IF(I227&lt;&gt;0,((VLOOKUP(I227,'[1]1. Standard_Cost'!$B$4:$D$11,2)+VLOOKUP(I227,'[1]1. Standard_Cost'!$B$4:$D$11,3))*J227*K227),"0")</f>
        <v>0</v>
      </c>
      <c r="M227" s="106">
        <f>L227*'[1]1. Standard_Cost'!$F$4</f>
        <v>0</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215"/>
        <v>0</v>
      </c>
      <c r="AG227" s="107"/>
      <c r="AH227" s="107"/>
      <c r="AI227" s="107"/>
      <c r="AJ227" s="111"/>
      <c r="AK227" s="111"/>
      <c r="AL227" s="111"/>
      <c r="AM227" s="108">
        <f>AG227*'[1]1. Standard_Cost'!$B$27+'[1]Incremental_Cost Year 6'!AH227*'[1]1. Standard_Cost'!$C$27+'[1]Incremental_Cost Year 6'!AI227*'[1]1. Standard_Cost'!$D$27+'[1]Incremental_Cost Year 6'!AJ227+'[1]Incremental_Cost Year 6'!AL227+AK227</f>
        <v>0</v>
      </c>
      <c r="AN227" s="108">
        <f>AM227*'[1]1. Standard_Cost'!$C$31</f>
        <v>0</v>
      </c>
      <c r="AO227" s="125" t="s">
        <v>430</v>
      </c>
      <c r="AQ227" s="14">
        <f t="shared" si="216"/>
        <v>0</v>
      </c>
      <c r="AR227" s="14">
        <f t="shared" si="217"/>
        <v>0</v>
      </c>
      <c r="AS227" s="14">
        <f t="shared" si="218"/>
        <v>0</v>
      </c>
      <c r="AT227" s="14">
        <f t="shared" si="220"/>
        <v>0</v>
      </c>
      <c r="AU227" s="15">
        <v>0</v>
      </c>
      <c r="AV227" s="15"/>
      <c r="AW227" s="15"/>
      <c r="AX227" s="15"/>
      <c r="AY227" s="15"/>
      <c r="AZ227" s="15"/>
      <c r="BA227" s="15"/>
      <c r="BB227" s="16">
        <f t="shared" si="219"/>
        <v>0</v>
      </c>
    </row>
    <row r="228" spans="1:54" ht="78" outlineLevel="2">
      <c r="A228" s="98"/>
      <c r="B228" s="102"/>
      <c r="C228" s="23"/>
      <c r="D228" s="269"/>
      <c r="E228" s="269"/>
      <c r="F228" s="269"/>
      <c r="G228" s="269"/>
      <c r="H228" s="302" t="s">
        <v>257</v>
      </c>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215"/>
        <v>0</v>
      </c>
      <c r="AG228" s="107"/>
      <c r="AH228" s="107"/>
      <c r="AI228" s="107"/>
      <c r="AJ228" s="111"/>
      <c r="AK228" s="111"/>
      <c r="AL228" s="111"/>
      <c r="AM228" s="108">
        <f>AG228*'1. Standard_Cost'!$B$27+'Incremental_Cost Year 6'!AH228*'1. Standard_Cost'!$C$27+'Incremental_Cost Year 6'!AI228*'1. Standard_Cost'!$D$27+'Incremental_Cost Year 6'!AJ228+'Incremental_Cost Year 6'!AL228+AK228</f>
        <v>0</v>
      </c>
      <c r="AN228" s="108">
        <f>AM228*'1. Standard_Cost'!$C$31</f>
        <v>0</v>
      </c>
      <c r="AO228" s="125" t="s">
        <v>430</v>
      </c>
      <c r="AQ228" s="14">
        <f t="shared" si="216"/>
        <v>0</v>
      </c>
      <c r="AR228" s="14">
        <f t="shared" si="217"/>
        <v>0</v>
      </c>
      <c r="AS228" s="14">
        <f t="shared" si="218"/>
        <v>0</v>
      </c>
      <c r="AT228" s="14">
        <f t="shared" si="220"/>
        <v>0</v>
      </c>
      <c r="AU228" s="15"/>
      <c r="AV228" s="15"/>
      <c r="AW228" s="15"/>
      <c r="AX228" s="15"/>
      <c r="AY228" s="15"/>
      <c r="AZ228" s="15"/>
      <c r="BA228" s="15"/>
      <c r="BB228" s="16">
        <f t="shared" si="219"/>
        <v>0</v>
      </c>
    </row>
    <row r="229" spans="1:54" ht="31.2" outlineLevel="2">
      <c r="A229" s="98"/>
      <c r="B229" s="102"/>
      <c r="C229" s="23"/>
      <c r="D229" s="269"/>
      <c r="E229" s="269"/>
      <c r="F229" s="269"/>
      <c r="G229" s="269"/>
      <c r="H229" s="302" t="s">
        <v>258</v>
      </c>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215"/>
        <v>0</v>
      </c>
      <c r="AG229" s="107"/>
      <c r="AH229" s="107"/>
      <c r="AI229" s="107"/>
      <c r="AJ229" s="111"/>
      <c r="AK229" s="111"/>
      <c r="AL229" s="111"/>
      <c r="AM229" s="108">
        <f>AG229*'1. Standard_Cost'!$B$27+'Incremental_Cost Year 6'!AH229*'1. Standard_Cost'!$C$27+'Incremental_Cost Year 6'!AI229*'1. Standard_Cost'!$D$27+'Incremental_Cost Year 6'!AJ229+'Incremental_Cost Year 6'!AL229+AK229</f>
        <v>0</v>
      </c>
      <c r="AN229" s="108">
        <f>AM229*'1. Standard_Cost'!$C$31</f>
        <v>0</v>
      </c>
      <c r="AO229" s="125" t="s">
        <v>431</v>
      </c>
      <c r="AQ229" s="14">
        <f t="shared" si="216"/>
        <v>0</v>
      </c>
      <c r="AR229" s="14">
        <f t="shared" si="217"/>
        <v>0</v>
      </c>
      <c r="AS229" s="14">
        <f t="shared" si="218"/>
        <v>0</v>
      </c>
      <c r="AT229" s="14">
        <f t="shared" si="220"/>
        <v>0</v>
      </c>
      <c r="AU229" s="15"/>
      <c r="AV229" s="15"/>
      <c r="AW229" s="15"/>
      <c r="AX229" s="15"/>
      <c r="AY229" s="15"/>
      <c r="AZ229" s="15"/>
      <c r="BA229" s="15"/>
      <c r="BB229" s="16">
        <f t="shared" si="219"/>
        <v>0</v>
      </c>
    </row>
    <row r="230" spans="1:54" ht="78" outlineLevel="2">
      <c r="A230" s="98"/>
      <c r="B230" s="102"/>
      <c r="C230" s="23"/>
      <c r="D230" s="269"/>
      <c r="E230" s="269"/>
      <c r="F230" s="269"/>
      <c r="G230" s="269"/>
      <c r="H230" s="302" t="s">
        <v>553</v>
      </c>
      <c r="I230" s="104" t="s">
        <v>4</v>
      </c>
      <c r="J230" s="105">
        <v>0.2</v>
      </c>
      <c r="K230" s="105">
        <v>5</v>
      </c>
      <c r="L230" s="106">
        <f>IF(I230&lt;&gt;0,((VLOOKUP(I230,'1. Standard_Cost'!$B$4:$D$11,2)+VLOOKUP(I230,'1. Standard_Cost'!$B$4:$D$11,3))*J230*K230),"0")</f>
        <v>80750</v>
      </c>
      <c r="M230" s="106">
        <f>L230*'1. Standard_Cost'!$F$4</f>
        <v>13485.25</v>
      </c>
      <c r="N230" s="107">
        <v>2</v>
      </c>
      <c r="O230" s="107">
        <v>3</v>
      </c>
      <c r="P230" s="107">
        <v>10</v>
      </c>
      <c r="Q230" s="107"/>
      <c r="R230" s="108">
        <v>0</v>
      </c>
      <c r="S230" s="108">
        <v>0</v>
      </c>
      <c r="T230" s="108">
        <f>N230*P230*Q230*'1. Standard_Cost'!$D$15</f>
        <v>0</v>
      </c>
      <c r="U230" s="108">
        <v>0</v>
      </c>
      <c r="V230" s="107"/>
      <c r="W230" s="107"/>
      <c r="X230" s="107"/>
      <c r="Y230" s="108">
        <f>+V230*((X230*'1. Standard_Cost'!$B$19)+(W230*X230*'1. Standard_Cost'!$C$19))</f>
        <v>0</v>
      </c>
      <c r="Z230" s="107"/>
      <c r="AA230" s="107"/>
      <c r="AB230" s="108">
        <f>+Z230*'1. Standard_Cost'!$B$23+AA230*'1. Standard_Cost'!$C$23</f>
        <v>0</v>
      </c>
      <c r="AC230" s="109">
        <f>20*3500*3+20*500*3</f>
        <v>240000</v>
      </c>
      <c r="AD230" s="110"/>
      <c r="AE230" s="108">
        <f>SUM(AD230,AC230,AB230,Y230,U230,T230,S230,R230)*'1. Standard_Cost'!$B$31</f>
        <v>48000</v>
      </c>
      <c r="AF230" s="108">
        <f t="shared" si="215"/>
        <v>288000</v>
      </c>
      <c r="AG230" s="107"/>
      <c r="AH230" s="107"/>
      <c r="AI230" s="107"/>
      <c r="AJ230" s="111"/>
      <c r="AK230" s="111"/>
      <c r="AL230" s="111"/>
      <c r="AM230" s="108">
        <f>AG230*'1. Standard_Cost'!$B$27+'Incremental_Cost Year 6'!AH230*'1. Standard_Cost'!$C$27+'Incremental_Cost Year 6'!AI230*'1. Standard_Cost'!$D$27+'Incremental_Cost Year 6'!AJ230+'Incremental_Cost Year 6'!AL230+AK230</f>
        <v>0</v>
      </c>
      <c r="AN230" s="108">
        <f>AM230*'1. Standard_Cost'!$C$31</f>
        <v>0</v>
      </c>
      <c r="AO230" s="125" t="s">
        <v>432</v>
      </c>
      <c r="AQ230" s="14">
        <f t="shared" si="216"/>
        <v>94235.25</v>
      </c>
      <c r="AR230" s="14">
        <f t="shared" si="217"/>
        <v>288000</v>
      </c>
      <c r="AS230" s="14">
        <f t="shared" si="218"/>
        <v>0</v>
      </c>
      <c r="AT230" s="14">
        <f t="shared" si="220"/>
        <v>382235.25</v>
      </c>
      <c r="AU230" s="15">
        <v>94235.25</v>
      </c>
      <c r="AV230" s="15"/>
      <c r="AW230" s="15"/>
      <c r="AX230" s="15"/>
      <c r="AY230" s="15"/>
      <c r="AZ230" s="15"/>
      <c r="BA230" s="15"/>
      <c r="BB230" s="16">
        <f t="shared" si="219"/>
        <v>-288000</v>
      </c>
    </row>
    <row r="231" spans="1:54" ht="78" outlineLevel="2">
      <c r="A231" s="98"/>
      <c r="B231" s="102"/>
      <c r="C231" s="23"/>
      <c r="D231" s="269"/>
      <c r="E231" s="269"/>
      <c r="F231" s="269"/>
      <c r="G231" s="269"/>
      <c r="H231" s="302" t="s">
        <v>554</v>
      </c>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v>7</v>
      </c>
      <c r="AB231" s="108">
        <f>+Z231*'1. Standard_Cost'!$B$23+AA231*'1. Standard_Cost'!$C$23</f>
        <v>133000</v>
      </c>
      <c r="AC231" s="109"/>
      <c r="AD231" s="110"/>
      <c r="AE231" s="108">
        <f>SUM(AD231,AC231,AB231,Y231,U231,T231,S231,R231)*'1. Standard_Cost'!$B$31</f>
        <v>26600</v>
      </c>
      <c r="AF231" s="108">
        <f t="shared" si="215"/>
        <v>159600</v>
      </c>
      <c r="AG231" s="107"/>
      <c r="AH231" s="107"/>
      <c r="AI231" s="107"/>
      <c r="AJ231" s="111"/>
      <c r="AK231" s="111"/>
      <c r="AL231" s="111"/>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16"/>
        <v>0</v>
      </c>
      <c r="AR231" s="14">
        <f t="shared" si="217"/>
        <v>159600</v>
      </c>
      <c r="AS231" s="14">
        <f t="shared" si="218"/>
        <v>0</v>
      </c>
      <c r="AT231" s="14">
        <f t="shared" si="220"/>
        <v>159600</v>
      </c>
      <c r="AU231" s="15"/>
      <c r="AV231" s="15"/>
      <c r="AW231" s="15"/>
      <c r="AX231" s="15"/>
      <c r="AY231" s="15"/>
      <c r="AZ231" s="15"/>
      <c r="BA231" s="15"/>
      <c r="BB231" s="16">
        <f t="shared" si="219"/>
        <v>-159600</v>
      </c>
    </row>
    <row r="232" spans="1:54" ht="82.8" outlineLevel="1">
      <c r="A232" s="98"/>
      <c r="B232" s="102"/>
      <c r="C232" s="23"/>
      <c r="D232" s="31" t="s">
        <v>640</v>
      </c>
      <c r="E232" s="56" t="s">
        <v>259</v>
      </c>
      <c r="F232" s="253">
        <v>2021</v>
      </c>
      <c r="G232" s="254">
        <v>2026</v>
      </c>
      <c r="H232" s="277" t="s">
        <v>260</v>
      </c>
      <c r="I232" s="112"/>
      <c r="J232" s="112"/>
      <c r="K232" s="112"/>
      <c r="L232" s="113">
        <f>SUM(L225:L231)</f>
        <v>80750</v>
      </c>
      <c r="M232" s="113">
        <f>SUM(M225:M231)</f>
        <v>13485.25</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133000</v>
      </c>
      <c r="AC232" s="113">
        <f>SUM(AC225:AC231)</f>
        <v>240000</v>
      </c>
      <c r="AD232" s="113">
        <f>SUM(AD225:AD231)</f>
        <v>0</v>
      </c>
      <c r="AE232" s="113">
        <f>SUM(AE225:AE231)</f>
        <v>74600</v>
      </c>
      <c r="AF232" s="113">
        <f>SUM(AF225:AF231)</f>
        <v>447600</v>
      </c>
      <c r="AG232" s="112"/>
      <c r="AH232" s="112"/>
      <c r="AI232" s="112"/>
      <c r="AJ232" s="113">
        <f>SUM(AJ225:AJ231)</f>
        <v>0</v>
      </c>
      <c r="AK232" s="113">
        <f>SUM(AK225:AK231)</f>
        <v>0</v>
      </c>
      <c r="AL232" s="113">
        <f>SUM(AL225:AL231)</f>
        <v>0</v>
      </c>
      <c r="AM232" s="113">
        <f>SUM(AM225:AM231)</f>
        <v>0</v>
      </c>
      <c r="AN232" s="113">
        <f>SUM(AN225:AN231)</f>
        <v>0</v>
      </c>
      <c r="AO232" s="131"/>
      <c r="AP232" s="17"/>
      <c r="AQ232" s="113">
        <f t="shared" ref="AQ232:BB232" si="221">SUM(AQ225:AQ231)</f>
        <v>94235.25</v>
      </c>
      <c r="AR232" s="113">
        <f t="shared" si="221"/>
        <v>447600</v>
      </c>
      <c r="AS232" s="113">
        <f t="shared" si="221"/>
        <v>0</v>
      </c>
      <c r="AT232" s="113">
        <f t="shared" si="221"/>
        <v>541835.25</v>
      </c>
      <c r="AU232" s="113">
        <f t="shared" si="221"/>
        <v>94235.25</v>
      </c>
      <c r="AV232" s="113">
        <f t="shared" si="221"/>
        <v>0</v>
      </c>
      <c r="AW232" s="113">
        <f t="shared" si="221"/>
        <v>0</v>
      </c>
      <c r="AX232" s="113">
        <f t="shared" si="221"/>
        <v>0</v>
      </c>
      <c r="AY232" s="113">
        <f t="shared" si="221"/>
        <v>0</v>
      </c>
      <c r="AZ232" s="113">
        <f t="shared" si="221"/>
        <v>0</v>
      </c>
      <c r="BA232" s="113">
        <f t="shared" si="221"/>
        <v>0</v>
      </c>
      <c r="BB232" s="113">
        <f t="shared" si="221"/>
        <v>-447600</v>
      </c>
    </row>
    <row r="233" spans="1:54" ht="156" outlineLevel="2">
      <c r="A233" s="98"/>
      <c r="B233" s="102"/>
      <c r="C233" s="23"/>
      <c r="D233" s="257"/>
      <c r="E233" s="257"/>
      <c r="F233" s="257"/>
      <c r="G233" s="257"/>
      <c r="H233" s="302" t="s">
        <v>262</v>
      </c>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222">SUM(AE233,AD233,AC233,AB233,Y233,U233,T233,S233,R233)</f>
        <v>0</v>
      </c>
      <c r="AG233" s="107"/>
      <c r="AH233" s="107"/>
      <c r="AI233" s="107"/>
      <c r="AJ233" s="111"/>
      <c r="AK233" s="111"/>
      <c r="AL233" s="111"/>
      <c r="AM233" s="108">
        <f>AG233*'1. Standard_Cost'!$B$27+'Incremental_Cost Year 6'!AH233*'1. Standard_Cost'!$C$27+'Incremental_Cost Year 6'!AI233*'1. Standard_Cost'!$D$27+'Incremental_Cost Year 6'!AJ233+'Incremental_Cost Year 6'!AL233+AK233</f>
        <v>0</v>
      </c>
      <c r="AN233" s="108">
        <f>AM233*'1. Standard_Cost'!$C$31</f>
        <v>0</v>
      </c>
      <c r="AO233" s="125" t="s">
        <v>434</v>
      </c>
      <c r="AQ233" s="14">
        <f t="shared" ref="AQ233:AQ235" si="223">L233+M233</f>
        <v>0</v>
      </c>
      <c r="AR233" s="14">
        <f t="shared" ref="AR233:AR235" si="224">AF233</f>
        <v>0</v>
      </c>
      <c r="AS233" s="14">
        <f t="shared" ref="AS233:AS235" si="225">AM233+AN233</f>
        <v>0</v>
      </c>
      <c r="AT233" s="14">
        <f>SUM(AQ233,AR233,AS233)</f>
        <v>0</v>
      </c>
      <c r="AU233" s="15"/>
      <c r="AV233" s="15"/>
      <c r="AW233" s="15"/>
      <c r="AX233" s="15"/>
      <c r="AY233" s="15"/>
      <c r="AZ233" s="15"/>
      <c r="BA233" s="15"/>
      <c r="BB233" s="16">
        <f t="shared" ref="BB233:BB235" si="226">SUM(AU233:BA233)-AT233</f>
        <v>0</v>
      </c>
    </row>
    <row r="234" spans="1:54" ht="62.4" outlineLevel="2">
      <c r="A234" s="98"/>
      <c r="B234" s="102"/>
      <c r="C234" s="23"/>
      <c r="D234" s="269"/>
      <c r="E234" s="269"/>
      <c r="F234" s="269"/>
      <c r="G234" s="269"/>
      <c r="H234" s="302" t="s">
        <v>263</v>
      </c>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222"/>
        <v>0</v>
      </c>
      <c r="AG234" s="107"/>
      <c r="AH234" s="107"/>
      <c r="AI234" s="107"/>
      <c r="AJ234" s="111"/>
      <c r="AK234" s="111"/>
      <c r="AL234" s="111"/>
      <c r="AM234" s="108">
        <f>AG234*'1. Standard_Cost'!$B$27+'Incremental_Cost Year 6'!AH234*'1. Standard_Cost'!$C$27+'Incremental_Cost Year 6'!AI234*'1. Standard_Cost'!$D$27+'Incremental_Cost Year 6'!AJ234+'Incremental_Cost Year 6'!AL234+AK234</f>
        <v>0</v>
      </c>
      <c r="AN234" s="108">
        <f>AM234*'1. Standard_Cost'!$C$31</f>
        <v>0</v>
      </c>
      <c r="AO234" s="125" t="s">
        <v>435</v>
      </c>
      <c r="AQ234" s="14">
        <f t="shared" si="223"/>
        <v>0</v>
      </c>
      <c r="AR234" s="14">
        <f t="shared" si="224"/>
        <v>0</v>
      </c>
      <c r="AS234" s="14">
        <f t="shared" si="225"/>
        <v>0</v>
      </c>
      <c r="AT234" s="14">
        <f t="shared" ref="AT234:AT235" si="227">SUM(AQ234,AR234,AS234)</f>
        <v>0</v>
      </c>
      <c r="AU234" s="15"/>
      <c r="AV234" s="15"/>
      <c r="AW234" s="15"/>
      <c r="AX234" s="15"/>
      <c r="AY234" s="15"/>
      <c r="AZ234" s="15"/>
      <c r="BA234" s="15"/>
      <c r="BB234" s="16">
        <f t="shared" si="226"/>
        <v>0</v>
      </c>
    </row>
    <row r="235" spans="1:54" ht="124.8" outlineLevel="2">
      <c r="A235" s="98"/>
      <c r="B235" s="102"/>
      <c r="C235" s="23"/>
      <c r="D235" s="269"/>
      <c r="E235" s="269"/>
      <c r="F235" s="269"/>
      <c r="G235" s="174"/>
      <c r="H235" s="302" t="s">
        <v>555</v>
      </c>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222"/>
        <v>0</v>
      </c>
      <c r="AG235" s="107"/>
      <c r="AH235" s="107"/>
      <c r="AI235" s="107"/>
      <c r="AJ235" s="111"/>
      <c r="AK235" s="111"/>
      <c r="AL235" s="111"/>
      <c r="AM235" s="108">
        <f>AG235*'1. Standard_Cost'!$B$27+'Incremental_Cost Year 6'!AH235*'1. Standard_Cost'!$C$27+'Incremental_Cost Year 6'!AI235*'1. Standard_Cost'!$D$27+'Incremental_Cost Year 6'!AJ235+'Incremental_Cost Year 6'!AL235+AK235</f>
        <v>0</v>
      </c>
      <c r="AN235" s="108">
        <f>AM235*'1. Standard_Cost'!$C$31</f>
        <v>0</v>
      </c>
      <c r="AO235" s="125" t="s">
        <v>436</v>
      </c>
      <c r="AQ235" s="14">
        <f t="shared" si="223"/>
        <v>0</v>
      </c>
      <c r="AR235" s="14">
        <f t="shared" si="224"/>
        <v>0</v>
      </c>
      <c r="AS235" s="14">
        <f t="shared" si="225"/>
        <v>0</v>
      </c>
      <c r="AT235" s="14">
        <f t="shared" si="227"/>
        <v>0</v>
      </c>
      <c r="AU235" s="15">
        <v>0</v>
      </c>
      <c r="AV235" s="15"/>
      <c r="AW235" s="15"/>
      <c r="AX235" s="15"/>
      <c r="AY235" s="15"/>
      <c r="AZ235" s="15"/>
      <c r="BA235" s="15"/>
      <c r="BB235" s="16">
        <f t="shared" si="226"/>
        <v>0</v>
      </c>
    </row>
    <row r="236" spans="1:54" ht="110.4" outlineLevel="1">
      <c r="A236" s="98"/>
      <c r="B236" s="102"/>
      <c r="C236" s="23"/>
      <c r="D236" s="347" t="s">
        <v>641</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28">SUM(AQ233:AQ235)</f>
        <v>0</v>
      </c>
      <c r="AR236" s="113">
        <f t="shared" si="228"/>
        <v>0</v>
      </c>
      <c r="AS236" s="113">
        <f t="shared" si="228"/>
        <v>0</v>
      </c>
      <c r="AT236" s="113">
        <f t="shared" si="228"/>
        <v>0</v>
      </c>
      <c r="AU236" s="113">
        <f t="shared" si="228"/>
        <v>0</v>
      </c>
      <c r="AV236" s="113">
        <f t="shared" si="228"/>
        <v>0</v>
      </c>
      <c r="AW236" s="113">
        <f t="shared" si="228"/>
        <v>0</v>
      </c>
      <c r="AX236" s="113">
        <f t="shared" si="228"/>
        <v>0</v>
      </c>
      <c r="AY236" s="113">
        <f t="shared" si="228"/>
        <v>0</v>
      </c>
      <c r="AZ236" s="113">
        <f t="shared" si="228"/>
        <v>0</v>
      </c>
      <c r="BA236" s="113">
        <f t="shared" si="228"/>
        <v>0</v>
      </c>
      <c r="BB236" s="113">
        <f t="shared" si="228"/>
        <v>0</v>
      </c>
    </row>
    <row r="237" spans="1:54" ht="62.4" outlineLevel="2">
      <c r="A237" s="98"/>
      <c r="B237" s="102"/>
      <c r="C237" s="23"/>
      <c r="D237" s="269"/>
      <c r="E237" s="269"/>
      <c r="F237" s="269"/>
      <c r="G237" s="269"/>
      <c r="H237" s="302" t="s">
        <v>266</v>
      </c>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29">SUM(AE237,AD237,AC237,AB237,Y237,U237,T237,S237,R237)</f>
        <v>0</v>
      </c>
      <c r="AG237" s="107"/>
      <c r="AH237" s="107"/>
      <c r="AI237" s="107"/>
      <c r="AJ237" s="111"/>
      <c r="AK237" s="111"/>
      <c r="AL237" s="111"/>
      <c r="AM237" s="108">
        <f>AG237*'1. Standard_Cost'!$B$27+'Incremental_Cost Year 6'!AH237*'1. Standard_Cost'!$C$27+'Incremental_Cost Year 6'!AI237*'1. Standard_Cost'!$D$27+'Incremental_Cost Year 6'!AJ237+'Incremental_Cost Year 6'!AL237+AK237</f>
        <v>0</v>
      </c>
      <c r="AN237" s="108">
        <f>AM237*'1. Standard_Cost'!$C$31</f>
        <v>0</v>
      </c>
      <c r="AO237" s="125" t="s">
        <v>437</v>
      </c>
      <c r="AQ237" s="14">
        <f t="shared" ref="AQ237:AQ241" si="230">L237+M237</f>
        <v>0</v>
      </c>
      <c r="AR237" s="14">
        <f t="shared" ref="AR237:AR241" si="231">AF237</f>
        <v>0</v>
      </c>
      <c r="AS237" s="14">
        <f t="shared" ref="AS237:AS241" si="232">AM237+AN237</f>
        <v>0</v>
      </c>
      <c r="AT237" s="14">
        <f>SUM(AQ237,AR237,AS237)</f>
        <v>0</v>
      </c>
      <c r="AU237" s="15"/>
      <c r="AV237" s="15"/>
      <c r="AW237" s="15"/>
      <c r="AX237" s="15"/>
      <c r="AY237" s="15"/>
      <c r="AZ237" s="15"/>
      <c r="BA237" s="15"/>
      <c r="BB237" s="16">
        <f t="shared" ref="BB237:BB241" si="233">SUM(AU237:BA237)-AT237</f>
        <v>0</v>
      </c>
    </row>
    <row r="238" spans="1:54" ht="46.8" outlineLevel="2">
      <c r="A238" s="98"/>
      <c r="B238" s="102"/>
      <c r="C238" s="23"/>
      <c r="D238" s="269"/>
      <c r="E238" s="269"/>
      <c r="F238" s="269"/>
      <c r="G238" s="269"/>
      <c r="H238" s="302" t="s">
        <v>267</v>
      </c>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29"/>
        <v>0</v>
      </c>
      <c r="AG238" s="107"/>
      <c r="AH238" s="107"/>
      <c r="AI238" s="107"/>
      <c r="AJ238" s="111"/>
      <c r="AK238" s="111"/>
      <c r="AL238" s="111"/>
      <c r="AM238" s="108">
        <f>AG238*'1. Standard_Cost'!$B$27+'Incremental_Cost Year 6'!AH238*'1. Standard_Cost'!$C$27+'Incremental_Cost Year 6'!AI238*'1. Standard_Cost'!$D$27+'Incremental_Cost Year 6'!AJ238+'Incremental_Cost Year 6'!AL238+AK238</f>
        <v>0</v>
      </c>
      <c r="AN238" s="108">
        <f>AM238*'1. Standard_Cost'!$C$31</f>
        <v>0</v>
      </c>
      <c r="AO238" s="125" t="s">
        <v>438</v>
      </c>
      <c r="AQ238" s="14">
        <f t="shared" si="230"/>
        <v>0</v>
      </c>
      <c r="AR238" s="14">
        <f t="shared" si="231"/>
        <v>0</v>
      </c>
      <c r="AS238" s="14">
        <f t="shared" si="232"/>
        <v>0</v>
      </c>
      <c r="AT238" s="14">
        <f t="shared" ref="AT238:AT241" si="234">SUM(AQ238,AR238,AS238)</f>
        <v>0</v>
      </c>
      <c r="AU238" s="15"/>
      <c r="AV238" s="15"/>
      <c r="AW238" s="15"/>
      <c r="AX238" s="15"/>
      <c r="AY238" s="15"/>
      <c r="AZ238" s="15"/>
      <c r="BA238" s="15"/>
      <c r="BB238" s="16">
        <f t="shared" si="233"/>
        <v>0</v>
      </c>
    </row>
    <row r="239" spans="1:54" ht="62.4" outlineLevel="2">
      <c r="A239" s="98"/>
      <c r="B239" s="102"/>
      <c r="C239" s="23"/>
      <c r="D239" s="269"/>
      <c r="E239" s="269"/>
      <c r="F239" s="269"/>
      <c r="G239" s="269"/>
      <c r="H239" s="302" t="s">
        <v>268</v>
      </c>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29"/>
        <v>0</v>
      </c>
      <c r="AG239" s="107"/>
      <c r="AH239" s="107"/>
      <c r="AI239" s="107"/>
      <c r="AJ239" s="111"/>
      <c r="AK239" s="111"/>
      <c r="AL239" s="111"/>
      <c r="AM239" s="108">
        <f>AG239*'1. Standard_Cost'!$B$27+'Incremental_Cost Year 6'!AH239*'1. Standard_Cost'!$C$27+'Incremental_Cost Year 6'!AI239*'1. Standard_Cost'!$D$27+'Incremental_Cost Year 6'!AJ239+'Incremental_Cost Year 6'!AL239+AK239</f>
        <v>0</v>
      </c>
      <c r="AN239" s="108">
        <f>AM239*'1. Standard_Cost'!$C$31</f>
        <v>0</v>
      </c>
      <c r="AO239" s="125" t="s">
        <v>439</v>
      </c>
      <c r="AQ239" s="14">
        <f t="shared" si="230"/>
        <v>0</v>
      </c>
      <c r="AR239" s="14">
        <f t="shared" si="231"/>
        <v>0</v>
      </c>
      <c r="AS239" s="14">
        <f t="shared" si="232"/>
        <v>0</v>
      </c>
      <c r="AT239" s="14">
        <f t="shared" si="234"/>
        <v>0</v>
      </c>
      <c r="AU239" s="15"/>
      <c r="AV239" s="15"/>
      <c r="AW239" s="15"/>
      <c r="AX239" s="15"/>
      <c r="AY239" s="15"/>
      <c r="AZ239" s="15"/>
      <c r="BA239" s="15"/>
      <c r="BB239" s="16">
        <f t="shared" si="233"/>
        <v>0</v>
      </c>
    </row>
    <row r="240" spans="1:54" ht="109.2" outlineLevel="2">
      <c r="A240" s="98"/>
      <c r="B240" s="102"/>
      <c r="C240" s="23"/>
      <c r="D240" s="269"/>
      <c r="E240" s="269"/>
      <c r="F240" s="269"/>
      <c r="G240" s="269"/>
      <c r="H240" s="302" t="s">
        <v>556</v>
      </c>
      <c r="I240" s="104"/>
      <c r="J240" s="105"/>
      <c r="K240" s="105"/>
      <c r="L240" s="106" t="str">
        <f>IF(I240&lt;&gt;0,((VLOOKUP(I240,'1. Standard_Cost'!$B$4:$D$11,2)+VLOOKUP(I240,'1. Standard_Cost'!$B$4:$D$11,3))*J240*K240),"0")</f>
        <v>0</v>
      </c>
      <c r="M240" s="106">
        <f>L240*'1. Standard_Cost'!$F$4</f>
        <v>0</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c r="AB240" s="108">
        <f>+Z240*'1. Standard_Cost'!$B$23+AA240*'1. Standard_Cost'!$C$23</f>
        <v>0</v>
      </c>
      <c r="AC240" s="109"/>
      <c r="AD240" s="110"/>
      <c r="AE240" s="108">
        <f>SUM(AD240,AC240,AB240,Y240,U240,T240,S240,R240)*'1. Standard_Cost'!$B$31</f>
        <v>0</v>
      </c>
      <c r="AF240" s="108">
        <f t="shared" si="229"/>
        <v>0</v>
      </c>
      <c r="AG240" s="107"/>
      <c r="AH240" s="107"/>
      <c r="AI240" s="107"/>
      <c r="AJ240" s="111"/>
      <c r="AK240" s="111"/>
      <c r="AL240" s="111"/>
      <c r="AM240" s="108">
        <f>AG240*'1. Standard_Cost'!$B$27+'Incremental_Cost Year 6'!AH240*'1. Standard_Cost'!$C$27+'Incremental_Cost Year 6'!AI240*'1. Standard_Cost'!$D$27+'Incremental_Cost Year 6'!AJ240+'Incremental_Cost Year 6'!AL240+AK240</f>
        <v>0</v>
      </c>
      <c r="AN240" s="108">
        <f>AM240*'1. Standard_Cost'!$C$31</f>
        <v>0</v>
      </c>
      <c r="AO240" s="125" t="s">
        <v>440</v>
      </c>
      <c r="AQ240" s="14">
        <f t="shared" si="230"/>
        <v>0</v>
      </c>
      <c r="AR240" s="14">
        <f t="shared" si="231"/>
        <v>0</v>
      </c>
      <c r="AS240" s="14">
        <f t="shared" si="232"/>
        <v>0</v>
      </c>
      <c r="AT240" s="14">
        <f t="shared" si="234"/>
        <v>0</v>
      </c>
      <c r="AU240" s="15">
        <v>0</v>
      </c>
      <c r="AV240" s="15"/>
      <c r="AW240" s="15"/>
      <c r="AX240" s="15"/>
      <c r="AY240" s="15"/>
      <c r="AZ240" s="15"/>
      <c r="BA240" s="15"/>
      <c r="BB240" s="16">
        <f t="shared" si="233"/>
        <v>0</v>
      </c>
    </row>
    <row r="241" spans="1:54" ht="140.4" outlineLevel="2">
      <c r="A241" s="98"/>
      <c r="B241" s="102"/>
      <c r="C241" s="23"/>
      <c r="D241" s="269"/>
      <c r="E241" s="269"/>
      <c r="F241" s="269"/>
      <c r="G241" s="269"/>
      <c r="H241" s="302" t="s">
        <v>557</v>
      </c>
      <c r="I241" s="104" t="s">
        <v>4</v>
      </c>
      <c r="J241" s="105">
        <v>0.2</v>
      </c>
      <c r="K241" s="105">
        <v>1</v>
      </c>
      <c r="L241" s="106">
        <f>IF(I241&lt;&gt;0,((VLOOKUP(I241,'1. Standard_Cost'!$B$4:$D$11,2)+VLOOKUP(I241,'1. Standard_Cost'!$B$4:$D$11,3))*J241*K241),"0")</f>
        <v>16150</v>
      </c>
      <c r="M241" s="106">
        <f>L241*'1. Standard_Cost'!$F$4</f>
        <v>2697.05</v>
      </c>
      <c r="N241" s="107">
        <v>2</v>
      </c>
      <c r="O241" s="107">
        <v>2</v>
      </c>
      <c r="P241" s="107">
        <v>25</v>
      </c>
      <c r="Q241" s="107"/>
      <c r="R241" s="108">
        <v>0</v>
      </c>
      <c r="S241" s="108">
        <v>0</v>
      </c>
      <c r="T241" s="108">
        <f>N241*P241*Q241*'1. Standard_Cost'!$D$15</f>
        <v>0</v>
      </c>
      <c r="U241" s="108">
        <v>0</v>
      </c>
      <c r="V241" s="107"/>
      <c r="W241" s="107"/>
      <c r="X241" s="107"/>
      <c r="Y241" s="108">
        <f>+V241*((X241*'1. Standard_Cost'!$B$19)+(W241*X241*'1. Standard_Cost'!$C$19))</f>
        <v>0</v>
      </c>
      <c r="Z241" s="107"/>
      <c r="AA241" s="107">
        <v>5</v>
      </c>
      <c r="AB241" s="108">
        <f>+Z241*'1. Standard_Cost'!$B$23+AA241*'1. Standard_Cost'!$C$23</f>
        <v>95000</v>
      </c>
      <c r="AC241" s="109">
        <f>50*2*3500+50*2*400</f>
        <v>390000</v>
      </c>
      <c r="AD241" s="110"/>
      <c r="AE241" s="108">
        <f>SUM(AD241,AC241,AB241,Y241,U241,T241,S241,R241)*'1. Standard_Cost'!$B$31</f>
        <v>97000</v>
      </c>
      <c r="AF241" s="108">
        <f t="shared" si="229"/>
        <v>582000</v>
      </c>
      <c r="AG241" s="107"/>
      <c r="AH241" s="107"/>
      <c r="AI241" s="107"/>
      <c r="AJ241" s="111"/>
      <c r="AK241" s="111"/>
      <c r="AL241" s="111"/>
      <c r="AM241" s="108">
        <f>AG241*'1. Standard_Cost'!$B$27+'Incremental_Cost Year 6'!AH241*'1. Standard_Cost'!$C$27+'Incremental_Cost Year 6'!AI241*'1. Standard_Cost'!$D$27+'Incremental_Cost Year 6'!AJ241+'Incremental_Cost Year 6'!AL241+AK241</f>
        <v>0</v>
      </c>
      <c r="AN241" s="108">
        <f>AM241*'1. Standard_Cost'!$C$31</f>
        <v>0</v>
      </c>
      <c r="AO241" s="125" t="s">
        <v>441</v>
      </c>
      <c r="AQ241" s="14">
        <f t="shared" si="230"/>
        <v>18847.05</v>
      </c>
      <c r="AR241" s="14">
        <f t="shared" si="231"/>
        <v>582000</v>
      </c>
      <c r="AS241" s="14">
        <f t="shared" si="232"/>
        <v>0</v>
      </c>
      <c r="AT241" s="14">
        <f t="shared" si="234"/>
        <v>600847.05000000005</v>
      </c>
      <c r="AU241" s="15">
        <v>18847.05</v>
      </c>
      <c r="AV241" s="15"/>
      <c r="AW241" s="15"/>
      <c r="AX241" s="15"/>
      <c r="AY241" s="15"/>
      <c r="AZ241" s="15"/>
      <c r="BA241" s="15"/>
      <c r="BB241" s="16">
        <f t="shared" si="233"/>
        <v>-582000</v>
      </c>
    </row>
    <row r="242" spans="1:54" ht="69" outlineLevel="1">
      <c r="A242" s="98"/>
      <c r="B242" s="102"/>
      <c r="C242" s="23"/>
      <c r="D242" s="56" t="s">
        <v>713</v>
      </c>
      <c r="E242" s="56" t="s">
        <v>265</v>
      </c>
      <c r="F242" s="253">
        <v>2021</v>
      </c>
      <c r="G242" s="254">
        <v>2026</v>
      </c>
      <c r="H242" s="277" t="s">
        <v>269</v>
      </c>
      <c r="I242" s="112"/>
      <c r="J242" s="112"/>
      <c r="K242" s="112"/>
      <c r="L242" s="113">
        <f>SUM(L237:L241)</f>
        <v>16150</v>
      </c>
      <c r="M242" s="113">
        <f>SUM(M237:M241)</f>
        <v>2697.05</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95000</v>
      </c>
      <c r="AC242" s="113">
        <f>SUM(AC237:AC241)</f>
        <v>390000</v>
      </c>
      <c r="AD242" s="113">
        <f>SUM(AD237:AD241)</f>
        <v>0</v>
      </c>
      <c r="AE242" s="113">
        <f>SUM(AE237:AE241)</f>
        <v>97000</v>
      </c>
      <c r="AF242" s="113">
        <f>SUM(AF237:AF241)</f>
        <v>582000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35">SUM(AQ237:AQ241)</f>
        <v>18847.05</v>
      </c>
      <c r="AR242" s="113">
        <f t="shared" si="235"/>
        <v>582000</v>
      </c>
      <c r="AS242" s="113">
        <f t="shared" si="235"/>
        <v>0</v>
      </c>
      <c r="AT242" s="113">
        <f t="shared" si="235"/>
        <v>600847.05000000005</v>
      </c>
      <c r="AU242" s="113">
        <f t="shared" si="235"/>
        <v>18847.05</v>
      </c>
      <c r="AV242" s="113">
        <f t="shared" si="235"/>
        <v>0</v>
      </c>
      <c r="AW242" s="113">
        <f t="shared" si="235"/>
        <v>0</v>
      </c>
      <c r="AX242" s="113">
        <f t="shared" si="235"/>
        <v>0</v>
      </c>
      <c r="AY242" s="113">
        <f t="shared" si="235"/>
        <v>0</v>
      </c>
      <c r="AZ242" s="113">
        <f t="shared" si="235"/>
        <v>0</v>
      </c>
      <c r="BA242" s="113">
        <f t="shared" si="235"/>
        <v>0</v>
      </c>
      <c r="BB242" s="113">
        <f t="shared" si="235"/>
        <v>-582000</v>
      </c>
    </row>
  </sheetData>
  <mergeCells count="17">
    <mergeCell ref="B223:E223"/>
    <mergeCell ref="C224:E224"/>
    <mergeCell ref="B31:E31"/>
    <mergeCell ref="C32:E32"/>
    <mergeCell ref="C40:E40"/>
    <mergeCell ref="B92:E92"/>
    <mergeCell ref="C93:E93"/>
    <mergeCell ref="C143:E143"/>
    <mergeCell ref="C179:E179"/>
    <mergeCell ref="C202:E202"/>
    <mergeCell ref="AQ2:BB2"/>
    <mergeCell ref="C80:E80"/>
    <mergeCell ref="B1:L1"/>
    <mergeCell ref="B2:E2"/>
    <mergeCell ref="B3:E3"/>
    <mergeCell ref="B5:E5"/>
    <mergeCell ref="C6:E6"/>
  </mergeCells>
  <conditionalFormatting sqref="BB243:BB286 BB288:BB291 BB293:BB302 BB305:BB308 BB33 BB81:BB82 BB94:BB100 BB7:BB10 BB26:BB29 BB24 BB36:BB38 BB85:BB90 BB16:BB20 BA17 BB60:BB78 BB183:BB185 BB144:BB146 BB154:BB160 BB162:BB167">
    <cfRule type="cellIs" dxfId="877" priority="175" operator="lessThan">
      <formula>0</formula>
    </cfRule>
    <cfRule type="cellIs" dxfId="876" priority="176" operator="lessThan">
      <formula>-105575</formula>
    </cfRule>
  </conditionalFormatting>
  <conditionalFormatting sqref="BB311:BB314 BB316:BB320">
    <cfRule type="cellIs" dxfId="875" priority="173" operator="lessThan">
      <formula>0</formula>
    </cfRule>
    <cfRule type="cellIs" dxfId="874" priority="174" operator="lessThan">
      <formula>-105575</formula>
    </cfRule>
  </conditionalFormatting>
  <conditionalFormatting sqref="BB321:BB325">
    <cfRule type="cellIs" dxfId="873" priority="171" operator="lessThan">
      <formula>0</formula>
    </cfRule>
    <cfRule type="cellIs" dxfId="872" priority="172" operator="lessThan">
      <formula>-105575</formula>
    </cfRule>
  </conditionalFormatting>
  <conditionalFormatting sqref="BB326:BB330">
    <cfRule type="cellIs" dxfId="871" priority="169" operator="lessThan">
      <formula>0</formula>
    </cfRule>
    <cfRule type="cellIs" dxfId="870" priority="170" operator="lessThan">
      <formula>-105575</formula>
    </cfRule>
  </conditionalFormatting>
  <conditionalFormatting sqref="BB332:BB335 BB337:BB341">
    <cfRule type="cellIs" dxfId="869" priority="167" operator="lessThan">
      <formula>0</formula>
    </cfRule>
    <cfRule type="cellIs" dxfId="868" priority="168" operator="lessThan">
      <formula>-105575</formula>
    </cfRule>
  </conditionalFormatting>
  <conditionalFormatting sqref="BB342:BB346">
    <cfRule type="cellIs" dxfId="867" priority="165" operator="lessThan">
      <formula>0</formula>
    </cfRule>
    <cfRule type="cellIs" dxfId="866" priority="166" operator="lessThan">
      <formula>-105575</formula>
    </cfRule>
  </conditionalFormatting>
  <conditionalFormatting sqref="BB347:BB351">
    <cfRule type="cellIs" dxfId="865" priority="163" operator="lessThan">
      <formula>0</formula>
    </cfRule>
    <cfRule type="cellIs" dxfId="864" priority="164" operator="lessThan">
      <formula>-105575</formula>
    </cfRule>
  </conditionalFormatting>
  <conditionalFormatting sqref="BB353:BB356 BB358:BB362">
    <cfRule type="cellIs" dxfId="863" priority="161" operator="lessThan">
      <formula>0</formula>
    </cfRule>
    <cfRule type="cellIs" dxfId="862" priority="162" operator="lessThan">
      <formula>-105575</formula>
    </cfRule>
  </conditionalFormatting>
  <conditionalFormatting sqref="BB363:BB367">
    <cfRule type="cellIs" dxfId="861" priority="159" operator="lessThan">
      <formula>0</formula>
    </cfRule>
    <cfRule type="cellIs" dxfId="860" priority="160" operator="lessThan">
      <formula>-105575</formula>
    </cfRule>
  </conditionalFormatting>
  <conditionalFormatting sqref="BB370:BB373 BB375:BB379">
    <cfRule type="cellIs" dxfId="859" priority="157" operator="lessThan">
      <formula>0</formula>
    </cfRule>
    <cfRule type="cellIs" dxfId="858" priority="158" operator="lessThan">
      <formula>-105575</formula>
    </cfRule>
  </conditionalFormatting>
  <conditionalFormatting sqref="BB381:BB384">
    <cfRule type="cellIs" dxfId="857" priority="155" operator="lessThan">
      <formula>0</formula>
    </cfRule>
    <cfRule type="cellIs" dxfId="856" priority="156" operator="lessThan">
      <formula>-105575</formula>
    </cfRule>
  </conditionalFormatting>
  <conditionalFormatting sqref="BB381:BB384 BB386:BB390">
    <cfRule type="cellIs" dxfId="855" priority="153" operator="lessThan">
      <formula>0</formula>
    </cfRule>
    <cfRule type="cellIs" dxfId="854" priority="154" operator="lessThan">
      <formula>-105575</formula>
    </cfRule>
  </conditionalFormatting>
  <conditionalFormatting sqref="BB391:BB395">
    <cfRule type="cellIs" dxfId="853" priority="151" operator="lessThan">
      <formula>0</formula>
    </cfRule>
    <cfRule type="cellIs" dxfId="852" priority="152" operator="lessThan">
      <formula>-105575</formula>
    </cfRule>
  </conditionalFormatting>
  <conditionalFormatting sqref="BB396:BB400">
    <cfRule type="cellIs" dxfId="851" priority="149" operator="lessThan">
      <formula>0</formula>
    </cfRule>
    <cfRule type="cellIs" dxfId="850" priority="150" operator="lessThan">
      <formula>-105575</formula>
    </cfRule>
  </conditionalFormatting>
  <conditionalFormatting sqref="BB401:BB405">
    <cfRule type="cellIs" dxfId="849" priority="147" operator="lessThan">
      <formula>0</formula>
    </cfRule>
    <cfRule type="cellIs" dxfId="848" priority="148" operator="lessThan">
      <formula>-105575</formula>
    </cfRule>
  </conditionalFormatting>
  <conditionalFormatting sqref="BB406:BB410">
    <cfRule type="cellIs" dxfId="847" priority="145" operator="lessThan">
      <formula>0</formula>
    </cfRule>
    <cfRule type="cellIs" dxfId="846" priority="146" operator="lessThan">
      <formula>-105575</formula>
    </cfRule>
  </conditionalFormatting>
  <conditionalFormatting sqref="BB412:BB415">
    <cfRule type="cellIs" dxfId="845" priority="143" operator="lessThan">
      <formula>0</formula>
    </cfRule>
    <cfRule type="cellIs" dxfId="844" priority="144" operator="lessThan">
      <formula>-105575</formula>
    </cfRule>
  </conditionalFormatting>
  <conditionalFormatting sqref="BB412:BB415">
    <cfRule type="cellIs" dxfId="843" priority="141" operator="lessThan">
      <formula>0</formula>
    </cfRule>
    <cfRule type="cellIs" dxfId="842" priority="142" operator="lessThan">
      <formula>-105575</formula>
    </cfRule>
  </conditionalFormatting>
  <conditionalFormatting sqref="BB418:BB421">
    <cfRule type="cellIs" dxfId="841" priority="139" operator="lessThan">
      <formula>0</formula>
    </cfRule>
    <cfRule type="cellIs" dxfId="840" priority="140" operator="lessThan">
      <formula>-105575</formula>
    </cfRule>
  </conditionalFormatting>
  <conditionalFormatting sqref="BB418:BB421 BB423:BB427">
    <cfRule type="cellIs" dxfId="839" priority="137" operator="lessThan">
      <formula>0</formula>
    </cfRule>
    <cfRule type="cellIs" dxfId="838" priority="138" operator="lessThan">
      <formula>-105575</formula>
    </cfRule>
  </conditionalFormatting>
  <conditionalFormatting sqref="BB428:BB432">
    <cfRule type="cellIs" dxfId="837" priority="135" operator="lessThan">
      <formula>0</formula>
    </cfRule>
    <cfRule type="cellIs" dxfId="836" priority="136" operator="lessThan">
      <formula>-105575</formula>
    </cfRule>
  </conditionalFormatting>
  <conditionalFormatting sqref="BB433:BB437">
    <cfRule type="cellIs" dxfId="835" priority="133" operator="lessThan">
      <formula>0</formula>
    </cfRule>
    <cfRule type="cellIs" dxfId="834" priority="134" operator="lessThan">
      <formula>-105575</formula>
    </cfRule>
  </conditionalFormatting>
  <conditionalFormatting sqref="BB439:BB442">
    <cfRule type="cellIs" dxfId="833" priority="131" operator="lessThan">
      <formula>0</formula>
    </cfRule>
    <cfRule type="cellIs" dxfId="832" priority="132" operator="lessThan">
      <formula>-105575</formula>
    </cfRule>
  </conditionalFormatting>
  <conditionalFormatting sqref="BB439:BB442 BB444:BB448">
    <cfRule type="cellIs" dxfId="831" priority="129" operator="lessThan">
      <formula>0</formula>
    </cfRule>
    <cfRule type="cellIs" dxfId="830" priority="130" operator="lessThan">
      <formula>-105575</formula>
    </cfRule>
  </conditionalFormatting>
  <conditionalFormatting sqref="BB449:BB453">
    <cfRule type="cellIs" dxfId="829" priority="127" operator="lessThan">
      <formula>0</formula>
    </cfRule>
    <cfRule type="cellIs" dxfId="828" priority="128" operator="lessThan">
      <formula>-105575</formula>
    </cfRule>
  </conditionalFormatting>
  <conditionalFormatting sqref="BB454:BB458">
    <cfRule type="cellIs" dxfId="827" priority="125" operator="lessThan">
      <formula>0</formula>
    </cfRule>
    <cfRule type="cellIs" dxfId="826" priority="126" operator="lessThan">
      <formula>-105575</formula>
    </cfRule>
  </conditionalFormatting>
  <conditionalFormatting sqref="BB460:BB463">
    <cfRule type="cellIs" dxfId="825" priority="123" operator="lessThan">
      <formula>0</formula>
    </cfRule>
    <cfRule type="cellIs" dxfId="824" priority="124" operator="lessThan">
      <formula>-105575</formula>
    </cfRule>
  </conditionalFormatting>
  <conditionalFormatting sqref="BB460:BB463 BB465:BB469">
    <cfRule type="cellIs" dxfId="823" priority="121" operator="lessThan">
      <formula>0</formula>
    </cfRule>
    <cfRule type="cellIs" dxfId="822" priority="122" operator="lessThan">
      <formula>-105575</formula>
    </cfRule>
  </conditionalFormatting>
  <conditionalFormatting sqref="BB470:BB474">
    <cfRule type="cellIs" dxfId="821" priority="119" operator="lessThan">
      <formula>0</formula>
    </cfRule>
    <cfRule type="cellIs" dxfId="820" priority="120" operator="lessThan">
      <formula>-105575</formula>
    </cfRule>
  </conditionalFormatting>
  <conditionalFormatting sqref="BB475:BB479">
    <cfRule type="cellIs" dxfId="819" priority="117" operator="lessThan">
      <formula>0</formula>
    </cfRule>
    <cfRule type="cellIs" dxfId="818" priority="118" operator="lessThan">
      <formula>-105575</formula>
    </cfRule>
  </conditionalFormatting>
  <conditionalFormatting sqref="BB481:BB484">
    <cfRule type="cellIs" dxfId="817" priority="115" operator="lessThan">
      <formula>0</formula>
    </cfRule>
    <cfRule type="cellIs" dxfId="816" priority="116" operator="lessThan">
      <formula>-105575</formula>
    </cfRule>
  </conditionalFormatting>
  <conditionalFormatting sqref="BB481:BB484 BB486:BB490">
    <cfRule type="cellIs" dxfId="815" priority="113" operator="lessThan">
      <formula>0</formula>
    </cfRule>
    <cfRule type="cellIs" dxfId="814" priority="114" operator="lessThan">
      <formula>-105575</formula>
    </cfRule>
  </conditionalFormatting>
  <conditionalFormatting sqref="BB491:BB495">
    <cfRule type="cellIs" dxfId="813" priority="111" operator="lessThan">
      <formula>0</formula>
    </cfRule>
    <cfRule type="cellIs" dxfId="812" priority="112" operator="lessThan">
      <formula>-105575</formula>
    </cfRule>
  </conditionalFormatting>
  <conditionalFormatting sqref="BB144:BB146 BB154:BB160 BB162:BB167">
    <cfRule type="cellIs" dxfId="811" priority="109" operator="lessThan">
      <formula>0</formula>
    </cfRule>
    <cfRule type="cellIs" dxfId="810" priority="110" operator="lessThan">
      <formula>-105575</formula>
    </cfRule>
  </conditionalFormatting>
  <conditionalFormatting sqref="BB163:BB164">
    <cfRule type="cellIs" dxfId="809" priority="107" operator="lessThan">
      <formula>0</formula>
    </cfRule>
    <cfRule type="cellIs" dxfId="808" priority="108" operator="lessThan">
      <formula>-105575</formula>
    </cfRule>
  </conditionalFormatting>
  <conditionalFormatting sqref="BB34:BB35">
    <cfRule type="cellIs" dxfId="807" priority="97" operator="lessThan">
      <formula>0</formula>
    </cfRule>
    <cfRule type="cellIs" dxfId="806" priority="98" operator="lessThan">
      <formula>-105575</formula>
    </cfRule>
  </conditionalFormatting>
  <conditionalFormatting sqref="BB41 BB56:BB58">
    <cfRule type="cellIs" dxfId="805" priority="95" operator="lessThan">
      <formula>0</formula>
    </cfRule>
    <cfRule type="cellIs" dxfId="804" priority="96" operator="lessThan">
      <formula>-105575</formula>
    </cfRule>
  </conditionalFormatting>
  <conditionalFormatting sqref="BB14">
    <cfRule type="cellIs" dxfId="803" priority="105" operator="lessThan">
      <formula>0</formula>
    </cfRule>
    <cfRule type="cellIs" dxfId="802" priority="106" operator="lessThan">
      <formula>-105575</formula>
    </cfRule>
  </conditionalFormatting>
  <conditionalFormatting sqref="BB11">
    <cfRule type="cellIs" dxfId="801" priority="103" operator="lessThan">
      <formula>0</formula>
    </cfRule>
    <cfRule type="cellIs" dxfId="800" priority="104" operator="lessThan">
      <formula>-105575</formula>
    </cfRule>
  </conditionalFormatting>
  <conditionalFormatting sqref="BB54:BB55">
    <cfRule type="cellIs" dxfId="799" priority="93" operator="lessThan">
      <formula>0</formula>
    </cfRule>
    <cfRule type="cellIs" dxfId="798" priority="94" operator="lessThan">
      <formula>-105575</formula>
    </cfRule>
  </conditionalFormatting>
  <conditionalFormatting sqref="BB21 BB23">
    <cfRule type="cellIs" dxfId="797" priority="101" operator="lessThan">
      <formula>0</formula>
    </cfRule>
    <cfRule type="cellIs" dxfId="796" priority="102" operator="lessThan">
      <formula>-105575</formula>
    </cfRule>
  </conditionalFormatting>
  <conditionalFormatting sqref="BB22">
    <cfRule type="cellIs" dxfId="795" priority="99" operator="lessThan">
      <formula>0</formula>
    </cfRule>
    <cfRule type="cellIs" dxfId="794" priority="100" operator="lessThan">
      <formula>-105575</formula>
    </cfRule>
  </conditionalFormatting>
  <conditionalFormatting sqref="BB52:BB53">
    <cfRule type="cellIs" dxfId="793" priority="91" operator="lessThan">
      <formula>0</formula>
    </cfRule>
    <cfRule type="cellIs" dxfId="792" priority="92" operator="lessThan">
      <formula>-105575</formula>
    </cfRule>
  </conditionalFormatting>
  <conditionalFormatting sqref="BB50:BB51">
    <cfRule type="cellIs" dxfId="791" priority="89" operator="lessThan">
      <formula>0</formula>
    </cfRule>
    <cfRule type="cellIs" dxfId="790" priority="90" operator="lessThan">
      <formula>-105575</formula>
    </cfRule>
  </conditionalFormatting>
  <conditionalFormatting sqref="BB49">
    <cfRule type="cellIs" dxfId="789" priority="87" operator="lessThan">
      <formula>0</formula>
    </cfRule>
    <cfRule type="cellIs" dxfId="788" priority="88" operator="lessThan">
      <formula>-105575</formula>
    </cfRule>
  </conditionalFormatting>
  <conditionalFormatting sqref="BB47:BB48">
    <cfRule type="cellIs" dxfId="787" priority="85" operator="lessThan">
      <formula>0</formula>
    </cfRule>
    <cfRule type="cellIs" dxfId="786" priority="86" operator="lessThan">
      <formula>-105575</formula>
    </cfRule>
  </conditionalFormatting>
  <conditionalFormatting sqref="BB45:BB46">
    <cfRule type="cellIs" dxfId="785" priority="83" operator="lessThan">
      <formula>0</formula>
    </cfRule>
    <cfRule type="cellIs" dxfId="784" priority="84" operator="lessThan">
      <formula>-105575</formula>
    </cfRule>
  </conditionalFormatting>
  <conditionalFormatting sqref="BB42 BB44">
    <cfRule type="cellIs" dxfId="783" priority="81" operator="lessThan">
      <formula>0</formula>
    </cfRule>
    <cfRule type="cellIs" dxfId="782" priority="82" operator="lessThan">
      <formula>-105575</formula>
    </cfRule>
  </conditionalFormatting>
  <conditionalFormatting sqref="BB43">
    <cfRule type="cellIs" dxfId="781" priority="79" operator="lessThan">
      <formula>0</formula>
    </cfRule>
    <cfRule type="cellIs" dxfId="780" priority="80" operator="lessThan">
      <formula>-105575</formula>
    </cfRule>
  </conditionalFormatting>
  <conditionalFormatting sqref="BB83:BB84">
    <cfRule type="cellIs" dxfId="779" priority="77" operator="lessThan">
      <formula>0</formula>
    </cfRule>
    <cfRule type="cellIs" dxfId="778" priority="78" operator="lessThan">
      <formula>-105575</formula>
    </cfRule>
  </conditionalFormatting>
  <conditionalFormatting sqref="BB102:BB106 BB111:BB112">
    <cfRule type="cellIs" dxfId="777" priority="75" operator="lessThan">
      <formula>0</formula>
    </cfRule>
    <cfRule type="cellIs" dxfId="776" priority="76" operator="lessThan">
      <formula>-105575</formula>
    </cfRule>
  </conditionalFormatting>
  <conditionalFormatting sqref="BB114 BB134:BB135 BB125:BB128">
    <cfRule type="cellIs" dxfId="775" priority="71" operator="lessThan">
      <formula>0</formula>
    </cfRule>
    <cfRule type="cellIs" dxfId="774" priority="72" operator="lessThan">
      <formula>-105575</formula>
    </cfRule>
  </conditionalFormatting>
  <conditionalFormatting sqref="BB107:BB110">
    <cfRule type="cellIs" dxfId="773" priority="73" operator="lessThan">
      <formula>0</formula>
    </cfRule>
    <cfRule type="cellIs" dxfId="772" priority="74" operator="lessThan">
      <formula>-105575</formula>
    </cfRule>
  </conditionalFormatting>
  <conditionalFormatting sqref="BB123:BB124 BB115:BB118">
    <cfRule type="cellIs" dxfId="771" priority="67" operator="lessThan">
      <formula>0</formula>
    </cfRule>
    <cfRule type="cellIs" dxfId="770" priority="68" operator="lessThan">
      <formula>-105575</formula>
    </cfRule>
  </conditionalFormatting>
  <conditionalFormatting sqref="BB129:BB133">
    <cfRule type="cellIs" dxfId="769" priority="69" operator="lessThan">
      <formula>0</formula>
    </cfRule>
    <cfRule type="cellIs" dxfId="768" priority="70" operator="lessThan">
      <formula>-105575</formula>
    </cfRule>
  </conditionalFormatting>
  <conditionalFormatting sqref="BB119:BB122">
    <cfRule type="cellIs" dxfId="767" priority="65" operator="lessThan">
      <formula>0</formula>
    </cfRule>
    <cfRule type="cellIs" dxfId="766" priority="66" operator="lessThan">
      <formula>-105575</formula>
    </cfRule>
  </conditionalFormatting>
  <conditionalFormatting sqref="BB137:BB138">
    <cfRule type="cellIs" dxfId="765" priority="63" operator="lessThan">
      <formula>0</formula>
    </cfRule>
    <cfRule type="cellIs" dxfId="764" priority="64" operator="lessThan">
      <formula>-105575</formula>
    </cfRule>
  </conditionalFormatting>
  <conditionalFormatting sqref="BB147:BB153">
    <cfRule type="cellIs" dxfId="763" priority="59" operator="lessThan">
      <formula>0</formula>
    </cfRule>
    <cfRule type="cellIs" dxfId="762" priority="60" operator="lessThan">
      <formula>-105575</formula>
    </cfRule>
  </conditionalFormatting>
  <conditionalFormatting sqref="BB140:BB141">
    <cfRule type="cellIs" dxfId="761" priority="61" operator="lessThan">
      <formula>0</formula>
    </cfRule>
    <cfRule type="cellIs" dxfId="760" priority="62" operator="lessThan">
      <formula>-105575</formula>
    </cfRule>
  </conditionalFormatting>
  <conditionalFormatting sqref="BB161">
    <cfRule type="cellIs" dxfId="759" priority="55" operator="lessThan">
      <formula>0</formula>
    </cfRule>
    <cfRule type="cellIs" dxfId="758" priority="56" operator="lessThan">
      <formula>-105575</formula>
    </cfRule>
  </conditionalFormatting>
  <conditionalFormatting sqref="BB147:BB153">
    <cfRule type="cellIs" dxfId="757" priority="57" operator="lessThan">
      <formula>0</formula>
    </cfRule>
    <cfRule type="cellIs" dxfId="756" priority="58" operator="lessThan">
      <formula>-105575</formula>
    </cfRule>
  </conditionalFormatting>
  <conditionalFormatting sqref="BB193:BB198">
    <cfRule type="cellIs" dxfId="755" priority="35" operator="lessThan">
      <formula>0</formula>
    </cfRule>
    <cfRule type="cellIs" dxfId="754" priority="36" operator="lessThan">
      <formula>-105575</formula>
    </cfRule>
  </conditionalFormatting>
  <conditionalFormatting sqref="BB161">
    <cfRule type="cellIs" dxfId="753" priority="53" operator="lessThan">
      <formula>0</formula>
    </cfRule>
    <cfRule type="cellIs" dxfId="752" priority="54" operator="lessThan">
      <formula>-105575</formula>
    </cfRule>
  </conditionalFormatting>
  <conditionalFormatting sqref="BB169 BB175:BB177">
    <cfRule type="cellIs" dxfId="751" priority="51" operator="lessThan">
      <formula>0</formula>
    </cfRule>
    <cfRule type="cellIs" dxfId="750" priority="52" operator="lessThan">
      <formula>-105575</formula>
    </cfRule>
  </conditionalFormatting>
  <conditionalFormatting sqref="BB169 BB175:BB177">
    <cfRule type="cellIs" dxfId="749" priority="49" operator="lessThan">
      <formula>0</formula>
    </cfRule>
    <cfRule type="cellIs" dxfId="748" priority="50" operator="lessThan">
      <formula>-105575</formula>
    </cfRule>
  </conditionalFormatting>
  <conditionalFormatting sqref="BB170:BB174">
    <cfRule type="cellIs" dxfId="747" priority="47" operator="lessThan">
      <formula>0</formula>
    </cfRule>
    <cfRule type="cellIs" dxfId="746" priority="48" operator="lessThan">
      <formula>-105575</formula>
    </cfRule>
  </conditionalFormatting>
  <conditionalFormatting sqref="BB182">
    <cfRule type="cellIs" dxfId="745" priority="31" operator="lessThan">
      <formula>0</formula>
    </cfRule>
    <cfRule type="cellIs" dxfId="744" priority="32" operator="lessThan">
      <formula>-105575</formula>
    </cfRule>
  </conditionalFormatting>
  <conditionalFormatting sqref="BB170:BB174">
    <cfRule type="cellIs" dxfId="743" priority="45" operator="lessThan">
      <formula>0</formula>
    </cfRule>
    <cfRule type="cellIs" dxfId="742" priority="46" operator="lessThan">
      <formula>-105575</formula>
    </cfRule>
  </conditionalFormatting>
  <conditionalFormatting sqref="BB193:BB198">
    <cfRule type="cellIs" dxfId="741" priority="33" operator="lessThan">
      <formula>0</formula>
    </cfRule>
    <cfRule type="cellIs" dxfId="740" priority="34" operator="lessThan">
      <formula>-105575</formula>
    </cfRule>
  </conditionalFormatting>
  <conditionalFormatting sqref="BB180 BB186:BB192 BB199:BB200">
    <cfRule type="cellIs" dxfId="739" priority="43" operator="lessThan">
      <formula>0</formula>
    </cfRule>
    <cfRule type="cellIs" dxfId="738" priority="44" operator="lessThan">
      <formula>-105575</formula>
    </cfRule>
  </conditionalFormatting>
  <conditionalFormatting sqref="BB180 BB186:BB192 BB199:BB200">
    <cfRule type="cellIs" dxfId="737" priority="41" operator="lessThan">
      <formula>0</formula>
    </cfRule>
    <cfRule type="cellIs" dxfId="736" priority="42" operator="lessThan">
      <formula>-105575</formula>
    </cfRule>
  </conditionalFormatting>
  <conditionalFormatting sqref="BB181">
    <cfRule type="cellIs" dxfId="735" priority="37" operator="lessThan">
      <formula>0</formula>
    </cfRule>
    <cfRule type="cellIs" dxfId="734" priority="38" operator="lessThan">
      <formula>-105575</formula>
    </cfRule>
  </conditionalFormatting>
  <conditionalFormatting sqref="BB181">
    <cfRule type="cellIs" dxfId="733" priority="39" operator="lessThan">
      <formula>0</formula>
    </cfRule>
    <cfRule type="cellIs" dxfId="732" priority="40" operator="lessThan">
      <formula>-105575</formula>
    </cfRule>
  </conditionalFormatting>
  <conditionalFormatting sqref="BB182">
    <cfRule type="cellIs" dxfId="731" priority="29" operator="lessThan">
      <formula>0</formula>
    </cfRule>
    <cfRule type="cellIs" dxfId="730" priority="30" operator="lessThan">
      <formula>-105575</formula>
    </cfRule>
  </conditionalFormatting>
  <conditionalFormatting sqref="BB218">
    <cfRule type="cellIs" dxfId="729" priority="17" operator="lessThan">
      <formula>0</formula>
    </cfRule>
    <cfRule type="cellIs" dxfId="728" priority="18" operator="lessThan">
      <formula>-105575</formula>
    </cfRule>
  </conditionalFormatting>
  <conditionalFormatting sqref="BB220:BB221">
    <cfRule type="cellIs" dxfId="727" priority="23" operator="lessThan">
      <formula>0</formula>
    </cfRule>
    <cfRule type="cellIs" dxfId="726" priority="24" operator="lessThan">
      <formula>-105575</formula>
    </cfRule>
  </conditionalFormatting>
  <conditionalFormatting sqref="BB218">
    <cfRule type="cellIs" dxfId="725" priority="15" operator="lessThan">
      <formula>0</formula>
    </cfRule>
    <cfRule type="cellIs" dxfId="724" priority="16" operator="lessThan">
      <formula>-105575</formula>
    </cfRule>
  </conditionalFormatting>
  <conditionalFormatting sqref="BB203 BB219:BB221 BB210:BB217">
    <cfRule type="cellIs" dxfId="723" priority="27" operator="lessThan">
      <formula>0</formula>
    </cfRule>
    <cfRule type="cellIs" dxfId="722" priority="28" operator="lessThan">
      <formula>-105575</formula>
    </cfRule>
  </conditionalFormatting>
  <conditionalFormatting sqref="BB203 BB219:BB221 BB210:BB217">
    <cfRule type="cellIs" dxfId="721" priority="25" operator="lessThan">
      <formula>0</formula>
    </cfRule>
    <cfRule type="cellIs" dxfId="720" priority="26" operator="lessThan">
      <formula>-105575</formula>
    </cfRule>
  </conditionalFormatting>
  <conditionalFormatting sqref="BB204:BB209">
    <cfRule type="cellIs" dxfId="719" priority="19" operator="lessThan">
      <formula>0</formula>
    </cfRule>
    <cfRule type="cellIs" dxfId="718" priority="20" operator="lessThan">
      <formula>-105575</formula>
    </cfRule>
  </conditionalFormatting>
  <conditionalFormatting sqref="BB204:BB209">
    <cfRule type="cellIs" dxfId="717" priority="21" operator="lessThan">
      <formula>0</formula>
    </cfRule>
    <cfRule type="cellIs" dxfId="716" priority="22" operator="lessThan">
      <formula>-105575</formula>
    </cfRule>
  </conditionalFormatting>
  <conditionalFormatting sqref="BB225:BB231">
    <cfRule type="cellIs" dxfId="715" priority="13" operator="lessThan">
      <formula>0</formula>
    </cfRule>
    <cfRule type="cellIs" dxfId="714" priority="14" operator="lessThan">
      <formula>-105575</formula>
    </cfRule>
  </conditionalFormatting>
  <conditionalFormatting sqref="BB233:BB235">
    <cfRule type="cellIs" dxfId="713" priority="11" operator="lessThan">
      <formula>0</formula>
    </cfRule>
    <cfRule type="cellIs" dxfId="712" priority="12" operator="lessThan">
      <formula>-105575</formula>
    </cfRule>
  </conditionalFormatting>
  <conditionalFormatting sqref="BB237">
    <cfRule type="cellIs" dxfId="711" priority="9" operator="lessThan">
      <formula>0</formula>
    </cfRule>
    <cfRule type="cellIs" dxfId="710" priority="10" operator="lessThan">
      <formula>-105575</formula>
    </cfRule>
  </conditionalFormatting>
  <conditionalFormatting sqref="BB238:BB241">
    <cfRule type="cellIs" dxfId="709" priority="7" operator="lessThan">
      <formula>0</formula>
    </cfRule>
    <cfRule type="cellIs" dxfId="708" priority="8" operator="lessThan">
      <formula>-105575</formula>
    </cfRule>
  </conditionalFormatting>
  <conditionalFormatting sqref="BB12">
    <cfRule type="cellIs" dxfId="707" priority="5" operator="lessThan">
      <formula>0</formula>
    </cfRule>
    <cfRule type="cellIs" dxfId="706" priority="6" operator="lessThan">
      <formula>-105575</formula>
    </cfRule>
  </conditionalFormatting>
  <conditionalFormatting sqref="BB13">
    <cfRule type="cellIs" dxfId="705" priority="3" operator="lessThan">
      <formula>0</formula>
    </cfRule>
    <cfRule type="cellIs" dxfId="704" priority="4" operator="lessThan">
      <formula>-105575</formula>
    </cfRule>
  </conditionalFormatting>
  <conditionalFormatting sqref="BA18">
    <cfRule type="cellIs" dxfId="703" priority="1" operator="lessThan">
      <formula>0</formula>
    </cfRule>
    <cfRule type="cellIs" dxfId="70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 Standard_Cost'!$B$4:$B$10</xm:f>
          </x14:formula1>
          <xm:sqref>I17</xm:sqref>
        </x14:dataValidation>
        <x14:dataValidation type="list" allowBlank="1" showInputMessage="1" showErrorMessage="1">
          <x14:formula1>
            <xm:f>'[2]1. Standard_Cost'!#REF!</xm:f>
          </x14:formula1>
          <xm:sqref>I33:I34 I36</xm:sqref>
        </x14:dataValidation>
        <x14:dataValidation type="list" allowBlank="1" showInputMessage="1" showErrorMessage="1">
          <x14:formula1>
            <xm:f>'[3]1. Standard_Cost'!#REF!</xm:f>
          </x14:formula1>
          <xm:sqref>I7:I12 I14 I16 I24 I18:I22 I26:I27</xm:sqref>
        </x14:dataValidation>
      </x14:dataValidations>
    </ext>
  </extLst>
</worksheet>
</file>

<file path=xl/worksheets/sheet8.xml><?xml version="1.0" encoding="utf-8"?>
<worksheet xmlns="http://schemas.openxmlformats.org/spreadsheetml/2006/main" xmlns:r="http://schemas.openxmlformats.org/officeDocument/2006/relationships">
  <dimension ref="A1:BB242"/>
  <sheetViews>
    <sheetView zoomScale="69" zoomScaleNormal="69" workbookViewId="0">
      <selection activeCell="H11" sqref="H11"/>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5" customWidth="1" outlineLevel="2"/>
    <col min="10" max="10" width="7.5546875" style="5" customWidth="1" outlineLevel="2"/>
    <col min="11" max="11" width="8.33203125" style="5" customWidth="1" outlineLevel="2"/>
    <col min="12" max="12" width="15.6640625" style="5" customWidth="1" outlineLevel="1"/>
    <col min="13" max="13" width="16" style="5" customWidth="1" outlineLevel="1"/>
    <col min="14" max="14" width="10.5546875" style="5" customWidth="1" outlineLevel="2"/>
    <col min="15" max="15" width="11" style="5" customWidth="1" outlineLevel="2"/>
    <col min="16" max="16" width="13.33203125" style="5" customWidth="1" outlineLevel="2"/>
    <col min="17" max="17" width="14.109375" style="5" customWidth="1" outlineLevel="2"/>
    <col min="18" max="21" width="12.109375" style="5" customWidth="1" outlineLevel="2"/>
    <col min="22" max="22" width="6.109375" style="5" bestFit="1" customWidth="1" outlineLevel="2"/>
    <col min="23" max="23" width="6.44140625" style="5" bestFit="1" customWidth="1" outlineLevel="2"/>
    <col min="24" max="24" width="7.5546875" style="5" customWidth="1" outlineLevel="2"/>
    <col min="25" max="25" width="11.6640625" style="5" bestFit="1" customWidth="1" outlineLevel="1"/>
    <col min="26" max="27" width="8.109375" style="5" bestFit="1" customWidth="1" outlineLevel="2"/>
    <col min="28" max="29" width="14.44140625" style="5" customWidth="1" outlineLevel="1"/>
    <col min="30" max="30" width="12.88671875" style="5" customWidth="1" outlineLevel="2"/>
    <col min="31" max="31" width="16" style="5" bestFit="1" customWidth="1" outlineLevel="2"/>
    <col min="32" max="32" width="13.88671875" style="5" bestFit="1" customWidth="1" outlineLevel="1"/>
    <col min="33" max="33" width="7" style="5" bestFit="1" customWidth="1" outlineLevel="2"/>
    <col min="34" max="34" width="6.109375" style="5" bestFit="1" customWidth="1" outlineLevel="2"/>
    <col min="35" max="35" width="7.33203125" style="5" customWidth="1" outlineLevel="2"/>
    <col min="36" max="36" width="9" style="5" customWidth="1" outlineLevel="2"/>
    <col min="37" max="37" width="9" style="5" bestFit="1" customWidth="1" outlineLevel="2"/>
    <col min="38" max="38" width="8.109375" style="5" bestFit="1" customWidth="1" outlineLevel="2"/>
    <col min="39" max="39" width="15.33203125" style="5" customWidth="1" outlineLevel="1"/>
    <col min="40" max="40" width="11.109375" style="5" customWidth="1" outlineLevel="1"/>
    <col min="41" max="41" width="39.88671875" style="133" customWidth="1" outlineLevel="2"/>
    <col min="42" max="42" width="2.6640625" style="5" customWidth="1"/>
    <col min="43" max="43" width="16.6640625" style="5" customWidth="1"/>
    <col min="44" max="46" width="14.88671875" style="5" customWidth="1"/>
    <col min="47" max="53" width="15" style="4"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126"/>
      <c r="AU1" s="4"/>
      <c r="AV1" s="4"/>
      <c r="AW1" s="4"/>
      <c r="AX1" s="4"/>
      <c r="AY1" s="4"/>
      <c r="AZ1" s="4"/>
      <c r="BA1" s="4"/>
      <c r="BB1" s="4"/>
    </row>
    <row r="2" spans="1:54" ht="55.2" customHeight="1">
      <c r="A2" s="98" t="s">
        <v>58</v>
      </c>
      <c r="B2" s="329" t="s">
        <v>124</v>
      </c>
      <c r="C2" s="330"/>
      <c r="D2" s="330"/>
      <c r="E2" s="331"/>
      <c r="F2" s="300" t="s">
        <v>141</v>
      </c>
      <c r="G2" s="300" t="s">
        <v>142</v>
      </c>
      <c r="H2" s="273" t="s">
        <v>57</v>
      </c>
      <c r="I2" s="7" t="s">
        <v>0</v>
      </c>
      <c r="J2" s="7" t="s">
        <v>15</v>
      </c>
      <c r="K2" s="7" t="s">
        <v>16</v>
      </c>
      <c r="L2" s="8" t="s">
        <v>11</v>
      </c>
      <c r="M2" s="8" t="s">
        <v>85</v>
      </c>
      <c r="N2" s="7" t="s">
        <v>17</v>
      </c>
      <c r="O2" s="7" t="s">
        <v>7</v>
      </c>
      <c r="P2" s="7" t="s">
        <v>6</v>
      </c>
      <c r="Q2" s="7" t="s">
        <v>8</v>
      </c>
      <c r="R2" s="8" t="s">
        <v>60</v>
      </c>
      <c r="S2" s="8" t="s">
        <v>68</v>
      </c>
      <c r="T2" s="8" t="s">
        <v>67</v>
      </c>
      <c r="U2" s="8" t="s">
        <v>66</v>
      </c>
      <c r="V2" s="7" t="s">
        <v>18</v>
      </c>
      <c r="W2" s="7" t="s">
        <v>70</v>
      </c>
      <c r="X2" s="7" t="s">
        <v>6</v>
      </c>
      <c r="Y2" s="8" t="s">
        <v>74</v>
      </c>
      <c r="Z2" s="7" t="s">
        <v>10</v>
      </c>
      <c r="AA2" s="7" t="s">
        <v>9</v>
      </c>
      <c r="AB2" s="8" t="s">
        <v>73</v>
      </c>
      <c r="AC2" s="9" t="s">
        <v>19</v>
      </c>
      <c r="AD2" s="8" t="s">
        <v>82</v>
      </c>
      <c r="AE2" s="8" t="s">
        <v>24</v>
      </c>
      <c r="AF2" s="8" t="s">
        <v>83</v>
      </c>
      <c r="AG2" s="7" t="s">
        <v>21</v>
      </c>
      <c r="AH2" s="7" t="s">
        <v>22</v>
      </c>
      <c r="AI2" s="7" t="s">
        <v>23</v>
      </c>
      <c r="AJ2" s="7" t="s">
        <v>103</v>
      </c>
      <c r="AK2" s="7" t="s">
        <v>105</v>
      </c>
      <c r="AL2" s="7" t="s">
        <v>93</v>
      </c>
      <c r="AM2" s="8" t="s">
        <v>95</v>
      </c>
      <c r="AN2" s="8" t="s">
        <v>13</v>
      </c>
      <c r="AO2" s="127" t="s">
        <v>14</v>
      </c>
      <c r="AQ2" s="326" t="s">
        <v>200</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7" t="s">
        <v>54</v>
      </c>
      <c r="J3" s="7" t="s">
        <v>55</v>
      </c>
      <c r="K3" s="7" t="s">
        <v>56</v>
      </c>
      <c r="L3" s="8" t="s">
        <v>121</v>
      </c>
      <c r="M3" s="8" t="s">
        <v>120</v>
      </c>
      <c r="N3" s="7" t="s">
        <v>76</v>
      </c>
      <c r="O3" s="7" t="s">
        <v>75</v>
      </c>
      <c r="P3" s="7" t="s">
        <v>77</v>
      </c>
      <c r="Q3" s="7" t="s">
        <v>78</v>
      </c>
      <c r="R3" s="8" t="s">
        <v>119</v>
      </c>
      <c r="S3" s="8" t="s">
        <v>118</v>
      </c>
      <c r="T3" s="8" t="s">
        <v>117</v>
      </c>
      <c r="U3" s="8" t="s">
        <v>116</v>
      </c>
      <c r="V3" s="7" t="s">
        <v>79</v>
      </c>
      <c r="W3" s="7" t="s">
        <v>80</v>
      </c>
      <c r="X3" s="7" t="s">
        <v>81</v>
      </c>
      <c r="Y3" s="8" t="s">
        <v>115</v>
      </c>
      <c r="Z3" s="7" t="s">
        <v>71</v>
      </c>
      <c r="AA3" s="7" t="s">
        <v>72</v>
      </c>
      <c r="AB3" s="8" t="s">
        <v>114</v>
      </c>
      <c r="AC3" s="9" t="s">
        <v>113</v>
      </c>
      <c r="AD3" s="8" t="s">
        <v>112</v>
      </c>
      <c r="AE3" s="8" t="s">
        <v>111</v>
      </c>
      <c r="AF3" s="8" t="s">
        <v>110</v>
      </c>
      <c r="AG3" s="7" t="s">
        <v>90</v>
      </c>
      <c r="AH3" s="7" t="s">
        <v>92</v>
      </c>
      <c r="AI3" s="7" t="s">
        <v>91</v>
      </c>
      <c r="AJ3" s="8" t="s">
        <v>104</v>
      </c>
      <c r="AK3" s="8" t="s">
        <v>106</v>
      </c>
      <c r="AL3" s="8" t="s">
        <v>100</v>
      </c>
      <c r="AM3" s="8" t="s">
        <v>108</v>
      </c>
      <c r="AN3" s="8" t="s">
        <v>109</v>
      </c>
      <c r="AO3" s="127" t="s">
        <v>99</v>
      </c>
      <c r="AQ3" s="11" t="s">
        <v>127</v>
      </c>
      <c r="AR3" s="11" t="s">
        <v>25</v>
      </c>
      <c r="AS3" s="11" t="s">
        <v>12</v>
      </c>
      <c r="AT3" s="11" t="s">
        <v>20</v>
      </c>
      <c r="AU3" s="12" t="s">
        <v>128</v>
      </c>
      <c r="AV3" s="12" t="s">
        <v>129</v>
      </c>
      <c r="AW3" s="12" t="s">
        <v>144</v>
      </c>
      <c r="AX3" s="12" t="s">
        <v>145</v>
      </c>
      <c r="AY3" s="12" t="s">
        <v>196</v>
      </c>
      <c r="AZ3" s="12" t="s">
        <v>195</v>
      </c>
      <c r="BA3" s="45" t="s">
        <v>132</v>
      </c>
      <c r="BB3" s="12" t="s">
        <v>26</v>
      </c>
    </row>
    <row r="4" spans="1:54" s="21" customFormat="1" ht="27.6">
      <c r="A4" s="100"/>
      <c r="B4" s="28"/>
      <c r="C4" s="29"/>
      <c r="D4" s="29"/>
      <c r="E4" s="238"/>
      <c r="F4" s="238" t="s">
        <v>139</v>
      </c>
      <c r="G4" s="238" t="s">
        <v>140</v>
      </c>
      <c r="H4" s="275" t="s">
        <v>123</v>
      </c>
      <c r="I4" s="20" t="s">
        <v>122</v>
      </c>
      <c r="J4" s="20">
        <v>2</v>
      </c>
      <c r="K4" s="20">
        <v>3</v>
      </c>
      <c r="L4" s="20" t="s">
        <v>84</v>
      </c>
      <c r="M4" s="20" t="s">
        <v>86</v>
      </c>
      <c r="N4" s="20">
        <v>6</v>
      </c>
      <c r="O4" s="20">
        <v>7</v>
      </c>
      <c r="P4" s="20">
        <v>8</v>
      </c>
      <c r="Q4" s="20">
        <v>9</v>
      </c>
      <c r="R4" s="20" t="s">
        <v>27</v>
      </c>
      <c r="S4" s="20" t="s">
        <v>28</v>
      </c>
      <c r="T4" s="20" t="s">
        <v>29</v>
      </c>
      <c r="U4" s="20" t="s">
        <v>30</v>
      </c>
      <c r="V4" s="20">
        <v>14</v>
      </c>
      <c r="W4" s="20">
        <v>15</v>
      </c>
      <c r="X4" s="20">
        <v>16</v>
      </c>
      <c r="Y4" s="20" t="s">
        <v>87</v>
      </c>
      <c r="Z4" s="20">
        <v>18</v>
      </c>
      <c r="AA4" s="20">
        <v>19</v>
      </c>
      <c r="AB4" s="20" t="s">
        <v>88</v>
      </c>
      <c r="AC4" s="20">
        <v>21</v>
      </c>
      <c r="AD4" s="20">
        <v>22</v>
      </c>
      <c r="AE4" s="20" t="s">
        <v>97</v>
      </c>
      <c r="AF4" s="20" t="s">
        <v>89</v>
      </c>
      <c r="AG4" s="20">
        <v>25</v>
      </c>
      <c r="AH4" s="20">
        <v>26</v>
      </c>
      <c r="AI4" s="20">
        <v>27</v>
      </c>
      <c r="AJ4" s="20">
        <v>28</v>
      </c>
      <c r="AK4" s="20">
        <v>29</v>
      </c>
      <c r="AL4" s="20">
        <v>30</v>
      </c>
      <c r="AM4" s="20" t="s">
        <v>98</v>
      </c>
      <c r="AN4" s="20" t="s">
        <v>107</v>
      </c>
      <c r="AO4" s="128"/>
      <c r="AQ4" s="20" t="s">
        <v>133</v>
      </c>
      <c r="AR4" s="20" t="s">
        <v>134</v>
      </c>
      <c r="AS4" s="20" t="s">
        <v>135</v>
      </c>
      <c r="AT4" s="20" t="s">
        <v>136</v>
      </c>
      <c r="AU4" s="22">
        <v>37</v>
      </c>
      <c r="AV4" s="22">
        <v>38</v>
      </c>
      <c r="AW4" s="22">
        <v>39</v>
      </c>
      <c r="AX4" s="22">
        <v>40</v>
      </c>
      <c r="AY4" s="22"/>
      <c r="AZ4" s="22">
        <v>41</v>
      </c>
      <c r="BA4" s="22">
        <v>42</v>
      </c>
      <c r="BB4" s="22" t="s">
        <v>157</v>
      </c>
    </row>
    <row r="5" spans="1:54" s="13" customFormat="1" ht="30" customHeight="1">
      <c r="A5" s="101"/>
      <c r="B5" s="316" t="s">
        <v>203</v>
      </c>
      <c r="C5" s="317"/>
      <c r="D5" s="317"/>
      <c r="E5" s="318"/>
      <c r="F5" s="241"/>
      <c r="G5" s="241"/>
      <c r="H5" s="241" t="s">
        <v>61</v>
      </c>
      <c r="I5" s="40"/>
      <c r="J5" s="40"/>
      <c r="K5" s="40"/>
      <c r="L5" s="41">
        <f>SUM(L6)</f>
        <v>0</v>
      </c>
      <c r="M5" s="41">
        <f>SUM(M6)</f>
        <v>0</v>
      </c>
      <c r="N5" s="40"/>
      <c r="O5" s="40"/>
      <c r="P5" s="40"/>
      <c r="Q5" s="40"/>
      <c r="R5" s="41">
        <f t="shared" ref="R5:U5" si="0">SUM(R6)</f>
        <v>0</v>
      </c>
      <c r="S5" s="41">
        <f t="shared" si="0"/>
        <v>0</v>
      </c>
      <c r="T5" s="41">
        <f t="shared" si="0"/>
        <v>0</v>
      </c>
      <c r="U5" s="41">
        <f t="shared" si="0"/>
        <v>0</v>
      </c>
      <c r="V5" s="40"/>
      <c r="W5" s="40"/>
      <c r="X5" s="40"/>
      <c r="Y5" s="41">
        <f t="shared" ref="Y5:AF5" si="1">SUM(Y6)</f>
        <v>0</v>
      </c>
      <c r="Z5" s="41">
        <f t="shared" si="1"/>
        <v>0</v>
      </c>
      <c r="AA5" s="41">
        <f t="shared" si="1"/>
        <v>0</v>
      </c>
      <c r="AB5" s="41">
        <f t="shared" si="1"/>
        <v>0</v>
      </c>
      <c r="AC5" s="41">
        <f t="shared" si="1"/>
        <v>0</v>
      </c>
      <c r="AD5" s="41">
        <f t="shared" si="1"/>
        <v>0</v>
      </c>
      <c r="AE5" s="41">
        <f t="shared" si="1"/>
        <v>0</v>
      </c>
      <c r="AF5" s="41">
        <f t="shared" si="1"/>
        <v>0</v>
      </c>
      <c r="AG5" s="40"/>
      <c r="AH5" s="40"/>
      <c r="AI5" s="40"/>
      <c r="AJ5" s="41">
        <f t="shared" ref="AJ5:AN5" si="2">SUM(AJ6)</f>
        <v>0</v>
      </c>
      <c r="AK5" s="41">
        <f t="shared" si="2"/>
        <v>0</v>
      </c>
      <c r="AL5" s="41">
        <f t="shared" si="2"/>
        <v>0</v>
      </c>
      <c r="AM5" s="41">
        <f t="shared" si="2"/>
        <v>0</v>
      </c>
      <c r="AN5" s="41">
        <f t="shared" si="2"/>
        <v>0</v>
      </c>
      <c r="AO5" s="129"/>
      <c r="AQ5" s="41">
        <f t="shared" ref="AQ5:BB5" si="3">SUM(AQ6)</f>
        <v>0</v>
      </c>
      <c r="AR5" s="41">
        <f t="shared" si="3"/>
        <v>0</v>
      </c>
      <c r="AS5" s="41">
        <f t="shared" si="3"/>
        <v>0</v>
      </c>
      <c r="AT5" s="41">
        <f t="shared" si="3"/>
        <v>0</v>
      </c>
      <c r="AU5" s="41">
        <f t="shared" si="3"/>
        <v>0</v>
      </c>
      <c r="AV5" s="41">
        <f t="shared" si="3"/>
        <v>0</v>
      </c>
      <c r="AW5" s="41">
        <f t="shared" si="3"/>
        <v>0</v>
      </c>
      <c r="AX5" s="41">
        <f t="shared" si="3"/>
        <v>0</v>
      </c>
      <c r="AY5" s="41">
        <f t="shared" si="3"/>
        <v>0</v>
      </c>
      <c r="AZ5" s="41">
        <f t="shared" si="3"/>
        <v>0</v>
      </c>
      <c r="BA5" s="41">
        <f t="shared" si="3"/>
        <v>0</v>
      </c>
      <c r="BB5" s="41">
        <f t="shared" si="3"/>
        <v>0</v>
      </c>
    </row>
    <row r="6" spans="1:54" s="13" customFormat="1" ht="13.8" customHeight="1">
      <c r="A6" s="101"/>
      <c r="B6" s="27"/>
      <c r="C6" s="324" t="s">
        <v>204</v>
      </c>
      <c r="D6" s="324"/>
      <c r="E6" s="325"/>
      <c r="F6" s="248"/>
      <c r="G6" s="298"/>
      <c r="H6" s="239" t="s">
        <v>62</v>
      </c>
      <c r="I6" s="37"/>
      <c r="J6" s="37"/>
      <c r="K6" s="37"/>
      <c r="L6" s="42">
        <f>SUM(L15+L17+L25+L30)</f>
        <v>0</v>
      </c>
      <c r="M6" s="42">
        <f>SUM(M15+M17+M25+M30)</f>
        <v>0</v>
      </c>
      <c r="N6" s="42"/>
      <c r="O6" s="43"/>
      <c r="P6" s="43"/>
      <c r="Q6" s="43"/>
      <c r="R6" s="42">
        <f t="shared" ref="R6:U6" si="4">SUM(R15+R17+R25+R30)</f>
        <v>0</v>
      </c>
      <c r="S6" s="42">
        <f t="shared" si="4"/>
        <v>0</v>
      </c>
      <c r="T6" s="42">
        <f t="shared" si="4"/>
        <v>0</v>
      </c>
      <c r="U6" s="42">
        <f t="shared" si="4"/>
        <v>0</v>
      </c>
      <c r="V6" s="42"/>
      <c r="W6" s="43"/>
      <c r="X6" s="43"/>
      <c r="Y6" s="42">
        <f t="shared" ref="Y6:AF6" si="5">SUM(Y15+Y17+Y25+Y30)</f>
        <v>0</v>
      </c>
      <c r="Z6" s="42">
        <f t="shared" si="5"/>
        <v>0</v>
      </c>
      <c r="AA6" s="42">
        <f t="shared" si="5"/>
        <v>0</v>
      </c>
      <c r="AB6" s="42">
        <f t="shared" si="5"/>
        <v>0</v>
      </c>
      <c r="AC6" s="42">
        <f t="shared" si="5"/>
        <v>0</v>
      </c>
      <c r="AD6" s="42">
        <f t="shared" si="5"/>
        <v>0</v>
      </c>
      <c r="AE6" s="42">
        <f t="shared" si="5"/>
        <v>0</v>
      </c>
      <c r="AF6" s="42">
        <f t="shared" si="5"/>
        <v>0</v>
      </c>
      <c r="AG6" s="43"/>
      <c r="AH6" s="43"/>
      <c r="AI6" s="43"/>
      <c r="AJ6" s="42">
        <f t="shared" ref="AJ6:AN6" si="6">SUM(AJ15+AJ17+AJ25+AJ30)</f>
        <v>0</v>
      </c>
      <c r="AK6" s="42">
        <f t="shared" si="6"/>
        <v>0</v>
      </c>
      <c r="AL6" s="42">
        <f t="shared" si="6"/>
        <v>0</v>
      </c>
      <c r="AM6" s="42">
        <f t="shared" si="6"/>
        <v>0</v>
      </c>
      <c r="AN6" s="42">
        <f t="shared" si="6"/>
        <v>0</v>
      </c>
      <c r="AO6" s="130"/>
      <c r="AQ6" s="42">
        <f t="shared" ref="AQ6:BB6" si="7">SUM(AQ15+AQ17+AQ25+AQ30)</f>
        <v>0</v>
      </c>
      <c r="AR6" s="42">
        <f t="shared" si="7"/>
        <v>0</v>
      </c>
      <c r="AS6" s="42">
        <f t="shared" si="7"/>
        <v>0</v>
      </c>
      <c r="AT6" s="42">
        <f t="shared" si="7"/>
        <v>0</v>
      </c>
      <c r="AU6" s="42">
        <f t="shared" si="7"/>
        <v>0</v>
      </c>
      <c r="AV6" s="42">
        <f t="shared" si="7"/>
        <v>0</v>
      </c>
      <c r="AW6" s="42">
        <f t="shared" si="7"/>
        <v>0</v>
      </c>
      <c r="AX6" s="42">
        <f t="shared" si="7"/>
        <v>0</v>
      </c>
      <c r="AY6" s="42">
        <f t="shared" si="7"/>
        <v>0</v>
      </c>
      <c r="AZ6" s="42">
        <f t="shared" si="7"/>
        <v>0</v>
      </c>
      <c r="BA6" s="42">
        <f t="shared" si="7"/>
        <v>0</v>
      </c>
      <c r="BB6" s="42">
        <f t="shared" si="7"/>
        <v>0</v>
      </c>
    </row>
    <row r="7" spans="1:54" ht="55.2" outlineLevel="2">
      <c r="A7" s="98"/>
      <c r="B7" s="102"/>
      <c r="C7" s="23"/>
      <c r="D7" s="257"/>
      <c r="E7" s="123"/>
      <c r="F7" s="270"/>
      <c r="G7" s="250"/>
      <c r="H7" s="272"/>
      <c r="I7" s="104"/>
      <c r="J7" s="105"/>
      <c r="K7" s="105"/>
      <c r="L7" s="106" t="str">
        <f>IF(I7&lt;&gt;0,((VLOOKUP(I7,'1. Standard_Cost'!$B$4:$D$11,2)+VLOOKUP(I7,'1. Standard_Cost'!$B$4:$D$11,3))*J7*K7),"0")</f>
        <v>0</v>
      </c>
      <c r="M7" s="106">
        <f>L7*'1. Standard_Cost'!$F$4</f>
        <v>0</v>
      </c>
      <c r="N7" s="107"/>
      <c r="O7" s="107"/>
      <c r="P7" s="107"/>
      <c r="Q7" s="107"/>
      <c r="R7" s="108">
        <f>'1. Standard_Cost'!$B$15*N7*P7</f>
        <v>0</v>
      </c>
      <c r="S7" s="108">
        <f>N7*O7*P7*'1. Standard_Cost'!$C$15</f>
        <v>0</v>
      </c>
      <c r="T7" s="108">
        <f>N7*P7*Q7*'1. Standard_Cost'!$D$15</f>
        <v>0</v>
      </c>
      <c r="U7" s="108">
        <f>N7*O7*'1. Standard_Cost'!$E$15</f>
        <v>0</v>
      </c>
      <c r="V7" s="107"/>
      <c r="W7" s="107"/>
      <c r="X7" s="107"/>
      <c r="Y7" s="108">
        <f>+V7*((X7*'1. Standard_Cost'!$B$19)+(W7*X7*'1. Standard_Cost'!$C$19))</f>
        <v>0</v>
      </c>
      <c r="Z7" s="107"/>
      <c r="AA7" s="107"/>
      <c r="AB7" s="108">
        <f>+Z7*'1. Standard_Cost'!$B$23+AA7*'1. Standard_Cost'!$C$23</f>
        <v>0</v>
      </c>
      <c r="AC7" s="109"/>
      <c r="AD7" s="110"/>
      <c r="AE7" s="108">
        <f>SUM(AD7,AC7,AB7,Y7,U7,T7,S7,R7)*'1. Standard_Cost'!$B$31</f>
        <v>0</v>
      </c>
      <c r="AF7" s="108">
        <f>SUM(AE7,AD7,AC7,AB7,Y7,U7,T7,S7,R7)</f>
        <v>0</v>
      </c>
      <c r="AG7" s="107"/>
      <c r="AH7" s="107"/>
      <c r="AI7" s="107"/>
      <c r="AJ7" s="111"/>
      <c r="AK7" s="111"/>
      <c r="AL7" s="111"/>
      <c r="AM7" s="108">
        <f>AG7*'1. Standard_Cost'!$B$27+'Incremental_Cost Year 7'!AH7*'1. Standard_Cost'!$C$27+'Incremental_Cost Year 7'!AI7*'1. Standard_Cost'!$D$27+'Incremental_Cost Year 7'!AJ7+'Incremental_Cost Year 7'!AL7+AK7</f>
        <v>0</v>
      </c>
      <c r="AN7" s="108">
        <f>AM7*'1. Standard_Cost'!$C$31</f>
        <v>0</v>
      </c>
      <c r="AO7" s="134" t="s">
        <v>270</v>
      </c>
      <c r="AQ7" s="14">
        <f>L7+M7</f>
        <v>0</v>
      </c>
      <c r="AR7" s="14">
        <f>AF7</f>
        <v>0</v>
      </c>
      <c r="AS7" s="14">
        <f>AM7+AN7</f>
        <v>0</v>
      </c>
      <c r="AT7" s="14">
        <f>SUM(AQ7,AR7,AS7)</f>
        <v>0</v>
      </c>
      <c r="AU7" s="15"/>
      <c r="AV7" s="15"/>
      <c r="AW7" s="15"/>
      <c r="AX7" s="15"/>
      <c r="AY7" s="15"/>
      <c r="AZ7" s="15"/>
      <c r="BA7" s="15"/>
      <c r="BB7" s="16">
        <f>SUM(AU7:BA7)-AT7</f>
        <v>0</v>
      </c>
    </row>
    <row r="8" spans="1:54" ht="13.5" customHeight="1" outlineLevel="2">
      <c r="A8" s="98"/>
      <c r="B8" s="102"/>
      <c r="C8" s="23"/>
      <c r="D8" s="269"/>
      <c r="E8" s="271"/>
      <c r="F8" s="270"/>
      <c r="G8" s="250"/>
      <c r="H8" s="272"/>
      <c r="I8" s="104"/>
      <c r="J8" s="105"/>
      <c r="K8" s="105"/>
      <c r="L8" s="106" t="str">
        <f>IF(I8&lt;&gt;0,((VLOOKUP(I8,'1. Standard_Cost'!$B$4:$D$11,2)+VLOOKUP(I8,'1. Standard_Cost'!$B$4:$D$11,3))*J8*K8),"0")</f>
        <v>0</v>
      </c>
      <c r="M8" s="106">
        <f>L8*'1. Standard_Cost'!$F$4</f>
        <v>0</v>
      </c>
      <c r="N8" s="107"/>
      <c r="O8" s="107"/>
      <c r="P8" s="107"/>
      <c r="Q8" s="107"/>
      <c r="R8" s="108">
        <f>'1. Standard_Cost'!$B$15*N8*P8</f>
        <v>0</v>
      </c>
      <c r="S8" s="108">
        <f>N8*O8*P8*'1. Standard_Cost'!$C$15</f>
        <v>0</v>
      </c>
      <c r="T8" s="108">
        <f>N8*P8*Q8*'1. Standard_Cost'!$D$15</f>
        <v>0</v>
      </c>
      <c r="U8" s="108">
        <f>N8*O8*'1. Standard_Cost'!$E$15</f>
        <v>0</v>
      </c>
      <c r="V8" s="107"/>
      <c r="W8" s="107"/>
      <c r="X8" s="107"/>
      <c r="Y8" s="108">
        <f>+V8*((X8*'1. Standard_Cost'!$B$19)+(W8*X8*'1. Standard_Cost'!$C$19))</f>
        <v>0</v>
      </c>
      <c r="Z8" s="107"/>
      <c r="AA8" s="107"/>
      <c r="AB8" s="108">
        <f>+Z8*'1. Standard_Cost'!$B$23+AA8*'1. Standard_Cost'!$C$23</f>
        <v>0</v>
      </c>
      <c r="AC8" s="109"/>
      <c r="AD8" s="110"/>
      <c r="AE8" s="108">
        <f>SUM(AD8,AC8,AB8,Y8,U8,T8,S8,R8)*'1. Standard_Cost'!$B$31</f>
        <v>0</v>
      </c>
      <c r="AF8" s="108">
        <f t="shared" ref="AF8:AF14" si="8">SUM(AE8,AD8,AC8,AB8,Y8,U8,T8,S8,R8)</f>
        <v>0</v>
      </c>
      <c r="AG8" s="107"/>
      <c r="AH8" s="107"/>
      <c r="AI8" s="107"/>
      <c r="AJ8" s="111"/>
      <c r="AK8" s="111"/>
      <c r="AL8" s="111"/>
      <c r="AM8" s="108">
        <f>AG8*'1. Standard_Cost'!$B$27+'Incremental_Cost Year 7'!AH8*'1. Standard_Cost'!$C$27+'Incremental_Cost Year 7'!AI8*'1. Standard_Cost'!$D$27+'Incremental_Cost Year 7'!AJ8+'Incremental_Cost Year 7'!AL8+AK8</f>
        <v>0</v>
      </c>
      <c r="AN8" s="108">
        <f>AM8*'1. Standard_Cost'!$C$31</f>
        <v>0</v>
      </c>
      <c r="AO8" s="125" t="s">
        <v>271</v>
      </c>
      <c r="AQ8" s="14">
        <f t="shared" ref="AQ8:AQ14" si="9">L8+M8</f>
        <v>0</v>
      </c>
      <c r="AR8" s="14">
        <f t="shared" ref="AR8:AR14" si="10">AF8</f>
        <v>0</v>
      </c>
      <c r="AS8" s="14">
        <f t="shared" ref="AS8:AS14" si="11">AM8+AN8</f>
        <v>0</v>
      </c>
      <c r="AT8" s="14">
        <f t="shared" ref="AT8:AT14" si="12">SUM(AQ8,AR8,AS8)</f>
        <v>0</v>
      </c>
      <c r="AU8" s="15"/>
      <c r="AV8" s="15"/>
      <c r="AW8" s="15"/>
      <c r="AX8" s="15"/>
      <c r="AY8" s="15"/>
      <c r="AZ8" s="15"/>
      <c r="BA8" s="15"/>
      <c r="BB8" s="16">
        <f t="shared" ref="BB8:BB14" si="13">SUM(AU8:BA8)-AT8</f>
        <v>0</v>
      </c>
    </row>
    <row r="9" spans="1:54" ht="93.6" customHeight="1" outlineLevel="2">
      <c r="A9" s="98"/>
      <c r="B9" s="102"/>
      <c r="C9" s="23"/>
      <c r="D9" s="251"/>
      <c r="E9" s="250"/>
      <c r="F9" s="270"/>
      <c r="G9" s="250"/>
      <c r="H9" s="272"/>
      <c r="I9" s="104"/>
      <c r="J9" s="105"/>
      <c r="K9" s="105"/>
      <c r="L9" s="106" t="str">
        <f>IF(I9&lt;&gt;0,((VLOOKUP(I9,'1. Standard_Cost'!$B$4:$D$11,2)+VLOOKUP(I9,'1. Standard_Cost'!$B$4:$D$11,3))*J9*K9),"0")</f>
        <v>0</v>
      </c>
      <c r="M9" s="106">
        <f>L9*'1. Standard_Cost'!$F$4</f>
        <v>0</v>
      </c>
      <c r="N9" s="107"/>
      <c r="O9" s="107"/>
      <c r="P9" s="107"/>
      <c r="Q9" s="107"/>
      <c r="R9" s="108">
        <f>'1. Standard_Cost'!$B$15*N9*P9</f>
        <v>0</v>
      </c>
      <c r="S9" s="108">
        <f>N9*O9*P9*'1. Standard_Cost'!$C$15</f>
        <v>0</v>
      </c>
      <c r="T9" s="108">
        <f>N9*P9*Q9*'1. Standard_Cost'!$D$15</f>
        <v>0</v>
      </c>
      <c r="U9" s="108">
        <f>N9*O9*'1. Standard_Cost'!$E$15</f>
        <v>0</v>
      </c>
      <c r="V9" s="107"/>
      <c r="W9" s="107"/>
      <c r="X9" s="107"/>
      <c r="Y9" s="108">
        <f>+V9*((X9*'1. Standard_Cost'!$B$19)+(W9*X9*'1. Standard_Cost'!$C$19))</f>
        <v>0</v>
      </c>
      <c r="Z9" s="107"/>
      <c r="AA9" s="107"/>
      <c r="AB9" s="108">
        <f>+Z9*'1. Standard_Cost'!$B$23+AA9*'1. Standard_Cost'!$C$23</f>
        <v>0</v>
      </c>
      <c r="AC9" s="109"/>
      <c r="AD9" s="110"/>
      <c r="AE9" s="108">
        <f>SUM(AD9,AC9,AB9,Y9,U9,T9,S9,R9)*'1. Standard_Cost'!$B$31</f>
        <v>0</v>
      </c>
      <c r="AF9" s="108">
        <f t="shared" si="8"/>
        <v>0</v>
      </c>
      <c r="AG9" s="107"/>
      <c r="AH9" s="107"/>
      <c r="AI9" s="107"/>
      <c r="AJ9" s="111"/>
      <c r="AK9" s="111"/>
      <c r="AL9" s="111"/>
      <c r="AM9" s="108">
        <f>AG9*'1. Standard_Cost'!$B$27+'Incremental_Cost Year 7'!AH9*'1. Standard_Cost'!$C$27+'Incremental_Cost Year 7'!AI9*'1. Standard_Cost'!$D$27+'Incremental_Cost Year 7'!AJ9+'Incremental_Cost Year 7'!AL9+AK9</f>
        <v>0</v>
      </c>
      <c r="AN9" s="108">
        <f>AM9*'1. Standard_Cost'!$C$31</f>
        <v>0</v>
      </c>
      <c r="AO9" s="125" t="s">
        <v>272</v>
      </c>
      <c r="AQ9" s="14">
        <f t="shared" si="9"/>
        <v>0</v>
      </c>
      <c r="AR9" s="14">
        <f t="shared" si="10"/>
        <v>0</v>
      </c>
      <c r="AS9" s="14">
        <f t="shared" si="11"/>
        <v>0</v>
      </c>
      <c r="AT9" s="14">
        <f t="shared" si="12"/>
        <v>0</v>
      </c>
      <c r="AU9" s="15"/>
      <c r="AV9" s="15"/>
      <c r="AW9" s="15"/>
      <c r="AX9" s="15"/>
      <c r="AY9" s="15"/>
      <c r="AZ9" s="15"/>
      <c r="BA9" s="15"/>
      <c r="BB9" s="16">
        <f t="shared" si="13"/>
        <v>0</v>
      </c>
    </row>
    <row r="10" spans="1:54" ht="27.6" outlineLevel="2">
      <c r="A10" s="98"/>
      <c r="B10" s="102"/>
      <c r="C10" s="23"/>
      <c r="D10" s="251"/>
      <c r="E10" s="250"/>
      <c r="F10" s="270"/>
      <c r="G10" s="250"/>
      <c r="H10" s="272"/>
      <c r="I10" s="104"/>
      <c r="J10" s="105"/>
      <c r="K10" s="105"/>
      <c r="L10" s="106" t="str">
        <f>IF(I10&lt;&gt;0,((VLOOKUP(I10,'1. Standard_Cost'!$B$4:$D$11,2)+VLOOKUP(I10,'1. Standard_Cost'!$B$4:$D$11,3))*J10*K10),"0")</f>
        <v>0</v>
      </c>
      <c r="M10" s="106">
        <f>L10*'1. Standard_Cost'!$F$4</f>
        <v>0</v>
      </c>
      <c r="N10" s="107"/>
      <c r="O10" s="107"/>
      <c r="P10" s="107"/>
      <c r="Q10" s="107"/>
      <c r="R10" s="108">
        <f>'1. Standard_Cost'!$B$15*N10*P10</f>
        <v>0</v>
      </c>
      <c r="S10" s="108">
        <f>N10*O10*P10*'1. Standard_Cost'!$C$15</f>
        <v>0</v>
      </c>
      <c r="T10" s="108">
        <f>N10*P10*Q10*'1. Standard_Cost'!$D$15</f>
        <v>0</v>
      </c>
      <c r="U10" s="108">
        <f>N10*O10*'1. Standard_Cost'!$E$15</f>
        <v>0</v>
      </c>
      <c r="V10" s="107"/>
      <c r="W10" s="107"/>
      <c r="X10" s="107"/>
      <c r="Y10" s="108">
        <f>+V10*((X10*'1. Standard_Cost'!$B$19)+(W10*X10*'1. Standard_Cost'!$C$19))</f>
        <v>0</v>
      </c>
      <c r="Z10" s="107"/>
      <c r="AA10" s="107"/>
      <c r="AB10" s="108">
        <f>+Z10*'1. Standard_Cost'!$B$23+AA10*'1. Standard_Cost'!$C$23</f>
        <v>0</v>
      </c>
      <c r="AC10" s="109"/>
      <c r="AD10" s="110"/>
      <c r="AE10" s="108">
        <f>SUM(AD10,AC10,AB10,Y10,U10,T10,S10,R10)*'1. Standard_Cost'!$B$31</f>
        <v>0</v>
      </c>
      <c r="AF10" s="108">
        <f t="shared" si="8"/>
        <v>0</v>
      </c>
      <c r="AG10" s="107"/>
      <c r="AH10" s="107"/>
      <c r="AI10" s="107"/>
      <c r="AJ10" s="111"/>
      <c r="AK10" s="111"/>
      <c r="AL10" s="111"/>
      <c r="AM10" s="108">
        <f>AG10*'1. Standard_Cost'!$B$27+'Incremental_Cost Year 7'!AH10*'1. Standard_Cost'!$C$27+'Incremental_Cost Year 7'!AI10*'1. Standard_Cost'!$D$27+'Incremental_Cost Year 7'!AJ10+'Incremental_Cost Year 7'!AL10+AK10</f>
        <v>0</v>
      </c>
      <c r="AN10" s="108">
        <f>AM10*'1. Standard_Cost'!$C$31</f>
        <v>0</v>
      </c>
      <c r="AO10" s="134" t="s">
        <v>273</v>
      </c>
      <c r="AQ10" s="14">
        <f t="shared" si="9"/>
        <v>0</v>
      </c>
      <c r="AR10" s="14">
        <f t="shared" si="10"/>
        <v>0</v>
      </c>
      <c r="AS10" s="14">
        <f t="shared" si="11"/>
        <v>0</v>
      </c>
      <c r="AT10" s="14">
        <f t="shared" si="12"/>
        <v>0</v>
      </c>
      <c r="AU10" s="15"/>
      <c r="AV10" s="15"/>
      <c r="AW10" s="15"/>
      <c r="AX10" s="15"/>
      <c r="AY10" s="15"/>
      <c r="AZ10" s="15"/>
      <c r="BA10" s="15"/>
      <c r="BB10" s="16">
        <f t="shared" si="13"/>
        <v>0</v>
      </c>
    </row>
    <row r="11" spans="1:54" ht="124.8" customHeight="1" outlineLevel="2">
      <c r="A11" s="98"/>
      <c r="B11" s="102"/>
      <c r="C11" s="23"/>
      <c r="D11" s="251"/>
      <c r="E11" s="250"/>
      <c r="F11" s="270"/>
      <c r="G11" s="250"/>
      <c r="H11" s="272"/>
      <c r="I11" s="104"/>
      <c r="J11" s="105"/>
      <c r="K11" s="105"/>
      <c r="L11" s="106" t="str">
        <f>IF(I11&lt;&gt;0,((VLOOKUP(I11,'1. Standard_Cost'!$B$4:$D$11,2)+VLOOKUP(I11,'1. Standard_Cost'!$B$4:$D$11,3))*J11*K11),"0")</f>
        <v>0</v>
      </c>
      <c r="M11" s="106">
        <f>L11*'1. Standard_Cost'!$F$4</f>
        <v>0</v>
      </c>
      <c r="N11" s="107"/>
      <c r="O11" s="107"/>
      <c r="P11" s="107"/>
      <c r="Q11" s="107"/>
      <c r="R11" s="108">
        <f>'1. Standard_Cost'!$B$15*N11*P11</f>
        <v>0</v>
      </c>
      <c r="S11" s="108">
        <f>N11*O11*P11*'1. Standard_Cost'!$C$15</f>
        <v>0</v>
      </c>
      <c r="T11" s="108">
        <f>N11*P11*Q11*'1. Standard_Cost'!$D$15</f>
        <v>0</v>
      </c>
      <c r="U11" s="108">
        <f>N11*O11*'1. Standard_Cost'!$E$15</f>
        <v>0</v>
      </c>
      <c r="V11" s="107"/>
      <c r="W11" s="107"/>
      <c r="X11" s="107"/>
      <c r="Y11" s="108">
        <f>+V11*((X11*'1. Standard_Cost'!$B$19)+(W11*X11*'1. Standard_Cost'!$C$19))</f>
        <v>0</v>
      </c>
      <c r="Z11" s="107"/>
      <c r="AA11" s="107"/>
      <c r="AB11" s="108">
        <f>+Z11*'1. Standard_Cost'!$B$23+AA11*'1. Standard_Cost'!$C$23</f>
        <v>0</v>
      </c>
      <c r="AC11" s="109"/>
      <c r="AD11" s="110"/>
      <c r="AE11" s="108">
        <f>SUM(AD11,AC11,AB11,Y11,U11,T11,S11,R11)*'1. Standard_Cost'!$B$31</f>
        <v>0</v>
      </c>
      <c r="AF11" s="108">
        <f t="shared" si="8"/>
        <v>0</v>
      </c>
      <c r="AG11" s="107"/>
      <c r="AH11" s="107"/>
      <c r="AI11" s="107"/>
      <c r="AJ11" s="111"/>
      <c r="AK11" s="111"/>
      <c r="AL11" s="111"/>
      <c r="AM11" s="108">
        <f>AG11*'1. Standard_Cost'!$B$27+'Incremental_Cost Year 7'!AH11*'1. Standard_Cost'!$C$27+'Incremental_Cost Year 7'!AI11*'1. Standard_Cost'!$D$27+'Incremental_Cost Year 7'!AJ11+'Incremental_Cost Year 7'!AL11+AK11</f>
        <v>0</v>
      </c>
      <c r="AN11" s="108">
        <f>AM11*'1. Standard_Cost'!$C$31</f>
        <v>0</v>
      </c>
      <c r="AO11" s="134" t="s">
        <v>275</v>
      </c>
      <c r="AQ11" s="14">
        <f t="shared" si="9"/>
        <v>0</v>
      </c>
      <c r="AR11" s="14">
        <f t="shared" si="10"/>
        <v>0</v>
      </c>
      <c r="AS11" s="14">
        <f t="shared" si="11"/>
        <v>0</v>
      </c>
      <c r="AT11" s="14">
        <f t="shared" si="12"/>
        <v>0</v>
      </c>
      <c r="AU11" s="15"/>
      <c r="AV11" s="15"/>
      <c r="AW11" s="15"/>
      <c r="AX11" s="15"/>
      <c r="AY11" s="15"/>
      <c r="AZ11" s="15"/>
      <c r="BA11" s="15"/>
      <c r="BB11" s="16">
        <f t="shared" si="13"/>
        <v>0</v>
      </c>
    </row>
    <row r="12" spans="1:54" ht="55.2" customHeight="1" outlineLevel="2">
      <c r="A12" s="98"/>
      <c r="B12" s="102"/>
      <c r="C12" s="23"/>
      <c r="D12" s="251"/>
      <c r="E12" s="250"/>
      <c r="F12" s="270"/>
      <c r="G12" s="250"/>
      <c r="H12" s="272"/>
      <c r="I12" s="104"/>
      <c r="J12" s="105"/>
      <c r="K12" s="105"/>
      <c r="L12" s="106" t="str">
        <f>IF(I12&lt;&gt;0,((VLOOKUP(I12,'1. Standard_Cost'!$B$4:$D$11,2)+VLOOKUP(I12,'1. Standard_Cost'!$B$4:$D$11,3))*J12*K12),"0")</f>
        <v>0</v>
      </c>
      <c r="M12" s="106">
        <f>L12*'1. Standard_Cost'!$F$4</f>
        <v>0</v>
      </c>
      <c r="N12" s="107"/>
      <c r="O12" s="107"/>
      <c r="P12" s="107"/>
      <c r="Q12" s="107"/>
      <c r="R12" s="108">
        <f>'1. Standard_Cost'!$B$15*N12*P12</f>
        <v>0</v>
      </c>
      <c r="S12" s="108">
        <f>N12*O12*P12*'1. Standard_Cost'!$C$15</f>
        <v>0</v>
      </c>
      <c r="T12" s="108">
        <f>N12*P12*Q12*'1. Standard_Cost'!$D$15</f>
        <v>0</v>
      </c>
      <c r="U12" s="108">
        <f>N12*O12*'1. Standard_Cost'!$E$15</f>
        <v>0</v>
      </c>
      <c r="V12" s="107"/>
      <c r="W12" s="107"/>
      <c r="X12" s="107"/>
      <c r="Y12" s="108">
        <f>+V12*((X12*'1. Standard_Cost'!$B$19)+(W12*X12*'1. Standard_Cost'!$C$19))</f>
        <v>0</v>
      </c>
      <c r="Z12" s="107"/>
      <c r="AA12" s="107"/>
      <c r="AB12" s="108">
        <f>+Z12*'1. Standard_Cost'!$B$23+AA12*'1. Standard_Cost'!$C$23</f>
        <v>0</v>
      </c>
      <c r="AC12" s="109"/>
      <c r="AD12" s="110"/>
      <c r="AE12" s="108">
        <f>SUM(AD12,AC12,AB12,Y12,U12,T12,S12,R12)*'1. Standard_Cost'!$B$31</f>
        <v>0</v>
      </c>
      <c r="AF12" s="108">
        <f t="shared" si="8"/>
        <v>0</v>
      </c>
      <c r="AG12" s="107"/>
      <c r="AH12" s="107"/>
      <c r="AI12" s="107"/>
      <c r="AJ12" s="111"/>
      <c r="AK12" s="111"/>
      <c r="AL12" s="111"/>
      <c r="AM12" s="108">
        <f>AG12*'1. Standard_Cost'!$B$27+'Incremental_Cost Year 7'!AH12*'1. Standard_Cost'!$C$27+'Incremental_Cost Year 7'!AI12*'1. Standard_Cost'!$D$27+'Incremental_Cost Year 7'!AJ12+'Incremental_Cost Year 7'!AL12+AK12</f>
        <v>0</v>
      </c>
      <c r="AN12" s="108">
        <f>AM12*'1. Standard_Cost'!$C$31</f>
        <v>0</v>
      </c>
      <c r="AO12" s="134" t="s">
        <v>273</v>
      </c>
      <c r="AQ12" s="14">
        <f t="shared" si="9"/>
        <v>0</v>
      </c>
      <c r="AR12" s="14">
        <f t="shared" si="10"/>
        <v>0</v>
      </c>
      <c r="AS12" s="14">
        <f t="shared" si="11"/>
        <v>0</v>
      </c>
      <c r="AT12" s="14">
        <f t="shared" si="12"/>
        <v>0</v>
      </c>
      <c r="AU12" s="15"/>
      <c r="AV12" s="15"/>
      <c r="AW12" s="15"/>
      <c r="AX12" s="15"/>
      <c r="AY12" s="15"/>
      <c r="AZ12" s="15"/>
      <c r="BA12" s="15"/>
      <c r="BB12" s="16">
        <f t="shared" si="13"/>
        <v>0</v>
      </c>
    </row>
    <row r="13" spans="1:54" ht="69" outlineLevel="2">
      <c r="A13" s="98"/>
      <c r="B13" s="102"/>
      <c r="C13" s="23"/>
      <c r="D13" s="251"/>
      <c r="E13" s="250"/>
      <c r="F13" s="270"/>
      <c r="G13" s="250"/>
      <c r="H13" s="272"/>
      <c r="I13" s="104"/>
      <c r="J13" s="105"/>
      <c r="K13" s="105"/>
      <c r="L13" s="106" t="str">
        <f>IF(I13&lt;&gt;0,((VLOOKUP(I13,'1. Standard_Cost'!$B$4:$D$11,2)+VLOOKUP(I13,'1. Standard_Cost'!$B$4:$D$11,3))*J13*K13),"0")</f>
        <v>0</v>
      </c>
      <c r="M13" s="106">
        <f>L13*'1. Standard_Cost'!$F$4</f>
        <v>0</v>
      </c>
      <c r="N13" s="107"/>
      <c r="O13" s="107"/>
      <c r="P13" s="107"/>
      <c r="Q13" s="107"/>
      <c r="R13" s="108">
        <f>'1. Standard_Cost'!$B$15*N13*P13</f>
        <v>0</v>
      </c>
      <c r="S13" s="108">
        <f>N13*O13*P13*'1. Standard_Cost'!$C$15</f>
        <v>0</v>
      </c>
      <c r="T13" s="108">
        <f>N13*P13*Q13*'1. Standard_Cost'!$D$15</f>
        <v>0</v>
      </c>
      <c r="U13" s="108">
        <f>N13*O13*'1. Standard_Cost'!$E$15</f>
        <v>0</v>
      </c>
      <c r="V13" s="107"/>
      <c r="W13" s="107"/>
      <c r="X13" s="107"/>
      <c r="Y13" s="108">
        <f>+V13*((X13*'1. Standard_Cost'!$B$19)+(W13*X13*'1. Standard_Cost'!$C$19))</f>
        <v>0</v>
      </c>
      <c r="Z13" s="107"/>
      <c r="AA13" s="107"/>
      <c r="AB13" s="108">
        <f>+Z13*'1. Standard_Cost'!$B$23+AA13*'1. Standard_Cost'!$C$23</f>
        <v>0</v>
      </c>
      <c r="AC13" s="109"/>
      <c r="AD13" s="110"/>
      <c r="AE13" s="108">
        <f>SUM(AD13,AC13,AB13,Y13,U13,T13,S13,R13)*'1. Standard_Cost'!$B$31</f>
        <v>0</v>
      </c>
      <c r="AF13" s="108">
        <f t="shared" si="8"/>
        <v>0</v>
      </c>
      <c r="AG13" s="107"/>
      <c r="AH13" s="107"/>
      <c r="AI13" s="107"/>
      <c r="AJ13" s="111"/>
      <c r="AK13" s="111"/>
      <c r="AL13" s="111"/>
      <c r="AM13" s="108">
        <f>AG13*'1. Standard_Cost'!$B$27+'Incremental_Cost Year 7'!AH13*'1. Standard_Cost'!$C$27+'Incremental_Cost Year 7'!AI13*'1. Standard_Cost'!$D$27+'Incremental_Cost Year 7'!AJ13+'Incremental_Cost Year 7'!AL13+AK13</f>
        <v>0</v>
      </c>
      <c r="AN13" s="108">
        <f>AM13*'1. Standard_Cost'!$C$31</f>
        <v>0</v>
      </c>
      <c r="AO13" s="134" t="s">
        <v>275</v>
      </c>
      <c r="AQ13" s="14">
        <f t="shared" si="9"/>
        <v>0</v>
      </c>
      <c r="AR13" s="14">
        <f t="shared" si="10"/>
        <v>0</v>
      </c>
      <c r="AS13" s="14">
        <f t="shared" si="11"/>
        <v>0</v>
      </c>
      <c r="AT13" s="14">
        <f t="shared" si="12"/>
        <v>0</v>
      </c>
      <c r="AU13" s="15"/>
      <c r="AV13" s="15"/>
      <c r="AW13" s="15"/>
      <c r="AX13" s="15"/>
      <c r="AY13" s="15"/>
      <c r="AZ13" s="15"/>
      <c r="BA13" s="15"/>
      <c r="BB13" s="16">
        <f t="shared" si="13"/>
        <v>0</v>
      </c>
    </row>
    <row r="14" spans="1:54" ht="27.6" outlineLevel="2">
      <c r="A14" s="98"/>
      <c r="B14" s="102"/>
      <c r="C14" s="23"/>
      <c r="D14" s="251"/>
      <c r="E14" s="250"/>
      <c r="F14" s="270"/>
      <c r="G14" s="250"/>
      <c r="H14" s="272"/>
      <c r="I14" s="104"/>
      <c r="J14" s="105"/>
      <c r="K14" s="105"/>
      <c r="L14" s="106" t="str">
        <f>IF(I14&lt;&gt;0,((VLOOKUP(I14,'1. Standard_Cost'!$B$4:$D$11,2)+VLOOKUP(I14,'1. Standard_Cost'!$B$4:$D$11,3))*J14*K14),"0")</f>
        <v>0</v>
      </c>
      <c r="M14" s="106">
        <f>L14*'1. Standard_Cost'!$F$4</f>
        <v>0</v>
      </c>
      <c r="N14" s="107"/>
      <c r="O14" s="107"/>
      <c r="P14" s="107"/>
      <c r="Q14" s="107"/>
      <c r="R14" s="108">
        <f>'1. Standard_Cost'!$B$15*N14*P14</f>
        <v>0</v>
      </c>
      <c r="S14" s="108">
        <f>N14*O14*P14*'1. Standard_Cost'!$C$15</f>
        <v>0</v>
      </c>
      <c r="T14" s="108">
        <f>N14*P14*Q14*'1. Standard_Cost'!$D$15</f>
        <v>0</v>
      </c>
      <c r="U14" s="108">
        <f>N14*O14*'1. Standard_Cost'!$E$15</f>
        <v>0</v>
      </c>
      <c r="V14" s="107"/>
      <c r="W14" s="107"/>
      <c r="X14" s="107"/>
      <c r="Y14" s="108">
        <f>+V14*((X14*'1. Standard_Cost'!$B$19)+(W14*X14*'1. Standard_Cost'!$C$19))</f>
        <v>0</v>
      </c>
      <c r="Z14" s="107"/>
      <c r="AA14" s="107"/>
      <c r="AB14" s="108">
        <f>+Z14*'1. Standard_Cost'!$B$23+AA14*'1. Standard_Cost'!$C$23</f>
        <v>0</v>
      </c>
      <c r="AC14" s="109"/>
      <c r="AD14" s="110"/>
      <c r="AE14" s="108">
        <f>SUM(AD14,AC14,AB14,Y14,U14,T14,S14,R14)*'1. Standard_Cost'!$B$31</f>
        <v>0</v>
      </c>
      <c r="AF14" s="108">
        <f t="shared" si="8"/>
        <v>0</v>
      </c>
      <c r="AG14" s="107"/>
      <c r="AH14" s="107"/>
      <c r="AI14" s="107"/>
      <c r="AJ14" s="111"/>
      <c r="AK14" s="111"/>
      <c r="AL14" s="111"/>
      <c r="AM14" s="108">
        <f>AG14*'1. Standard_Cost'!$B$27+'Incremental_Cost Year 7'!AH14*'1. Standard_Cost'!$C$27+'Incremental_Cost Year 7'!AI14*'1. Standard_Cost'!$D$27+'Incremental_Cost Year 7'!AJ14+'Incremental_Cost Year 7'!AL14+AK14</f>
        <v>0</v>
      </c>
      <c r="AN14" s="108">
        <f>AM14*'1. Standard_Cost'!$C$31</f>
        <v>0</v>
      </c>
      <c r="AO14" s="134" t="s">
        <v>274</v>
      </c>
      <c r="AQ14" s="14">
        <f t="shared" si="9"/>
        <v>0</v>
      </c>
      <c r="AR14" s="14">
        <f t="shared" si="10"/>
        <v>0</v>
      </c>
      <c r="AS14" s="14">
        <f t="shared" si="11"/>
        <v>0</v>
      </c>
      <c r="AT14" s="14">
        <f t="shared" si="12"/>
        <v>0</v>
      </c>
      <c r="AU14" s="15"/>
      <c r="AV14" s="15"/>
      <c r="AW14" s="15"/>
      <c r="AX14" s="15"/>
      <c r="AY14" s="15"/>
      <c r="AZ14" s="15"/>
      <c r="BA14" s="15"/>
      <c r="BB14" s="16">
        <f t="shared" si="13"/>
        <v>0</v>
      </c>
    </row>
    <row r="15" spans="1:54" ht="41.4" outlineLevel="1">
      <c r="A15" s="98"/>
      <c r="B15" s="102"/>
      <c r="C15" s="23"/>
      <c r="D15" s="56" t="s">
        <v>205</v>
      </c>
      <c r="E15" s="122" t="s">
        <v>206</v>
      </c>
      <c r="F15" s="268">
        <v>2021</v>
      </c>
      <c r="G15" s="254">
        <v>2026</v>
      </c>
      <c r="H15" s="276" t="s">
        <v>48</v>
      </c>
      <c r="I15" s="112"/>
      <c r="J15" s="112"/>
      <c r="K15" s="112"/>
      <c r="L15" s="113">
        <f>SUM(L7:L14)</f>
        <v>0</v>
      </c>
      <c r="M15" s="113">
        <f>SUM(M7:M14)</f>
        <v>0</v>
      </c>
      <c r="N15" s="113"/>
      <c r="O15" s="112"/>
      <c r="P15" s="112"/>
      <c r="Q15" s="112"/>
      <c r="R15" s="113">
        <f>SUM(R7:R14)</f>
        <v>0</v>
      </c>
      <c r="S15" s="113">
        <f>SUM(S7:S14)</f>
        <v>0</v>
      </c>
      <c r="T15" s="113">
        <f>SUM(T7:T14)</f>
        <v>0</v>
      </c>
      <c r="U15" s="113">
        <f>SUM(U7:U14)</f>
        <v>0</v>
      </c>
      <c r="V15" s="112"/>
      <c r="W15" s="112"/>
      <c r="X15" s="112"/>
      <c r="Y15" s="113">
        <f>SUM(Y7:Y14)</f>
        <v>0</v>
      </c>
      <c r="Z15" s="112"/>
      <c r="AA15" s="112"/>
      <c r="AB15" s="113">
        <f>SUM(AB7:AB14)</f>
        <v>0</v>
      </c>
      <c r="AC15" s="113">
        <f>SUM(AC7:AC14)</f>
        <v>0</v>
      </c>
      <c r="AD15" s="113">
        <f>SUM(AD7:AD14)</f>
        <v>0</v>
      </c>
      <c r="AE15" s="113">
        <f>SUM(AE7:AE14)</f>
        <v>0</v>
      </c>
      <c r="AF15" s="113">
        <f>SUM(AF7:AF14)</f>
        <v>0</v>
      </c>
      <c r="AG15" s="112"/>
      <c r="AH15" s="112"/>
      <c r="AI15" s="112"/>
      <c r="AJ15" s="113">
        <f>SUM(AJ7:AJ14)</f>
        <v>0</v>
      </c>
      <c r="AK15" s="113">
        <f>SUM(AK7:AK14)</f>
        <v>0</v>
      </c>
      <c r="AL15" s="113">
        <f>SUM(AL7:AL14)</f>
        <v>0</v>
      </c>
      <c r="AM15" s="113">
        <f>SUM(AM7:AM14)</f>
        <v>0</v>
      </c>
      <c r="AN15" s="113">
        <f>SUM(AN7:AN14)</f>
        <v>0</v>
      </c>
      <c r="AO15" s="131"/>
      <c r="AP15" s="17"/>
      <c r="AQ15" s="113">
        <f t="shared" ref="AQ15:BB15" si="14">SUM(AQ7:AQ14)</f>
        <v>0</v>
      </c>
      <c r="AR15" s="113">
        <f t="shared" si="14"/>
        <v>0</v>
      </c>
      <c r="AS15" s="113">
        <f t="shared" si="14"/>
        <v>0</v>
      </c>
      <c r="AT15" s="113">
        <f t="shared" si="14"/>
        <v>0</v>
      </c>
      <c r="AU15" s="113">
        <f t="shared" si="14"/>
        <v>0</v>
      </c>
      <c r="AV15" s="113">
        <f t="shared" si="14"/>
        <v>0</v>
      </c>
      <c r="AW15" s="113">
        <f t="shared" si="14"/>
        <v>0</v>
      </c>
      <c r="AX15" s="113">
        <f t="shared" si="14"/>
        <v>0</v>
      </c>
      <c r="AY15" s="113">
        <f t="shared" si="14"/>
        <v>0</v>
      </c>
      <c r="AZ15" s="113">
        <f t="shared" si="14"/>
        <v>0</v>
      </c>
      <c r="BA15" s="113">
        <f t="shared" si="14"/>
        <v>0</v>
      </c>
      <c r="BB15" s="113">
        <f t="shared" si="14"/>
        <v>0</v>
      </c>
    </row>
    <row r="16" spans="1:54" ht="27.6" outlineLevel="2">
      <c r="A16" s="98"/>
      <c r="B16" s="102"/>
      <c r="C16" s="23"/>
      <c r="D16" s="251"/>
      <c r="E16" s="250"/>
      <c r="F16" s="270"/>
      <c r="G16" s="250"/>
      <c r="H16" s="272"/>
      <c r="I16" s="104"/>
      <c r="J16" s="105"/>
      <c r="K16" s="105"/>
      <c r="L16" s="106" t="str">
        <f>IF(I16&lt;&gt;0,((VLOOKUP(I16,'1. Standard_Cost'!$B$4:$D$11,2)+VLOOKUP(I16,'1. Standard_Cost'!$B$4:$D$11,3))*J16*K16),"0")</f>
        <v>0</v>
      </c>
      <c r="M16" s="106">
        <f>L16*'1. Standard_Cost'!$F$4</f>
        <v>0</v>
      </c>
      <c r="N16" s="107"/>
      <c r="O16" s="107"/>
      <c r="P16" s="107"/>
      <c r="Q16" s="107"/>
      <c r="R16" s="108">
        <f>'1. Standard_Cost'!$B$15*N16*P16</f>
        <v>0</v>
      </c>
      <c r="S16" s="108">
        <f>N16*O16*P16*'1. Standard_Cost'!$C$15</f>
        <v>0</v>
      </c>
      <c r="T16" s="108">
        <f>N16*P16*Q16*'1. Standard_Cost'!$D$15</f>
        <v>0</v>
      </c>
      <c r="U16" s="108">
        <f>N16*O16*'1. Standard_Cost'!$E$15</f>
        <v>0</v>
      </c>
      <c r="V16" s="107"/>
      <c r="W16" s="107"/>
      <c r="X16" s="107"/>
      <c r="Y16" s="108">
        <f>+V16*((X16*'1. Standard_Cost'!$B$19)+(W16*X16*'1. Standard_Cost'!$C$19))</f>
        <v>0</v>
      </c>
      <c r="Z16" s="107"/>
      <c r="AA16" s="107"/>
      <c r="AB16" s="108">
        <f>+Z16*'1. Standard_Cost'!$B$23+AA16*'1. Standard_Cost'!$C$23</f>
        <v>0</v>
      </c>
      <c r="AC16" s="109"/>
      <c r="AD16" s="110"/>
      <c r="AE16" s="108">
        <f>SUM(AD16,AC16,AB16,Y16,U16,T16,S16,R16)*'1. Standard_Cost'!$B$31</f>
        <v>0</v>
      </c>
      <c r="AF16" s="108">
        <f t="shared" ref="AF16" si="15">SUM(AE16,AD16,AC16,AB16,Y16,U16,T16,S16,R16)</f>
        <v>0</v>
      </c>
      <c r="AG16" s="107"/>
      <c r="AH16" s="107"/>
      <c r="AI16" s="107"/>
      <c r="AJ16" s="111"/>
      <c r="AK16" s="111"/>
      <c r="AL16" s="111"/>
      <c r="AM16" s="108">
        <f>AG16*'1. Standard_Cost'!$B$27+'Incremental_Cost Year 7'!AH16*'1. Standard_Cost'!$C$27+'Incremental_Cost Year 7'!AI16*'1. Standard_Cost'!$D$27+'Incremental_Cost Year 7'!AJ16+'Incremental_Cost Year 7'!AL16+AK16</f>
        <v>0</v>
      </c>
      <c r="AN16" s="108">
        <f>AM16*'1. Standard_Cost'!$C$31</f>
        <v>0</v>
      </c>
      <c r="AO16" s="125" t="s">
        <v>276</v>
      </c>
      <c r="AQ16" s="14">
        <f t="shared" ref="AQ16:AQ24" si="16">L16+M16</f>
        <v>0</v>
      </c>
      <c r="AR16" s="14">
        <f t="shared" ref="AR16:AR24" si="17">AF16</f>
        <v>0</v>
      </c>
      <c r="AS16" s="14">
        <f t="shared" ref="AS16:AS24" si="18">AM16+AN16</f>
        <v>0</v>
      </c>
      <c r="AT16" s="14">
        <f>SUM(AQ16,AR16,AS16)</f>
        <v>0</v>
      </c>
      <c r="AU16" s="15"/>
      <c r="AV16" s="15"/>
      <c r="AW16" s="15"/>
      <c r="AX16" s="15"/>
      <c r="AY16" s="15"/>
      <c r="AZ16" s="15"/>
      <c r="BA16" s="15"/>
      <c r="BB16" s="16">
        <f t="shared" ref="BB16:BB24" si="19">SUM(AU16:BA16)-AT16</f>
        <v>0</v>
      </c>
    </row>
    <row r="17" spans="1:54" ht="46.8" outlineLevel="1">
      <c r="A17" s="98"/>
      <c r="B17" s="143"/>
      <c r="C17" s="144"/>
      <c r="D17" s="287" t="s">
        <v>47</v>
      </c>
      <c r="E17" s="287" t="s">
        <v>207</v>
      </c>
      <c r="F17" s="287"/>
      <c r="G17" s="287"/>
      <c r="H17" s="287" t="s">
        <v>49</v>
      </c>
      <c r="I17" s="112"/>
      <c r="J17" s="112"/>
      <c r="K17" s="112"/>
      <c r="L17" s="113">
        <f>SUM(L16:L16)</f>
        <v>0</v>
      </c>
      <c r="M17" s="113">
        <f>SUM(M16:M16)</f>
        <v>0</v>
      </c>
      <c r="N17" s="112"/>
      <c r="O17" s="112"/>
      <c r="P17" s="112"/>
      <c r="Q17" s="112"/>
      <c r="R17" s="113">
        <f>SUM(R16:R16)</f>
        <v>0</v>
      </c>
      <c r="S17" s="113">
        <f>SUM(S16:S16)</f>
        <v>0</v>
      </c>
      <c r="T17" s="113">
        <f>SUM(T16:T16)</f>
        <v>0</v>
      </c>
      <c r="U17" s="113">
        <f>SUM(U16:U16)</f>
        <v>0</v>
      </c>
      <c r="V17" s="112"/>
      <c r="W17" s="112"/>
      <c r="X17" s="112"/>
      <c r="Y17" s="113">
        <f>SUM(Y16:Y16)</f>
        <v>0</v>
      </c>
      <c r="Z17" s="112"/>
      <c r="AA17" s="112"/>
      <c r="AB17" s="113">
        <f>SUM(AB16:AB16)</f>
        <v>0</v>
      </c>
      <c r="AC17" s="113">
        <f>SUM(AC16:AC16)</f>
        <v>0</v>
      </c>
      <c r="AD17" s="113">
        <f>SUM(AD16:AD16)</f>
        <v>0</v>
      </c>
      <c r="AE17" s="113">
        <f>SUM(AE16:AE16)</f>
        <v>0</v>
      </c>
      <c r="AF17" s="113">
        <f>SUM(AF16:AF16)</f>
        <v>0</v>
      </c>
      <c r="AG17" s="112"/>
      <c r="AH17" s="112"/>
      <c r="AI17" s="112"/>
      <c r="AJ17" s="113">
        <f>SUM(AJ16:AJ16)</f>
        <v>0</v>
      </c>
      <c r="AK17" s="113">
        <f>SUM(AK16:AK16)</f>
        <v>0</v>
      </c>
      <c r="AL17" s="113">
        <f>SUM(AL16:AL16)</f>
        <v>0</v>
      </c>
      <c r="AM17" s="113">
        <f>SUM(AM16:AM16)</f>
        <v>0</v>
      </c>
      <c r="AN17" s="113">
        <f>SUM(AN16:AN16)</f>
        <v>0</v>
      </c>
      <c r="AO17" s="131"/>
      <c r="AP17" s="17"/>
      <c r="AQ17" s="113">
        <f t="shared" ref="AQ17:BA17" si="20">SUM(AQ16:AQ16)</f>
        <v>0</v>
      </c>
      <c r="AR17" s="113">
        <f t="shared" si="20"/>
        <v>0</v>
      </c>
      <c r="AS17" s="113">
        <f t="shared" si="20"/>
        <v>0</v>
      </c>
      <c r="AT17" s="113">
        <f t="shared" si="20"/>
        <v>0</v>
      </c>
      <c r="AU17" s="113">
        <f t="shared" si="20"/>
        <v>0</v>
      </c>
      <c r="AV17" s="113">
        <f t="shared" si="20"/>
        <v>0</v>
      </c>
      <c r="AW17" s="113">
        <f t="shared" si="20"/>
        <v>0</v>
      </c>
      <c r="AX17" s="113">
        <f t="shared" si="20"/>
        <v>0</v>
      </c>
      <c r="AY17" s="113">
        <f t="shared" si="20"/>
        <v>0</v>
      </c>
      <c r="AZ17" s="113">
        <f t="shared" si="20"/>
        <v>0</v>
      </c>
      <c r="BA17" s="113">
        <f t="shared" si="20"/>
        <v>0</v>
      </c>
      <c r="BB17" s="16">
        <f t="shared" si="19"/>
        <v>0</v>
      </c>
    </row>
    <row r="18" spans="1:54" ht="15.6" outlineLevel="2">
      <c r="A18" s="98"/>
      <c r="B18" s="143"/>
      <c r="C18" s="144"/>
      <c r="D18" s="149"/>
      <c r="E18" s="149"/>
      <c r="F18" s="288"/>
      <c r="G18" s="289"/>
      <c r="H18" s="272"/>
      <c r="I18" s="104"/>
      <c r="J18" s="105"/>
      <c r="K18" s="105"/>
      <c r="L18" s="106" t="str">
        <f>IF(I18&lt;&gt;0,((VLOOKUP(I18,'1. Standard_Cost'!$B$4:$D$11,2)+VLOOKUP(I18,'1. Standard_Cost'!$B$4:$D$11,3))*J18*K18),"0")</f>
        <v>0</v>
      </c>
      <c r="M18" s="106">
        <f>L18*'1. Standard_Cost'!$F$4</f>
        <v>0</v>
      </c>
      <c r="N18" s="107">
        <v>0</v>
      </c>
      <c r="O18" s="107">
        <v>0</v>
      </c>
      <c r="P18" s="107">
        <v>0</v>
      </c>
      <c r="Q18" s="107"/>
      <c r="R18" s="108">
        <f>'1. Standard_Cost'!$B$15*N18*P18</f>
        <v>0</v>
      </c>
      <c r="S18" s="108">
        <f>N18*O18*P18*'1. Standard_Cost'!$C$15</f>
        <v>0</v>
      </c>
      <c r="T18" s="108">
        <f>N18*P18*Q18*'1. Standard_Cost'!$D$15</f>
        <v>0</v>
      </c>
      <c r="U18" s="108">
        <f>N18*O18*'1. Standard_Cost'!$E$15</f>
        <v>0</v>
      </c>
      <c r="V18" s="107"/>
      <c r="W18" s="107"/>
      <c r="X18" s="107"/>
      <c r="Y18" s="108">
        <f>+V18*((X18*'1. Standard_Cost'!$B$19)+(W18*X18*'1. Standard_Cost'!$C$19))</f>
        <v>0</v>
      </c>
      <c r="Z18" s="107"/>
      <c r="AA18" s="107"/>
      <c r="AB18" s="108">
        <f>+Z18*'1. Standard_Cost'!$B$23+AA18*'1. Standard_Cost'!$C$23</f>
        <v>0</v>
      </c>
      <c r="AC18" s="109"/>
      <c r="AD18" s="110"/>
      <c r="AE18" s="108">
        <f>SUM(AD18,AC18,AB18,Y18,U18,T18,S18,R18)*'1. Standard_Cost'!$B$31</f>
        <v>0</v>
      </c>
      <c r="AF18" s="108">
        <f t="shared" ref="AF18:AF24" si="21">SUM(AE18,AD18,AC18,AB18,Y18,U18,T18,S18,R18)</f>
        <v>0</v>
      </c>
      <c r="AG18" s="107"/>
      <c r="AH18" s="107"/>
      <c r="AI18" s="107"/>
      <c r="AJ18" s="111"/>
      <c r="AK18" s="111"/>
      <c r="AL18" s="111"/>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22">L18+M18</f>
        <v>0</v>
      </c>
      <c r="AR18" s="14">
        <f t="shared" ref="AR18" si="23">AF18</f>
        <v>0</v>
      </c>
      <c r="AS18" s="14">
        <f t="shared" ref="AS18" si="24">AM18+AN18</f>
        <v>0</v>
      </c>
      <c r="AT18" s="14">
        <f>SUM(AQ18,AR18,AS18)</f>
        <v>0</v>
      </c>
      <c r="AU18" s="15"/>
      <c r="AV18" s="15"/>
      <c r="AW18" s="15"/>
      <c r="AX18" s="15"/>
      <c r="AY18" s="15"/>
      <c r="AZ18" s="15"/>
      <c r="BA18" s="15"/>
      <c r="BB18" s="16">
        <f t="shared" si="19"/>
        <v>0</v>
      </c>
    </row>
    <row r="19" spans="1:54" ht="15.6" outlineLevel="2">
      <c r="A19" s="98"/>
      <c r="B19" s="143"/>
      <c r="C19" s="144"/>
      <c r="D19" s="290"/>
      <c r="E19" s="290"/>
      <c r="F19" s="290"/>
      <c r="G19" s="291"/>
      <c r="H19" s="272"/>
      <c r="I19" s="104"/>
      <c r="J19" s="105"/>
      <c r="K19" s="105"/>
      <c r="L19" s="106" t="str">
        <f>IF(I19&lt;&gt;0,((VLOOKUP(I19,'1. Standard_Cost'!$B$4:$D$11,2)+VLOOKUP(I19,'1. Standard_Cost'!$B$4:$D$11,3))*J19*K19),"0")</f>
        <v>0</v>
      </c>
      <c r="M19" s="106">
        <f>L19*'1. Standard_Cost'!$F$4</f>
        <v>0</v>
      </c>
      <c r="N19" s="107"/>
      <c r="O19" s="107"/>
      <c r="P19" s="107"/>
      <c r="Q19" s="107"/>
      <c r="R19" s="108">
        <f>'1. Standard_Cost'!$B$15*N19*P19</f>
        <v>0</v>
      </c>
      <c r="S19" s="108">
        <f>N19*O19*P19*'1. Standard_Cost'!$C$15</f>
        <v>0</v>
      </c>
      <c r="T19" s="108">
        <f>N19*P19*Q19*'1. Standard_Cost'!$D$15</f>
        <v>0</v>
      </c>
      <c r="U19" s="108">
        <f>N19*O19*'1. Standard_Cost'!$E$15</f>
        <v>0</v>
      </c>
      <c r="V19" s="107"/>
      <c r="W19" s="107"/>
      <c r="X19" s="107"/>
      <c r="Y19" s="108">
        <f>+V19*((X19*'1. Standard_Cost'!$B$19)+(W19*X19*'1. Standard_Cost'!$C$19))</f>
        <v>0</v>
      </c>
      <c r="Z19" s="107"/>
      <c r="AA19" s="107"/>
      <c r="AB19" s="108">
        <f>+Z19*'1. Standard_Cost'!$B$23+AA19*'1. Standard_Cost'!$C$23</f>
        <v>0</v>
      </c>
      <c r="AC19" s="109"/>
      <c r="AD19" s="110"/>
      <c r="AE19" s="108">
        <f>SUM(AD19,AC19,AB19,Y19,U19,T19,S19,R19)*'1. Standard_Cost'!$B$31</f>
        <v>0</v>
      </c>
      <c r="AF19" s="108">
        <f t="shared" si="21"/>
        <v>0</v>
      </c>
      <c r="AG19" s="107"/>
      <c r="AH19" s="107"/>
      <c r="AI19" s="107"/>
      <c r="AJ19" s="111"/>
      <c r="AK19" s="111"/>
      <c r="AL19" s="111"/>
      <c r="AM19" s="108">
        <f>AG19*'1. Standard_Cost'!$B$27+'Incremental_Cost Year 7'!AH19*'1. Standard_Cost'!$C$27+'Incremental_Cost Year 7'!AI19*'1. Standard_Cost'!$D$27+'Incremental_Cost Year 7'!AJ19+'Incremental_Cost Year 7'!AL19+AK19</f>
        <v>0</v>
      </c>
      <c r="AN19" s="108">
        <f>AM19*'1. Standard_Cost'!$C$31</f>
        <v>0</v>
      </c>
      <c r="AO19" s="125" t="s">
        <v>278</v>
      </c>
      <c r="AQ19" s="14">
        <f t="shared" si="16"/>
        <v>0</v>
      </c>
      <c r="AR19" s="14">
        <f t="shared" si="17"/>
        <v>0</v>
      </c>
      <c r="AS19" s="14">
        <f t="shared" si="18"/>
        <v>0</v>
      </c>
      <c r="AT19" s="14">
        <f t="shared" ref="AT19:AT24" si="25">SUM(AQ19,AR19,AS19)</f>
        <v>0</v>
      </c>
      <c r="AU19" s="15"/>
      <c r="AV19" s="15"/>
      <c r="AW19" s="15"/>
      <c r="AX19" s="15"/>
      <c r="AY19" s="15"/>
      <c r="AZ19" s="15"/>
      <c r="BA19" s="15"/>
      <c r="BB19" s="16">
        <f t="shared" si="19"/>
        <v>0</v>
      </c>
    </row>
    <row r="20" spans="1:54" ht="15.6" outlineLevel="2">
      <c r="A20" s="98"/>
      <c r="B20" s="143"/>
      <c r="C20" s="144"/>
      <c r="D20" s="290"/>
      <c r="E20" s="290"/>
      <c r="F20" s="171"/>
      <c r="G20" s="291"/>
      <c r="H20" s="272"/>
      <c r="I20" s="104"/>
      <c r="J20" s="105"/>
      <c r="K20" s="105"/>
      <c r="L20" s="106" t="str">
        <f>IF(I20&lt;&gt;0,((VLOOKUP(I20,'1. Standard_Cost'!$B$4:$D$11,2)+VLOOKUP(I20,'1. Standard_Cost'!$B$4:$D$11,3))*J20*K20),"0")</f>
        <v>0</v>
      </c>
      <c r="M20" s="106">
        <f>L20*'1. Standard_Cost'!$F$4</f>
        <v>0</v>
      </c>
      <c r="N20" s="107"/>
      <c r="O20" s="107"/>
      <c r="P20" s="107"/>
      <c r="Q20" s="107"/>
      <c r="R20" s="108">
        <f>'1. Standard_Cost'!$B$15*N20*P20</f>
        <v>0</v>
      </c>
      <c r="S20" s="108">
        <f>N20*O20*P20*'1. Standard_Cost'!$C$15</f>
        <v>0</v>
      </c>
      <c r="T20" s="108">
        <f>N20*P20*Q20*'1. Standard_Cost'!$D$15</f>
        <v>0</v>
      </c>
      <c r="U20" s="108">
        <f>N20*O20*'1. Standard_Cost'!$E$15</f>
        <v>0</v>
      </c>
      <c r="V20" s="107"/>
      <c r="W20" s="107"/>
      <c r="X20" s="107"/>
      <c r="Y20" s="108">
        <f>+V20*((X20*'1. Standard_Cost'!$B$19)+(W20*X20*'1. Standard_Cost'!$C$19))</f>
        <v>0</v>
      </c>
      <c r="Z20" s="107"/>
      <c r="AA20" s="107"/>
      <c r="AB20" s="108">
        <f>+Z20*'1. Standard_Cost'!$B$23+AA20*'1. Standard_Cost'!$C$23</f>
        <v>0</v>
      </c>
      <c r="AC20" s="109"/>
      <c r="AD20" s="110"/>
      <c r="AE20" s="108">
        <f>SUM(AD20,AC20,AB20,Y20,U20,T20,S20,R20)*'1. Standard_Cost'!$B$31</f>
        <v>0</v>
      </c>
      <c r="AF20" s="108">
        <f t="shared" si="21"/>
        <v>0</v>
      </c>
      <c r="AG20" s="107"/>
      <c r="AH20" s="107"/>
      <c r="AI20" s="107"/>
      <c r="AJ20" s="111"/>
      <c r="AK20" s="111"/>
      <c r="AL20" s="111"/>
      <c r="AM20" s="108">
        <f>AG20*'1. Standard_Cost'!$B$27+'Incremental_Cost Year 7'!AH20*'1. Standard_Cost'!$C$27+'Incremental_Cost Year 7'!AI20*'1. Standard_Cost'!$D$27+'Incremental_Cost Year 7'!AJ20+'Incremental_Cost Year 7'!AL20+AK20</f>
        <v>0</v>
      </c>
      <c r="AN20" s="108">
        <f>AM20*'1. Standard_Cost'!$C$31</f>
        <v>0</v>
      </c>
      <c r="AO20" s="125" t="s">
        <v>278</v>
      </c>
      <c r="AQ20" s="14">
        <f t="shared" si="16"/>
        <v>0</v>
      </c>
      <c r="AR20" s="14">
        <f t="shared" si="17"/>
        <v>0</v>
      </c>
      <c r="AS20" s="14">
        <f t="shared" si="18"/>
        <v>0</v>
      </c>
      <c r="AT20" s="14">
        <f t="shared" si="25"/>
        <v>0</v>
      </c>
      <c r="AU20" s="15"/>
      <c r="AV20" s="15"/>
      <c r="AW20" s="15"/>
      <c r="AX20" s="15"/>
      <c r="AY20" s="15"/>
      <c r="AZ20" s="15"/>
      <c r="BA20" s="15"/>
      <c r="BB20" s="16">
        <f t="shared" si="19"/>
        <v>0</v>
      </c>
    </row>
    <row r="21" spans="1:54" ht="15.6" outlineLevel="2">
      <c r="A21" s="98"/>
      <c r="B21" s="143"/>
      <c r="C21" s="144"/>
      <c r="D21" s="290"/>
      <c r="E21" s="290"/>
      <c r="F21" s="290"/>
      <c r="G21" s="291"/>
      <c r="H21" s="272"/>
      <c r="I21" s="104"/>
      <c r="J21" s="105"/>
      <c r="K21" s="105"/>
      <c r="L21" s="106" t="str">
        <f>IF(I21&lt;&gt;0,((VLOOKUP(I21,'1. Standard_Cost'!$B$4:$D$11,2)+VLOOKUP(I21,'1. Standard_Cost'!$B$4:$D$11,3))*J21*K21),"0")</f>
        <v>0</v>
      </c>
      <c r="M21" s="106">
        <f>L21*'1. Standard_Cost'!$F$4</f>
        <v>0</v>
      </c>
      <c r="N21" s="107"/>
      <c r="O21" s="107"/>
      <c r="P21" s="107"/>
      <c r="Q21" s="107"/>
      <c r="R21" s="108">
        <f>'1. Standard_Cost'!$B$15*N21*P21</f>
        <v>0</v>
      </c>
      <c r="S21" s="108">
        <f>N21*O21*P21*'1. Standard_Cost'!$C$15</f>
        <v>0</v>
      </c>
      <c r="T21" s="108">
        <f>N21*P21*Q21*'1. Standard_Cost'!$D$15</f>
        <v>0</v>
      </c>
      <c r="U21" s="108">
        <f>N21*O21*'1. Standard_Cost'!$E$15</f>
        <v>0</v>
      </c>
      <c r="V21" s="107"/>
      <c r="W21" s="107"/>
      <c r="X21" s="107"/>
      <c r="Y21" s="108">
        <f>+V21*((X21*'1. Standard_Cost'!$B$19)+(W21*X21*'1. Standard_Cost'!$C$19))</f>
        <v>0</v>
      </c>
      <c r="Z21" s="107"/>
      <c r="AA21" s="107"/>
      <c r="AB21" s="108">
        <f>+Z21*'1. Standard_Cost'!$B$23+AA21*'1. Standard_Cost'!$C$23</f>
        <v>0</v>
      </c>
      <c r="AC21" s="109"/>
      <c r="AD21" s="110"/>
      <c r="AE21" s="108">
        <f>SUM(AD21,AC21,AB21,Y21,U21,T21,S21,R21)*'1. Standard_Cost'!$B$31</f>
        <v>0</v>
      </c>
      <c r="AF21" s="108">
        <f t="shared" si="21"/>
        <v>0</v>
      </c>
      <c r="AG21" s="107"/>
      <c r="AH21" s="107"/>
      <c r="AI21" s="107"/>
      <c r="AJ21" s="111"/>
      <c r="AK21" s="111"/>
      <c r="AL21" s="111"/>
      <c r="AM21" s="108">
        <f>AG21*'1. Standard_Cost'!$B$27+'Incremental_Cost Year 7'!AH21*'1. Standard_Cost'!$C$27+'Incremental_Cost Year 7'!AI21*'1. Standard_Cost'!$D$27+'Incremental_Cost Year 7'!AJ21+'Incremental_Cost Year 7'!AL21+AK21</f>
        <v>0</v>
      </c>
      <c r="AN21" s="108">
        <f>AM21*'1. Standard_Cost'!$C$31</f>
        <v>0</v>
      </c>
      <c r="AO21" s="125" t="s">
        <v>279</v>
      </c>
      <c r="AQ21" s="14">
        <f t="shared" si="16"/>
        <v>0</v>
      </c>
      <c r="AR21" s="14">
        <f t="shared" si="17"/>
        <v>0</v>
      </c>
      <c r="AS21" s="14">
        <f t="shared" si="18"/>
        <v>0</v>
      </c>
      <c r="AT21" s="14">
        <f t="shared" si="25"/>
        <v>0</v>
      </c>
      <c r="AU21" s="15"/>
      <c r="AV21" s="15"/>
      <c r="AW21" s="15"/>
      <c r="AX21" s="15"/>
      <c r="AY21" s="15"/>
      <c r="AZ21" s="15"/>
      <c r="BA21" s="15"/>
      <c r="BB21" s="16">
        <f t="shared" si="19"/>
        <v>0</v>
      </c>
    </row>
    <row r="22" spans="1:54" ht="15.6" outlineLevel="2">
      <c r="A22" s="98"/>
      <c r="B22" s="143"/>
      <c r="C22" s="144"/>
      <c r="D22" s="290"/>
      <c r="E22" s="290"/>
      <c r="F22" s="290"/>
      <c r="G22" s="291"/>
      <c r="H22" s="272"/>
      <c r="I22" s="104"/>
      <c r="J22" s="105"/>
      <c r="K22" s="105"/>
      <c r="L22" s="106" t="str">
        <f>IF(I22&lt;&gt;0,((VLOOKUP(I22,'1. Standard_Cost'!$B$4:$D$11,2)+VLOOKUP(I22,'1. Standard_Cost'!$B$4:$D$11,3))*J22*K22),"0")</f>
        <v>0</v>
      </c>
      <c r="M22" s="106">
        <f>L22*'1. Standard_Cost'!$F$4</f>
        <v>0</v>
      </c>
      <c r="N22" s="107"/>
      <c r="O22" s="107"/>
      <c r="P22" s="107"/>
      <c r="Q22" s="107"/>
      <c r="R22" s="108">
        <f>'1. Standard_Cost'!$B$15*N22*P22</f>
        <v>0</v>
      </c>
      <c r="S22" s="108">
        <f>N22*O22*P22*'1. Standard_Cost'!$C$15</f>
        <v>0</v>
      </c>
      <c r="T22" s="108">
        <f>N22*P22*Q22*'1. Standard_Cost'!$D$15</f>
        <v>0</v>
      </c>
      <c r="U22" s="108">
        <f>N22*O22*'1. Standard_Cost'!$E$15</f>
        <v>0</v>
      </c>
      <c r="V22" s="107"/>
      <c r="W22" s="107"/>
      <c r="X22" s="107"/>
      <c r="Y22" s="108">
        <f>+V22*((X22*'1. Standard_Cost'!$B$19)+(W22*X22*'1. Standard_Cost'!$C$19))</f>
        <v>0</v>
      </c>
      <c r="Z22" s="107"/>
      <c r="AA22" s="107"/>
      <c r="AB22" s="108">
        <f>+Z22*'1. Standard_Cost'!$B$23+AA22*'1. Standard_Cost'!$C$23</f>
        <v>0</v>
      </c>
      <c r="AC22" s="109"/>
      <c r="AD22" s="110"/>
      <c r="AE22" s="108">
        <f>SUM(AD22,AC22,AB22,Y22,U22,T22,S22,R22)*'1. Standard_Cost'!$B$31</f>
        <v>0</v>
      </c>
      <c r="AF22" s="108">
        <f t="shared" si="21"/>
        <v>0</v>
      </c>
      <c r="AG22" s="107"/>
      <c r="AH22" s="107"/>
      <c r="AI22" s="107"/>
      <c r="AJ22" s="111"/>
      <c r="AK22" s="111"/>
      <c r="AL22" s="111"/>
      <c r="AM22" s="108">
        <f>AG22*'1. Standard_Cost'!$B$27+'Incremental_Cost Year 7'!AH22*'1. Standard_Cost'!$C$27+'Incremental_Cost Year 7'!AI22*'1. Standard_Cost'!$D$27+'Incremental_Cost Year 7'!AJ22+'Incremental_Cost Year 7'!AL22+AK22</f>
        <v>0</v>
      </c>
      <c r="AN22" s="108">
        <f>AM22*'1. Standard_Cost'!$C$31</f>
        <v>0</v>
      </c>
      <c r="AO22" s="125" t="s">
        <v>280</v>
      </c>
      <c r="AQ22" s="14">
        <f t="shared" si="16"/>
        <v>0</v>
      </c>
      <c r="AR22" s="14">
        <f t="shared" si="17"/>
        <v>0</v>
      </c>
      <c r="AS22" s="14">
        <f t="shared" si="18"/>
        <v>0</v>
      </c>
      <c r="AT22" s="14">
        <f t="shared" si="25"/>
        <v>0</v>
      </c>
      <c r="AU22" s="15"/>
      <c r="AV22" s="15"/>
      <c r="AW22" s="15"/>
      <c r="AX22" s="15"/>
      <c r="AY22" s="15"/>
      <c r="AZ22" s="15"/>
      <c r="BA22" s="15"/>
      <c r="BB22" s="16">
        <f t="shared" si="19"/>
        <v>0</v>
      </c>
    </row>
    <row r="23" spans="1:54" ht="15.6" outlineLevel="2">
      <c r="A23" s="98"/>
      <c r="B23" s="143"/>
      <c r="C23" s="144"/>
      <c r="D23" s="290"/>
      <c r="E23" s="290"/>
      <c r="F23" s="290"/>
      <c r="G23" s="291"/>
      <c r="H23" s="272"/>
      <c r="I23" s="104"/>
      <c r="J23" s="105"/>
      <c r="K23" s="105"/>
      <c r="L23" s="106" t="str">
        <f>IF(I23&lt;&gt;0,((VLOOKUP(I23,'1. Standard_Cost'!$B$4:$D$11,2)+VLOOKUP(I23,'1. Standard_Cost'!$B$4:$D$11,3))*J23*K23),"0")</f>
        <v>0</v>
      </c>
      <c r="M23" s="106">
        <f>L23*'1. Standard_Cost'!$F$4</f>
        <v>0</v>
      </c>
      <c r="N23" s="107"/>
      <c r="O23" s="107"/>
      <c r="P23" s="107"/>
      <c r="Q23" s="107"/>
      <c r="R23" s="108">
        <f>'1. Standard_Cost'!$B$15*N23*P23</f>
        <v>0</v>
      </c>
      <c r="S23" s="108">
        <f>N23*O23*P23*'1. Standard_Cost'!$C$15</f>
        <v>0</v>
      </c>
      <c r="T23" s="108">
        <f>N23*P23*Q23*'1. Standard_Cost'!$D$15</f>
        <v>0</v>
      </c>
      <c r="U23" s="108">
        <f>N23*O23*'1. Standard_Cost'!$E$15</f>
        <v>0</v>
      </c>
      <c r="V23" s="107"/>
      <c r="W23" s="107"/>
      <c r="X23" s="107"/>
      <c r="Y23" s="108">
        <f>+V23*((X23*'1. Standard_Cost'!$B$19)+(W23*X23*'1. Standard_Cost'!$C$19))</f>
        <v>0</v>
      </c>
      <c r="Z23" s="107"/>
      <c r="AA23" s="107"/>
      <c r="AB23" s="108">
        <f>+Z23*'1. Standard_Cost'!$B$23+AA23*'1. Standard_Cost'!$C$23</f>
        <v>0</v>
      </c>
      <c r="AC23" s="109"/>
      <c r="AD23" s="110"/>
      <c r="AE23" s="108">
        <f>SUM(AD23,AC23,AB23,Y23,U23,T23,S23,R23)*'1. Standard_Cost'!$B$31</f>
        <v>0</v>
      </c>
      <c r="AF23" s="108">
        <f t="shared" si="21"/>
        <v>0</v>
      </c>
      <c r="AG23" s="107"/>
      <c r="AH23" s="107"/>
      <c r="AI23" s="107"/>
      <c r="AJ23" s="111"/>
      <c r="AK23" s="111"/>
      <c r="AL23" s="111"/>
      <c r="AM23" s="108">
        <f>AG23*'1. Standard_Cost'!$B$27+'Incremental_Cost Year 7'!AH23*'1. Standard_Cost'!$C$27+'Incremental_Cost Year 7'!AI23*'1. Standard_Cost'!$D$27+'Incremental_Cost Year 7'!AJ23+'Incremental_Cost Year 7'!AL23+AK23</f>
        <v>0</v>
      </c>
      <c r="AN23" s="108">
        <f>AM23*'1. Standard_Cost'!$C$31</f>
        <v>0</v>
      </c>
      <c r="AO23" s="125" t="s">
        <v>281</v>
      </c>
      <c r="AQ23" s="14">
        <f t="shared" si="16"/>
        <v>0</v>
      </c>
      <c r="AR23" s="14">
        <f t="shared" si="17"/>
        <v>0</v>
      </c>
      <c r="AS23" s="14">
        <f t="shared" si="18"/>
        <v>0</v>
      </c>
      <c r="AT23" s="14">
        <f t="shared" si="25"/>
        <v>0</v>
      </c>
      <c r="AU23" s="15"/>
      <c r="AV23" s="15"/>
      <c r="AW23" s="15"/>
      <c r="AX23" s="15"/>
      <c r="AY23" s="15"/>
      <c r="AZ23" s="15"/>
      <c r="BA23" s="15"/>
      <c r="BB23" s="16">
        <f t="shared" si="19"/>
        <v>0</v>
      </c>
    </row>
    <row r="24" spans="1:54" ht="27.6" outlineLevel="2">
      <c r="A24" s="98"/>
      <c r="B24" s="143"/>
      <c r="C24" s="144"/>
      <c r="D24" s="290"/>
      <c r="E24" s="290"/>
      <c r="F24" s="290"/>
      <c r="G24" s="291"/>
      <c r="H24" s="272"/>
      <c r="I24" s="104"/>
      <c r="J24" s="105"/>
      <c r="K24" s="105"/>
      <c r="L24" s="106" t="str">
        <f>IF(I24&lt;&gt;0,((VLOOKUP(I24,'1. Standard_Cost'!$B$4:$D$11,2)+VLOOKUP(I24,'1. Standard_Cost'!$B$4:$D$11,3))*J24*K24),"0")</f>
        <v>0</v>
      </c>
      <c r="M24" s="106">
        <f>L24*'1. Standard_Cost'!$F$4</f>
        <v>0</v>
      </c>
      <c r="N24" s="107"/>
      <c r="O24" s="107"/>
      <c r="P24" s="107"/>
      <c r="Q24" s="107"/>
      <c r="R24" s="108">
        <f>'1. Standard_Cost'!$B$15*N24*P24</f>
        <v>0</v>
      </c>
      <c r="S24" s="108">
        <f>N24*O24*P24*'1. Standard_Cost'!$C$15</f>
        <v>0</v>
      </c>
      <c r="T24" s="108">
        <f>N24*P24*Q24*'1. Standard_Cost'!$D$15</f>
        <v>0</v>
      </c>
      <c r="U24" s="108">
        <f>N24*O24*'1. Standard_Cost'!$E$15</f>
        <v>0</v>
      </c>
      <c r="V24" s="107"/>
      <c r="W24" s="107"/>
      <c r="X24" s="107"/>
      <c r="Y24" s="108">
        <f>+V24*((X24*'1. Standard_Cost'!$B$19)+(W24*X24*'1. Standard_Cost'!$C$19))</f>
        <v>0</v>
      </c>
      <c r="Z24" s="107"/>
      <c r="AA24" s="107"/>
      <c r="AB24" s="108">
        <f>+Z24*'1. Standard_Cost'!$B$23+AA24*'1. Standard_Cost'!$C$23</f>
        <v>0</v>
      </c>
      <c r="AC24" s="109"/>
      <c r="AD24" s="110"/>
      <c r="AE24" s="108">
        <f>SUM(AD24,AC24,AB24,Y24,U24,T24,S24,R24)*'1. Standard_Cost'!$B$31</f>
        <v>0</v>
      </c>
      <c r="AF24" s="108">
        <f t="shared" si="21"/>
        <v>0</v>
      </c>
      <c r="AG24" s="107"/>
      <c r="AH24" s="107"/>
      <c r="AI24" s="107"/>
      <c r="AJ24" s="111"/>
      <c r="AK24" s="111"/>
      <c r="AL24" s="111"/>
      <c r="AM24" s="108">
        <f>AG24*'1. Standard_Cost'!$B$27+'Incremental_Cost Year 7'!AH24*'1. Standard_Cost'!$C$27+'Incremental_Cost Year 7'!AI24*'1. Standard_Cost'!$D$27+'Incremental_Cost Year 7'!AJ24+'Incremental_Cost Year 7'!AL24+AK24</f>
        <v>0</v>
      </c>
      <c r="AN24" s="108">
        <f>AM24*'1. Standard_Cost'!$C$31</f>
        <v>0</v>
      </c>
      <c r="AO24" s="125" t="s">
        <v>282</v>
      </c>
      <c r="AQ24" s="14">
        <f t="shared" si="16"/>
        <v>0</v>
      </c>
      <c r="AR24" s="14">
        <f t="shared" si="17"/>
        <v>0</v>
      </c>
      <c r="AS24" s="14">
        <f t="shared" si="18"/>
        <v>0</v>
      </c>
      <c r="AT24" s="14">
        <f t="shared" si="25"/>
        <v>0</v>
      </c>
      <c r="AU24" s="15"/>
      <c r="AV24" s="15"/>
      <c r="AW24" s="15"/>
      <c r="AX24" s="15"/>
      <c r="AY24" s="15"/>
      <c r="AZ24" s="15"/>
      <c r="BA24" s="15"/>
      <c r="BB24" s="16">
        <f t="shared" si="19"/>
        <v>0</v>
      </c>
    </row>
    <row r="25" spans="1:54" ht="46.8" outlineLevel="1">
      <c r="A25" s="98"/>
      <c r="B25" s="143"/>
      <c r="C25" s="144"/>
      <c r="D25" s="287" t="s">
        <v>47</v>
      </c>
      <c r="E25" s="287" t="s">
        <v>208</v>
      </c>
      <c r="F25" s="287"/>
      <c r="G25" s="287"/>
      <c r="H25" s="287" t="s">
        <v>50</v>
      </c>
      <c r="I25" s="112"/>
      <c r="J25" s="112"/>
      <c r="K25" s="112"/>
      <c r="L25" s="113">
        <f>SUM(L18:L24)</f>
        <v>0</v>
      </c>
      <c r="M25" s="113">
        <f>SUM(M18:M24)</f>
        <v>0</v>
      </c>
      <c r="N25" s="112"/>
      <c r="O25" s="112"/>
      <c r="P25" s="112"/>
      <c r="Q25" s="112"/>
      <c r="R25" s="113">
        <f t="shared" ref="R25:U25" si="26">SUM(R18:R24)</f>
        <v>0</v>
      </c>
      <c r="S25" s="113">
        <f t="shared" si="26"/>
        <v>0</v>
      </c>
      <c r="T25" s="113">
        <f t="shared" si="26"/>
        <v>0</v>
      </c>
      <c r="U25" s="113">
        <f t="shared" si="26"/>
        <v>0</v>
      </c>
      <c r="V25" s="112"/>
      <c r="W25" s="112"/>
      <c r="X25" s="112"/>
      <c r="Y25" s="113">
        <f>SUM(Y18:Y24)</f>
        <v>0</v>
      </c>
      <c r="Z25" s="112"/>
      <c r="AA25" s="112"/>
      <c r="AB25" s="113">
        <f t="shared" ref="AB25:AF25" si="27">SUM(AB18:AB24)</f>
        <v>0</v>
      </c>
      <c r="AC25" s="113">
        <f t="shared" si="27"/>
        <v>0</v>
      </c>
      <c r="AD25" s="113">
        <f t="shared" si="27"/>
        <v>0</v>
      </c>
      <c r="AE25" s="113">
        <f t="shared" si="27"/>
        <v>0</v>
      </c>
      <c r="AF25" s="113">
        <f t="shared" si="27"/>
        <v>0</v>
      </c>
      <c r="AG25" s="112"/>
      <c r="AH25" s="112"/>
      <c r="AI25" s="112"/>
      <c r="AJ25" s="113">
        <f t="shared" ref="AJ25:AN25" si="28">SUM(AJ18:AJ24)</f>
        <v>0</v>
      </c>
      <c r="AK25" s="113">
        <f t="shared" si="28"/>
        <v>0</v>
      </c>
      <c r="AL25" s="113">
        <f t="shared" si="28"/>
        <v>0</v>
      </c>
      <c r="AM25" s="113">
        <f t="shared" si="28"/>
        <v>0</v>
      </c>
      <c r="AN25" s="113">
        <f t="shared" si="28"/>
        <v>0</v>
      </c>
      <c r="AO25" s="131"/>
      <c r="AP25" s="17"/>
      <c r="AQ25" s="113">
        <f t="shared" ref="AQ25:BB25" si="29">SUM(AQ18:AQ24)</f>
        <v>0</v>
      </c>
      <c r="AR25" s="113">
        <f t="shared" si="29"/>
        <v>0</v>
      </c>
      <c r="AS25" s="113">
        <f t="shared" si="29"/>
        <v>0</v>
      </c>
      <c r="AT25" s="113">
        <f t="shared" si="29"/>
        <v>0</v>
      </c>
      <c r="AU25" s="113">
        <f t="shared" si="29"/>
        <v>0</v>
      </c>
      <c r="AV25" s="113">
        <f t="shared" si="29"/>
        <v>0</v>
      </c>
      <c r="AW25" s="113">
        <f t="shared" si="29"/>
        <v>0</v>
      </c>
      <c r="AX25" s="113">
        <f t="shared" si="29"/>
        <v>0</v>
      </c>
      <c r="AY25" s="113">
        <f t="shared" si="29"/>
        <v>0</v>
      </c>
      <c r="AZ25" s="113">
        <f t="shared" si="29"/>
        <v>0</v>
      </c>
      <c r="BA25" s="113">
        <f t="shared" si="29"/>
        <v>0</v>
      </c>
      <c r="BB25" s="113">
        <f t="shared" si="29"/>
        <v>0</v>
      </c>
    </row>
    <row r="26" spans="1:54" ht="27.6" outlineLevel="2">
      <c r="A26" s="98"/>
      <c r="B26" s="143"/>
      <c r="C26" s="144"/>
      <c r="D26" s="149"/>
      <c r="E26" s="149"/>
      <c r="F26" s="288"/>
      <c r="G26" s="289"/>
      <c r="H26" s="272"/>
      <c r="I26" s="104"/>
      <c r="J26" s="105"/>
      <c r="K26" s="105"/>
      <c r="L26" s="106" t="str">
        <f>IF(I26&lt;&gt;0,((VLOOKUP(I26,'1. Standard_Cost'!$B$4:$D$11,2)+VLOOKUP(I26,'1. Standard_Cost'!$B$4:$D$11,3))*J26*K26),"0")</f>
        <v>0</v>
      </c>
      <c r="M26" s="106">
        <f>L26*'1. Standard_Cost'!$F$4</f>
        <v>0</v>
      </c>
      <c r="N26" s="107">
        <v>0</v>
      </c>
      <c r="O26" s="107">
        <v>0</v>
      </c>
      <c r="P26" s="107">
        <v>0</v>
      </c>
      <c r="Q26" s="107"/>
      <c r="R26" s="108">
        <f>'1. Standard_Cost'!$B$15*N26*P26</f>
        <v>0</v>
      </c>
      <c r="S26" s="108">
        <f>N26*O26*P26*'1. Standard_Cost'!$C$15</f>
        <v>0</v>
      </c>
      <c r="T26" s="108">
        <f>N26*P26*Q26*'1. Standard_Cost'!$D$15</f>
        <v>0</v>
      </c>
      <c r="U26" s="108">
        <f>N26*O26*'1. Standard_Cost'!$E$15</f>
        <v>0</v>
      </c>
      <c r="V26" s="107"/>
      <c r="W26" s="107"/>
      <c r="X26" s="107"/>
      <c r="Y26" s="108">
        <f>+V26*((X26*'1. Standard_Cost'!$B$19)+(W26*X26*'1. Standard_Cost'!$C$19))</f>
        <v>0</v>
      </c>
      <c r="Z26" s="107"/>
      <c r="AA26" s="107"/>
      <c r="AB26" s="108">
        <f>+Z26*'1. Standard_Cost'!$B$23+AA26*'1. Standard_Cost'!$C$23</f>
        <v>0</v>
      </c>
      <c r="AC26" s="109"/>
      <c r="AD26" s="110"/>
      <c r="AE26" s="108">
        <f>SUM(AD26,AC26,AB26,Y26,U26,T26,S26,R26)*'1. Standard_Cost'!$B$31</f>
        <v>0</v>
      </c>
      <c r="AF26" s="108">
        <f t="shared" ref="AF26:AF29" si="30">SUM(AE26,AD26,AC26,AB26,Y26,U26,T26,S26,R26)</f>
        <v>0</v>
      </c>
      <c r="AG26" s="107"/>
      <c r="AH26" s="107"/>
      <c r="AI26" s="107"/>
      <c r="AJ26" s="111"/>
      <c r="AK26" s="111"/>
      <c r="AL26" s="111"/>
      <c r="AM26" s="108">
        <f>AG26*'1. Standard_Cost'!$B$27+'Incremental_Cost Year 7'!AH26*'1. Standard_Cost'!$C$27+'Incremental_Cost Year 7'!AI26*'1. Standard_Cost'!$D$27+'Incremental_Cost Year 7'!AJ26+'Incremental_Cost Year 7'!AL26+AK26</f>
        <v>0</v>
      </c>
      <c r="AN26" s="108">
        <f>AM26*'1. Standard_Cost'!$C$31</f>
        <v>0</v>
      </c>
      <c r="AO26" s="125" t="s">
        <v>283</v>
      </c>
      <c r="AQ26" s="14">
        <f>L26+M26</f>
        <v>0</v>
      </c>
      <c r="AR26" s="14">
        <f t="shared" ref="AR26:AR29" si="31">AF26</f>
        <v>0</v>
      </c>
      <c r="AS26" s="14">
        <f t="shared" ref="AS26:AS29" si="32">AM26+AN26</f>
        <v>0</v>
      </c>
      <c r="AT26" s="14">
        <f>SUM(AQ26,AR26,AS26)</f>
        <v>0</v>
      </c>
      <c r="AU26" s="15"/>
      <c r="AV26" s="15"/>
      <c r="AW26" s="15"/>
      <c r="AX26" s="15"/>
      <c r="AY26" s="15"/>
      <c r="AZ26" s="15"/>
      <c r="BA26" s="15"/>
      <c r="BB26" s="16">
        <f>SUM(AU26:BA26)-AT26</f>
        <v>0</v>
      </c>
    </row>
    <row r="27" spans="1:54" ht="27.6" outlineLevel="2">
      <c r="A27" s="98"/>
      <c r="B27" s="143"/>
      <c r="C27" s="144"/>
      <c r="D27" s="290"/>
      <c r="E27" s="290"/>
      <c r="F27" s="290"/>
      <c r="G27" s="291"/>
      <c r="H27" s="272"/>
      <c r="I27" s="104"/>
      <c r="J27" s="105"/>
      <c r="K27" s="105"/>
      <c r="L27" s="106" t="str">
        <f>IF(I27&lt;&gt;0,((VLOOKUP(I27,'1. Standard_Cost'!$B$4:$D$11,2)+VLOOKUP(I27,'1. Standard_Cost'!$B$4:$D$11,3))*J27*K27),"0")</f>
        <v>0</v>
      </c>
      <c r="M27" s="106">
        <f>L27*'1. Standard_Cost'!$F$4</f>
        <v>0</v>
      </c>
      <c r="N27" s="107"/>
      <c r="O27" s="107"/>
      <c r="P27" s="107"/>
      <c r="Q27" s="107"/>
      <c r="R27" s="108">
        <f>'1. Standard_Cost'!$B$15*N27*P27</f>
        <v>0</v>
      </c>
      <c r="S27" s="108">
        <f>N27*O27*P27*'1. Standard_Cost'!$C$15</f>
        <v>0</v>
      </c>
      <c r="T27" s="108">
        <f>N27*P27*Q27*'1. Standard_Cost'!$D$15</f>
        <v>0</v>
      </c>
      <c r="U27" s="108">
        <f>N27*O27*'1. Standard_Cost'!$E$15</f>
        <v>0</v>
      </c>
      <c r="V27" s="107"/>
      <c r="W27" s="107"/>
      <c r="X27" s="107"/>
      <c r="Y27" s="108">
        <f>+V27*((X27*'1. Standard_Cost'!$B$19)+(W27*X27*'1. Standard_Cost'!$C$19))</f>
        <v>0</v>
      </c>
      <c r="Z27" s="107"/>
      <c r="AA27" s="107"/>
      <c r="AB27" s="108">
        <f>+Z27*'1. Standard_Cost'!$B$23+AA27*'1. Standard_Cost'!$C$23</f>
        <v>0</v>
      </c>
      <c r="AC27" s="109"/>
      <c r="AD27" s="110"/>
      <c r="AE27" s="108">
        <f>SUM(AD27,AC27,AB27,Y27,U27,T27,S27,R27)*'1. Standard_Cost'!$B$31</f>
        <v>0</v>
      </c>
      <c r="AF27" s="108">
        <f t="shared" si="30"/>
        <v>0</v>
      </c>
      <c r="AG27" s="107"/>
      <c r="AH27" s="107"/>
      <c r="AI27" s="107"/>
      <c r="AJ27" s="111"/>
      <c r="AK27" s="111"/>
      <c r="AL27" s="111"/>
      <c r="AM27" s="108">
        <f>AG27*'1. Standard_Cost'!$B$27+'Incremental_Cost Year 7'!AH27*'1. Standard_Cost'!$C$27+'Incremental_Cost Year 7'!AI27*'1. Standard_Cost'!$D$27+'Incremental_Cost Year 7'!AJ27+'Incremental_Cost Year 7'!AL27+AK27</f>
        <v>0</v>
      </c>
      <c r="AN27" s="108">
        <f>AM27*'1. Standard_Cost'!$C$31</f>
        <v>0</v>
      </c>
      <c r="AO27" s="125" t="s">
        <v>284</v>
      </c>
      <c r="AQ27" s="14">
        <f t="shared" ref="AQ27:AQ29" si="33">L27+M27</f>
        <v>0</v>
      </c>
      <c r="AR27" s="14">
        <f t="shared" si="31"/>
        <v>0</v>
      </c>
      <c r="AS27" s="14">
        <f t="shared" si="32"/>
        <v>0</v>
      </c>
      <c r="AT27" s="14">
        <f t="shared" ref="AT27:AT29" si="34">SUM(AQ27,AR27,AS27)</f>
        <v>0</v>
      </c>
      <c r="AU27" s="15"/>
      <c r="AV27" s="15"/>
      <c r="AW27" s="15"/>
      <c r="AX27" s="15"/>
      <c r="AY27" s="15"/>
      <c r="AZ27" s="15"/>
      <c r="BA27" s="15"/>
      <c r="BB27" s="16">
        <f t="shared" ref="BB27:BB29" si="35">SUM(AU27:BA27)-AT27</f>
        <v>0</v>
      </c>
    </row>
    <row r="28" spans="1:54" ht="187.2" customHeight="1" outlineLevel="2">
      <c r="A28" s="98"/>
      <c r="B28" s="143"/>
      <c r="C28" s="144"/>
      <c r="D28" s="290"/>
      <c r="E28" s="290"/>
      <c r="F28" s="290"/>
      <c r="G28" s="291"/>
      <c r="H28" s="272"/>
      <c r="I28" s="104"/>
      <c r="J28" s="105"/>
      <c r="K28" s="105"/>
      <c r="L28" s="106" t="str">
        <f>IF(I28&lt;&gt;0,((VLOOKUP(I28,'1. Standard_Cost'!$B$4:$D$11,2)+VLOOKUP(I28,'1. Standard_Cost'!$B$4:$D$11,3))*J28*K28),"0")</f>
        <v>0</v>
      </c>
      <c r="M28" s="106">
        <f>L28*'1. Standard_Cost'!$F$4</f>
        <v>0</v>
      </c>
      <c r="N28" s="107"/>
      <c r="O28" s="107"/>
      <c r="P28" s="107"/>
      <c r="Q28" s="107"/>
      <c r="R28" s="108">
        <f>'1. Standard_Cost'!$B$15*N28*P28</f>
        <v>0</v>
      </c>
      <c r="S28" s="108">
        <f>N28*O28*P28*'1. Standard_Cost'!$C$15</f>
        <v>0</v>
      </c>
      <c r="T28" s="108">
        <f>N28*P28*Q28*'1. Standard_Cost'!$D$15</f>
        <v>0</v>
      </c>
      <c r="U28" s="108">
        <f>N28*O28*'1. Standard_Cost'!$E$15</f>
        <v>0</v>
      </c>
      <c r="V28" s="107"/>
      <c r="W28" s="107"/>
      <c r="X28" s="107"/>
      <c r="Y28" s="108">
        <f>+V28*((X28*'1. Standard_Cost'!$B$19)+(W28*X28*'1. Standard_Cost'!$C$19))</f>
        <v>0</v>
      </c>
      <c r="Z28" s="107"/>
      <c r="AA28" s="107"/>
      <c r="AB28" s="108">
        <f>+Z28*'1. Standard_Cost'!$B$23+AA28*'1. Standard_Cost'!$C$23</f>
        <v>0</v>
      </c>
      <c r="AC28" s="109"/>
      <c r="AD28" s="110"/>
      <c r="AE28" s="108">
        <f>SUM(AD28,AC28,AB28,Y28,U28,T28,S28,R28)*'1. Standard_Cost'!$B$31</f>
        <v>0</v>
      </c>
      <c r="AF28" s="108">
        <f t="shared" si="30"/>
        <v>0</v>
      </c>
      <c r="AG28" s="107"/>
      <c r="AH28" s="107"/>
      <c r="AI28" s="107"/>
      <c r="AJ28" s="111"/>
      <c r="AK28" s="111"/>
      <c r="AL28" s="111"/>
      <c r="AM28" s="108">
        <f>AG28*'1. Standard_Cost'!$B$27+'Incremental_Cost Year 7'!AH28*'1. Standard_Cost'!$C$27+'Incremental_Cost Year 7'!AI28*'1. Standard_Cost'!$D$27+'Incremental_Cost Year 7'!AJ28+'Incremental_Cost Year 7'!AL28+AK28</f>
        <v>0</v>
      </c>
      <c r="AN28" s="108">
        <f>AM28*'1. Standard_Cost'!$C$31</f>
        <v>0</v>
      </c>
      <c r="AO28" s="125" t="s">
        <v>285</v>
      </c>
      <c r="AQ28" s="14">
        <f t="shared" si="33"/>
        <v>0</v>
      </c>
      <c r="AR28" s="14">
        <f t="shared" si="31"/>
        <v>0</v>
      </c>
      <c r="AS28" s="14">
        <f t="shared" si="32"/>
        <v>0</v>
      </c>
      <c r="AT28" s="14">
        <f t="shared" si="34"/>
        <v>0</v>
      </c>
      <c r="AU28" s="15"/>
      <c r="AV28" s="15"/>
      <c r="AW28" s="15"/>
      <c r="AX28" s="15"/>
      <c r="AY28" s="15"/>
      <c r="AZ28" s="15"/>
      <c r="BA28" s="15"/>
      <c r="BB28" s="16">
        <f t="shared" si="35"/>
        <v>0</v>
      </c>
    </row>
    <row r="29" spans="1:54" ht="27.6" outlineLevel="2">
      <c r="A29" s="98"/>
      <c r="B29" s="143"/>
      <c r="C29" s="144"/>
      <c r="D29" s="290"/>
      <c r="E29" s="290"/>
      <c r="F29" s="290"/>
      <c r="G29" s="291"/>
      <c r="H29" s="272"/>
      <c r="I29" s="104"/>
      <c r="J29" s="105"/>
      <c r="K29" s="105"/>
      <c r="L29" s="106" t="str">
        <f>IF(I29&lt;&gt;0,((VLOOKUP(I29,'1. Standard_Cost'!$B$4:$D$11,2)+VLOOKUP(I29,'1. Standard_Cost'!$B$4:$D$11,3))*J29*K29),"0")</f>
        <v>0</v>
      </c>
      <c r="M29" s="106">
        <f>L29*'1. Standard_Cost'!$F$4</f>
        <v>0</v>
      </c>
      <c r="N29" s="107"/>
      <c r="O29" s="107"/>
      <c r="P29" s="107"/>
      <c r="Q29" s="107"/>
      <c r="R29" s="108">
        <f>'1. Standard_Cost'!$B$15*N29*P29</f>
        <v>0</v>
      </c>
      <c r="S29" s="108">
        <f>N29*O29*P29*'1. Standard_Cost'!$C$15</f>
        <v>0</v>
      </c>
      <c r="T29" s="108">
        <f>N29*P29*Q29*'1. Standard_Cost'!$D$15</f>
        <v>0</v>
      </c>
      <c r="U29" s="108">
        <f>N29*O29*'1. Standard_Cost'!$E$15</f>
        <v>0</v>
      </c>
      <c r="V29" s="107"/>
      <c r="W29" s="107"/>
      <c r="X29" s="107"/>
      <c r="Y29" s="108">
        <f>+V29*((X29*'1. Standard_Cost'!$B$19)+(W29*X29*'1. Standard_Cost'!$C$19))</f>
        <v>0</v>
      </c>
      <c r="Z29" s="107"/>
      <c r="AA29" s="107"/>
      <c r="AB29" s="108">
        <f>+Z29*'1. Standard_Cost'!$B$23+AA29*'1. Standard_Cost'!$C$23</f>
        <v>0</v>
      </c>
      <c r="AC29" s="109"/>
      <c r="AD29" s="110"/>
      <c r="AE29" s="108">
        <f>SUM(AD29,AC29,AB29,Y29,U29,T29,S29,R29)*'1. Standard_Cost'!$B$31</f>
        <v>0</v>
      </c>
      <c r="AF29" s="108">
        <f t="shared" si="30"/>
        <v>0</v>
      </c>
      <c r="AG29" s="107"/>
      <c r="AH29" s="107"/>
      <c r="AI29" s="107"/>
      <c r="AJ29" s="111"/>
      <c r="AK29" s="111"/>
      <c r="AL29" s="111"/>
      <c r="AM29" s="108">
        <f>AG29*'1. Standard_Cost'!$B$27+'Incremental_Cost Year 7'!AH29*'1. Standard_Cost'!$C$27+'Incremental_Cost Year 7'!AI29*'1. Standard_Cost'!$D$27+'Incremental_Cost Year 7'!AJ29+'Incremental_Cost Year 7'!AL29+AK29</f>
        <v>0</v>
      </c>
      <c r="AN29" s="108">
        <f>AM29*'1. Standard_Cost'!$C$31</f>
        <v>0</v>
      </c>
      <c r="AO29" s="125" t="s">
        <v>286</v>
      </c>
      <c r="AQ29" s="14">
        <f t="shared" si="33"/>
        <v>0</v>
      </c>
      <c r="AR29" s="14">
        <f t="shared" si="31"/>
        <v>0</v>
      </c>
      <c r="AS29" s="14">
        <f t="shared" si="32"/>
        <v>0</v>
      </c>
      <c r="AT29" s="14">
        <f t="shared" si="34"/>
        <v>0</v>
      </c>
      <c r="AU29" s="15"/>
      <c r="AV29" s="15"/>
      <c r="AW29" s="15"/>
      <c r="AX29" s="15"/>
      <c r="AY29" s="15"/>
      <c r="AZ29" s="15"/>
      <c r="BA29" s="15"/>
      <c r="BB29" s="16">
        <f t="shared" si="35"/>
        <v>0</v>
      </c>
    </row>
    <row r="30" spans="1:54" ht="46.8" outlineLevel="1">
      <c r="A30" s="98"/>
      <c r="B30" s="143"/>
      <c r="C30" s="144"/>
      <c r="D30" s="287" t="s">
        <v>47</v>
      </c>
      <c r="E30" s="287" t="s">
        <v>209</v>
      </c>
      <c r="F30" s="287">
        <v>2021</v>
      </c>
      <c r="G30" s="287">
        <v>2026</v>
      </c>
      <c r="H30" s="287" t="s">
        <v>191</v>
      </c>
      <c r="I30" s="112"/>
      <c r="J30" s="112"/>
      <c r="K30" s="112"/>
      <c r="L30" s="113">
        <f>SUM(L26:L29)</f>
        <v>0</v>
      </c>
      <c r="M30" s="113">
        <f>SUM(M26:M29)</f>
        <v>0</v>
      </c>
      <c r="N30" s="112"/>
      <c r="O30" s="112"/>
      <c r="P30" s="112"/>
      <c r="Q30" s="112"/>
      <c r="R30" s="113">
        <f t="shared" ref="R30:U30" si="36">SUM(R26:R29)</f>
        <v>0</v>
      </c>
      <c r="S30" s="113">
        <f t="shared" si="36"/>
        <v>0</v>
      </c>
      <c r="T30" s="113">
        <f t="shared" si="36"/>
        <v>0</v>
      </c>
      <c r="U30" s="113">
        <f t="shared" si="36"/>
        <v>0</v>
      </c>
      <c r="V30" s="112"/>
      <c r="W30" s="112"/>
      <c r="X30" s="112"/>
      <c r="Y30" s="113">
        <f>SUM(Y26:Y29)</f>
        <v>0</v>
      </c>
      <c r="Z30" s="112"/>
      <c r="AA30" s="112"/>
      <c r="AB30" s="113">
        <f t="shared" ref="AB30:AF30" si="37">SUM(AB26:AB29)</f>
        <v>0</v>
      </c>
      <c r="AC30" s="113">
        <f t="shared" si="37"/>
        <v>0</v>
      </c>
      <c r="AD30" s="113">
        <f t="shared" si="37"/>
        <v>0</v>
      </c>
      <c r="AE30" s="113">
        <f t="shared" si="37"/>
        <v>0</v>
      </c>
      <c r="AF30" s="113">
        <f t="shared" si="37"/>
        <v>0</v>
      </c>
      <c r="AG30" s="112"/>
      <c r="AH30" s="112"/>
      <c r="AI30" s="112"/>
      <c r="AJ30" s="113">
        <f t="shared" ref="AJ30:AN30" si="38">SUM(AJ26:AJ29)</f>
        <v>0</v>
      </c>
      <c r="AK30" s="113">
        <f t="shared" si="38"/>
        <v>0</v>
      </c>
      <c r="AL30" s="113">
        <f t="shared" si="38"/>
        <v>0</v>
      </c>
      <c r="AM30" s="113">
        <f t="shared" si="38"/>
        <v>0</v>
      </c>
      <c r="AN30" s="113">
        <f t="shared" si="38"/>
        <v>0</v>
      </c>
      <c r="AO30" s="131"/>
      <c r="AP30" s="17"/>
      <c r="AQ30" s="113">
        <f t="shared" ref="AQ30:BB30" si="39">SUM(AQ26:AQ29)</f>
        <v>0</v>
      </c>
      <c r="AR30" s="113">
        <f t="shared" si="39"/>
        <v>0</v>
      </c>
      <c r="AS30" s="113">
        <f t="shared" si="39"/>
        <v>0</v>
      </c>
      <c r="AT30" s="113">
        <f t="shared" si="39"/>
        <v>0</v>
      </c>
      <c r="AU30" s="113">
        <f t="shared" si="39"/>
        <v>0</v>
      </c>
      <c r="AV30" s="113">
        <f t="shared" si="39"/>
        <v>0</v>
      </c>
      <c r="AW30" s="113">
        <f t="shared" si="39"/>
        <v>0</v>
      </c>
      <c r="AX30" s="113">
        <f t="shared" si="39"/>
        <v>0</v>
      </c>
      <c r="AY30" s="113">
        <f t="shared" si="39"/>
        <v>0</v>
      </c>
      <c r="AZ30" s="113">
        <f t="shared" si="39"/>
        <v>0</v>
      </c>
      <c r="BA30" s="113">
        <f t="shared" si="39"/>
        <v>0</v>
      </c>
      <c r="BB30" s="113">
        <f t="shared" si="39"/>
        <v>0</v>
      </c>
    </row>
    <row r="31" spans="1:54" s="13" customFormat="1" ht="15.6" customHeight="1">
      <c r="A31" s="101"/>
      <c r="B31" s="319" t="s">
        <v>211</v>
      </c>
      <c r="C31" s="320"/>
      <c r="D31" s="320"/>
      <c r="E31" s="321"/>
      <c r="F31" s="292"/>
      <c r="G31" s="292"/>
      <c r="H31" s="292" t="s">
        <v>63</v>
      </c>
      <c r="I31" s="40"/>
      <c r="J31" s="40"/>
      <c r="K31" s="40"/>
      <c r="L31" s="41">
        <f>SUM(L32,L40,L80)</f>
        <v>0</v>
      </c>
      <c r="M31" s="41">
        <f>SUM(M32,M40,M80)</f>
        <v>0</v>
      </c>
      <c r="N31" s="40"/>
      <c r="O31" s="40"/>
      <c r="P31" s="40"/>
      <c r="Q31" s="40"/>
      <c r="R31" s="41">
        <f t="shared" ref="R31:U31" si="40">SUM(R32,R40,R80)</f>
        <v>0</v>
      </c>
      <c r="S31" s="41">
        <f t="shared" si="40"/>
        <v>0</v>
      </c>
      <c r="T31" s="41">
        <f t="shared" si="40"/>
        <v>0</v>
      </c>
      <c r="U31" s="41">
        <f t="shared" si="40"/>
        <v>0</v>
      </c>
      <c r="V31" s="40"/>
      <c r="W31" s="40"/>
      <c r="X31" s="40"/>
      <c r="Y31" s="41">
        <f>SUM(Y32,Y40,Y80)</f>
        <v>0</v>
      </c>
      <c r="Z31" s="40"/>
      <c r="AA31" s="40"/>
      <c r="AB31" s="41">
        <f t="shared" ref="AB31:AF31" si="41">SUM(AB32,AB40,AB80)</f>
        <v>0</v>
      </c>
      <c r="AC31" s="41">
        <f t="shared" si="41"/>
        <v>0</v>
      </c>
      <c r="AD31" s="41">
        <f t="shared" si="41"/>
        <v>0</v>
      </c>
      <c r="AE31" s="41">
        <f t="shared" si="41"/>
        <v>0</v>
      </c>
      <c r="AF31" s="41">
        <f t="shared" si="41"/>
        <v>0</v>
      </c>
      <c r="AG31" s="41"/>
      <c r="AH31" s="41"/>
      <c r="AI31" s="41"/>
      <c r="AJ31" s="41">
        <f t="shared" ref="AJ31:AN31" si="42">SUM(AJ32,AJ40,AJ80)</f>
        <v>0</v>
      </c>
      <c r="AK31" s="41">
        <f t="shared" si="42"/>
        <v>0</v>
      </c>
      <c r="AL31" s="41">
        <f t="shared" si="42"/>
        <v>0</v>
      </c>
      <c r="AM31" s="41">
        <f t="shared" si="42"/>
        <v>0</v>
      </c>
      <c r="AN31" s="41">
        <f t="shared" si="42"/>
        <v>0</v>
      </c>
      <c r="AO31" s="129"/>
      <c r="AQ31" s="41">
        <f t="shared" ref="AQ31:BB31" si="43">SUM(AQ32,AQ40,AQ80)</f>
        <v>0</v>
      </c>
      <c r="AR31" s="41">
        <f t="shared" si="43"/>
        <v>0</v>
      </c>
      <c r="AS31" s="41">
        <f t="shared" si="43"/>
        <v>0</v>
      </c>
      <c r="AT31" s="41">
        <f t="shared" si="43"/>
        <v>0</v>
      </c>
      <c r="AU31" s="41">
        <f t="shared" si="43"/>
        <v>0</v>
      </c>
      <c r="AV31" s="41">
        <f t="shared" si="43"/>
        <v>0</v>
      </c>
      <c r="AW31" s="41">
        <f t="shared" si="43"/>
        <v>0</v>
      </c>
      <c r="AX31" s="41">
        <f t="shared" si="43"/>
        <v>0</v>
      </c>
      <c r="AY31" s="41">
        <f t="shared" si="43"/>
        <v>0</v>
      </c>
      <c r="AZ31" s="41">
        <f t="shared" si="43"/>
        <v>0</v>
      </c>
      <c r="BA31" s="41">
        <f t="shared" si="43"/>
        <v>0</v>
      </c>
      <c r="BB31" s="41">
        <f t="shared" si="43"/>
        <v>0</v>
      </c>
    </row>
    <row r="32" spans="1:54" s="13" customFormat="1" ht="15.6" customHeight="1">
      <c r="A32" s="101"/>
      <c r="B32" s="155"/>
      <c r="C32" s="322" t="s">
        <v>210</v>
      </c>
      <c r="D32" s="322"/>
      <c r="E32" s="323"/>
      <c r="F32" s="299"/>
      <c r="G32" s="299"/>
      <c r="H32" s="293" t="s">
        <v>181</v>
      </c>
      <c r="I32" s="37"/>
      <c r="J32" s="37"/>
      <c r="K32" s="37"/>
      <c r="L32" s="42">
        <f>SUM(L39)</f>
        <v>0</v>
      </c>
      <c r="M32" s="42">
        <f>SUM(M39)</f>
        <v>0</v>
      </c>
      <c r="N32" s="42"/>
      <c r="O32" s="42"/>
      <c r="P32" s="42"/>
      <c r="Q32" s="42"/>
      <c r="R32" s="42">
        <f t="shared" ref="R32:U32" si="44">SUM(R39)</f>
        <v>0</v>
      </c>
      <c r="S32" s="42">
        <f t="shared" si="44"/>
        <v>0</v>
      </c>
      <c r="T32" s="42">
        <f t="shared" si="44"/>
        <v>0</v>
      </c>
      <c r="U32" s="42">
        <f t="shared" si="44"/>
        <v>0</v>
      </c>
      <c r="V32" s="42"/>
      <c r="W32" s="42"/>
      <c r="X32" s="42"/>
      <c r="Y32" s="42">
        <f>SUM(Y39)</f>
        <v>0</v>
      </c>
      <c r="Z32" s="42"/>
      <c r="AA32" s="42"/>
      <c r="AB32" s="42">
        <f t="shared" ref="AB32:AF32" si="45">SUM(AB39)</f>
        <v>0</v>
      </c>
      <c r="AC32" s="42">
        <f t="shared" si="45"/>
        <v>0</v>
      </c>
      <c r="AD32" s="42">
        <f t="shared" si="45"/>
        <v>0</v>
      </c>
      <c r="AE32" s="42">
        <f t="shared" si="45"/>
        <v>0</v>
      </c>
      <c r="AF32" s="42">
        <f t="shared" si="45"/>
        <v>0</v>
      </c>
      <c r="AG32" s="42"/>
      <c r="AH32" s="42"/>
      <c r="AI32" s="42"/>
      <c r="AJ32" s="42">
        <f t="shared" ref="AJ32:AN32" si="46">SUM(AJ39)</f>
        <v>0</v>
      </c>
      <c r="AK32" s="42">
        <f t="shared" si="46"/>
        <v>0</v>
      </c>
      <c r="AL32" s="42">
        <f t="shared" si="46"/>
        <v>0</v>
      </c>
      <c r="AM32" s="42">
        <f t="shared" si="46"/>
        <v>0</v>
      </c>
      <c r="AN32" s="42">
        <f t="shared" si="46"/>
        <v>0</v>
      </c>
      <c r="AO32" s="130"/>
      <c r="AP32" s="83"/>
      <c r="AQ32" s="42">
        <f t="shared" ref="AQ32:BB32" si="47">SUM(AQ39)</f>
        <v>0</v>
      </c>
      <c r="AR32" s="42">
        <f t="shared" si="47"/>
        <v>0</v>
      </c>
      <c r="AS32" s="42">
        <f t="shared" si="47"/>
        <v>0</v>
      </c>
      <c r="AT32" s="42">
        <f t="shared" si="47"/>
        <v>0</v>
      </c>
      <c r="AU32" s="42">
        <f t="shared" si="47"/>
        <v>0</v>
      </c>
      <c r="AV32" s="42">
        <f t="shared" si="47"/>
        <v>0</v>
      </c>
      <c r="AW32" s="42">
        <f t="shared" si="47"/>
        <v>0</v>
      </c>
      <c r="AX32" s="42">
        <f t="shared" si="47"/>
        <v>0</v>
      </c>
      <c r="AY32" s="42">
        <f t="shared" si="47"/>
        <v>0</v>
      </c>
      <c r="AZ32" s="42">
        <f t="shared" si="47"/>
        <v>0</v>
      </c>
      <c r="BA32" s="42">
        <f t="shared" si="47"/>
        <v>0</v>
      </c>
      <c r="BB32" s="42">
        <f t="shared" si="47"/>
        <v>0</v>
      </c>
    </row>
    <row r="33" spans="1:54" ht="41.4" outlineLevel="2">
      <c r="A33" s="98"/>
      <c r="B33" s="143"/>
      <c r="C33" s="144"/>
      <c r="D33" s="149"/>
      <c r="E33" s="149"/>
      <c r="F33" s="288"/>
      <c r="G33" s="289"/>
      <c r="H33" s="272"/>
      <c r="I33" s="135"/>
      <c r="J33" s="136"/>
      <c r="K33" s="136"/>
      <c r="L33" s="106" t="str">
        <f>IF(I33&lt;&gt;0,((VLOOKUP(I33,'1. Standard_Cost'!$B$4:$D$11,2)+VLOOKUP(I33,'1. Standard_Cost'!$B$4:$D$11,3))*J33*K33),"0")</f>
        <v>0</v>
      </c>
      <c r="M33" s="106">
        <f>L33*'1. Standard_Cost'!$F$4</f>
        <v>0</v>
      </c>
      <c r="N33" s="107"/>
      <c r="O33" s="107"/>
      <c r="P33" s="107"/>
      <c r="Q33" s="107"/>
      <c r="R33" s="108">
        <f>'1. Standard_Cost'!$B$15*N33*P33</f>
        <v>0</v>
      </c>
      <c r="S33" s="108">
        <f>N33*O33*P33*'1. Standard_Cost'!$C$15</f>
        <v>0</v>
      </c>
      <c r="T33" s="108">
        <f>N33*P33*Q33*'1. Standard_Cost'!$D$15</f>
        <v>0</v>
      </c>
      <c r="U33" s="108">
        <f>N33*O33*'1. Standard_Cost'!$E$15</f>
        <v>0</v>
      </c>
      <c r="V33" s="107"/>
      <c r="W33" s="107"/>
      <c r="X33" s="107"/>
      <c r="Y33" s="108">
        <f>+V33*((X33*'1. Standard_Cost'!$B$19)+(W33*X33*'1. Standard_Cost'!$C$19))</f>
        <v>0</v>
      </c>
      <c r="Z33" s="107"/>
      <c r="AA33" s="107"/>
      <c r="AB33" s="108">
        <f>+Z33*'1. Standard_Cost'!$B$23+AA33*'1. Standard_Cost'!$C$23</f>
        <v>0</v>
      </c>
      <c r="AC33" s="109"/>
      <c r="AD33" s="110"/>
      <c r="AE33" s="108">
        <f>SUM(AD33,AC33,AB33,Y33,U33,T33,S33,R33)*'1. Standard_Cost'!$B$31</f>
        <v>0</v>
      </c>
      <c r="AF33" s="108">
        <f t="shared" ref="AF33:AF38" si="48">SUM(AE33,AD33,AC33,AB33,Y33,U33,T33,S33,R33)</f>
        <v>0</v>
      </c>
      <c r="AG33" s="107"/>
      <c r="AH33" s="107"/>
      <c r="AI33" s="107"/>
      <c r="AJ33" s="111"/>
      <c r="AK33" s="111"/>
      <c r="AL33" s="111"/>
      <c r="AM33" s="108">
        <f>AG33*'1. Standard_Cost'!$B$27+'Incremental_Cost Year 7'!AH33*'1. Standard_Cost'!$C$27+'Incremental_Cost Year 7'!AI33*'1. Standard_Cost'!$D$27+'Incremental_Cost Year 7'!AJ33+'Incremental_Cost Year 7'!AL33+AK33</f>
        <v>0</v>
      </c>
      <c r="AN33" s="108">
        <f>AM33*'1. Standard_Cost'!$C$31</f>
        <v>0</v>
      </c>
      <c r="AO33" s="125" t="s">
        <v>287</v>
      </c>
      <c r="AQ33" s="14">
        <f t="shared" ref="AQ33:AQ38" si="49">L33+M33</f>
        <v>0</v>
      </c>
      <c r="AR33" s="14">
        <f t="shared" ref="AR33:AR38" si="50">AF33</f>
        <v>0</v>
      </c>
      <c r="AS33" s="14">
        <f t="shared" ref="AS33:AS38" si="51">AM33+AN33</f>
        <v>0</v>
      </c>
      <c r="AT33" s="14">
        <f>SUM(AQ33,AR33,AS33)</f>
        <v>0</v>
      </c>
      <c r="AU33" s="15"/>
      <c r="AV33" s="15"/>
      <c r="AW33" s="15"/>
      <c r="AX33" s="15"/>
      <c r="AY33" s="15"/>
      <c r="AZ33" s="15"/>
      <c r="BA33" s="15"/>
      <c r="BB33" s="16">
        <f t="shared" ref="BB33:BB38" si="52">SUM(AU33:BA33)-AT33</f>
        <v>0</v>
      </c>
    </row>
    <row r="34" spans="1:54" ht="55.2" outlineLevel="2">
      <c r="A34" s="98"/>
      <c r="B34" s="143"/>
      <c r="C34" s="144"/>
      <c r="D34" s="290"/>
      <c r="E34" s="290"/>
      <c r="F34" s="290"/>
      <c r="G34" s="291"/>
      <c r="H34" s="272"/>
      <c r="I34" s="135"/>
      <c r="J34" s="136"/>
      <c r="K34" s="136"/>
      <c r="L34" s="106" t="str">
        <f>IF(I34&lt;&gt;0,((VLOOKUP(I34,'1. Standard_Cost'!$B$4:$D$11,2)+VLOOKUP(I34,'1. Standard_Cost'!$B$4:$D$11,3))*J34*K34),"0")</f>
        <v>0</v>
      </c>
      <c r="M34" s="106">
        <f>L34*'1. Standard_Cost'!$F$4</f>
        <v>0</v>
      </c>
      <c r="N34" s="107"/>
      <c r="O34" s="107"/>
      <c r="P34" s="107"/>
      <c r="Q34" s="107"/>
      <c r="R34" s="108">
        <f>'1. Standard_Cost'!$B$15*N34*P34</f>
        <v>0</v>
      </c>
      <c r="S34" s="108">
        <f>N34*O34*P34*'1. Standard_Cost'!$C$15</f>
        <v>0</v>
      </c>
      <c r="T34" s="108">
        <f>N34*P34*Q34*'1. Standard_Cost'!$D$15</f>
        <v>0</v>
      </c>
      <c r="U34" s="108">
        <f>N34*O34*'1. Standard_Cost'!$E$15</f>
        <v>0</v>
      </c>
      <c r="V34" s="107"/>
      <c r="W34" s="107"/>
      <c r="X34" s="107"/>
      <c r="Y34" s="108">
        <f>+V34*((X34*'1. Standard_Cost'!$B$19)+(W34*X34*'1. Standard_Cost'!$C$19))</f>
        <v>0</v>
      </c>
      <c r="Z34" s="107"/>
      <c r="AA34" s="107"/>
      <c r="AB34" s="108">
        <f>+Z34*'1. Standard_Cost'!$B$23+AA34*'1. Standard_Cost'!$C$23</f>
        <v>0</v>
      </c>
      <c r="AC34" s="109"/>
      <c r="AD34" s="110"/>
      <c r="AE34" s="108">
        <f>SUM(AD34,AC34,AB34,Y34,U34,T34,S34,R34)*'1. Standard_Cost'!$B$31</f>
        <v>0</v>
      </c>
      <c r="AF34" s="108">
        <f t="shared" si="48"/>
        <v>0</v>
      </c>
      <c r="AG34" s="107"/>
      <c r="AH34" s="107"/>
      <c r="AI34" s="107"/>
      <c r="AJ34" s="111"/>
      <c r="AK34" s="111"/>
      <c r="AL34" s="111"/>
      <c r="AM34" s="108">
        <f>AG34*'1. Standard_Cost'!$B$27+'Incremental_Cost Year 7'!AH34*'1. Standard_Cost'!$C$27+'Incremental_Cost Year 7'!AI34*'1. Standard_Cost'!$D$27+'Incremental_Cost Year 7'!AJ34+'Incremental_Cost Year 7'!AL34+AK34</f>
        <v>0</v>
      </c>
      <c r="AN34" s="108">
        <f>AM34*'1. Standard_Cost'!$C$31</f>
        <v>0</v>
      </c>
      <c r="AO34" s="125" t="s">
        <v>288</v>
      </c>
      <c r="AQ34" s="14">
        <f t="shared" si="49"/>
        <v>0</v>
      </c>
      <c r="AR34" s="14">
        <f t="shared" si="50"/>
        <v>0</v>
      </c>
      <c r="AS34" s="14">
        <f t="shared" si="51"/>
        <v>0</v>
      </c>
      <c r="AT34" s="14">
        <f t="shared" ref="AT34:AT38" si="53">SUM(AQ34,AR34,AS34)</f>
        <v>0</v>
      </c>
      <c r="AU34" s="15"/>
      <c r="AV34" s="15"/>
      <c r="AW34" s="15"/>
      <c r="AX34" s="15"/>
      <c r="AY34" s="15"/>
      <c r="AZ34" s="15"/>
      <c r="BA34" s="15"/>
      <c r="BB34" s="16">
        <f t="shared" si="52"/>
        <v>0</v>
      </c>
    </row>
    <row r="35" spans="1:54" ht="27.6" outlineLevel="2">
      <c r="A35" s="98"/>
      <c r="B35" s="143"/>
      <c r="C35" s="144"/>
      <c r="D35" s="290"/>
      <c r="E35" s="290"/>
      <c r="F35" s="290"/>
      <c r="G35" s="291"/>
      <c r="H35" s="272"/>
      <c r="I35" s="104"/>
      <c r="J35" s="105"/>
      <c r="K35" s="105"/>
      <c r="L35" s="106" t="str">
        <f>IF(I35&lt;&gt;0,((VLOOKUP(I35,'1. Standard_Cost'!$B$4:$D$11,2)+VLOOKUP(I35,'1. Standard_Cost'!$B$4:$D$11,3))*J35*K35),"0")</f>
        <v>0</v>
      </c>
      <c r="M35" s="106">
        <f>L35*'1. Standard_Cost'!$F$4</f>
        <v>0</v>
      </c>
      <c r="N35" s="107"/>
      <c r="O35" s="107"/>
      <c r="P35" s="107"/>
      <c r="Q35" s="107"/>
      <c r="R35" s="108">
        <f>'1. Standard_Cost'!$B$15*N35*P35</f>
        <v>0</v>
      </c>
      <c r="S35" s="108">
        <f>N35*O35*P35*'1. Standard_Cost'!$C$15</f>
        <v>0</v>
      </c>
      <c r="T35" s="108">
        <f>N35*P35*Q35*'1. Standard_Cost'!$D$15</f>
        <v>0</v>
      </c>
      <c r="U35" s="108">
        <f>N35*O35*'1. Standard_Cost'!$E$15</f>
        <v>0</v>
      </c>
      <c r="V35" s="107"/>
      <c r="W35" s="107"/>
      <c r="X35" s="107"/>
      <c r="Y35" s="108">
        <f>+V35*((X35*'1. Standard_Cost'!$B$19)+(W35*X35*'1. Standard_Cost'!$C$19))</f>
        <v>0</v>
      </c>
      <c r="Z35" s="107"/>
      <c r="AA35" s="107"/>
      <c r="AB35" s="108">
        <f>+Z35*'1. Standard_Cost'!$B$23+AA35*'1. Standard_Cost'!$C$23</f>
        <v>0</v>
      </c>
      <c r="AC35" s="109"/>
      <c r="AD35" s="110"/>
      <c r="AE35" s="108">
        <f>SUM(AD35,AC35,AB35,Y35,U35,T35,S35,R35)*'1. Standard_Cost'!$B$31</f>
        <v>0</v>
      </c>
      <c r="AF35" s="108">
        <f t="shared" si="48"/>
        <v>0</v>
      </c>
      <c r="AG35" s="107"/>
      <c r="AH35" s="107"/>
      <c r="AI35" s="107"/>
      <c r="AJ35" s="111"/>
      <c r="AK35" s="111"/>
      <c r="AL35" s="111"/>
      <c r="AM35" s="108">
        <f>AG35*'1. Standard_Cost'!$B$27+'Incremental_Cost Year 7'!AH35*'1. Standard_Cost'!$C$27+'Incremental_Cost Year 7'!AI35*'1. Standard_Cost'!$D$27+'Incremental_Cost Year 7'!AJ35+'Incremental_Cost Year 7'!AL35+AK35</f>
        <v>0</v>
      </c>
      <c r="AN35" s="108">
        <f>AM35*'1. Standard_Cost'!$C$31</f>
        <v>0</v>
      </c>
      <c r="AO35" s="125" t="s">
        <v>289</v>
      </c>
      <c r="AQ35" s="14">
        <f t="shared" si="49"/>
        <v>0</v>
      </c>
      <c r="AR35" s="14">
        <f t="shared" si="50"/>
        <v>0</v>
      </c>
      <c r="AS35" s="14">
        <f t="shared" si="51"/>
        <v>0</v>
      </c>
      <c r="AT35" s="14">
        <f t="shared" si="53"/>
        <v>0</v>
      </c>
      <c r="AU35" s="15"/>
      <c r="AV35" s="15"/>
      <c r="AW35" s="15"/>
      <c r="AX35" s="15"/>
      <c r="AY35" s="15"/>
      <c r="AZ35" s="15"/>
      <c r="BA35" s="15"/>
      <c r="BB35" s="16">
        <f t="shared" si="52"/>
        <v>0</v>
      </c>
    </row>
    <row r="36" spans="1:54" ht="55.2" outlineLevel="2">
      <c r="A36" s="98"/>
      <c r="B36" s="143"/>
      <c r="C36" s="144"/>
      <c r="D36" s="290"/>
      <c r="E36" s="290"/>
      <c r="F36" s="290"/>
      <c r="G36" s="291"/>
      <c r="H36" s="272"/>
      <c r="I36" s="135"/>
      <c r="J36" s="136"/>
      <c r="K36" s="136"/>
      <c r="L36" s="106" t="str">
        <f>IF(I36&lt;&gt;0,((VLOOKUP(I36,'1. Standard_Cost'!$B$4:$D$11,2)+VLOOKUP(I36,'1. Standard_Cost'!$B$4:$D$11,3))*J36*K36),"0")</f>
        <v>0</v>
      </c>
      <c r="M36" s="106">
        <f>L36*'1. Standard_Cost'!$F$4</f>
        <v>0</v>
      </c>
      <c r="N36" s="107"/>
      <c r="O36" s="107"/>
      <c r="P36" s="107"/>
      <c r="Q36" s="107"/>
      <c r="R36" s="108">
        <f>'1. Standard_Cost'!$B$15*N36*P36</f>
        <v>0</v>
      </c>
      <c r="S36" s="108">
        <f>N36*O36*P36*'1. Standard_Cost'!$C$15</f>
        <v>0</v>
      </c>
      <c r="T36" s="108">
        <f>N36*P36*Q36*'1. Standard_Cost'!$D$15</f>
        <v>0</v>
      </c>
      <c r="U36" s="108">
        <f>N36*O36*'1. Standard_Cost'!$E$15</f>
        <v>0</v>
      </c>
      <c r="V36" s="107"/>
      <c r="W36" s="107"/>
      <c r="X36" s="107"/>
      <c r="Y36" s="108">
        <f>+V36*((X36*'1. Standard_Cost'!$B$19)+(W36*X36*'1. Standard_Cost'!$C$19))</f>
        <v>0</v>
      </c>
      <c r="Z36" s="107"/>
      <c r="AA36" s="107"/>
      <c r="AB36" s="108">
        <f>+Z36*'1. Standard_Cost'!$B$23+AA36*'1. Standard_Cost'!$C$23</f>
        <v>0</v>
      </c>
      <c r="AC36" s="109"/>
      <c r="AD36" s="110"/>
      <c r="AE36" s="108">
        <f>SUM(AD36,AC36,AB36,Y36,U36,T36,S36,R36)*'1. Standard_Cost'!$B$31</f>
        <v>0</v>
      </c>
      <c r="AF36" s="108">
        <f t="shared" si="48"/>
        <v>0</v>
      </c>
      <c r="AG36" s="107"/>
      <c r="AH36" s="107"/>
      <c r="AI36" s="107"/>
      <c r="AJ36" s="111"/>
      <c r="AK36" s="111"/>
      <c r="AL36" s="111"/>
      <c r="AM36" s="108">
        <f>AG36*'1. Standard_Cost'!$B$27+'Incremental_Cost Year 7'!AH36*'1. Standard_Cost'!$C$27+'Incremental_Cost Year 7'!AI36*'1. Standard_Cost'!$D$27+'Incremental_Cost Year 7'!AJ36+'Incremental_Cost Year 7'!AL36+AK36</f>
        <v>0</v>
      </c>
      <c r="AN36" s="108">
        <f>AM36*'1. Standard_Cost'!$C$31</f>
        <v>0</v>
      </c>
      <c r="AO36" s="125" t="s">
        <v>290</v>
      </c>
      <c r="AQ36" s="14">
        <f t="shared" si="49"/>
        <v>0</v>
      </c>
      <c r="AR36" s="14">
        <f t="shared" si="50"/>
        <v>0</v>
      </c>
      <c r="AS36" s="14">
        <f t="shared" si="51"/>
        <v>0</v>
      </c>
      <c r="AT36" s="14">
        <f t="shared" si="53"/>
        <v>0</v>
      </c>
      <c r="AU36" s="15"/>
      <c r="AV36" s="15"/>
      <c r="AW36" s="15"/>
      <c r="AX36" s="15"/>
      <c r="AY36" s="15"/>
      <c r="AZ36" s="15"/>
      <c r="BA36" s="15"/>
      <c r="BB36" s="16">
        <f t="shared" si="52"/>
        <v>0</v>
      </c>
    </row>
    <row r="37" spans="1:54" ht="27.6" outlineLevel="2">
      <c r="A37" s="98"/>
      <c r="B37" s="143"/>
      <c r="C37" s="144"/>
      <c r="D37" s="290"/>
      <c r="E37" s="290"/>
      <c r="F37" s="290"/>
      <c r="G37" s="291"/>
      <c r="H37" s="272"/>
      <c r="I37" s="104"/>
      <c r="J37" s="105"/>
      <c r="K37" s="105"/>
      <c r="L37" s="106" t="str">
        <f>IF(I37&lt;&gt;0,((VLOOKUP(I37,'1. Standard_Cost'!$B$4:$D$11,2)+VLOOKUP(I37,'1. Standard_Cost'!$B$4:$D$11,3))*J37*K37),"0")</f>
        <v>0</v>
      </c>
      <c r="M37" s="106">
        <f>L37*'1. Standard_Cost'!$F$4</f>
        <v>0</v>
      </c>
      <c r="N37" s="107"/>
      <c r="O37" s="107"/>
      <c r="P37" s="107"/>
      <c r="Q37" s="107"/>
      <c r="R37" s="108">
        <f>'1. Standard_Cost'!$B$15*N37*P37</f>
        <v>0</v>
      </c>
      <c r="S37" s="108">
        <f>N37*O37*P37*'1. Standard_Cost'!$C$15</f>
        <v>0</v>
      </c>
      <c r="T37" s="108">
        <f>N37*P37*Q37*'1. Standard_Cost'!$D$15</f>
        <v>0</v>
      </c>
      <c r="U37" s="108">
        <f>N37*O37*'1. Standard_Cost'!$E$15</f>
        <v>0</v>
      </c>
      <c r="V37" s="107"/>
      <c r="W37" s="107"/>
      <c r="X37" s="107"/>
      <c r="Y37" s="108">
        <f>+V37*((X37*'1. Standard_Cost'!$B$19)+(W37*X37*'1. Standard_Cost'!$C$19))</f>
        <v>0</v>
      </c>
      <c r="Z37" s="107"/>
      <c r="AA37" s="107"/>
      <c r="AB37" s="108">
        <f>+Z37*'1. Standard_Cost'!$B$23+AA37*'1. Standard_Cost'!$C$23</f>
        <v>0</v>
      </c>
      <c r="AC37" s="109"/>
      <c r="AD37" s="110"/>
      <c r="AE37" s="108">
        <f>SUM(AD37,AC37,AB37,Y37,U37,T37,S37,R37)*'1. Standard_Cost'!$B$31</f>
        <v>0</v>
      </c>
      <c r="AF37" s="108">
        <f t="shared" si="48"/>
        <v>0</v>
      </c>
      <c r="AG37" s="107"/>
      <c r="AH37" s="107"/>
      <c r="AI37" s="107"/>
      <c r="AJ37" s="111"/>
      <c r="AK37" s="111"/>
      <c r="AL37" s="111"/>
      <c r="AM37" s="108">
        <f>AG37*'1. Standard_Cost'!$B$27+'Incremental_Cost Year 7'!AH37*'1. Standard_Cost'!$C$27+'Incremental_Cost Year 7'!AI37*'1. Standard_Cost'!$D$27+'Incremental_Cost Year 7'!AJ37+'Incremental_Cost Year 7'!AL37+AK37</f>
        <v>0</v>
      </c>
      <c r="AN37" s="108">
        <f>AM37*'1. Standard_Cost'!$C$31</f>
        <v>0</v>
      </c>
      <c r="AO37" s="125" t="s">
        <v>291</v>
      </c>
      <c r="AQ37" s="14">
        <f t="shared" si="49"/>
        <v>0</v>
      </c>
      <c r="AR37" s="14">
        <f t="shared" si="50"/>
        <v>0</v>
      </c>
      <c r="AS37" s="14">
        <f t="shared" si="51"/>
        <v>0</v>
      </c>
      <c r="AT37" s="14">
        <f t="shared" si="53"/>
        <v>0</v>
      </c>
      <c r="AU37" s="15"/>
      <c r="AV37" s="15"/>
      <c r="AW37" s="15"/>
      <c r="AX37" s="15"/>
      <c r="AY37" s="15"/>
      <c r="AZ37" s="15"/>
      <c r="BA37" s="15"/>
      <c r="BB37" s="16">
        <f t="shared" si="52"/>
        <v>0</v>
      </c>
    </row>
    <row r="38" spans="1:54" ht="27.6" outlineLevel="2">
      <c r="A38" s="98"/>
      <c r="B38" s="143"/>
      <c r="C38" s="144"/>
      <c r="D38" s="290"/>
      <c r="E38" s="290"/>
      <c r="F38" s="290"/>
      <c r="G38" s="291"/>
      <c r="H38" s="272"/>
      <c r="I38" s="104"/>
      <c r="J38" s="105"/>
      <c r="K38" s="105"/>
      <c r="L38" s="106" t="str">
        <f>IF(I38&lt;&gt;0,((VLOOKUP(I38,'1. Standard_Cost'!$B$4:$D$11,2)+VLOOKUP(I38,'1. Standard_Cost'!$B$4:$D$11,3))*J38*K38),"0")</f>
        <v>0</v>
      </c>
      <c r="M38" s="106">
        <f>L38*'1. Standard_Cost'!$F$4</f>
        <v>0</v>
      </c>
      <c r="N38" s="107"/>
      <c r="O38" s="107"/>
      <c r="P38" s="107"/>
      <c r="Q38" s="107"/>
      <c r="R38" s="108">
        <f>'1. Standard_Cost'!$B$15*N38*P38</f>
        <v>0</v>
      </c>
      <c r="S38" s="108">
        <f>N38*O38*P38*'1. Standard_Cost'!$C$15</f>
        <v>0</v>
      </c>
      <c r="T38" s="108">
        <f>N38*P38*Q38*'1. Standard_Cost'!$D$15</f>
        <v>0</v>
      </c>
      <c r="U38" s="108">
        <f>N38*O38*'1. Standard_Cost'!$E$15</f>
        <v>0</v>
      </c>
      <c r="V38" s="107"/>
      <c r="W38" s="107"/>
      <c r="X38" s="107"/>
      <c r="Y38" s="108">
        <f>+V38*((X38*'1. Standard_Cost'!$B$19)+(W38*X38*'1. Standard_Cost'!$C$19))</f>
        <v>0</v>
      </c>
      <c r="Z38" s="107"/>
      <c r="AA38" s="107"/>
      <c r="AB38" s="108">
        <f>+Z38*'1. Standard_Cost'!$B$23+AA38*'1. Standard_Cost'!$C$23</f>
        <v>0</v>
      </c>
      <c r="AC38" s="109"/>
      <c r="AD38" s="110"/>
      <c r="AE38" s="108">
        <f>SUM(AD38,AC38,AB38,Y38,U38,T38,S38,R38)*'1. Standard_Cost'!$B$31</f>
        <v>0</v>
      </c>
      <c r="AF38" s="108">
        <f t="shared" si="48"/>
        <v>0</v>
      </c>
      <c r="AG38" s="107"/>
      <c r="AH38" s="107"/>
      <c r="AI38" s="107"/>
      <c r="AJ38" s="111"/>
      <c r="AK38" s="111"/>
      <c r="AL38" s="111"/>
      <c r="AM38" s="108">
        <f>AG38*'1. Standard_Cost'!$B$27+'Incremental_Cost Year 7'!AH38*'1. Standard_Cost'!$C$27+'Incremental_Cost Year 7'!AI38*'1. Standard_Cost'!$D$27+'Incremental_Cost Year 7'!AJ38+'Incremental_Cost Year 7'!AL38+AK38</f>
        <v>0</v>
      </c>
      <c r="AN38" s="108">
        <f>AM38*'1. Standard_Cost'!$C$31</f>
        <v>0</v>
      </c>
      <c r="AO38" s="125" t="s">
        <v>292</v>
      </c>
      <c r="AQ38" s="14">
        <f t="shared" si="49"/>
        <v>0</v>
      </c>
      <c r="AR38" s="14">
        <f t="shared" si="50"/>
        <v>0</v>
      </c>
      <c r="AS38" s="14">
        <f t="shared" si="51"/>
        <v>0</v>
      </c>
      <c r="AT38" s="14">
        <f t="shared" si="53"/>
        <v>0</v>
      </c>
      <c r="AU38" s="15"/>
      <c r="AV38" s="15"/>
      <c r="AW38" s="15"/>
      <c r="AX38" s="15"/>
      <c r="AY38" s="15"/>
      <c r="AZ38" s="15"/>
      <c r="BA38" s="15"/>
      <c r="BB38" s="16">
        <f t="shared" si="52"/>
        <v>0</v>
      </c>
    </row>
    <row r="39" spans="1:54" ht="46.8" outlineLevel="1">
      <c r="A39" s="98"/>
      <c r="B39" s="143"/>
      <c r="C39" s="144"/>
      <c r="D39" s="145" t="s">
        <v>47</v>
      </c>
      <c r="E39" s="145" t="s">
        <v>212</v>
      </c>
      <c r="F39" s="285">
        <v>2021</v>
      </c>
      <c r="G39" s="286">
        <v>2026</v>
      </c>
      <c r="H39" s="287" t="s">
        <v>214</v>
      </c>
      <c r="I39" s="112"/>
      <c r="J39" s="112"/>
      <c r="K39" s="112"/>
      <c r="L39" s="113">
        <f>SUM(L33:L38)</f>
        <v>0</v>
      </c>
      <c r="M39" s="113">
        <f>SUM(M33:M38)</f>
        <v>0</v>
      </c>
      <c r="N39" s="112"/>
      <c r="O39" s="112"/>
      <c r="P39" s="112"/>
      <c r="Q39" s="112"/>
      <c r="R39" s="113">
        <f t="shared" ref="R39:U39" si="54">SUM(R33:R38)</f>
        <v>0</v>
      </c>
      <c r="S39" s="113">
        <f t="shared" si="54"/>
        <v>0</v>
      </c>
      <c r="T39" s="113">
        <f t="shared" si="54"/>
        <v>0</v>
      </c>
      <c r="U39" s="113">
        <f t="shared" si="54"/>
        <v>0</v>
      </c>
      <c r="V39" s="112"/>
      <c r="W39" s="112"/>
      <c r="X39" s="112"/>
      <c r="Y39" s="113">
        <f>SUM(Y33:Y38)</f>
        <v>0</v>
      </c>
      <c r="Z39" s="112"/>
      <c r="AA39" s="112"/>
      <c r="AB39" s="113">
        <f>SUM(AB33:AB38)</f>
        <v>0</v>
      </c>
      <c r="AC39" s="113">
        <f t="shared" ref="AC39:AF39" si="55">SUM(AC33:AC38)</f>
        <v>0</v>
      </c>
      <c r="AD39" s="113">
        <f t="shared" si="55"/>
        <v>0</v>
      </c>
      <c r="AE39" s="113">
        <f t="shared" si="55"/>
        <v>0</v>
      </c>
      <c r="AF39" s="113">
        <f t="shared" si="55"/>
        <v>0</v>
      </c>
      <c r="AG39" s="112"/>
      <c r="AH39" s="112"/>
      <c r="AI39" s="112"/>
      <c r="AJ39" s="113">
        <f t="shared" ref="AJ39:AN39" si="56">SUM(AJ33:AJ38)</f>
        <v>0</v>
      </c>
      <c r="AK39" s="113">
        <f t="shared" si="56"/>
        <v>0</v>
      </c>
      <c r="AL39" s="113">
        <f t="shared" si="56"/>
        <v>0</v>
      </c>
      <c r="AM39" s="113">
        <f t="shared" si="56"/>
        <v>0</v>
      </c>
      <c r="AN39" s="113">
        <f t="shared" si="56"/>
        <v>0</v>
      </c>
      <c r="AO39" s="131"/>
      <c r="AP39" s="17"/>
      <c r="AQ39" s="113">
        <f t="shared" ref="AQ39:BB39" si="57">SUM(AQ33:AQ38)</f>
        <v>0</v>
      </c>
      <c r="AR39" s="113">
        <f t="shared" si="57"/>
        <v>0</v>
      </c>
      <c r="AS39" s="113">
        <f t="shared" si="57"/>
        <v>0</v>
      </c>
      <c r="AT39" s="113">
        <f t="shared" si="57"/>
        <v>0</v>
      </c>
      <c r="AU39" s="113">
        <f t="shared" si="57"/>
        <v>0</v>
      </c>
      <c r="AV39" s="113">
        <f t="shared" si="57"/>
        <v>0</v>
      </c>
      <c r="AW39" s="113">
        <f t="shared" si="57"/>
        <v>0</v>
      </c>
      <c r="AX39" s="113">
        <f t="shared" si="57"/>
        <v>0</v>
      </c>
      <c r="AY39" s="113">
        <f t="shared" si="57"/>
        <v>0</v>
      </c>
      <c r="AZ39" s="113">
        <f t="shared" si="57"/>
        <v>0</v>
      </c>
      <c r="BA39" s="113">
        <f t="shared" si="57"/>
        <v>0</v>
      </c>
      <c r="BB39" s="113">
        <f t="shared" si="57"/>
        <v>0</v>
      </c>
    </row>
    <row r="40" spans="1:54" s="24" customFormat="1" ht="13.8" customHeight="1">
      <c r="A40" s="114"/>
      <c r="B40" s="115"/>
      <c r="C40" s="314" t="s">
        <v>192</v>
      </c>
      <c r="D40" s="314"/>
      <c r="E40" s="315"/>
      <c r="F40" s="246"/>
      <c r="G40" s="246"/>
      <c r="H40" s="278" t="s">
        <v>184</v>
      </c>
      <c r="I40" s="116"/>
      <c r="J40" s="116"/>
      <c r="K40" s="116"/>
      <c r="L40" s="117">
        <f>SUM(L59,L79)</f>
        <v>0</v>
      </c>
      <c r="M40" s="117">
        <f>SUM(M59,M79)</f>
        <v>0</v>
      </c>
      <c r="N40" s="116"/>
      <c r="O40" s="116"/>
      <c r="P40" s="116"/>
      <c r="Q40" s="116"/>
      <c r="R40" s="117">
        <f t="shared" ref="R40:U40" si="58">SUM(R59,R79)</f>
        <v>0</v>
      </c>
      <c r="S40" s="117">
        <f t="shared" si="58"/>
        <v>0</v>
      </c>
      <c r="T40" s="117">
        <f t="shared" si="58"/>
        <v>0</v>
      </c>
      <c r="U40" s="117">
        <f t="shared" si="58"/>
        <v>0</v>
      </c>
      <c r="V40" s="116"/>
      <c r="W40" s="116"/>
      <c r="X40" s="116"/>
      <c r="Y40" s="117">
        <f>SUM(Y59,Y79)</f>
        <v>0</v>
      </c>
      <c r="Z40" s="116"/>
      <c r="AA40" s="116"/>
      <c r="AB40" s="117">
        <f t="shared" ref="AB40:AF40" si="59">SUM(AB59,AB79)</f>
        <v>0</v>
      </c>
      <c r="AC40" s="117">
        <f t="shared" si="59"/>
        <v>0</v>
      </c>
      <c r="AD40" s="117">
        <f t="shared" si="59"/>
        <v>0</v>
      </c>
      <c r="AE40" s="117">
        <f t="shared" si="59"/>
        <v>0</v>
      </c>
      <c r="AF40" s="117">
        <f t="shared" si="59"/>
        <v>0</v>
      </c>
      <c r="AG40" s="116"/>
      <c r="AH40" s="116"/>
      <c r="AI40" s="116"/>
      <c r="AJ40" s="117">
        <f t="shared" ref="AJ40:AN40" si="60">SUM(AJ59,AJ79)</f>
        <v>0</v>
      </c>
      <c r="AK40" s="117">
        <f t="shared" si="60"/>
        <v>0</v>
      </c>
      <c r="AL40" s="117">
        <f t="shared" si="60"/>
        <v>0</v>
      </c>
      <c r="AM40" s="117">
        <f t="shared" si="60"/>
        <v>0</v>
      </c>
      <c r="AN40" s="117">
        <f t="shared" si="60"/>
        <v>0</v>
      </c>
      <c r="AO40" s="132"/>
      <c r="AP40" s="25"/>
      <c r="AQ40" s="117">
        <f t="shared" ref="AQ40:BB40" si="61">SUM(AQ59,AQ79)</f>
        <v>0</v>
      </c>
      <c r="AR40" s="117">
        <f t="shared" si="61"/>
        <v>0</v>
      </c>
      <c r="AS40" s="117">
        <f t="shared" si="61"/>
        <v>0</v>
      </c>
      <c r="AT40" s="117">
        <f t="shared" si="61"/>
        <v>0</v>
      </c>
      <c r="AU40" s="117">
        <f t="shared" si="61"/>
        <v>0</v>
      </c>
      <c r="AV40" s="117">
        <f t="shared" si="61"/>
        <v>0</v>
      </c>
      <c r="AW40" s="117">
        <f t="shared" si="61"/>
        <v>0</v>
      </c>
      <c r="AX40" s="117">
        <f t="shared" si="61"/>
        <v>0</v>
      </c>
      <c r="AY40" s="117">
        <f t="shared" si="61"/>
        <v>0</v>
      </c>
      <c r="AZ40" s="117">
        <f t="shared" si="61"/>
        <v>0</v>
      </c>
      <c r="BA40" s="117">
        <f t="shared" si="61"/>
        <v>0</v>
      </c>
      <c r="BB40" s="117">
        <f t="shared" si="61"/>
        <v>0</v>
      </c>
    </row>
    <row r="41" spans="1:54" ht="27.6" outlineLevel="2">
      <c r="A41" s="98"/>
      <c r="B41" s="102"/>
      <c r="C41" s="23"/>
      <c r="D41" s="257"/>
      <c r="E41" s="257"/>
      <c r="F41" s="251"/>
      <c r="G41" s="250"/>
      <c r="H41" s="272"/>
      <c r="I41" s="104"/>
      <c r="J41" s="105"/>
      <c r="K41" s="105"/>
      <c r="L41" s="106" t="str">
        <f>IF(I41&lt;&gt;0,((VLOOKUP(I41,'1. Standard_Cost'!$B$4:$D$11,2)+VLOOKUP(I41,'1. Standard_Cost'!$B$4:$D$11,3))*J41*K41),"0")</f>
        <v>0</v>
      </c>
      <c r="M41" s="106">
        <f>L41*'1. Standard_Cost'!$F$4</f>
        <v>0</v>
      </c>
      <c r="N41" s="107"/>
      <c r="O41" s="107"/>
      <c r="P41" s="107"/>
      <c r="Q41" s="107"/>
      <c r="R41" s="108">
        <f>'1. Standard_Cost'!$B$15*N41*P41</f>
        <v>0</v>
      </c>
      <c r="S41" s="108">
        <f>N41*O41*P41*'1. Standard_Cost'!$C$15</f>
        <v>0</v>
      </c>
      <c r="T41" s="108">
        <f>N41*P41*Q41*'1. Standard_Cost'!$D$15</f>
        <v>0</v>
      </c>
      <c r="U41" s="108">
        <f>N41*O41*'1. Standard_Cost'!$E$15</f>
        <v>0</v>
      </c>
      <c r="V41" s="107"/>
      <c r="W41" s="107"/>
      <c r="X41" s="107"/>
      <c r="Y41" s="108">
        <f>+V41*((X41*'1. Standard_Cost'!$B$19)+(W41*X41*'1. Standard_Cost'!$C$19))</f>
        <v>0</v>
      </c>
      <c r="Z41" s="107"/>
      <c r="AA41" s="107"/>
      <c r="AB41" s="108">
        <f>+Z41*'1. Standard_Cost'!$B$23+AA41*'1. Standard_Cost'!$C$23</f>
        <v>0</v>
      </c>
      <c r="AC41" s="109"/>
      <c r="AD41" s="110"/>
      <c r="AE41" s="108">
        <f>SUM(AD41,AC41,AB41,Y41,U41,T41,S41,R41)*'1. Standard_Cost'!$B$31</f>
        <v>0</v>
      </c>
      <c r="AF41" s="108">
        <f t="shared" ref="AF41:AF58" si="62">SUM(AE41,AD41,AC41,AB41,Y41,U41,T41,S41,R41)</f>
        <v>0</v>
      </c>
      <c r="AG41" s="107"/>
      <c r="AH41" s="107"/>
      <c r="AI41" s="107"/>
      <c r="AJ41" s="111"/>
      <c r="AK41" s="111"/>
      <c r="AL41" s="111"/>
      <c r="AM41" s="108">
        <f>AG41*'1. Standard_Cost'!$B$27+'Incremental_Cost Year 7'!AH41*'1. Standard_Cost'!$C$27+'Incremental_Cost Year 7'!AI41*'1. Standard_Cost'!$D$27+'Incremental_Cost Year 7'!AJ41+'Incremental_Cost Year 7'!AL41+AK41</f>
        <v>0</v>
      </c>
      <c r="AN41" s="108">
        <f>AM41*'1. Standard_Cost'!$C$31</f>
        <v>0</v>
      </c>
      <c r="AO41" s="125" t="s">
        <v>293</v>
      </c>
      <c r="AQ41" s="14">
        <f t="shared" ref="AQ41:AQ58" si="63">L41+M41</f>
        <v>0</v>
      </c>
      <c r="AR41" s="14">
        <f t="shared" ref="AR41:AR58" si="64">AF41</f>
        <v>0</v>
      </c>
      <c r="AS41" s="14">
        <f t="shared" ref="AS41:AS58" si="65">AM41+AN41</f>
        <v>0</v>
      </c>
      <c r="AT41" s="14">
        <f>SUM(AQ41,AR41,AS41)</f>
        <v>0</v>
      </c>
      <c r="AU41" s="15"/>
      <c r="AV41" s="15"/>
      <c r="AW41" s="15"/>
      <c r="AX41" s="15"/>
      <c r="AY41" s="15"/>
      <c r="AZ41" s="15"/>
      <c r="BA41" s="15"/>
      <c r="BB41" s="16">
        <f t="shared" ref="BB41:BB58" si="66">SUM(AU41:BA41)-AT41</f>
        <v>0</v>
      </c>
    </row>
    <row r="42" spans="1:54" ht="27.6" outlineLevel="2">
      <c r="A42" s="98"/>
      <c r="B42" s="102"/>
      <c r="C42" s="23"/>
      <c r="D42" s="251"/>
      <c r="E42" s="251"/>
      <c r="F42" s="251"/>
      <c r="G42" s="250"/>
      <c r="H42" s="272"/>
      <c r="I42" s="104"/>
      <c r="J42" s="105"/>
      <c r="K42" s="105"/>
      <c r="L42" s="106" t="str">
        <f>IF(I42&lt;&gt;0,((VLOOKUP(I42,'1. Standard_Cost'!$B$4:$D$11,2)+VLOOKUP(I42,'1. Standard_Cost'!$B$4:$D$11,3))*J42*K42),"0")</f>
        <v>0</v>
      </c>
      <c r="M42" s="106">
        <f>L42*'1. Standard_Cost'!$F$4</f>
        <v>0</v>
      </c>
      <c r="N42" s="107"/>
      <c r="O42" s="107"/>
      <c r="P42" s="107"/>
      <c r="Q42" s="107"/>
      <c r="R42" s="108">
        <f>'1. Standard_Cost'!$B$15*N42*P42</f>
        <v>0</v>
      </c>
      <c r="S42" s="108">
        <f>N42*O42*P42*'1. Standard_Cost'!$C$15</f>
        <v>0</v>
      </c>
      <c r="T42" s="108">
        <f>N42*P42*Q42*'1. Standard_Cost'!$D$15</f>
        <v>0</v>
      </c>
      <c r="U42" s="108">
        <f>N42*O42*'1. Standard_Cost'!$E$15</f>
        <v>0</v>
      </c>
      <c r="V42" s="107"/>
      <c r="W42" s="107"/>
      <c r="X42" s="107"/>
      <c r="Y42" s="108">
        <f>+V42*((X42*'1. Standard_Cost'!$B$19)+(W42*X42*'1. Standard_Cost'!$C$19))</f>
        <v>0</v>
      </c>
      <c r="Z42" s="107"/>
      <c r="AA42" s="107"/>
      <c r="AB42" s="108">
        <f>+Z42*'1. Standard_Cost'!$B$23+AA42*'1. Standard_Cost'!$C$23</f>
        <v>0</v>
      </c>
      <c r="AC42" s="109"/>
      <c r="AD42" s="110"/>
      <c r="AE42" s="108">
        <f>SUM(AD42,AC42,AB42,Y42,U42,T42,S42,R42)*'1. Standard_Cost'!$B$31</f>
        <v>0</v>
      </c>
      <c r="AF42" s="108">
        <f t="shared" si="62"/>
        <v>0</v>
      </c>
      <c r="AG42" s="107"/>
      <c r="AH42" s="107"/>
      <c r="AI42" s="107"/>
      <c r="AJ42" s="111"/>
      <c r="AK42" s="111"/>
      <c r="AL42" s="111"/>
      <c r="AM42" s="108">
        <f>AG42*'1. Standard_Cost'!$B$27+'Incremental_Cost Year 7'!AH42*'1. Standard_Cost'!$C$27+'Incremental_Cost Year 7'!AI42*'1. Standard_Cost'!$D$27+'Incremental_Cost Year 7'!AJ42+'Incremental_Cost Year 7'!AL42+AK42</f>
        <v>0</v>
      </c>
      <c r="AN42" s="108">
        <f>AM42*'1. Standard_Cost'!$C$31</f>
        <v>0</v>
      </c>
      <c r="AO42" s="125" t="s">
        <v>294</v>
      </c>
      <c r="AQ42" s="14">
        <f t="shared" si="63"/>
        <v>0</v>
      </c>
      <c r="AR42" s="14">
        <f t="shared" si="64"/>
        <v>0</v>
      </c>
      <c r="AS42" s="14">
        <f t="shared" si="65"/>
        <v>0</v>
      </c>
      <c r="AT42" s="14">
        <f t="shared" ref="AT42:AT57" si="67">SUM(AQ42,AR42,AS42)</f>
        <v>0</v>
      </c>
      <c r="AU42" s="15"/>
      <c r="AV42" s="15">
        <v>0</v>
      </c>
      <c r="AW42" s="15"/>
      <c r="AX42" s="15"/>
      <c r="AY42" s="15"/>
      <c r="AZ42" s="15"/>
      <c r="BA42" s="15"/>
      <c r="BB42" s="16">
        <f t="shared" si="66"/>
        <v>0</v>
      </c>
    </row>
    <row r="43" spans="1:54" ht="15.6" outlineLevel="2">
      <c r="A43" s="98"/>
      <c r="B43" s="102"/>
      <c r="C43" s="23"/>
      <c r="D43" s="251"/>
      <c r="E43" s="251"/>
      <c r="F43" s="251"/>
      <c r="G43" s="250"/>
      <c r="H43" s="272"/>
      <c r="I43" s="104"/>
      <c r="J43" s="105"/>
      <c r="K43" s="105"/>
      <c r="L43" s="106" t="str">
        <f>IF(I43&lt;&gt;0,((VLOOKUP(I43,'1. Standard_Cost'!$B$4:$D$11,2)+VLOOKUP(I43,'1. Standard_Cost'!$B$4:$D$11,3))*J43*K43),"0")</f>
        <v>0</v>
      </c>
      <c r="M43" s="106">
        <f>L43*'1. Standard_Cost'!$F$4</f>
        <v>0</v>
      </c>
      <c r="N43" s="107"/>
      <c r="O43" s="107"/>
      <c r="P43" s="107"/>
      <c r="Q43" s="107"/>
      <c r="R43" s="108">
        <f>'1. Standard_Cost'!$B$15*N43*P43</f>
        <v>0</v>
      </c>
      <c r="S43" s="108">
        <f>N43*O43*P43*'1. Standard_Cost'!$C$15</f>
        <v>0</v>
      </c>
      <c r="T43" s="108">
        <f>N43*P43*Q43*'1. Standard_Cost'!$D$15</f>
        <v>0</v>
      </c>
      <c r="U43" s="108">
        <f>N43*O43*'1. Standard_Cost'!$E$15</f>
        <v>0</v>
      </c>
      <c r="V43" s="107"/>
      <c r="W43" s="107"/>
      <c r="X43" s="107"/>
      <c r="Y43" s="108">
        <f>+V43*((X43*'1. Standard_Cost'!$B$19)+(W43*X43*'1. Standard_Cost'!$C$19))</f>
        <v>0</v>
      </c>
      <c r="Z43" s="107"/>
      <c r="AA43" s="107"/>
      <c r="AB43" s="108">
        <f>+Z43*'1. Standard_Cost'!$B$23+AA43*'1. Standard_Cost'!$C$23</f>
        <v>0</v>
      </c>
      <c r="AC43" s="109"/>
      <c r="AD43" s="110"/>
      <c r="AE43" s="108">
        <f>SUM(AD43,AC43,AB43,Y43,U43,T43,S43,R43)*'1. Standard_Cost'!$B$31</f>
        <v>0</v>
      </c>
      <c r="AF43" s="108">
        <f t="shared" si="62"/>
        <v>0</v>
      </c>
      <c r="AG43" s="107"/>
      <c r="AH43" s="107"/>
      <c r="AI43" s="107"/>
      <c r="AJ43" s="111"/>
      <c r="AK43" s="111"/>
      <c r="AL43" s="111"/>
      <c r="AM43" s="108">
        <f>AG43*'1. Standard_Cost'!$B$27+'Incremental_Cost Year 7'!AH43*'1. Standard_Cost'!$C$27+'Incremental_Cost Year 7'!AI43*'1. Standard_Cost'!$D$27+'Incremental_Cost Year 7'!AJ43+'Incremental_Cost Year 7'!AL43+AK43</f>
        <v>0</v>
      </c>
      <c r="AN43" s="108">
        <f>AM43*'1. Standard_Cost'!$C$31</f>
        <v>0</v>
      </c>
      <c r="AO43" s="125" t="s">
        <v>295</v>
      </c>
      <c r="AQ43" s="14">
        <f t="shared" si="63"/>
        <v>0</v>
      </c>
      <c r="AR43" s="14">
        <f t="shared" si="64"/>
        <v>0</v>
      </c>
      <c r="AS43" s="14">
        <f t="shared" si="65"/>
        <v>0</v>
      </c>
      <c r="AT43" s="14">
        <f t="shared" si="67"/>
        <v>0</v>
      </c>
      <c r="AU43" s="15"/>
      <c r="AV43" s="15">
        <v>0</v>
      </c>
      <c r="AW43" s="15"/>
      <c r="AX43" s="15"/>
      <c r="AY43" s="15"/>
      <c r="AZ43" s="15"/>
      <c r="BA43" s="15"/>
      <c r="BB43" s="16">
        <f t="shared" si="66"/>
        <v>0</v>
      </c>
    </row>
    <row r="44" spans="1:54" ht="82.8" outlineLevel="2">
      <c r="A44" s="98"/>
      <c r="B44" s="102"/>
      <c r="C44" s="23"/>
      <c r="D44" s="251"/>
      <c r="E44" s="251"/>
      <c r="F44" s="172"/>
      <c r="G44" s="173"/>
      <c r="H44" s="272"/>
      <c r="I44" s="104"/>
      <c r="J44" s="105"/>
      <c r="K44" s="105"/>
      <c r="L44" s="106" t="str">
        <f>IF(I44&lt;&gt;0,((VLOOKUP(I44,'1. Standard_Cost'!$B$4:$D$11,2)+VLOOKUP(I44,'1. Standard_Cost'!$B$4:$D$11,3))*J44*K44),"0")</f>
        <v>0</v>
      </c>
      <c r="M44" s="106">
        <f>L44*'1. Standard_Cost'!$F$4</f>
        <v>0</v>
      </c>
      <c r="N44" s="107"/>
      <c r="O44" s="107"/>
      <c r="P44" s="107"/>
      <c r="Q44" s="107"/>
      <c r="R44" s="108">
        <f>'1. Standard_Cost'!$B$15*N44*P44</f>
        <v>0</v>
      </c>
      <c r="S44" s="108">
        <f>N44*O44*P44*'1. Standard_Cost'!$C$15</f>
        <v>0</v>
      </c>
      <c r="T44" s="108">
        <f>N44*P44*Q44*'1. Standard_Cost'!$D$15</f>
        <v>0</v>
      </c>
      <c r="U44" s="108">
        <f>N44*O44*'1. Standard_Cost'!$E$15</f>
        <v>0</v>
      </c>
      <c r="V44" s="107"/>
      <c r="W44" s="107"/>
      <c r="X44" s="107"/>
      <c r="Y44" s="108">
        <f>+V44*((X44*'1. Standard_Cost'!$B$19)+(W44*X44*'1. Standard_Cost'!$C$19))</f>
        <v>0</v>
      </c>
      <c r="Z44" s="107"/>
      <c r="AA44" s="107"/>
      <c r="AB44" s="108">
        <f>+Z44*'1. Standard_Cost'!$B$23+AA44*'1. Standard_Cost'!$C$23</f>
        <v>0</v>
      </c>
      <c r="AC44" s="109"/>
      <c r="AD44" s="110"/>
      <c r="AE44" s="108">
        <f>SUM(AD44,AC44,AB44,Y44,U44,T44,S44,R44)*'1. Standard_Cost'!$B$31</f>
        <v>0</v>
      </c>
      <c r="AF44" s="108">
        <f t="shared" si="62"/>
        <v>0</v>
      </c>
      <c r="AG44" s="107"/>
      <c r="AH44" s="107"/>
      <c r="AI44" s="107"/>
      <c r="AJ44" s="111"/>
      <c r="AK44" s="111"/>
      <c r="AL44" s="111"/>
      <c r="AM44" s="108">
        <f>AG44*'1. Standard_Cost'!$B$27+'Incremental_Cost Year 7'!AH44*'1. Standard_Cost'!$C$27+'Incremental_Cost Year 7'!AI44*'1. Standard_Cost'!$D$27+'Incremental_Cost Year 7'!AJ44+'Incremental_Cost Year 7'!AL44+AK44</f>
        <v>0</v>
      </c>
      <c r="AN44" s="108">
        <f>AM44*'1. Standard_Cost'!$C$31</f>
        <v>0</v>
      </c>
      <c r="AO44" s="125" t="s">
        <v>296</v>
      </c>
      <c r="AQ44" s="14">
        <f t="shared" si="63"/>
        <v>0</v>
      </c>
      <c r="AR44" s="14">
        <f t="shared" si="64"/>
        <v>0</v>
      </c>
      <c r="AS44" s="14">
        <f t="shared" si="65"/>
        <v>0</v>
      </c>
      <c r="AT44" s="14">
        <f t="shared" si="67"/>
        <v>0</v>
      </c>
      <c r="AU44" s="15"/>
      <c r="AV44" s="15"/>
      <c r="AW44" s="15"/>
      <c r="AX44" s="15"/>
      <c r="AY44" s="15"/>
      <c r="AZ44" s="15"/>
      <c r="BA44" s="15"/>
      <c r="BB44" s="16">
        <f t="shared" si="66"/>
        <v>0</v>
      </c>
    </row>
    <row r="45" spans="1:54" ht="15.6" outlineLevel="2">
      <c r="A45" s="98"/>
      <c r="B45" s="102"/>
      <c r="C45" s="23"/>
      <c r="D45" s="251"/>
      <c r="E45" s="251"/>
      <c r="F45" s="251"/>
      <c r="G45" s="250"/>
      <c r="H45" s="272"/>
      <c r="I45" s="104"/>
      <c r="J45" s="105"/>
      <c r="K45" s="105"/>
      <c r="L45" s="106" t="str">
        <f>IF(I45&lt;&gt;0,((VLOOKUP(I45,'1. Standard_Cost'!$B$4:$D$11,2)+VLOOKUP(I45,'1. Standard_Cost'!$B$4:$D$11,3))*J45*K45),"0")</f>
        <v>0</v>
      </c>
      <c r="M45" s="106">
        <f>L45*'1. Standard_Cost'!$F$4</f>
        <v>0</v>
      </c>
      <c r="N45" s="107"/>
      <c r="O45" s="107"/>
      <c r="P45" s="107"/>
      <c r="Q45" s="107"/>
      <c r="R45" s="108">
        <f>'1. Standard_Cost'!$B$15*N45*P45</f>
        <v>0</v>
      </c>
      <c r="S45" s="108">
        <f>N45*O45*P45*'1. Standard_Cost'!$C$15</f>
        <v>0</v>
      </c>
      <c r="T45" s="108">
        <f>N45*P45*Q45*'1. Standard_Cost'!$D$15</f>
        <v>0</v>
      </c>
      <c r="U45" s="108">
        <f>N45*O45*'1. Standard_Cost'!$E$15</f>
        <v>0</v>
      </c>
      <c r="V45" s="107"/>
      <c r="W45" s="107"/>
      <c r="X45" s="107"/>
      <c r="Y45" s="108">
        <f>+V45*((X45*'1. Standard_Cost'!$B$19)+(W45*X45*'1. Standard_Cost'!$C$19))</f>
        <v>0</v>
      </c>
      <c r="Z45" s="107"/>
      <c r="AA45" s="107"/>
      <c r="AB45" s="108">
        <f>+Z45*'1. Standard_Cost'!$B$23+AA45*'1. Standard_Cost'!$C$23</f>
        <v>0</v>
      </c>
      <c r="AC45" s="109"/>
      <c r="AD45" s="110"/>
      <c r="AE45" s="108">
        <f>SUM(AD45,AC45,AB45,Y45,U45,T45,S45,R45)*'1. Standard_Cost'!$B$31</f>
        <v>0</v>
      </c>
      <c r="AF45" s="108">
        <f t="shared" si="62"/>
        <v>0</v>
      </c>
      <c r="AG45" s="107"/>
      <c r="AH45" s="107"/>
      <c r="AI45" s="107"/>
      <c r="AJ45" s="111"/>
      <c r="AK45" s="111"/>
      <c r="AL45" s="111"/>
      <c r="AM45" s="108">
        <f>AG45*'1. Standard_Cost'!$B$27+'Incremental_Cost Year 7'!AH45*'1. Standard_Cost'!$C$27+'Incremental_Cost Year 7'!AI45*'1. Standard_Cost'!$D$27+'Incremental_Cost Year 7'!AJ45+'Incremental_Cost Year 7'!AL45+AK45</f>
        <v>0</v>
      </c>
      <c r="AN45" s="108">
        <f>AM45*'1. Standard_Cost'!$C$31</f>
        <v>0</v>
      </c>
      <c r="AO45" s="125" t="s">
        <v>297</v>
      </c>
      <c r="AQ45" s="14">
        <f t="shared" si="63"/>
        <v>0</v>
      </c>
      <c r="AR45" s="14">
        <f t="shared" si="64"/>
        <v>0</v>
      </c>
      <c r="AS45" s="14">
        <f t="shared" si="65"/>
        <v>0</v>
      </c>
      <c r="AT45" s="14">
        <f t="shared" si="67"/>
        <v>0</v>
      </c>
      <c r="AU45" s="15"/>
      <c r="AV45" s="15">
        <v>0</v>
      </c>
      <c r="AW45" s="15"/>
      <c r="AX45" s="15"/>
      <c r="AY45" s="15"/>
      <c r="AZ45" s="15"/>
      <c r="BA45" s="15"/>
      <c r="BB45" s="16">
        <f t="shared" si="66"/>
        <v>0</v>
      </c>
    </row>
    <row r="46" spans="1:54" ht="15.6" outlineLevel="2">
      <c r="A46" s="98"/>
      <c r="B46" s="102"/>
      <c r="C46" s="23"/>
      <c r="D46" s="251"/>
      <c r="E46" s="251"/>
      <c r="F46" s="251"/>
      <c r="G46" s="250"/>
      <c r="H46" s="272"/>
      <c r="I46" s="104"/>
      <c r="J46" s="105"/>
      <c r="K46" s="105"/>
      <c r="L46" s="106" t="str">
        <f>IF(I46&lt;&gt;0,((VLOOKUP(I46,'1. Standard_Cost'!$B$4:$D$11,2)+VLOOKUP(I46,'1. Standard_Cost'!$B$4:$D$11,3))*J46*K46),"0")</f>
        <v>0</v>
      </c>
      <c r="M46" s="106">
        <f>L46*'1. Standard_Cost'!$F$4</f>
        <v>0</v>
      </c>
      <c r="N46" s="107"/>
      <c r="O46" s="107"/>
      <c r="P46" s="107"/>
      <c r="Q46" s="107"/>
      <c r="R46" s="108">
        <f>'1. Standard_Cost'!$B$15*N46*P46</f>
        <v>0</v>
      </c>
      <c r="S46" s="108">
        <f>N46*O46*P46*'1. Standard_Cost'!$C$15</f>
        <v>0</v>
      </c>
      <c r="T46" s="108">
        <f>N46*P46*Q46*'1. Standard_Cost'!$D$15</f>
        <v>0</v>
      </c>
      <c r="U46" s="108">
        <f>N46*O46*'1. Standard_Cost'!$E$15</f>
        <v>0</v>
      </c>
      <c r="V46" s="107"/>
      <c r="W46" s="107"/>
      <c r="X46" s="107"/>
      <c r="Y46" s="108">
        <f>+V46*((X46*'1. Standard_Cost'!$B$19)+(W46*X46*'1. Standard_Cost'!$C$19))</f>
        <v>0</v>
      </c>
      <c r="Z46" s="107"/>
      <c r="AA46" s="107"/>
      <c r="AB46" s="108">
        <f>+Z46*'1. Standard_Cost'!$B$23+AA46*'1. Standard_Cost'!$C$23</f>
        <v>0</v>
      </c>
      <c r="AC46" s="109"/>
      <c r="AD46" s="110"/>
      <c r="AE46" s="108">
        <f>SUM(AD46,AC46,AB46,Y46,U46,T46,S46,R46)*'1. Standard_Cost'!$B$31</f>
        <v>0</v>
      </c>
      <c r="AF46" s="108">
        <f t="shared" si="62"/>
        <v>0</v>
      </c>
      <c r="AG46" s="107"/>
      <c r="AH46" s="107"/>
      <c r="AI46" s="107"/>
      <c r="AJ46" s="111"/>
      <c r="AK46" s="111"/>
      <c r="AL46" s="111"/>
      <c r="AM46" s="108">
        <f>AG46*'1. Standard_Cost'!$B$27+'Incremental_Cost Year 7'!AH46*'1. Standard_Cost'!$C$27+'Incremental_Cost Year 7'!AI46*'1. Standard_Cost'!$D$27+'Incremental_Cost Year 7'!AJ46+'Incremental_Cost Year 7'!AL46+AK46</f>
        <v>0</v>
      </c>
      <c r="AN46" s="108">
        <f>AM46*'1. Standard_Cost'!$C$31</f>
        <v>0</v>
      </c>
      <c r="AO46" s="125" t="s">
        <v>298</v>
      </c>
      <c r="AQ46" s="14">
        <f t="shared" si="63"/>
        <v>0</v>
      </c>
      <c r="AR46" s="14">
        <f t="shared" si="64"/>
        <v>0</v>
      </c>
      <c r="AS46" s="14">
        <f t="shared" si="65"/>
        <v>0</v>
      </c>
      <c r="AT46" s="14">
        <f t="shared" si="67"/>
        <v>0</v>
      </c>
      <c r="AU46" s="15"/>
      <c r="AV46" s="15"/>
      <c r="AW46" s="15"/>
      <c r="AX46" s="15"/>
      <c r="AY46" s="15"/>
      <c r="AZ46" s="15"/>
      <c r="BA46" s="15"/>
      <c r="BB46" s="16">
        <f t="shared" si="66"/>
        <v>0</v>
      </c>
    </row>
    <row r="47" spans="1:54" ht="15.6" outlineLevel="2">
      <c r="A47" s="98"/>
      <c r="B47" s="102"/>
      <c r="C47" s="23"/>
      <c r="D47" s="251"/>
      <c r="E47" s="251"/>
      <c r="F47" s="172"/>
      <c r="G47" s="173"/>
      <c r="H47" s="272"/>
      <c r="I47" s="104"/>
      <c r="J47" s="105"/>
      <c r="K47" s="105"/>
      <c r="L47" s="106" t="str">
        <f>IF(I47&lt;&gt;0,((VLOOKUP(I47,'1. Standard_Cost'!$B$4:$D$11,2)+VLOOKUP(I47,'1. Standard_Cost'!$B$4:$D$11,3))*J47*K47),"0")</f>
        <v>0</v>
      </c>
      <c r="M47" s="106">
        <f>L47*'1. Standard_Cost'!$F$4</f>
        <v>0</v>
      </c>
      <c r="N47" s="107"/>
      <c r="O47" s="107"/>
      <c r="P47" s="107"/>
      <c r="Q47" s="107"/>
      <c r="R47" s="108">
        <f>'1. Standard_Cost'!$B$15*N47*P47</f>
        <v>0</v>
      </c>
      <c r="S47" s="108">
        <f>N47*O47*P47*'1. Standard_Cost'!$C$15</f>
        <v>0</v>
      </c>
      <c r="T47" s="108">
        <f>N47*P47*Q47*'1. Standard_Cost'!$D$15</f>
        <v>0</v>
      </c>
      <c r="U47" s="108">
        <f>N47*O47*'1. Standard_Cost'!$E$15</f>
        <v>0</v>
      </c>
      <c r="V47" s="107"/>
      <c r="W47" s="107"/>
      <c r="X47" s="107"/>
      <c r="Y47" s="108">
        <f>+V47*((X47*'1. Standard_Cost'!$B$19)+(W47*X47*'1. Standard_Cost'!$C$19))</f>
        <v>0</v>
      </c>
      <c r="Z47" s="107"/>
      <c r="AA47" s="107"/>
      <c r="AB47" s="108">
        <f>+Z47*'1. Standard_Cost'!$B$23+AA47*'1. Standard_Cost'!$C$23</f>
        <v>0</v>
      </c>
      <c r="AC47" s="109"/>
      <c r="AD47" s="110"/>
      <c r="AE47" s="108">
        <f>SUM(AD47,AC47,AB47,Y47,U47,T47,S47,R47)*'1. Standard_Cost'!$B$31</f>
        <v>0</v>
      </c>
      <c r="AF47" s="108">
        <f t="shared" si="62"/>
        <v>0</v>
      </c>
      <c r="AG47" s="107"/>
      <c r="AH47" s="107"/>
      <c r="AI47" s="107"/>
      <c r="AJ47" s="111"/>
      <c r="AK47" s="111"/>
      <c r="AL47" s="111"/>
      <c r="AM47" s="108">
        <f>AG47*'1. Standard_Cost'!$B$27+'Incremental_Cost Year 7'!AH47*'1. Standard_Cost'!$C$27+'Incremental_Cost Year 7'!AI47*'1. Standard_Cost'!$D$27+'Incremental_Cost Year 7'!AJ47+'Incremental_Cost Year 7'!AL47+AK47</f>
        <v>0</v>
      </c>
      <c r="AN47" s="108">
        <f>AM47*'1. Standard_Cost'!$C$31</f>
        <v>0</v>
      </c>
      <c r="AO47" s="125" t="s">
        <v>298</v>
      </c>
      <c r="AQ47" s="14">
        <f t="shared" si="63"/>
        <v>0</v>
      </c>
      <c r="AR47" s="14">
        <f t="shared" si="64"/>
        <v>0</v>
      </c>
      <c r="AS47" s="14">
        <f t="shared" si="65"/>
        <v>0</v>
      </c>
      <c r="AT47" s="14">
        <f t="shared" si="67"/>
        <v>0</v>
      </c>
      <c r="AU47" s="15"/>
      <c r="AV47" s="15">
        <v>0</v>
      </c>
      <c r="AW47" s="15"/>
      <c r="AX47" s="15"/>
      <c r="AY47" s="15"/>
      <c r="AZ47" s="15"/>
      <c r="BA47" s="15"/>
      <c r="BB47" s="16">
        <f t="shared" si="66"/>
        <v>0</v>
      </c>
    </row>
    <row r="48" spans="1:54" ht="15.6" outlineLevel="2">
      <c r="A48" s="98"/>
      <c r="B48" s="102"/>
      <c r="C48" s="23"/>
      <c r="D48" s="251"/>
      <c r="E48" s="251"/>
      <c r="F48" s="172"/>
      <c r="G48" s="173"/>
      <c r="H48" s="272"/>
      <c r="I48" s="104"/>
      <c r="J48" s="105"/>
      <c r="K48" s="105"/>
      <c r="L48" s="106" t="str">
        <f>IF(I48&lt;&gt;0,((VLOOKUP(I48,'1. Standard_Cost'!$B$4:$D$11,2)+VLOOKUP(I48,'1. Standard_Cost'!$B$4:$D$11,3))*J48*K48),"0")</f>
        <v>0</v>
      </c>
      <c r="M48" s="106">
        <f>L48*'1. Standard_Cost'!$F$4</f>
        <v>0</v>
      </c>
      <c r="N48" s="107"/>
      <c r="O48" s="107"/>
      <c r="P48" s="107"/>
      <c r="Q48" s="107"/>
      <c r="R48" s="108">
        <f>'1. Standard_Cost'!$B$15*N48*P48</f>
        <v>0</v>
      </c>
      <c r="S48" s="108">
        <f>N48*O48*P48*'1. Standard_Cost'!$C$15</f>
        <v>0</v>
      </c>
      <c r="T48" s="108">
        <f>N48*P48*Q48*'1. Standard_Cost'!$D$15</f>
        <v>0</v>
      </c>
      <c r="U48" s="108">
        <f>N48*O48*'1. Standard_Cost'!$E$15</f>
        <v>0</v>
      </c>
      <c r="V48" s="107"/>
      <c r="W48" s="107"/>
      <c r="X48" s="107"/>
      <c r="Y48" s="108">
        <f>+V48*((X48*'1. Standard_Cost'!$B$19)+(W48*X48*'1. Standard_Cost'!$C$19))</f>
        <v>0</v>
      </c>
      <c r="Z48" s="107"/>
      <c r="AA48" s="107"/>
      <c r="AB48" s="108">
        <f>+Z48*'1. Standard_Cost'!$B$23+AA48*'1. Standard_Cost'!$C$23</f>
        <v>0</v>
      </c>
      <c r="AC48" s="109"/>
      <c r="AD48" s="110"/>
      <c r="AE48" s="108">
        <f>SUM(AD48,AC48,AB48,Y48,U48,T48,S48,R48)*'1. Standard_Cost'!$B$31</f>
        <v>0</v>
      </c>
      <c r="AF48" s="108">
        <f t="shared" si="62"/>
        <v>0</v>
      </c>
      <c r="AG48" s="107"/>
      <c r="AH48" s="107"/>
      <c r="AI48" s="107"/>
      <c r="AJ48" s="111"/>
      <c r="AK48" s="111"/>
      <c r="AL48" s="111"/>
      <c r="AM48" s="108">
        <f>AG48*'1. Standard_Cost'!$B$27+'Incremental_Cost Year 7'!AH48*'1. Standard_Cost'!$C$27+'Incremental_Cost Year 7'!AI48*'1. Standard_Cost'!$D$27+'Incremental_Cost Year 7'!AJ48+'Incremental_Cost Year 7'!AL48+AK48</f>
        <v>0</v>
      </c>
      <c r="AN48" s="108">
        <f>AM48*'1. Standard_Cost'!$C$31</f>
        <v>0</v>
      </c>
      <c r="AO48" s="125" t="s">
        <v>298</v>
      </c>
      <c r="AQ48" s="14">
        <f t="shared" si="63"/>
        <v>0</v>
      </c>
      <c r="AR48" s="14">
        <f t="shared" si="64"/>
        <v>0</v>
      </c>
      <c r="AS48" s="14">
        <f t="shared" si="65"/>
        <v>0</v>
      </c>
      <c r="AT48" s="14">
        <f t="shared" si="67"/>
        <v>0</v>
      </c>
      <c r="AU48" s="15"/>
      <c r="AV48" s="15"/>
      <c r="AW48" s="15"/>
      <c r="AX48" s="15"/>
      <c r="AY48" s="15"/>
      <c r="AZ48" s="15"/>
      <c r="BA48" s="15"/>
      <c r="BB48" s="16">
        <f t="shared" si="66"/>
        <v>0</v>
      </c>
    </row>
    <row r="49" spans="1:54" ht="15.6" outlineLevel="2">
      <c r="A49" s="98"/>
      <c r="B49" s="102"/>
      <c r="C49" s="23"/>
      <c r="D49" s="251"/>
      <c r="E49" s="251"/>
      <c r="F49" s="251"/>
      <c r="G49" s="250"/>
      <c r="H49" s="272"/>
      <c r="I49" s="104"/>
      <c r="J49" s="105"/>
      <c r="K49" s="105"/>
      <c r="L49" s="106" t="str">
        <f>IF(I49&lt;&gt;0,((VLOOKUP(I49,'1. Standard_Cost'!$B$4:$D$11,2)+VLOOKUP(I49,'1. Standard_Cost'!$B$4:$D$11,3))*J49*K49),"0")</f>
        <v>0</v>
      </c>
      <c r="M49" s="106">
        <f>L49*'1. Standard_Cost'!$F$4</f>
        <v>0</v>
      </c>
      <c r="N49" s="107"/>
      <c r="O49" s="107"/>
      <c r="P49" s="107"/>
      <c r="Q49" s="107"/>
      <c r="R49" s="108">
        <f>'1. Standard_Cost'!$B$15*N49*P49</f>
        <v>0</v>
      </c>
      <c r="S49" s="108">
        <f>N49*O49*P49*'1. Standard_Cost'!$C$15</f>
        <v>0</v>
      </c>
      <c r="T49" s="108">
        <f>N49*P49*Q49*'1. Standard_Cost'!$D$15</f>
        <v>0</v>
      </c>
      <c r="U49" s="108">
        <f>N49*O49*'1. Standard_Cost'!$E$15</f>
        <v>0</v>
      </c>
      <c r="V49" s="107"/>
      <c r="W49" s="107"/>
      <c r="X49" s="107"/>
      <c r="Y49" s="108">
        <f>+V49*((X49*'1. Standard_Cost'!$B$19)+(W49*X49*'1. Standard_Cost'!$C$19))</f>
        <v>0</v>
      </c>
      <c r="Z49" s="107"/>
      <c r="AA49" s="107"/>
      <c r="AB49" s="108">
        <f>+Z49*'1. Standard_Cost'!$B$23+AA49*'1. Standard_Cost'!$C$23</f>
        <v>0</v>
      </c>
      <c r="AC49" s="109"/>
      <c r="AD49" s="110"/>
      <c r="AE49" s="108">
        <f>SUM(AD49,AC49,AB49,Y49,U49,T49,S49,R49)*'1. Standard_Cost'!$B$31</f>
        <v>0</v>
      </c>
      <c r="AF49" s="108">
        <f t="shared" si="62"/>
        <v>0</v>
      </c>
      <c r="AG49" s="107"/>
      <c r="AH49" s="107"/>
      <c r="AI49" s="107"/>
      <c r="AJ49" s="111"/>
      <c r="AK49" s="111"/>
      <c r="AL49" s="111"/>
      <c r="AM49" s="108">
        <f>AG49*'1. Standard_Cost'!$B$27+'Incremental_Cost Year 7'!AH49*'1. Standard_Cost'!$C$27+'Incremental_Cost Year 7'!AI49*'1. Standard_Cost'!$D$27+'Incremental_Cost Year 7'!AJ49+'Incremental_Cost Year 7'!AL49+AK49</f>
        <v>0</v>
      </c>
      <c r="AN49" s="108">
        <f>AM49*'1. Standard_Cost'!$C$31</f>
        <v>0</v>
      </c>
      <c r="AO49" s="125" t="s">
        <v>299</v>
      </c>
      <c r="AQ49" s="14">
        <f t="shared" si="63"/>
        <v>0</v>
      </c>
      <c r="AR49" s="14">
        <f t="shared" si="64"/>
        <v>0</v>
      </c>
      <c r="AS49" s="14">
        <f t="shared" si="65"/>
        <v>0</v>
      </c>
      <c r="AT49" s="14">
        <f t="shared" si="67"/>
        <v>0</v>
      </c>
      <c r="AU49" s="15"/>
      <c r="AV49" s="15">
        <v>0</v>
      </c>
      <c r="AW49" s="15"/>
      <c r="AX49" s="15"/>
      <c r="AY49" s="15"/>
      <c r="AZ49" s="15"/>
      <c r="BA49" s="15"/>
      <c r="BB49" s="16">
        <f t="shared" si="66"/>
        <v>0</v>
      </c>
    </row>
    <row r="50" spans="1:54" ht="140.4" customHeight="1" outlineLevel="2">
      <c r="A50" s="98"/>
      <c r="B50" s="102"/>
      <c r="C50" s="23"/>
      <c r="D50" s="251"/>
      <c r="E50" s="251"/>
      <c r="F50" s="172"/>
      <c r="G50" s="173"/>
      <c r="H50" s="272"/>
      <c r="I50" s="104"/>
      <c r="J50" s="105"/>
      <c r="K50" s="105"/>
      <c r="L50" s="106" t="str">
        <f>IF(I50&lt;&gt;0,((VLOOKUP(I50,'1. Standard_Cost'!$B$4:$D$11,2)+VLOOKUP(I50,'1. Standard_Cost'!$B$4:$D$11,3))*J50*K50),"0")</f>
        <v>0</v>
      </c>
      <c r="M50" s="106">
        <f>L50*'1. Standard_Cost'!$F$4</f>
        <v>0</v>
      </c>
      <c r="N50" s="107"/>
      <c r="O50" s="107"/>
      <c r="P50" s="107"/>
      <c r="Q50" s="107"/>
      <c r="R50" s="108">
        <f>'1. Standard_Cost'!$B$15*N50*P50</f>
        <v>0</v>
      </c>
      <c r="S50" s="108">
        <f>N50*O50*P50*'1. Standard_Cost'!$C$15</f>
        <v>0</v>
      </c>
      <c r="T50" s="108">
        <f>N50*P50*Q50*'1. Standard_Cost'!$D$15</f>
        <v>0</v>
      </c>
      <c r="U50" s="108">
        <f>N50*O50*'1. Standard_Cost'!$E$15</f>
        <v>0</v>
      </c>
      <c r="V50" s="107"/>
      <c r="W50" s="107"/>
      <c r="X50" s="107"/>
      <c r="Y50" s="108">
        <f>+V50*((X50*'1. Standard_Cost'!$B$19)+(W50*X50*'1. Standard_Cost'!$C$19))</f>
        <v>0</v>
      </c>
      <c r="Z50" s="107"/>
      <c r="AA50" s="107"/>
      <c r="AB50" s="108">
        <f>+Z50*'1. Standard_Cost'!$B$23+AA50*'1. Standard_Cost'!$C$23</f>
        <v>0</v>
      </c>
      <c r="AC50" s="109"/>
      <c r="AD50" s="110"/>
      <c r="AE50" s="108">
        <f>SUM(AD50,AC50,AB50,Y50,U50,T50,S50,R50)*'1. Standard_Cost'!$B$31</f>
        <v>0</v>
      </c>
      <c r="AF50" s="108">
        <f t="shared" si="62"/>
        <v>0</v>
      </c>
      <c r="AG50" s="107"/>
      <c r="AH50" s="107"/>
      <c r="AI50" s="107"/>
      <c r="AJ50" s="111"/>
      <c r="AK50" s="111"/>
      <c r="AL50" s="111"/>
      <c r="AM50" s="108">
        <f>AG50*'1. Standard_Cost'!$B$27+'Incremental_Cost Year 7'!AH50*'1. Standard_Cost'!$C$27+'Incremental_Cost Year 7'!AI50*'1. Standard_Cost'!$D$27+'Incremental_Cost Year 7'!AJ50+'Incremental_Cost Year 7'!AL50+AK50</f>
        <v>0</v>
      </c>
      <c r="AN50" s="108">
        <f>AM50*'1. Standard_Cost'!$C$31</f>
        <v>0</v>
      </c>
      <c r="AO50" s="125" t="s">
        <v>300</v>
      </c>
      <c r="AQ50" s="14">
        <f t="shared" si="63"/>
        <v>0</v>
      </c>
      <c r="AR50" s="14">
        <f t="shared" si="64"/>
        <v>0</v>
      </c>
      <c r="AS50" s="14">
        <f t="shared" si="65"/>
        <v>0</v>
      </c>
      <c r="AT50" s="14">
        <f t="shared" si="67"/>
        <v>0</v>
      </c>
      <c r="AU50" s="15"/>
      <c r="AV50" s="15">
        <v>0</v>
      </c>
      <c r="AW50" s="15"/>
      <c r="AX50" s="15"/>
      <c r="AY50" s="15"/>
      <c r="AZ50" s="15"/>
      <c r="BA50" s="15"/>
      <c r="BB50" s="16">
        <f t="shared" si="66"/>
        <v>0</v>
      </c>
    </row>
    <row r="51" spans="1:54" ht="15.6" outlineLevel="2">
      <c r="A51" s="98"/>
      <c r="B51" s="102"/>
      <c r="C51" s="23"/>
      <c r="D51" s="251"/>
      <c r="E51" s="251"/>
      <c r="F51" s="251"/>
      <c r="G51" s="173"/>
      <c r="H51" s="272"/>
      <c r="I51" s="104"/>
      <c r="J51" s="105"/>
      <c r="K51" s="105"/>
      <c r="L51" s="106" t="str">
        <f>IF(I51&lt;&gt;0,((VLOOKUP(I51,'1. Standard_Cost'!$B$4:$D$11,2)+VLOOKUP(I51,'1. Standard_Cost'!$B$4:$D$11,3))*J51*K51),"0")</f>
        <v>0</v>
      </c>
      <c r="M51" s="106">
        <f>L51*'1. Standard_Cost'!$F$4</f>
        <v>0</v>
      </c>
      <c r="N51" s="107"/>
      <c r="O51" s="107"/>
      <c r="P51" s="107"/>
      <c r="Q51" s="107"/>
      <c r="R51" s="108">
        <f>'1. Standard_Cost'!$B$15*N51*P51</f>
        <v>0</v>
      </c>
      <c r="S51" s="108">
        <f>N51*O51*P51*'1. Standard_Cost'!$C$15</f>
        <v>0</v>
      </c>
      <c r="T51" s="108">
        <f>N51*P51*Q51*'1. Standard_Cost'!$D$15</f>
        <v>0</v>
      </c>
      <c r="U51" s="108">
        <f>N51*O51*'1. Standard_Cost'!$E$15</f>
        <v>0</v>
      </c>
      <c r="V51" s="107"/>
      <c r="W51" s="107"/>
      <c r="X51" s="107"/>
      <c r="Y51" s="108">
        <f>+V51*((X51*'1. Standard_Cost'!$B$19)+(W51*X51*'1. Standard_Cost'!$C$19))</f>
        <v>0</v>
      </c>
      <c r="Z51" s="107"/>
      <c r="AA51" s="107"/>
      <c r="AB51" s="108">
        <f>+Z51*'1. Standard_Cost'!$B$23+AA51*'1. Standard_Cost'!$C$23</f>
        <v>0</v>
      </c>
      <c r="AC51" s="109"/>
      <c r="AD51" s="110"/>
      <c r="AE51" s="108">
        <f>SUM(AD51,AC51,AB51,Y51,U51,T51,S51,R51)*'1. Standard_Cost'!$B$31</f>
        <v>0</v>
      </c>
      <c r="AF51" s="108">
        <f t="shared" si="62"/>
        <v>0</v>
      </c>
      <c r="AG51" s="107"/>
      <c r="AH51" s="107"/>
      <c r="AI51" s="107"/>
      <c r="AJ51" s="111"/>
      <c r="AK51" s="111"/>
      <c r="AL51" s="111"/>
      <c r="AM51" s="108">
        <f>AG51*'1. Standard_Cost'!$B$27+'Incremental_Cost Year 7'!AH51*'1. Standard_Cost'!$C$27+'Incremental_Cost Year 7'!AI51*'1. Standard_Cost'!$D$27+'Incremental_Cost Year 7'!AJ51+'Incremental_Cost Year 7'!AL51+AK51</f>
        <v>0</v>
      </c>
      <c r="AN51" s="108">
        <f>AM51*'1. Standard_Cost'!$C$31</f>
        <v>0</v>
      </c>
      <c r="AO51" s="125" t="s">
        <v>301</v>
      </c>
      <c r="AQ51" s="14">
        <f t="shared" si="63"/>
        <v>0</v>
      </c>
      <c r="AR51" s="14">
        <f t="shared" si="64"/>
        <v>0</v>
      </c>
      <c r="AS51" s="14">
        <f t="shared" si="65"/>
        <v>0</v>
      </c>
      <c r="AT51" s="14">
        <f t="shared" si="67"/>
        <v>0</v>
      </c>
      <c r="AU51" s="15"/>
      <c r="AV51" s="15"/>
      <c r="AW51" s="15"/>
      <c r="AX51" s="15"/>
      <c r="AY51" s="15"/>
      <c r="AZ51" s="15"/>
      <c r="BA51" s="15"/>
      <c r="BB51" s="16">
        <f t="shared" si="66"/>
        <v>0</v>
      </c>
    </row>
    <row r="52" spans="1:54" ht="15.6" outlineLevel="2">
      <c r="A52" s="98"/>
      <c r="B52" s="102"/>
      <c r="C52" s="23"/>
      <c r="D52" s="251"/>
      <c r="E52" s="251"/>
      <c r="F52" s="251"/>
      <c r="G52" s="250"/>
      <c r="H52" s="272"/>
      <c r="I52" s="104"/>
      <c r="J52" s="105"/>
      <c r="K52" s="105"/>
      <c r="L52" s="106" t="str">
        <f>IF(I52&lt;&gt;0,((VLOOKUP(I52,'1. Standard_Cost'!$B$4:$D$11,2)+VLOOKUP(I52,'1. Standard_Cost'!$B$4:$D$11,3))*J52*K52),"0")</f>
        <v>0</v>
      </c>
      <c r="M52" s="106">
        <f>L52*'1. Standard_Cost'!$F$4</f>
        <v>0</v>
      </c>
      <c r="N52" s="107"/>
      <c r="O52" s="107"/>
      <c r="P52" s="107"/>
      <c r="Q52" s="107"/>
      <c r="R52" s="108">
        <f>'1. Standard_Cost'!$B$15*N52*P52</f>
        <v>0</v>
      </c>
      <c r="S52" s="108">
        <f>N52*O52*P52*'1. Standard_Cost'!$C$15</f>
        <v>0</v>
      </c>
      <c r="T52" s="108">
        <f>N52*P52*Q52*'1. Standard_Cost'!$D$15</f>
        <v>0</v>
      </c>
      <c r="U52" s="108">
        <f>N52*O52*'1. Standard_Cost'!$E$15</f>
        <v>0</v>
      </c>
      <c r="V52" s="107"/>
      <c r="W52" s="107"/>
      <c r="X52" s="107"/>
      <c r="Y52" s="108">
        <f>+V52*((X52*'1. Standard_Cost'!$B$19)+(W52*X52*'1. Standard_Cost'!$C$19))</f>
        <v>0</v>
      </c>
      <c r="Z52" s="107"/>
      <c r="AA52" s="107"/>
      <c r="AB52" s="108">
        <f>+Z52*'1. Standard_Cost'!$B$23+AA52*'1. Standard_Cost'!$C$23</f>
        <v>0</v>
      </c>
      <c r="AC52" s="109"/>
      <c r="AD52" s="110"/>
      <c r="AE52" s="108">
        <f>SUM(AD52,AC52,AB52,Y52,U52,T52,S52,R52)*'1. Standard_Cost'!$B$31</f>
        <v>0</v>
      </c>
      <c r="AF52" s="108">
        <f t="shared" si="62"/>
        <v>0</v>
      </c>
      <c r="AG52" s="107"/>
      <c r="AH52" s="107"/>
      <c r="AI52" s="107"/>
      <c r="AJ52" s="111"/>
      <c r="AK52" s="111"/>
      <c r="AL52" s="111"/>
      <c r="AM52" s="108">
        <f>AG52*'1. Standard_Cost'!$B$27+'Incremental_Cost Year 7'!AH52*'1. Standard_Cost'!$C$27+'Incremental_Cost Year 7'!AI52*'1. Standard_Cost'!$D$27+'Incremental_Cost Year 7'!AJ52+'Incremental_Cost Year 7'!AL52+AK52</f>
        <v>0</v>
      </c>
      <c r="AN52" s="108">
        <f>AM52*'1. Standard_Cost'!$C$31</f>
        <v>0</v>
      </c>
      <c r="AO52" s="125" t="s">
        <v>302</v>
      </c>
      <c r="AQ52" s="14">
        <f t="shared" si="63"/>
        <v>0</v>
      </c>
      <c r="AR52" s="14">
        <f t="shared" si="64"/>
        <v>0</v>
      </c>
      <c r="AS52" s="14">
        <f t="shared" si="65"/>
        <v>0</v>
      </c>
      <c r="AT52" s="14">
        <f t="shared" si="67"/>
        <v>0</v>
      </c>
      <c r="AU52" s="15"/>
      <c r="AV52" s="15">
        <v>0</v>
      </c>
      <c r="AW52" s="15"/>
      <c r="AX52" s="15"/>
      <c r="AY52" s="15"/>
      <c r="AZ52" s="15"/>
      <c r="BA52" s="15"/>
      <c r="BB52" s="16">
        <f t="shared" si="66"/>
        <v>0</v>
      </c>
    </row>
    <row r="53" spans="1:54" ht="15.6" outlineLevel="2">
      <c r="A53" s="98"/>
      <c r="B53" s="102"/>
      <c r="C53" s="23"/>
      <c r="D53" s="251"/>
      <c r="E53" s="251"/>
      <c r="F53" s="172"/>
      <c r="G53" s="173"/>
      <c r="H53" s="272"/>
      <c r="I53" s="104"/>
      <c r="J53" s="105"/>
      <c r="K53" s="105"/>
      <c r="L53" s="106" t="str">
        <f>IF(I53&lt;&gt;0,((VLOOKUP(I53,'1. Standard_Cost'!$B$4:$D$11,2)+VLOOKUP(I53,'1. Standard_Cost'!$B$4:$D$11,3))*J53*K53),"0")</f>
        <v>0</v>
      </c>
      <c r="M53" s="106">
        <f>L53*'1. Standard_Cost'!$F$4</f>
        <v>0</v>
      </c>
      <c r="N53" s="107"/>
      <c r="O53" s="107"/>
      <c r="P53" s="107"/>
      <c r="Q53" s="107"/>
      <c r="R53" s="108">
        <f>'1. Standard_Cost'!$B$15*N53*P53</f>
        <v>0</v>
      </c>
      <c r="S53" s="108">
        <f>N53*O53*P53*'1. Standard_Cost'!$C$15</f>
        <v>0</v>
      </c>
      <c r="T53" s="108">
        <f>N53*P53*Q53*'1. Standard_Cost'!$D$15</f>
        <v>0</v>
      </c>
      <c r="U53" s="108">
        <f>N53*O53*'1. Standard_Cost'!$E$15</f>
        <v>0</v>
      </c>
      <c r="V53" s="107"/>
      <c r="W53" s="107"/>
      <c r="X53" s="107"/>
      <c r="Y53" s="108">
        <f>+V53*((X53*'1. Standard_Cost'!$B$19)+(W53*X53*'1. Standard_Cost'!$C$19))</f>
        <v>0</v>
      </c>
      <c r="Z53" s="107"/>
      <c r="AA53" s="107"/>
      <c r="AB53" s="108">
        <f>+Z53*'1. Standard_Cost'!$B$23+AA53*'1. Standard_Cost'!$C$23</f>
        <v>0</v>
      </c>
      <c r="AC53" s="109"/>
      <c r="AD53" s="110"/>
      <c r="AE53" s="108">
        <f>SUM(AD53,AC53,AB53,Y53,U53,T53,S53,R53)*'1. Standard_Cost'!$B$31</f>
        <v>0</v>
      </c>
      <c r="AF53" s="108">
        <f t="shared" si="62"/>
        <v>0</v>
      </c>
      <c r="AG53" s="107"/>
      <c r="AH53" s="107"/>
      <c r="AI53" s="107"/>
      <c r="AJ53" s="111"/>
      <c r="AK53" s="111"/>
      <c r="AL53" s="111"/>
      <c r="AM53" s="108">
        <f>AG53*'1. Standard_Cost'!$B$27+'Incremental_Cost Year 7'!AH53*'1. Standard_Cost'!$C$27+'Incremental_Cost Year 7'!AI53*'1. Standard_Cost'!$D$27+'Incremental_Cost Year 7'!AJ53+'Incremental_Cost Year 7'!AL53+AK53</f>
        <v>0</v>
      </c>
      <c r="AN53" s="108">
        <f>AM53*'1. Standard_Cost'!$C$31</f>
        <v>0</v>
      </c>
      <c r="AO53" s="125" t="s">
        <v>302</v>
      </c>
      <c r="AQ53" s="14">
        <f t="shared" si="63"/>
        <v>0</v>
      </c>
      <c r="AR53" s="14">
        <f t="shared" si="64"/>
        <v>0</v>
      </c>
      <c r="AS53" s="14">
        <f t="shared" si="65"/>
        <v>0</v>
      </c>
      <c r="AT53" s="14">
        <f t="shared" si="67"/>
        <v>0</v>
      </c>
      <c r="AU53" s="15"/>
      <c r="AV53" s="15"/>
      <c r="AW53" s="15"/>
      <c r="AX53" s="15"/>
      <c r="AY53" s="15"/>
      <c r="AZ53" s="15"/>
      <c r="BA53" s="15"/>
      <c r="BB53" s="16">
        <f t="shared" si="66"/>
        <v>0</v>
      </c>
    </row>
    <row r="54" spans="1:54" ht="15.6" outlineLevel="2">
      <c r="A54" s="98"/>
      <c r="B54" s="102"/>
      <c r="C54" s="23"/>
      <c r="D54" s="251"/>
      <c r="E54" s="251"/>
      <c r="F54" s="172"/>
      <c r="G54" s="173"/>
      <c r="H54" s="272"/>
      <c r="I54" s="104"/>
      <c r="J54" s="105"/>
      <c r="K54" s="105"/>
      <c r="L54" s="106" t="str">
        <f>IF(I54&lt;&gt;0,((VLOOKUP(I54,'1. Standard_Cost'!$B$4:$D$11,2)+VLOOKUP(I54,'1. Standard_Cost'!$B$4:$D$11,3))*J54*K54),"0")</f>
        <v>0</v>
      </c>
      <c r="M54" s="106">
        <f>L54*'1. Standard_Cost'!$F$4</f>
        <v>0</v>
      </c>
      <c r="N54" s="107"/>
      <c r="O54" s="107"/>
      <c r="P54" s="107"/>
      <c r="Q54" s="107"/>
      <c r="R54" s="108">
        <f>'1. Standard_Cost'!$B$15*N54*P54</f>
        <v>0</v>
      </c>
      <c r="S54" s="108">
        <f>N54*O54*P54*'1. Standard_Cost'!$C$15</f>
        <v>0</v>
      </c>
      <c r="T54" s="108">
        <f>N54*P54*Q54*'1. Standard_Cost'!$D$15</f>
        <v>0</v>
      </c>
      <c r="U54" s="108">
        <f>N54*O54*'1. Standard_Cost'!$E$15</f>
        <v>0</v>
      </c>
      <c r="V54" s="107"/>
      <c r="W54" s="107"/>
      <c r="X54" s="107"/>
      <c r="Y54" s="108">
        <f>+V54*((X54*'1. Standard_Cost'!$B$19)+(W54*X54*'1. Standard_Cost'!$C$19))</f>
        <v>0</v>
      </c>
      <c r="Z54" s="107"/>
      <c r="AA54" s="107"/>
      <c r="AB54" s="108">
        <f>+Z54*'1. Standard_Cost'!$B$23+AA54*'1. Standard_Cost'!$C$23</f>
        <v>0</v>
      </c>
      <c r="AC54" s="109"/>
      <c r="AD54" s="110"/>
      <c r="AE54" s="108">
        <f>SUM(AD54,AC54,AB54,Y54,U54,T54,S54,R54)*'1. Standard_Cost'!$B$31</f>
        <v>0</v>
      </c>
      <c r="AF54" s="108">
        <f t="shared" si="62"/>
        <v>0</v>
      </c>
      <c r="AG54" s="107"/>
      <c r="AH54" s="107"/>
      <c r="AI54" s="107"/>
      <c r="AJ54" s="111"/>
      <c r="AK54" s="111"/>
      <c r="AL54" s="111"/>
      <c r="AM54" s="108">
        <f>AG54*'1. Standard_Cost'!$B$27+'Incremental_Cost Year 7'!AH54*'1. Standard_Cost'!$C$27+'Incremental_Cost Year 7'!AI54*'1. Standard_Cost'!$D$27+'Incremental_Cost Year 7'!AJ54+'Incremental_Cost Year 7'!AL54+AK54</f>
        <v>0</v>
      </c>
      <c r="AN54" s="108">
        <f>AM54*'1. Standard_Cost'!$C$31</f>
        <v>0</v>
      </c>
      <c r="AO54" s="125" t="s">
        <v>300</v>
      </c>
      <c r="AQ54" s="14">
        <f t="shared" si="63"/>
        <v>0</v>
      </c>
      <c r="AR54" s="14">
        <f t="shared" si="64"/>
        <v>0</v>
      </c>
      <c r="AS54" s="14">
        <f t="shared" si="65"/>
        <v>0</v>
      </c>
      <c r="AT54" s="14">
        <f t="shared" si="67"/>
        <v>0</v>
      </c>
      <c r="AU54" s="15"/>
      <c r="AV54" s="15">
        <v>0</v>
      </c>
      <c r="AW54" s="15"/>
      <c r="AX54" s="15"/>
      <c r="AY54" s="15"/>
      <c r="AZ54" s="15"/>
      <c r="BA54" s="15"/>
      <c r="BB54" s="16">
        <f t="shared" si="66"/>
        <v>0</v>
      </c>
    </row>
    <row r="55" spans="1:54" ht="15.6" outlineLevel="2">
      <c r="A55" s="98"/>
      <c r="B55" s="102"/>
      <c r="C55" s="23"/>
      <c r="D55" s="251"/>
      <c r="E55" s="251"/>
      <c r="F55" s="251"/>
      <c r="G55" s="173"/>
      <c r="H55" s="272"/>
      <c r="I55" s="104"/>
      <c r="J55" s="105"/>
      <c r="K55" s="105"/>
      <c r="L55" s="106" t="str">
        <f>IF(I55&lt;&gt;0,((VLOOKUP(I55,'1. Standard_Cost'!$B$4:$D$11,2)+VLOOKUP(I55,'1. Standard_Cost'!$B$4:$D$11,3))*J55*K55),"0")</f>
        <v>0</v>
      </c>
      <c r="M55" s="106">
        <f>L55*'1. Standard_Cost'!$F$4</f>
        <v>0</v>
      </c>
      <c r="N55" s="107"/>
      <c r="O55" s="107"/>
      <c r="P55" s="107"/>
      <c r="Q55" s="107"/>
      <c r="R55" s="108">
        <f>'1. Standard_Cost'!$B$15*N55*P55</f>
        <v>0</v>
      </c>
      <c r="S55" s="108">
        <f>N55*O55*P55*'1. Standard_Cost'!$C$15</f>
        <v>0</v>
      </c>
      <c r="T55" s="108">
        <f>N55*P55*Q55*'1. Standard_Cost'!$D$15</f>
        <v>0</v>
      </c>
      <c r="U55" s="108">
        <f>N55*O55*'1. Standard_Cost'!$E$15</f>
        <v>0</v>
      </c>
      <c r="V55" s="107"/>
      <c r="W55" s="107"/>
      <c r="X55" s="107"/>
      <c r="Y55" s="108">
        <f>+V55*((X55*'1. Standard_Cost'!$B$19)+(W55*X55*'1. Standard_Cost'!$C$19))</f>
        <v>0</v>
      </c>
      <c r="Z55" s="107"/>
      <c r="AA55" s="107"/>
      <c r="AB55" s="108">
        <f>+Z55*'1. Standard_Cost'!$B$23+AA55*'1. Standard_Cost'!$C$23</f>
        <v>0</v>
      </c>
      <c r="AC55" s="109"/>
      <c r="AD55" s="110"/>
      <c r="AE55" s="108">
        <f>SUM(AD55,AC55,AB55,Y55,U55,T55,S55,R55)*'1. Standard_Cost'!$B$31</f>
        <v>0</v>
      </c>
      <c r="AF55" s="108">
        <f t="shared" si="62"/>
        <v>0</v>
      </c>
      <c r="AG55" s="107"/>
      <c r="AH55" s="107"/>
      <c r="AI55" s="107"/>
      <c r="AJ55" s="111"/>
      <c r="AK55" s="111"/>
      <c r="AL55" s="111"/>
      <c r="AM55" s="108">
        <f>AG55*'1. Standard_Cost'!$B$27+'Incremental_Cost Year 7'!AH55*'1. Standard_Cost'!$C$27+'Incremental_Cost Year 7'!AI55*'1. Standard_Cost'!$D$27+'Incremental_Cost Year 7'!AJ55+'Incremental_Cost Year 7'!AL55+AK55</f>
        <v>0</v>
      </c>
      <c r="AN55" s="108">
        <f>AM55*'1. Standard_Cost'!$C$31</f>
        <v>0</v>
      </c>
      <c r="AO55" s="125" t="s">
        <v>303</v>
      </c>
      <c r="AQ55" s="14">
        <f t="shared" si="63"/>
        <v>0</v>
      </c>
      <c r="AR55" s="14">
        <f t="shared" si="64"/>
        <v>0</v>
      </c>
      <c r="AS55" s="14">
        <f t="shared" si="65"/>
        <v>0</v>
      </c>
      <c r="AT55" s="14">
        <f t="shared" si="67"/>
        <v>0</v>
      </c>
      <c r="AU55" s="15"/>
      <c r="AV55" s="15"/>
      <c r="AW55" s="15"/>
      <c r="AX55" s="15"/>
      <c r="AY55" s="15"/>
      <c r="AZ55" s="15"/>
      <c r="BA55" s="15"/>
      <c r="BB55" s="16">
        <f t="shared" si="66"/>
        <v>0</v>
      </c>
    </row>
    <row r="56" spans="1:54" ht="15.6" outlineLevel="2">
      <c r="A56" s="98"/>
      <c r="B56" s="102"/>
      <c r="C56" s="23"/>
      <c r="D56" s="251"/>
      <c r="E56" s="251"/>
      <c r="F56" s="251"/>
      <c r="G56" s="173"/>
      <c r="H56" s="272"/>
      <c r="I56" s="104"/>
      <c r="J56" s="105"/>
      <c r="K56" s="105"/>
      <c r="L56" s="106" t="str">
        <f>IF(I56&lt;&gt;0,((VLOOKUP(I56,'1. Standard_Cost'!$B$4:$D$11,2)+VLOOKUP(I56,'1. Standard_Cost'!$B$4:$D$11,3))*J56*K56),"0")</f>
        <v>0</v>
      </c>
      <c r="M56" s="106">
        <f>L56*'1. Standard_Cost'!$F$4</f>
        <v>0</v>
      </c>
      <c r="N56" s="107"/>
      <c r="O56" s="107"/>
      <c r="P56" s="107"/>
      <c r="Q56" s="107"/>
      <c r="R56" s="108">
        <f>'1. Standard_Cost'!$B$15*N56*P56</f>
        <v>0</v>
      </c>
      <c r="S56" s="108">
        <f>N56*O56*P56*'1. Standard_Cost'!$C$15</f>
        <v>0</v>
      </c>
      <c r="T56" s="108">
        <f>N56*P56*Q56*'1. Standard_Cost'!$D$15</f>
        <v>0</v>
      </c>
      <c r="U56" s="108">
        <f>N56*O56*'1. Standard_Cost'!$E$15</f>
        <v>0</v>
      </c>
      <c r="V56" s="107"/>
      <c r="W56" s="107"/>
      <c r="X56" s="107"/>
      <c r="Y56" s="108">
        <f>+V56*((X56*'1. Standard_Cost'!$B$19)+(W56*X56*'1. Standard_Cost'!$C$19))</f>
        <v>0</v>
      </c>
      <c r="Z56" s="107"/>
      <c r="AA56" s="107"/>
      <c r="AB56" s="108">
        <f>+Z56*'1. Standard_Cost'!$B$23+AA56*'1. Standard_Cost'!$C$23</f>
        <v>0</v>
      </c>
      <c r="AC56" s="109"/>
      <c r="AD56" s="110"/>
      <c r="AE56" s="108">
        <f>SUM(AD56,AC56,AB56,Y56,U56,T56,S56,R56)*'1. Standard_Cost'!$B$31</f>
        <v>0</v>
      </c>
      <c r="AF56" s="108">
        <f t="shared" si="62"/>
        <v>0</v>
      </c>
      <c r="AG56" s="107"/>
      <c r="AH56" s="107"/>
      <c r="AI56" s="107"/>
      <c r="AJ56" s="111"/>
      <c r="AK56" s="111"/>
      <c r="AL56" s="111"/>
      <c r="AM56" s="108">
        <f>AG56*'1. Standard_Cost'!$B$27+'Incremental_Cost Year 7'!AH56*'1. Standard_Cost'!$C$27+'Incremental_Cost Year 7'!AI56*'1. Standard_Cost'!$D$27+'Incremental_Cost Year 7'!AJ56+'Incremental_Cost Year 7'!AL56+AK56</f>
        <v>0</v>
      </c>
      <c r="AN56" s="108">
        <f>AM56*'1. Standard_Cost'!$C$31</f>
        <v>0</v>
      </c>
      <c r="AO56" s="125" t="s">
        <v>304</v>
      </c>
      <c r="AQ56" s="14">
        <f t="shared" si="63"/>
        <v>0</v>
      </c>
      <c r="AR56" s="14">
        <f t="shared" si="64"/>
        <v>0</v>
      </c>
      <c r="AS56" s="14">
        <f t="shared" si="65"/>
        <v>0</v>
      </c>
      <c r="AT56" s="14">
        <f t="shared" si="67"/>
        <v>0</v>
      </c>
      <c r="AU56" s="15"/>
      <c r="AV56" s="15">
        <v>0</v>
      </c>
      <c r="AW56" s="15"/>
      <c r="AX56" s="15"/>
      <c r="AY56" s="15"/>
      <c r="AZ56" s="15"/>
      <c r="BA56" s="15"/>
      <c r="BB56" s="16">
        <f t="shared" si="66"/>
        <v>0</v>
      </c>
    </row>
    <row r="57" spans="1:54" ht="55.2" outlineLevel="2">
      <c r="A57" s="98"/>
      <c r="B57" s="102"/>
      <c r="C57" s="23"/>
      <c r="D57" s="251"/>
      <c r="E57" s="251"/>
      <c r="F57" s="251"/>
      <c r="G57" s="250"/>
      <c r="H57" s="272"/>
      <c r="I57" s="104"/>
      <c r="J57" s="105"/>
      <c r="K57" s="105"/>
      <c r="L57" s="106" t="str">
        <f>IF(I57&lt;&gt;0,((VLOOKUP(I57,'1. Standard_Cost'!$B$4:$D$11,2)+VLOOKUP(I57,'1. Standard_Cost'!$B$4:$D$11,3))*J57*K57),"0")</f>
        <v>0</v>
      </c>
      <c r="M57" s="106">
        <f>L57*'1. Standard_Cost'!$F$4</f>
        <v>0</v>
      </c>
      <c r="N57" s="107"/>
      <c r="O57" s="107"/>
      <c r="P57" s="107"/>
      <c r="Q57" s="107"/>
      <c r="R57" s="108">
        <f>'1. Standard_Cost'!$B$15*N57*P57</f>
        <v>0</v>
      </c>
      <c r="S57" s="108">
        <f>N57*O57*P57*'1. Standard_Cost'!$C$15</f>
        <v>0</v>
      </c>
      <c r="T57" s="108">
        <f>N57*P57*Q57*'1. Standard_Cost'!$D$15</f>
        <v>0</v>
      </c>
      <c r="U57" s="108">
        <f>N57*O57*'1. Standard_Cost'!$E$15</f>
        <v>0</v>
      </c>
      <c r="V57" s="107"/>
      <c r="W57" s="107"/>
      <c r="X57" s="107"/>
      <c r="Y57" s="108">
        <f>+V57*((X57*'1. Standard_Cost'!$B$19)+(W57*X57*'1. Standard_Cost'!$C$19))</f>
        <v>0</v>
      </c>
      <c r="Z57" s="107"/>
      <c r="AA57" s="107"/>
      <c r="AB57" s="108">
        <f>+Z57*'1. Standard_Cost'!$B$23+AA57*'1. Standard_Cost'!$C$23</f>
        <v>0</v>
      </c>
      <c r="AC57" s="109"/>
      <c r="AD57" s="110"/>
      <c r="AE57" s="108">
        <f>SUM(AD57,AC57,AB57,Y57,U57,T57,S57,R57)*'1. Standard_Cost'!$B$31</f>
        <v>0</v>
      </c>
      <c r="AF57" s="108">
        <f t="shared" si="62"/>
        <v>0</v>
      </c>
      <c r="AG57" s="107"/>
      <c r="AH57" s="107"/>
      <c r="AI57" s="107"/>
      <c r="AJ57" s="111"/>
      <c r="AK57" s="111"/>
      <c r="AL57" s="111"/>
      <c r="AM57" s="108">
        <f>AG57*'1. Standard_Cost'!$B$27+'Incremental_Cost Year 7'!AH57*'1. Standard_Cost'!$C$27+'Incremental_Cost Year 7'!AI57*'1. Standard_Cost'!$D$27+'Incremental_Cost Year 7'!AJ57+'Incremental_Cost Year 7'!AL57+AK57</f>
        <v>0</v>
      </c>
      <c r="AN57" s="108">
        <f>AM57*'1. Standard_Cost'!$C$31</f>
        <v>0</v>
      </c>
      <c r="AO57" s="125" t="s">
        <v>305</v>
      </c>
      <c r="AQ57" s="14">
        <f t="shared" si="63"/>
        <v>0</v>
      </c>
      <c r="AR57" s="14">
        <f t="shared" si="64"/>
        <v>0</v>
      </c>
      <c r="AS57" s="14">
        <f t="shared" si="65"/>
        <v>0</v>
      </c>
      <c r="AT57" s="14">
        <f t="shared" si="67"/>
        <v>0</v>
      </c>
      <c r="AU57" s="15"/>
      <c r="AV57" s="15"/>
      <c r="AW57" s="15"/>
      <c r="AX57" s="15"/>
      <c r="AY57" s="15"/>
      <c r="AZ57" s="15"/>
      <c r="BA57" s="15"/>
      <c r="BB57" s="16">
        <f t="shared" si="66"/>
        <v>0</v>
      </c>
    </row>
    <row r="58" spans="1:54" ht="41.4" outlineLevel="2">
      <c r="A58" s="98"/>
      <c r="B58" s="102"/>
      <c r="C58" s="23"/>
      <c r="D58" s="251"/>
      <c r="E58" s="251"/>
      <c r="F58" s="251"/>
      <c r="G58" s="250"/>
      <c r="H58" s="272"/>
      <c r="I58" s="104"/>
      <c r="J58" s="105"/>
      <c r="K58" s="105"/>
      <c r="L58" s="106" t="str">
        <f>IF(I58&lt;&gt;0,((VLOOKUP(I58,'1. Standard_Cost'!$B$4:$D$11,2)+VLOOKUP(I58,'1. Standard_Cost'!$B$4:$D$11,3))*J58*K58),"0")</f>
        <v>0</v>
      </c>
      <c r="M58" s="106">
        <f>L58*'1. Standard_Cost'!$F$4</f>
        <v>0</v>
      </c>
      <c r="N58" s="107"/>
      <c r="O58" s="107"/>
      <c r="P58" s="107"/>
      <c r="Q58" s="107"/>
      <c r="R58" s="108">
        <f>'1. Standard_Cost'!$B$15*N58*P58</f>
        <v>0</v>
      </c>
      <c r="S58" s="108">
        <f>N58*O58*P58*'1. Standard_Cost'!$C$15</f>
        <v>0</v>
      </c>
      <c r="T58" s="108">
        <f>N58*P58*Q58*'1. Standard_Cost'!$D$15</f>
        <v>0</v>
      </c>
      <c r="U58" s="108">
        <f>N58*O58*'1. Standard_Cost'!$E$15</f>
        <v>0</v>
      </c>
      <c r="V58" s="107"/>
      <c r="W58" s="107"/>
      <c r="X58" s="107"/>
      <c r="Y58" s="108">
        <f>+V58*((X58*'1. Standard_Cost'!$B$19)+(W58*X58*'1. Standard_Cost'!$C$19))</f>
        <v>0</v>
      </c>
      <c r="Z58" s="107"/>
      <c r="AA58" s="107"/>
      <c r="AB58" s="108">
        <f>+Z58*'1. Standard_Cost'!$B$23+AA58*'1. Standard_Cost'!$C$23</f>
        <v>0</v>
      </c>
      <c r="AC58" s="109"/>
      <c r="AD58" s="110"/>
      <c r="AE58" s="108">
        <f>SUM(AD58,AC58,AB58,Y58,U58,T58,S58,R58)*'1. Standard_Cost'!$B$31</f>
        <v>0</v>
      </c>
      <c r="AF58" s="108">
        <f t="shared" si="62"/>
        <v>0</v>
      </c>
      <c r="AG58" s="107"/>
      <c r="AH58" s="107"/>
      <c r="AI58" s="107"/>
      <c r="AJ58" s="111"/>
      <c r="AK58" s="111"/>
      <c r="AL58" s="111"/>
      <c r="AM58" s="108">
        <f>AG58*'1. Standard_Cost'!$B$27+'Incremental_Cost Year 7'!AH58*'1. Standard_Cost'!$C$27+'Incremental_Cost Year 7'!AI58*'1. Standard_Cost'!$D$27+'Incremental_Cost Year 7'!AJ58+'Incremental_Cost Year 7'!AL58+AK58</f>
        <v>0</v>
      </c>
      <c r="AN58" s="108">
        <f>AM58*'1. Standard_Cost'!$C$31</f>
        <v>0</v>
      </c>
      <c r="AO58" s="125" t="s">
        <v>306</v>
      </c>
      <c r="AQ58" s="14">
        <f t="shared" si="63"/>
        <v>0</v>
      </c>
      <c r="AR58" s="14">
        <f t="shared" si="64"/>
        <v>0</v>
      </c>
      <c r="AS58" s="14">
        <f t="shared" si="65"/>
        <v>0</v>
      </c>
      <c r="AT58" s="14">
        <f>SUM(AQ58,AR58,AS58)</f>
        <v>0</v>
      </c>
      <c r="AU58" s="15"/>
      <c r="AV58" s="15"/>
      <c r="AW58" s="15"/>
      <c r="AX58" s="15"/>
      <c r="AY58" s="15"/>
      <c r="AZ58" s="15"/>
      <c r="BA58" s="15"/>
      <c r="BB58" s="16">
        <f t="shared" si="66"/>
        <v>0</v>
      </c>
    </row>
    <row r="59" spans="1:54" ht="27.6" outlineLevel="1">
      <c r="A59" s="98"/>
      <c r="B59" s="102"/>
      <c r="C59" s="23"/>
      <c r="D59" s="56" t="s">
        <v>47</v>
      </c>
      <c r="E59" s="56" t="s">
        <v>213</v>
      </c>
      <c r="F59" s="253">
        <v>2021</v>
      </c>
      <c r="G59" s="254">
        <v>2026</v>
      </c>
      <c r="H59" s="277" t="s">
        <v>183</v>
      </c>
      <c r="I59" s="112"/>
      <c r="J59" s="112"/>
      <c r="K59" s="112"/>
      <c r="L59" s="113">
        <f>SUM(L41:L58)</f>
        <v>0</v>
      </c>
      <c r="M59" s="113">
        <f>SUM(M41:M58)</f>
        <v>0</v>
      </c>
      <c r="N59" s="112"/>
      <c r="O59" s="112"/>
      <c r="P59" s="112"/>
      <c r="Q59" s="112"/>
      <c r="R59" s="113">
        <f>SUM(R41:R58)</f>
        <v>0</v>
      </c>
      <c r="S59" s="113">
        <f>SUM(S41:S58)</f>
        <v>0</v>
      </c>
      <c r="T59" s="113">
        <f>SUM(T41:T58)</f>
        <v>0</v>
      </c>
      <c r="U59" s="113">
        <f>SUM(U41:U58)</f>
        <v>0</v>
      </c>
      <c r="V59" s="112"/>
      <c r="W59" s="112"/>
      <c r="X59" s="112"/>
      <c r="Y59" s="113">
        <f>SUM(Y41:Y58)</f>
        <v>0</v>
      </c>
      <c r="Z59" s="113">
        <f>SUM(Z41:Z58)</f>
        <v>0</v>
      </c>
      <c r="AA59" s="112"/>
      <c r="AB59" s="113">
        <f>SUM(AB41:AB58)</f>
        <v>0</v>
      </c>
      <c r="AC59" s="113">
        <f>SUM(AC41:AC58)</f>
        <v>0</v>
      </c>
      <c r="AD59" s="113">
        <f>SUM(AD41:AD58)</f>
        <v>0</v>
      </c>
      <c r="AE59" s="113">
        <f>SUM(AE41:AE58)</f>
        <v>0</v>
      </c>
      <c r="AF59" s="113">
        <f>SUM(AF41:AF58)</f>
        <v>0</v>
      </c>
      <c r="AG59" s="112"/>
      <c r="AH59" s="112"/>
      <c r="AI59" s="112"/>
      <c r="AJ59" s="113">
        <f>SUM(AJ41:AJ58)</f>
        <v>0</v>
      </c>
      <c r="AK59" s="113">
        <f>SUM(AK41:AK58)</f>
        <v>0</v>
      </c>
      <c r="AL59" s="113">
        <f>SUM(AL41:AL58)</f>
        <v>0</v>
      </c>
      <c r="AM59" s="113">
        <f>SUM(AM41:AM58)</f>
        <v>0</v>
      </c>
      <c r="AN59" s="113">
        <f>SUM(AN41:AN58)</f>
        <v>0</v>
      </c>
      <c r="AO59" s="131"/>
      <c r="AP59" s="17"/>
      <c r="AQ59" s="113">
        <f t="shared" ref="AQ59:BB59" si="68">SUM(AQ41:AQ58)</f>
        <v>0</v>
      </c>
      <c r="AR59" s="113">
        <f t="shared" si="68"/>
        <v>0</v>
      </c>
      <c r="AS59" s="113">
        <f t="shared" si="68"/>
        <v>0</v>
      </c>
      <c r="AT59" s="113">
        <f t="shared" si="68"/>
        <v>0</v>
      </c>
      <c r="AU59" s="113">
        <f t="shared" si="68"/>
        <v>0</v>
      </c>
      <c r="AV59" s="113">
        <f t="shared" si="68"/>
        <v>0</v>
      </c>
      <c r="AW59" s="113">
        <f t="shared" si="68"/>
        <v>0</v>
      </c>
      <c r="AX59" s="113">
        <f t="shared" si="68"/>
        <v>0</v>
      </c>
      <c r="AY59" s="113">
        <f t="shared" si="68"/>
        <v>0</v>
      </c>
      <c r="AZ59" s="113">
        <f t="shared" si="68"/>
        <v>0</v>
      </c>
      <c r="BA59" s="113">
        <f t="shared" si="68"/>
        <v>0</v>
      </c>
      <c r="BB59" s="113">
        <f t="shared" si="68"/>
        <v>0</v>
      </c>
    </row>
    <row r="60" spans="1:54" ht="15.6" outlineLevel="2">
      <c r="A60" s="98"/>
      <c r="B60" s="102"/>
      <c r="C60" s="23"/>
      <c r="D60" s="257"/>
      <c r="E60" s="257"/>
      <c r="F60" s="251"/>
      <c r="G60" s="250"/>
      <c r="H60" s="272"/>
      <c r="I60" s="104"/>
      <c r="J60" s="105"/>
      <c r="K60" s="105"/>
      <c r="L60" s="106" t="str">
        <f>IF(I60&lt;&gt;0,((VLOOKUP(I60,'1. Standard_Cost'!$B$4:$D$11,2)+VLOOKUP(I60,'1. Standard_Cost'!$B$4:$D$11,3))*J60*K60),"0")</f>
        <v>0</v>
      </c>
      <c r="M60" s="106">
        <f>L60*'1. Standard_Cost'!$F$4</f>
        <v>0</v>
      </c>
      <c r="N60" s="107"/>
      <c r="O60" s="107"/>
      <c r="P60" s="107"/>
      <c r="Q60" s="107"/>
      <c r="R60" s="108">
        <f>'1. Standard_Cost'!$B$15*N60*P60</f>
        <v>0</v>
      </c>
      <c r="S60" s="108">
        <f>N60*O60*P60*'1. Standard_Cost'!$C$15</f>
        <v>0</v>
      </c>
      <c r="T60" s="108">
        <f>N60*P60*Q60*'1. Standard_Cost'!$D$15</f>
        <v>0</v>
      </c>
      <c r="U60" s="108">
        <f>N60*O60*'1. Standard_Cost'!$E$15</f>
        <v>0</v>
      </c>
      <c r="V60" s="107"/>
      <c r="W60" s="107"/>
      <c r="X60" s="107"/>
      <c r="Y60" s="108">
        <f>+V60*((X60*'1. Standard_Cost'!$B$19)+(W60*X60*'1. Standard_Cost'!$C$19))</f>
        <v>0</v>
      </c>
      <c r="Z60" s="107"/>
      <c r="AA60" s="107"/>
      <c r="AB60" s="108">
        <f>+Z60*'1. Standard_Cost'!$B$23+AA60*'1. Standard_Cost'!$C$23</f>
        <v>0</v>
      </c>
      <c r="AC60" s="109"/>
      <c r="AD60" s="110"/>
      <c r="AE60" s="108">
        <f>SUM(AD60,AC60,AB60,Y60,U60,T60,S60,R60)*'1. Standard_Cost'!$B$31</f>
        <v>0</v>
      </c>
      <c r="AF60" s="108">
        <f t="shared" ref="AF60:AF78" si="69">SUM(AE60,AD60,AC60,AB60,Y60,U60,T60,S60,R60)</f>
        <v>0</v>
      </c>
      <c r="AG60" s="107"/>
      <c r="AH60" s="107"/>
      <c r="AI60" s="107"/>
      <c r="AJ60" s="111"/>
      <c r="AK60" s="111"/>
      <c r="AL60" s="111"/>
      <c r="AM60" s="108">
        <f>AG60*'1. Standard_Cost'!$B$27+'Incremental_Cost Year 7'!AH60*'1. Standard_Cost'!$C$27+'Incremental_Cost Year 7'!AI60*'1. Standard_Cost'!$D$27+'Incremental_Cost Year 7'!AJ60+'Incremental_Cost Year 7'!AL60+AK60</f>
        <v>0</v>
      </c>
      <c r="AN60" s="108">
        <f>AM60*'1. Standard_Cost'!$C$31</f>
        <v>0</v>
      </c>
      <c r="AO60" s="125" t="s">
        <v>307</v>
      </c>
      <c r="AQ60" s="14">
        <f t="shared" ref="AQ60:AQ78" si="70">L60+M60</f>
        <v>0</v>
      </c>
      <c r="AR60" s="14">
        <f t="shared" ref="AR60:AR78" si="71">AF60</f>
        <v>0</v>
      </c>
      <c r="AS60" s="14">
        <f t="shared" ref="AS60:AS78" si="72">AM60+AN60</f>
        <v>0</v>
      </c>
      <c r="AT60" s="14">
        <f>SUM(AQ60,AR60,AS60)</f>
        <v>0</v>
      </c>
      <c r="AU60" s="15"/>
      <c r="AV60" s="15"/>
      <c r="AW60" s="15"/>
      <c r="AX60" s="15"/>
      <c r="AY60" s="15"/>
      <c r="AZ60" s="15"/>
      <c r="BA60" s="15"/>
      <c r="BB60" s="16">
        <f t="shared" ref="BB60:BB78" si="73">SUM(AU60:BA60)-AT60</f>
        <v>0</v>
      </c>
    </row>
    <row r="61" spans="1:54" ht="15.6" outlineLevel="2">
      <c r="A61" s="98"/>
      <c r="B61" s="102"/>
      <c r="C61" s="23"/>
      <c r="D61" s="269"/>
      <c r="E61" s="269"/>
      <c r="F61" s="251"/>
      <c r="G61" s="250"/>
      <c r="H61" s="272"/>
      <c r="I61" s="104"/>
      <c r="J61" s="105"/>
      <c r="K61" s="105"/>
      <c r="L61" s="106" t="str">
        <f>IF(I61&lt;&gt;0,((VLOOKUP(I61,'1. Standard_Cost'!$B$4:$D$11,2)+VLOOKUP(I61,'1. Standard_Cost'!$B$4:$D$11,3))*J61*K61),"0")</f>
        <v>0</v>
      </c>
      <c r="M61" s="106">
        <f>L61*'1. Standard_Cost'!$F$4</f>
        <v>0</v>
      </c>
      <c r="N61" s="107"/>
      <c r="O61" s="107"/>
      <c r="P61" s="107"/>
      <c r="Q61" s="107"/>
      <c r="R61" s="108">
        <f>'1. Standard_Cost'!$B$15*N61*P61</f>
        <v>0</v>
      </c>
      <c r="S61" s="108">
        <f>N61*O61*P61*'1. Standard_Cost'!$C$15</f>
        <v>0</v>
      </c>
      <c r="T61" s="108">
        <f>N61*P61*Q61*'1. Standard_Cost'!$D$15</f>
        <v>0</v>
      </c>
      <c r="U61" s="108">
        <f>N61*O61*'1. Standard_Cost'!$E$15</f>
        <v>0</v>
      </c>
      <c r="V61" s="107"/>
      <c r="W61" s="107"/>
      <c r="X61" s="107"/>
      <c r="Y61" s="108">
        <f>+V61*((X61*'1. Standard_Cost'!$B$19)+(W61*X61*'1. Standard_Cost'!$C$19))</f>
        <v>0</v>
      </c>
      <c r="Z61" s="107"/>
      <c r="AA61" s="107"/>
      <c r="AB61" s="108">
        <f>+Z61*'1. Standard_Cost'!$B$23+AA61*'1. Standard_Cost'!$C$23</f>
        <v>0</v>
      </c>
      <c r="AC61" s="109"/>
      <c r="AD61" s="110"/>
      <c r="AE61" s="108">
        <f>SUM(AD61,AC61,AB61,Y61,U61,T61,S61,R61)*'1. Standard_Cost'!$B$31</f>
        <v>0</v>
      </c>
      <c r="AF61" s="108">
        <f t="shared" si="69"/>
        <v>0</v>
      </c>
      <c r="AG61" s="107"/>
      <c r="AH61" s="107"/>
      <c r="AI61" s="107"/>
      <c r="AJ61" s="111"/>
      <c r="AK61" s="111"/>
      <c r="AL61" s="111"/>
      <c r="AM61" s="108">
        <f>AG61*'1. Standard_Cost'!$B$27+'Incremental_Cost Year 7'!AH61*'1. Standard_Cost'!$C$27+'Incremental_Cost Year 7'!AI61*'1. Standard_Cost'!$D$27+'Incremental_Cost Year 7'!AJ61+'Incremental_Cost Year 7'!AL61+AK61</f>
        <v>0</v>
      </c>
      <c r="AN61" s="108">
        <f>AM61*'1. Standard_Cost'!$C$31</f>
        <v>0</v>
      </c>
      <c r="AO61" s="125" t="s">
        <v>308</v>
      </c>
      <c r="AQ61" s="14">
        <f t="shared" si="70"/>
        <v>0</v>
      </c>
      <c r="AR61" s="14">
        <f t="shared" si="71"/>
        <v>0</v>
      </c>
      <c r="AS61" s="14">
        <f t="shared" si="72"/>
        <v>0</v>
      </c>
      <c r="AT61" s="14">
        <f t="shared" ref="AT61:AT78" si="74">SUM(AQ61,AR61,AS61)</f>
        <v>0</v>
      </c>
      <c r="AU61" s="15"/>
      <c r="AV61" s="15"/>
      <c r="AW61" s="15"/>
      <c r="AX61" s="15"/>
      <c r="AY61" s="15"/>
      <c r="AZ61" s="15"/>
      <c r="BA61" s="15"/>
      <c r="BB61" s="16">
        <f t="shared" si="73"/>
        <v>0</v>
      </c>
    </row>
    <row r="62" spans="1:54" ht="69" outlineLevel="2">
      <c r="A62" s="98"/>
      <c r="B62" s="102"/>
      <c r="C62" s="23"/>
      <c r="D62" s="269"/>
      <c r="E62" s="269"/>
      <c r="F62" s="251"/>
      <c r="G62" s="250"/>
      <c r="H62" s="272"/>
      <c r="I62" s="104"/>
      <c r="J62" s="105"/>
      <c r="K62" s="105"/>
      <c r="L62" s="106" t="str">
        <f>IF(I62&lt;&gt;0,((VLOOKUP(I62,'1. Standard_Cost'!$B$4:$D$11,2)+VLOOKUP(I62,'1. Standard_Cost'!$B$4:$D$11,3))*J62*K62),"0")</f>
        <v>0</v>
      </c>
      <c r="M62" s="106">
        <f>L62*'1. Standard_Cost'!$F$4</f>
        <v>0</v>
      </c>
      <c r="N62" s="107"/>
      <c r="O62" s="107"/>
      <c r="P62" s="107"/>
      <c r="Q62" s="107"/>
      <c r="R62" s="108">
        <f>'1. Standard_Cost'!$B$15*N62*P62</f>
        <v>0</v>
      </c>
      <c r="S62" s="108">
        <f>N62*O62*P62*'1. Standard_Cost'!$C$15</f>
        <v>0</v>
      </c>
      <c r="T62" s="108">
        <f>N62*P62*Q62*'1. Standard_Cost'!$D$15</f>
        <v>0</v>
      </c>
      <c r="U62" s="108">
        <f>N62*O62*'1. Standard_Cost'!$E$15</f>
        <v>0</v>
      </c>
      <c r="V62" s="107"/>
      <c r="W62" s="107"/>
      <c r="X62" s="107"/>
      <c r="Y62" s="108">
        <f>+V62*((X62*'1. Standard_Cost'!$B$19)+(W62*X62*'1. Standard_Cost'!$C$19))</f>
        <v>0</v>
      </c>
      <c r="Z62" s="107"/>
      <c r="AA62" s="107"/>
      <c r="AB62" s="108">
        <f>+Z62*'1. Standard_Cost'!$B$23+AA62*'1. Standard_Cost'!$C$23</f>
        <v>0</v>
      </c>
      <c r="AC62" s="109"/>
      <c r="AD62" s="110"/>
      <c r="AE62" s="108">
        <f>SUM(AD62,AC62,AB62,Y62,U62,T62,S62,R62)*'1. Standard_Cost'!$B$31</f>
        <v>0</v>
      </c>
      <c r="AF62" s="108">
        <f t="shared" si="69"/>
        <v>0</v>
      </c>
      <c r="AG62" s="107"/>
      <c r="AH62" s="107"/>
      <c r="AI62" s="107"/>
      <c r="AJ62" s="111"/>
      <c r="AK62" s="111"/>
      <c r="AL62" s="111"/>
      <c r="AM62" s="108">
        <f>AG62*'1. Standard_Cost'!$B$27+'Incremental_Cost Year 7'!AH62*'1. Standard_Cost'!$C$27+'Incremental_Cost Year 7'!AI62*'1. Standard_Cost'!$D$27+'Incremental_Cost Year 7'!AJ62+'Incremental_Cost Year 7'!AL62+AK62</f>
        <v>0</v>
      </c>
      <c r="AN62" s="108">
        <f>AM62*'1. Standard_Cost'!$C$31</f>
        <v>0</v>
      </c>
      <c r="AO62" s="125" t="s">
        <v>309</v>
      </c>
      <c r="AQ62" s="14">
        <f t="shared" si="70"/>
        <v>0</v>
      </c>
      <c r="AR62" s="14">
        <f t="shared" si="71"/>
        <v>0</v>
      </c>
      <c r="AS62" s="14">
        <f t="shared" si="72"/>
        <v>0</v>
      </c>
      <c r="AT62" s="14">
        <f t="shared" si="74"/>
        <v>0</v>
      </c>
      <c r="AU62" s="15"/>
      <c r="AV62" s="15"/>
      <c r="AW62" s="15"/>
      <c r="AX62" s="15"/>
      <c r="AY62" s="15"/>
      <c r="AZ62" s="15"/>
      <c r="BA62" s="15"/>
      <c r="BB62" s="16">
        <f t="shared" si="73"/>
        <v>0</v>
      </c>
    </row>
    <row r="63" spans="1:54" ht="27.6" outlineLevel="2">
      <c r="A63" s="98"/>
      <c r="B63" s="102"/>
      <c r="C63" s="23"/>
      <c r="D63" s="269"/>
      <c r="E63" s="269"/>
      <c r="F63" s="251"/>
      <c r="G63" s="250"/>
      <c r="H63" s="272"/>
      <c r="I63" s="104"/>
      <c r="J63" s="105"/>
      <c r="K63" s="105"/>
      <c r="L63" s="106" t="str">
        <f>IF(I63&lt;&gt;0,((VLOOKUP(I63,'1. Standard_Cost'!$B$4:$D$11,2)+VLOOKUP(I63,'1. Standard_Cost'!$B$4:$D$11,3))*J63*K63),"0")</f>
        <v>0</v>
      </c>
      <c r="M63" s="106">
        <f>L63*'1. Standard_Cost'!$F$4</f>
        <v>0</v>
      </c>
      <c r="N63" s="107"/>
      <c r="O63" s="107"/>
      <c r="P63" s="107"/>
      <c r="Q63" s="107"/>
      <c r="R63" s="108">
        <f>'1. Standard_Cost'!$B$15*N63*P63</f>
        <v>0</v>
      </c>
      <c r="S63" s="108">
        <f>N63*O63*P63*'1. Standard_Cost'!$C$15</f>
        <v>0</v>
      </c>
      <c r="T63" s="108">
        <f>N63*P63*Q63*'1. Standard_Cost'!$D$15</f>
        <v>0</v>
      </c>
      <c r="U63" s="108">
        <f>N63*O63*'1. Standard_Cost'!$E$15</f>
        <v>0</v>
      </c>
      <c r="V63" s="107"/>
      <c r="W63" s="107"/>
      <c r="X63" s="107"/>
      <c r="Y63" s="108">
        <f>+V63*((X63*'1. Standard_Cost'!$B$19)+(W63*X63*'1. Standard_Cost'!$C$19))</f>
        <v>0</v>
      </c>
      <c r="Z63" s="107"/>
      <c r="AA63" s="107"/>
      <c r="AB63" s="108">
        <f>+Z63*'1. Standard_Cost'!$B$23+AA63*'1. Standard_Cost'!$C$23</f>
        <v>0</v>
      </c>
      <c r="AC63" s="109"/>
      <c r="AD63" s="110"/>
      <c r="AE63" s="108">
        <f>SUM(AD63,AC63,AB63,Y63,U63,T63,S63,R63)*'1. Standard_Cost'!$B$31</f>
        <v>0</v>
      </c>
      <c r="AF63" s="108">
        <f t="shared" si="69"/>
        <v>0</v>
      </c>
      <c r="AG63" s="107"/>
      <c r="AH63" s="107"/>
      <c r="AI63" s="107"/>
      <c r="AJ63" s="111"/>
      <c r="AK63" s="111"/>
      <c r="AL63" s="111"/>
      <c r="AM63" s="108">
        <f>AG63*'1. Standard_Cost'!$B$27+'Incremental_Cost Year 7'!AH63*'1. Standard_Cost'!$C$27+'Incremental_Cost Year 7'!AI63*'1. Standard_Cost'!$D$27+'Incremental_Cost Year 7'!AJ63+'Incremental_Cost Year 7'!AL63+AK63</f>
        <v>0</v>
      </c>
      <c r="AN63" s="108">
        <f>AM63*'1. Standard_Cost'!$C$31</f>
        <v>0</v>
      </c>
      <c r="AO63" s="125" t="s">
        <v>310</v>
      </c>
      <c r="AQ63" s="14">
        <f t="shared" si="70"/>
        <v>0</v>
      </c>
      <c r="AR63" s="14">
        <f t="shared" si="71"/>
        <v>0</v>
      </c>
      <c r="AS63" s="14">
        <f t="shared" si="72"/>
        <v>0</v>
      </c>
      <c r="AT63" s="14">
        <f t="shared" si="74"/>
        <v>0</v>
      </c>
      <c r="AU63" s="15"/>
      <c r="AV63" s="15"/>
      <c r="AW63" s="15"/>
      <c r="AX63" s="15"/>
      <c r="AY63" s="15"/>
      <c r="AZ63" s="15"/>
      <c r="BA63" s="15"/>
      <c r="BB63" s="16">
        <f t="shared" si="73"/>
        <v>0</v>
      </c>
    </row>
    <row r="64" spans="1:54" ht="41.4" outlineLevel="2">
      <c r="A64" s="98"/>
      <c r="B64" s="102"/>
      <c r="C64" s="23"/>
      <c r="D64" s="269"/>
      <c r="E64" s="269"/>
      <c r="F64" s="251"/>
      <c r="G64" s="250"/>
      <c r="H64" s="272"/>
      <c r="I64" s="104"/>
      <c r="J64" s="105"/>
      <c r="K64" s="105"/>
      <c r="L64" s="106" t="str">
        <f>IF(I64&lt;&gt;0,((VLOOKUP(I64,'1. Standard_Cost'!$B$4:$D$11,2)+VLOOKUP(I64,'1. Standard_Cost'!$B$4:$D$11,3))*J64*K64),"0")</f>
        <v>0</v>
      </c>
      <c r="M64" s="106">
        <f>L64*'1. Standard_Cost'!$F$4</f>
        <v>0</v>
      </c>
      <c r="N64" s="107"/>
      <c r="O64" s="107"/>
      <c r="P64" s="107"/>
      <c r="Q64" s="107"/>
      <c r="R64" s="108">
        <f>'1. Standard_Cost'!$B$15*N64*P64</f>
        <v>0</v>
      </c>
      <c r="S64" s="108">
        <f>N64*O64*P64*'1. Standard_Cost'!$C$15</f>
        <v>0</v>
      </c>
      <c r="T64" s="108">
        <f>N64*P64*Q64*'1. Standard_Cost'!$D$15</f>
        <v>0</v>
      </c>
      <c r="U64" s="108">
        <f>N64*O64*'1. Standard_Cost'!$E$15</f>
        <v>0</v>
      </c>
      <c r="V64" s="107"/>
      <c r="W64" s="107"/>
      <c r="X64" s="107"/>
      <c r="Y64" s="108">
        <f>+V64*((X64*'1. Standard_Cost'!$B$19)+(W64*X64*'1. Standard_Cost'!$C$19))</f>
        <v>0</v>
      </c>
      <c r="Z64" s="107"/>
      <c r="AA64" s="107"/>
      <c r="AB64" s="108">
        <f>+Z64*'1. Standard_Cost'!$B$23+AA64*'1. Standard_Cost'!$C$23</f>
        <v>0</v>
      </c>
      <c r="AC64" s="109"/>
      <c r="AD64" s="110"/>
      <c r="AE64" s="108">
        <f>SUM(AD64,AC64,AB64,Y64,U64,T64,S64,R64)*'1. Standard_Cost'!$B$31</f>
        <v>0</v>
      </c>
      <c r="AF64" s="108">
        <f t="shared" si="69"/>
        <v>0</v>
      </c>
      <c r="AG64" s="107"/>
      <c r="AH64" s="107"/>
      <c r="AI64" s="107"/>
      <c r="AJ64" s="111"/>
      <c r="AK64" s="111"/>
      <c r="AL64" s="111"/>
      <c r="AM64" s="108">
        <f>AG64*'1. Standard_Cost'!$B$27+'Incremental_Cost Year 7'!AH64*'1. Standard_Cost'!$C$27+'Incremental_Cost Year 7'!AI64*'1. Standard_Cost'!$D$27+'Incremental_Cost Year 7'!AJ64+'Incremental_Cost Year 7'!AL64+AK64</f>
        <v>0</v>
      </c>
      <c r="AN64" s="108">
        <f>AM64*'1. Standard_Cost'!$C$31</f>
        <v>0</v>
      </c>
      <c r="AO64" s="125" t="s">
        <v>311</v>
      </c>
      <c r="AQ64" s="14">
        <f t="shared" si="70"/>
        <v>0</v>
      </c>
      <c r="AR64" s="14">
        <f t="shared" si="71"/>
        <v>0</v>
      </c>
      <c r="AS64" s="14">
        <f t="shared" si="72"/>
        <v>0</v>
      </c>
      <c r="AT64" s="14">
        <f t="shared" si="74"/>
        <v>0</v>
      </c>
      <c r="AU64" s="15"/>
      <c r="AV64" s="15"/>
      <c r="AW64" s="15"/>
      <c r="AX64" s="15"/>
      <c r="AY64" s="15"/>
      <c r="AZ64" s="15"/>
      <c r="BA64" s="15"/>
      <c r="BB64" s="16">
        <f t="shared" si="73"/>
        <v>0</v>
      </c>
    </row>
    <row r="65" spans="1:54" ht="15.6" outlineLevel="2">
      <c r="A65" s="98"/>
      <c r="B65" s="102"/>
      <c r="C65" s="23"/>
      <c r="D65" s="269"/>
      <c r="E65" s="269"/>
      <c r="F65" s="251"/>
      <c r="G65" s="250"/>
      <c r="H65" s="272"/>
      <c r="I65" s="104"/>
      <c r="J65" s="105"/>
      <c r="K65" s="105"/>
      <c r="L65" s="106" t="str">
        <f>IF(I65&lt;&gt;0,((VLOOKUP(I65,'1. Standard_Cost'!$B$4:$D$11,2)+VLOOKUP(I65,'1. Standard_Cost'!$B$4:$D$11,3))*J65*K65),"0")</f>
        <v>0</v>
      </c>
      <c r="M65" s="106">
        <f>L65*'1. Standard_Cost'!$F$4</f>
        <v>0</v>
      </c>
      <c r="N65" s="107"/>
      <c r="O65" s="107"/>
      <c r="P65" s="107"/>
      <c r="Q65" s="107"/>
      <c r="R65" s="108">
        <f>'1. Standard_Cost'!$B$15*N65*P65</f>
        <v>0</v>
      </c>
      <c r="S65" s="108">
        <f>N65*O65*P65*'1. Standard_Cost'!$C$15</f>
        <v>0</v>
      </c>
      <c r="T65" s="108">
        <f>N65*P65*Q65*'1. Standard_Cost'!$D$15</f>
        <v>0</v>
      </c>
      <c r="U65" s="108">
        <f>N65*O65*'1. Standard_Cost'!$E$15</f>
        <v>0</v>
      </c>
      <c r="V65" s="107"/>
      <c r="W65" s="107"/>
      <c r="X65" s="107"/>
      <c r="Y65" s="108">
        <f>+V65*((X65*'1. Standard_Cost'!$B$19)+(W65*X65*'1. Standard_Cost'!$C$19))</f>
        <v>0</v>
      </c>
      <c r="Z65" s="107"/>
      <c r="AA65" s="107"/>
      <c r="AB65" s="108">
        <f>+Z65*'1. Standard_Cost'!$B$23+AA65*'1. Standard_Cost'!$C$23</f>
        <v>0</v>
      </c>
      <c r="AC65" s="109"/>
      <c r="AD65" s="110"/>
      <c r="AE65" s="108">
        <f>SUM(AD65,AC65,AB65,Y65,U65,T65,S65,R65)*'1. Standard_Cost'!$B$31</f>
        <v>0</v>
      </c>
      <c r="AF65" s="108">
        <f t="shared" si="69"/>
        <v>0</v>
      </c>
      <c r="AG65" s="107"/>
      <c r="AH65" s="107"/>
      <c r="AI65" s="107"/>
      <c r="AJ65" s="111"/>
      <c r="AK65" s="111"/>
      <c r="AL65" s="111"/>
      <c r="AM65" s="108">
        <f>AG65*'1. Standard_Cost'!$B$27+'Incremental_Cost Year 7'!AH65*'1. Standard_Cost'!$C$27+'Incremental_Cost Year 7'!AI65*'1. Standard_Cost'!$D$27+'Incremental_Cost Year 7'!AJ65+'Incremental_Cost Year 7'!AL65+AK65</f>
        <v>0</v>
      </c>
      <c r="AN65" s="108">
        <f>AM65*'1. Standard_Cost'!$C$31</f>
        <v>0</v>
      </c>
      <c r="AO65" s="125" t="s">
        <v>312</v>
      </c>
      <c r="AQ65" s="14">
        <f t="shared" si="70"/>
        <v>0</v>
      </c>
      <c r="AR65" s="14">
        <f t="shared" si="71"/>
        <v>0</v>
      </c>
      <c r="AS65" s="14">
        <f t="shared" si="72"/>
        <v>0</v>
      </c>
      <c r="AT65" s="14">
        <f t="shared" si="74"/>
        <v>0</v>
      </c>
      <c r="AU65" s="15"/>
      <c r="AV65" s="15"/>
      <c r="AW65" s="15"/>
      <c r="AX65" s="15"/>
      <c r="AY65" s="15"/>
      <c r="AZ65" s="15"/>
      <c r="BA65" s="15"/>
      <c r="BB65" s="16">
        <f t="shared" si="73"/>
        <v>0</v>
      </c>
    </row>
    <row r="66" spans="1:54" ht="15.6" outlineLevel="2">
      <c r="A66" s="98"/>
      <c r="B66" s="102"/>
      <c r="C66" s="23"/>
      <c r="D66" s="269"/>
      <c r="E66" s="269"/>
      <c r="F66" s="251"/>
      <c r="G66" s="250"/>
      <c r="H66" s="272"/>
      <c r="I66" s="104"/>
      <c r="J66" s="105"/>
      <c r="K66" s="105"/>
      <c r="L66" s="106" t="str">
        <f>IF(I66&lt;&gt;0,((VLOOKUP(I66,'1. Standard_Cost'!$B$4:$D$11,2)+VLOOKUP(I66,'1. Standard_Cost'!$B$4:$D$11,3))*J66*K66),"0")</f>
        <v>0</v>
      </c>
      <c r="M66" s="106">
        <f>L66*'1. Standard_Cost'!$F$4</f>
        <v>0</v>
      </c>
      <c r="N66" s="107"/>
      <c r="O66" s="107"/>
      <c r="P66" s="107"/>
      <c r="Q66" s="107"/>
      <c r="R66" s="108">
        <f>'1. Standard_Cost'!$B$15*N66*P66</f>
        <v>0</v>
      </c>
      <c r="S66" s="108">
        <f>N66*O66*P66*'1. Standard_Cost'!$C$15</f>
        <v>0</v>
      </c>
      <c r="T66" s="108">
        <f>N66*P66*Q66*'1. Standard_Cost'!$D$15</f>
        <v>0</v>
      </c>
      <c r="U66" s="108">
        <f>N66*O66*'1. Standard_Cost'!$E$15</f>
        <v>0</v>
      </c>
      <c r="V66" s="107"/>
      <c r="W66" s="107"/>
      <c r="X66" s="107"/>
      <c r="Y66" s="108">
        <f>+V66*((X66*'1. Standard_Cost'!$B$19)+(W66*X66*'1. Standard_Cost'!$C$19))</f>
        <v>0</v>
      </c>
      <c r="Z66" s="107"/>
      <c r="AA66" s="107"/>
      <c r="AB66" s="108">
        <f>+Z66*'1. Standard_Cost'!$B$23+AA66*'1. Standard_Cost'!$C$23</f>
        <v>0</v>
      </c>
      <c r="AC66" s="109"/>
      <c r="AD66" s="110"/>
      <c r="AE66" s="108">
        <f>SUM(AD66,AC66,AB66,Y66,U66,T66,S66,R66)*'1. Standard_Cost'!$B$31</f>
        <v>0</v>
      </c>
      <c r="AF66" s="108">
        <f t="shared" si="69"/>
        <v>0</v>
      </c>
      <c r="AG66" s="107"/>
      <c r="AH66" s="107"/>
      <c r="AI66" s="107"/>
      <c r="AJ66" s="111"/>
      <c r="AK66" s="111"/>
      <c r="AL66" s="111"/>
      <c r="AM66" s="108">
        <f>AG66*'1. Standard_Cost'!$B$27+'Incremental_Cost Year 7'!AH66*'1. Standard_Cost'!$C$27+'Incremental_Cost Year 7'!AI66*'1. Standard_Cost'!$D$27+'Incremental_Cost Year 7'!AJ66+'Incremental_Cost Year 7'!AL66+AK66</f>
        <v>0</v>
      </c>
      <c r="AN66" s="108">
        <f>AM66*'1. Standard_Cost'!$C$31</f>
        <v>0</v>
      </c>
      <c r="AO66" s="125" t="s">
        <v>313</v>
      </c>
      <c r="AQ66" s="14">
        <f t="shared" si="70"/>
        <v>0</v>
      </c>
      <c r="AR66" s="14">
        <f t="shared" si="71"/>
        <v>0</v>
      </c>
      <c r="AS66" s="14">
        <f t="shared" si="72"/>
        <v>0</v>
      </c>
      <c r="AT66" s="14">
        <f t="shared" si="74"/>
        <v>0</v>
      </c>
      <c r="AU66" s="15"/>
      <c r="AV66" s="15"/>
      <c r="AW66" s="15"/>
      <c r="AX66" s="15"/>
      <c r="AY66" s="15"/>
      <c r="AZ66" s="15"/>
      <c r="BA66" s="15"/>
      <c r="BB66" s="16">
        <f t="shared" si="73"/>
        <v>0</v>
      </c>
    </row>
    <row r="67" spans="1:54" ht="15.6" outlineLevel="2">
      <c r="A67" s="98"/>
      <c r="B67" s="102"/>
      <c r="C67" s="23"/>
      <c r="D67" s="269"/>
      <c r="E67" s="269"/>
      <c r="F67" s="251"/>
      <c r="G67" s="173"/>
      <c r="H67" s="272"/>
      <c r="I67" s="104"/>
      <c r="J67" s="105"/>
      <c r="K67" s="105"/>
      <c r="L67" s="106" t="str">
        <f>IF(I67&lt;&gt;0,((VLOOKUP(I67,'1. Standard_Cost'!$B$4:$D$11,2)+VLOOKUP(I67,'1. Standard_Cost'!$B$4:$D$11,3))*J67*K67),"0")</f>
        <v>0</v>
      </c>
      <c r="M67" s="106">
        <f>L67*'1. Standard_Cost'!$F$4</f>
        <v>0</v>
      </c>
      <c r="N67" s="107"/>
      <c r="O67" s="107"/>
      <c r="P67" s="107"/>
      <c r="Q67" s="107"/>
      <c r="R67" s="108">
        <f>'1. Standard_Cost'!$B$15*N67*P67</f>
        <v>0</v>
      </c>
      <c r="S67" s="108">
        <f>N67*O67*P67*'1. Standard_Cost'!$C$15</f>
        <v>0</v>
      </c>
      <c r="T67" s="108">
        <f>N67*P67*Q67*'1. Standard_Cost'!$D$15</f>
        <v>0</v>
      </c>
      <c r="U67" s="108">
        <f>N67*O67*'1. Standard_Cost'!$E$15</f>
        <v>0</v>
      </c>
      <c r="V67" s="107"/>
      <c r="W67" s="107"/>
      <c r="X67" s="107"/>
      <c r="Y67" s="108">
        <f>+V67*((X67*'1. Standard_Cost'!$B$19)+(W67*X67*'1. Standard_Cost'!$C$19))</f>
        <v>0</v>
      </c>
      <c r="Z67" s="107"/>
      <c r="AA67" s="107"/>
      <c r="AB67" s="108">
        <f>+Z67*'1. Standard_Cost'!$B$23+AA67*'1. Standard_Cost'!$C$23</f>
        <v>0</v>
      </c>
      <c r="AC67" s="109"/>
      <c r="AD67" s="110"/>
      <c r="AE67" s="108">
        <f>SUM(AD67,AC67,AB67,Y67,U67,T67,S67,R67)*'1. Standard_Cost'!$B$31</f>
        <v>0</v>
      </c>
      <c r="AF67" s="108">
        <f t="shared" si="69"/>
        <v>0</v>
      </c>
      <c r="AG67" s="107"/>
      <c r="AH67" s="107"/>
      <c r="AI67" s="107"/>
      <c r="AJ67" s="111"/>
      <c r="AK67" s="111"/>
      <c r="AL67" s="111"/>
      <c r="AM67" s="108">
        <f>AG67*'1. Standard_Cost'!$B$27+'Incremental_Cost Year 7'!AH67*'1. Standard_Cost'!$C$27+'Incremental_Cost Year 7'!AI67*'1. Standard_Cost'!$D$27+'Incremental_Cost Year 7'!AJ67+'Incremental_Cost Year 7'!AL67+AK67</f>
        <v>0</v>
      </c>
      <c r="AN67" s="108">
        <f>AM67*'1. Standard_Cost'!$C$31</f>
        <v>0</v>
      </c>
      <c r="AO67" s="125" t="s">
        <v>313</v>
      </c>
      <c r="AQ67" s="14">
        <f t="shared" si="70"/>
        <v>0</v>
      </c>
      <c r="AR67" s="14">
        <f t="shared" si="71"/>
        <v>0</v>
      </c>
      <c r="AS67" s="14">
        <f t="shared" si="72"/>
        <v>0</v>
      </c>
      <c r="AT67" s="14">
        <f t="shared" si="74"/>
        <v>0</v>
      </c>
      <c r="AU67" s="15"/>
      <c r="AV67" s="15"/>
      <c r="AW67" s="15"/>
      <c r="AX67" s="15"/>
      <c r="AY67" s="15"/>
      <c r="AZ67" s="15"/>
      <c r="BA67" s="15"/>
      <c r="BB67" s="16">
        <f t="shared" si="73"/>
        <v>0</v>
      </c>
    </row>
    <row r="68" spans="1:54" ht="15.6" outlineLevel="2">
      <c r="A68" s="98"/>
      <c r="B68" s="102"/>
      <c r="C68" s="23"/>
      <c r="D68" s="269"/>
      <c r="E68" s="269"/>
      <c r="F68" s="251"/>
      <c r="G68" s="173"/>
      <c r="H68" s="272"/>
      <c r="I68" s="104"/>
      <c r="J68" s="105"/>
      <c r="K68" s="105"/>
      <c r="L68" s="106" t="str">
        <f>IF(I68&lt;&gt;0,((VLOOKUP(I68,'1. Standard_Cost'!$B$4:$D$11,2)+VLOOKUP(I68,'1. Standard_Cost'!$B$4:$D$11,3))*J68*K68),"0")</f>
        <v>0</v>
      </c>
      <c r="M68" s="106">
        <f>L68*'1. Standard_Cost'!$F$4</f>
        <v>0</v>
      </c>
      <c r="N68" s="107"/>
      <c r="O68" s="107"/>
      <c r="P68" s="107"/>
      <c r="Q68" s="107"/>
      <c r="R68" s="108">
        <f>'1. Standard_Cost'!$B$15*N68*P68</f>
        <v>0</v>
      </c>
      <c r="S68" s="108">
        <f>N68*O68*P68*'1. Standard_Cost'!$C$15</f>
        <v>0</v>
      </c>
      <c r="T68" s="108">
        <f>N68*P68*Q68*'1. Standard_Cost'!$D$15</f>
        <v>0</v>
      </c>
      <c r="U68" s="108">
        <f>N68*O68*'1. Standard_Cost'!$E$15</f>
        <v>0</v>
      </c>
      <c r="V68" s="107"/>
      <c r="W68" s="107"/>
      <c r="X68" s="107"/>
      <c r="Y68" s="108">
        <f>+V68*((X68*'1. Standard_Cost'!$B$19)+(W68*X68*'1. Standard_Cost'!$C$19))</f>
        <v>0</v>
      </c>
      <c r="Z68" s="107"/>
      <c r="AA68" s="107"/>
      <c r="AB68" s="108">
        <f>+Z68*'1. Standard_Cost'!$B$23+AA68*'1. Standard_Cost'!$C$23</f>
        <v>0</v>
      </c>
      <c r="AC68" s="109"/>
      <c r="AD68" s="110"/>
      <c r="AE68" s="108">
        <f>SUM(AD68,AC68,AB68,Y68,U68,T68,S68,R68)*'1. Standard_Cost'!$B$31</f>
        <v>0</v>
      </c>
      <c r="AF68" s="108">
        <f t="shared" si="69"/>
        <v>0</v>
      </c>
      <c r="AG68" s="107"/>
      <c r="AH68" s="107"/>
      <c r="AI68" s="107"/>
      <c r="AJ68" s="111"/>
      <c r="AK68" s="111"/>
      <c r="AL68" s="111"/>
      <c r="AM68" s="108">
        <f>AG68*'1. Standard_Cost'!$B$27+'Incremental_Cost Year 7'!AH68*'1. Standard_Cost'!$C$27+'Incremental_Cost Year 7'!AI68*'1. Standard_Cost'!$D$27+'Incremental_Cost Year 7'!AJ68+'Incremental_Cost Year 7'!AL68+AK68</f>
        <v>0</v>
      </c>
      <c r="AN68" s="108">
        <f>AM68*'1. Standard_Cost'!$C$31</f>
        <v>0</v>
      </c>
      <c r="AO68" s="125" t="s">
        <v>314</v>
      </c>
      <c r="AQ68" s="14">
        <f t="shared" si="70"/>
        <v>0</v>
      </c>
      <c r="AR68" s="14">
        <f t="shared" si="71"/>
        <v>0</v>
      </c>
      <c r="AS68" s="14">
        <f t="shared" si="72"/>
        <v>0</v>
      </c>
      <c r="AT68" s="14">
        <f t="shared" si="74"/>
        <v>0</v>
      </c>
      <c r="AU68" s="15"/>
      <c r="AV68" s="15"/>
      <c r="AW68" s="15"/>
      <c r="AX68" s="15"/>
      <c r="AY68" s="15"/>
      <c r="AZ68" s="15"/>
      <c r="BA68" s="15"/>
      <c r="BB68" s="16">
        <f t="shared" si="73"/>
        <v>0</v>
      </c>
    </row>
    <row r="69" spans="1:54" ht="27.6" outlineLevel="2">
      <c r="A69" s="98"/>
      <c r="B69" s="102"/>
      <c r="C69" s="23"/>
      <c r="D69" s="269"/>
      <c r="E69" s="269"/>
      <c r="F69" s="251"/>
      <c r="G69" s="250"/>
      <c r="H69" s="272"/>
      <c r="I69" s="104"/>
      <c r="J69" s="105"/>
      <c r="K69" s="105"/>
      <c r="L69" s="106" t="str">
        <f>IF(I69&lt;&gt;0,((VLOOKUP(I69,'1. Standard_Cost'!$B$4:$D$11,2)+VLOOKUP(I69,'1. Standard_Cost'!$B$4:$D$11,3))*J69*K69),"0")</f>
        <v>0</v>
      </c>
      <c r="M69" s="106">
        <f>L69*'1. Standard_Cost'!$F$4</f>
        <v>0</v>
      </c>
      <c r="N69" s="107"/>
      <c r="O69" s="107"/>
      <c r="P69" s="107"/>
      <c r="Q69" s="107"/>
      <c r="R69" s="108">
        <f>'1. Standard_Cost'!$B$15*N69*P69</f>
        <v>0</v>
      </c>
      <c r="S69" s="108">
        <f>N69*O69*P69*'1. Standard_Cost'!$C$15</f>
        <v>0</v>
      </c>
      <c r="T69" s="108">
        <f>N69*P69*Q69*'1. Standard_Cost'!$D$15</f>
        <v>0</v>
      </c>
      <c r="U69" s="108">
        <f>N69*O69*'1. Standard_Cost'!$E$15</f>
        <v>0</v>
      </c>
      <c r="V69" s="107"/>
      <c r="W69" s="107"/>
      <c r="X69" s="107"/>
      <c r="Y69" s="108">
        <f>+V69*((X69*'1. Standard_Cost'!$B$19)+(W69*X69*'1. Standard_Cost'!$C$19))</f>
        <v>0</v>
      </c>
      <c r="Z69" s="107"/>
      <c r="AA69" s="107"/>
      <c r="AB69" s="108">
        <f>+Z69*'1. Standard_Cost'!$B$23+AA69*'1. Standard_Cost'!$C$23</f>
        <v>0</v>
      </c>
      <c r="AC69" s="109"/>
      <c r="AD69" s="110"/>
      <c r="AE69" s="108">
        <f>SUM(AD69,AC69,AB69,Y69,U69,T69,S69,R69)*'1. Standard_Cost'!$B$31</f>
        <v>0</v>
      </c>
      <c r="AF69" s="108">
        <f t="shared" si="69"/>
        <v>0</v>
      </c>
      <c r="AG69" s="107"/>
      <c r="AH69" s="107"/>
      <c r="AI69" s="107"/>
      <c r="AJ69" s="111"/>
      <c r="AK69" s="111"/>
      <c r="AL69" s="111"/>
      <c r="AM69" s="108">
        <f>AG69*'1. Standard_Cost'!$B$27+'Incremental_Cost Year 7'!AH69*'1. Standard_Cost'!$C$27+'Incremental_Cost Year 7'!AI69*'1. Standard_Cost'!$D$27+'Incremental_Cost Year 7'!AJ69+'Incremental_Cost Year 7'!AL69+AK69</f>
        <v>0</v>
      </c>
      <c r="AN69" s="108">
        <f>AM69*'1. Standard_Cost'!$C$31</f>
        <v>0</v>
      </c>
      <c r="AO69" s="125" t="s">
        <v>315</v>
      </c>
      <c r="AQ69" s="14">
        <f t="shared" si="70"/>
        <v>0</v>
      </c>
      <c r="AR69" s="14">
        <f t="shared" si="71"/>
        <v>0</v>
      </c>
      <c r="AS69" s="14">
        <f t="shared" si="72"/>
        <v>0</v>
      </c>
      <c r="AT69" s="14">
        <f t="shared" si="74"/>
        <v>0</v>
      </c>
      <c r="AU69" s="15"/>
      <c r="AV69" s="15"/>
      <c r="AW69" s="15"/>
      <c r="AX69" s="15"/>
      <c r="AY69" s="15"/>
      <c r="AZ69" s="15"/>
      <c r="BA69" s="15"/>
      <c r="BB69" s="16">
        <f t="shared" si="73"/>
        <v>0</v>
      </c>
    </row>
    <row r="70" spans="1:54" ht="27.6" outlineLevel="2">
      <c r="A70" s="98"/>
      <c r="B70" s="102"/>
      <c r="C70" s="23"/>
      <c r="D70" s="269"/>
      <c r="E70" s="269"/>
      <c r="F70" s="251"/>
      <c r="G70" s="250"/>
      <c r="H70" s="272"/>
      <c r="I70" s="104"/>
      <c r="J70" s="105"/>
      <c r="K70" s="105"/>
      <c r="L70" s="106" t="str">
        <f>IF(I70&lt;&gt;0,((VLOOKUP(I70,'1. Standard_Cost'!$B$4:$D$11,2)+VLOOKUP(I70,'1. Standard_Cost'!$B$4:$D$11,3))*J70*K70),"0")</f>
        <v>0</v>
      </c>
      <c r="M70" s="106">
        <f>L70*'1. Standard_Cost'!$F$4</f>
        <v>0</v>
      </c>
      <c r="N70" s="107"/>
      <c r="O70" s="107"/>
      <c r="P70" s="107"/>
      <c r="Q70" s="107"/>
      <c r="R70" s="108">
        <f>'1. Standard_Cost'!$B$15*N70*P70</f>
        <v>0</v>
      </c>
      <c r="S70" s="108">
        <f>N70*O70*P70*'1. Standard_Cost'!$C$15</f>
        <v>0</v>
      </c>
      <c r="T70" s="108">
        <f>N70*P70*Q70*'1. Standard_Cost'!$D$15</f>
        <v>0</v>
      </c>
      <c r="U70" s="108">
        <f>N70*O70*'1. Standard_Cost'!$E$15</f>
        <v>0</v>
      </c>
      <c r="V70" s="107"/>
      <c r="W70" s="107"/>
      <c r="X70" s="107"/>
      <c r="Y70" s="108">
        <f>+V70*((X70*'1. Standard_Cost'!$B$19)+(W70*X70*'1. Standard_Cost'!$C$19))</f>
        <v>0</v>
      </c>
      <c r="Z70" s="107"/>
      <c r="AA70" s="107"/>
      <c r="AB70" s="108">
        <f>+Z70*'1. Standard_Cost'!$B$23+AA70*'1. Standard_Cost'!$C$23</f>
        <v>0</v>
      </c>
      <c r="AC70" s="109"/>
      <c r="AD70" s="110"/>
      <c r="AE70" s="108">
        <f>SUM(AD70,AC70,AB70,Y70,U70,T70,S70,R70)*'1. Standard_Cost'!$B$31</f>
        <v>0</v>
      </c>
      <c r="AF70" s="108">
        <f t="shared" si="69"/>
        <v>0</v>
      </c>
      <c r="AG70" s="107"/>
      <c r="AH70" s="107"/>
      <c r="AI70" s="107"/>
      <c r="AJ70" s="111"/>
      <c r="AK70" s="111"/>
      <c r="AL70" s="111"/>
      <c r="AM70" s="108">
        <f>AG70*'1. Standard_Cost'!$B$27+'Incremental_Cost Year 7'!AH70*'1. Standard_Cost'!$C$27+'Incremental_Cost Year 7'!AI70*'1. Standard_Cost'!$D$27+'Incremental_Cost Year 7'!AJ70+'Incremental_Cost Year 7'!AL70+AK70</f>
        <v>0</v>
      </c>
      <c r="AN70" s="108">
        <f>AM70*'1. Standard_Cost'!$C$31</f>
        <v>0</v>
      </c>
      <c r="AO70" s="125" t="s">
        <v>315</v>
      </c>
      <c r="AQ70" s="14">
        <f t="shared" si="70"/>
        <v>0</v>
      </c>
      <c r="AR70" s="14">
        <f t="shared" si="71"/>
        <v>0</v>
      </c>
      <c r="AS70" s="14">
        <f t="shared" si="72"/>
        <v>0</v>
      </c>
      <c r="AT70" s="14">
        <f t="shared" si="74"/>
        <v>0</v>
      </c>
      <c r="AU70" s="15"/>
      <c r="AV70" s="15"/>
      <c r="AW70" s="15"/>
      <c r="AX70" s="15"/>
      <c r="AY70" s="15"/>
      <c r="AZ70" s="15"/>
      <c r="BA70" s="15"/>
      <c r="BB70" s="16">
        <f t="shared" si="73"/>
        <v>0</v>
      </c>
    </row>
    <row r="71" spans="1:54" ht="27.6" outlineLevel="2">
      <c r="A71" s="98"/>
      <c r="B71" s="102"/>
      <c r="C71" s="23"/>
      <c r="D71" s="269"/>
      <c r="E71" s="269"/>
      <c r="F71" s="251"/>
      <c r="G71" s="250"/>
      <c r="H71" s="272"/>
      <c r="I71" s="104"/>
      <c r="J71" s="105"/>
      <c r="K71" s="105"/>
      <c r="L71" s="106" t="str">
        <f>IF(I71&lt;&gt;0,((VLOOKUP(I71,'1. Standard_Cost'!$B$4:$D$11,2)+VLOOKUP(I71,'1. Standard_Cost'!$B$4:$D$11,3))*J71*K71),"0")</f>
        <v>0</v>
      </c>
      <c r="M71" s="106">
        <f>L71*'1. Standard_Cost'!$F$4</f>
        <v>0</v>
      </c>
      <c r="N71" s="107"/>
      <c r="O71" s="107"/>
      <c r="P71" s="107"/>
      <c r="Q71" s="107"/>
      <c r="R71" s="108">
        <f>'1. Standard_Cost'!$B$15*N71*P71</f>
        <v>0</v>
      </c>
      <c r="S71" s="108">
        <f>N71*O71*P71*'1. Standard_Cost'!$C$15</f>
        <v>0</v>
      </c>
      <c r="T71" s="108">
        <f>N71*P71*Q71*'1. Standard_Cost'!$D$15</f>
        <v>0</v>
      </c>
      <c r="U71" s="108">
        <f>N71*O71*'1. Standard_Cost'!$E$15</f>
        <v>0</v>
      </c>
      <c r="V71" s="107"/>
      <c r="W71" s="107"/>
      <c r="X71" s="107"/>
      <c r="Y71" s="108">
        <f>+V71*((X71*'1. Standard_Cost'!$B$19)+(W71*X71*'1. Standard_Cost'!$C$19))</f>
        <v>0</v>
      </c>
      <c r="Z71" s="107"/>
      <c r="AA71" s="107"/>
      <c r="AB71" s="108">
        <f>+Z71*'1. Standard_Cost'!$B$23+AA71*'1. Standard_Cost'!$C$23</f>
        <v>0</v>
      </c>
      <c r="AC71" s="109"/>
      <c r="AD71" s="110"/>
      <c r="AE71" s="108">
        <f>SUM(AD71,AC71,AB71,Y71,U71,T71,S71,R71)*'1. Standard_Cost'!$B$31</f>
        <v>0</v>
      </c>
      <c r="AF71" s="108">
        <f t="shared" si="69"/>
        <v>0</v>
      </c>
      <c r="AG71" s="107"/>
      <c r="AH71" s="107"/>
      <c r="AI71" s="107"/>
      <c r="AJ71" s="111"/>
      <c r="AK71" s="111"/>
      <c r="AL71" s="111"/>
      <c r="AM71" s="108">
        <f>AG71*'1. Standard_Cost'!$B$27+'Incremental_Cost Year 7'!AH71*'1. Standard_Cost'!$C$27+'Incremental_Cost Year 7'!AI71*'1. Standard_Cost'!$D$27+'Incremental_Cost Year 7'!AJ71+'Incremental_Cost Year 7'!AL71+AK71</f>
        <v>0</v>
      </c>
      <c r="AN71" s="108">
        <f>AM71*'1. Standard_Cost'!$C$31</f>
        <v>0</v>
      </c>
      <c r="AO71" s="125" t="s">
        <v>316</v>
      </c>
      <c r="AQ71" s="14">
        <f t="shared" si="70"/>
        <v>0</v>
      </c>
      <c r="AR71" s="14">
        <f t="shared" si="71"/>
        <v>0</v>
      </c>
      <c r="AS71" s="14">
        <f t="shared" si="72"/>
        <v>0</v>
      </c>
      <c r="AT71" s="14">
        <f t="shared" si="74"/>
        <v>0</v>
      </c>
      <c r="AU71" s="15"/>
      <c r="AV71" s="15"/>
      <c r="AW71" s="15"/>
      <c r="AX71" s="15"/>
      <c r="AY71" s="15"/>
      <c r="AZ71" s="15"/>
      <c r="BA71" s="15"/>
      <c r="BB71" s="16">
        <f t="shared" si="73"/>
        <v>0</v>
      </c>
    </row>
    <row r="72" spans="1:54" ht="15.6" outlineLevel="2">
      <c r="A72" s="98"/>
      <c r="B72" s="102"/>
      <c r="C72" s="23"/>
      <c r="D72" s="269"/>
      <c r="E72" s="269"/>
      <c r="F72" s="251"/>
      <c r="G72" s="250"/>
      <c r="H72" s="272"/>
      <c r="I72" s="104"/>
      <c r="J72" s="105"/>
      <c r="K72" s="105"/>
      <c r="L72" s="106" t="str">
        <f>IF(I72&lt;&gt;0,((VLOOKUP(I72,'1. Standard_Cost'!$B$4:$D$11,2)+VLOOKUP(I72,'1. Standard_Cost'!$B$4:$D$11,3))*J72*K72),"0")</f>
        <v>0</v>
      </c>
      <c r="M72" s="106">
        <f>L72*'1. Standard_Cost'!$F$4</f>
        <v>0</v>
      </c>
      <c r="N72" s="107"/>
      <c r="O72" s="107"/>
      <c r="P72" s="107"/>
      <c r="Q72" s="107"/>
      <c r="R72" s="108">
        <f>'1. Standard_Cost'!$B$15*N72*P72</f>
        <v>0</v>
      </c>
      <c r="S72" s="108">
        <f>N72*O72*P72*'1. Standard_Cost'!$C$15</f>
        <v>0</v>
      </c>
      <c r="T72" s="108">
        <f>N72*P72*Q72*'1. Standard_Cost'!$D$15</f>
        <v>0</v>
      </c>
      <c r="U72" s="108">
        <f>N72*O72*'1. Standard_Cost'!$E$15</f>
        <v>0</v>
      </c>
      <c r="V72" s="107"/>
      <c r="W72" s="107"/>
      <c r="X72" s="107"/>
      <c r="Y72" s="108">
        <f>+V72*((X72*'1. Standard_Cost'!$B$19)+(W72*X72*'1. Standard_Cost'!$C$19))</f>
        <v>0</v>
      </c>
      <c r="Z72" s="107"/>
      <c r="AA72" s="107"/>
      <c r="AB72" s="108">
        <f>+Z72*'1. Standard_Cost'!$B$23+AA72*'1. Standard_Cost'!$C$23</f>
        <v>0</v>
      </c>
      <c r="AC72" s="109"/>
      <c r="AD72" s="110"/>
      <c r="AE72" s="108">
        <f>SUM(AD72,AC72,AB72,Y72,U72,T72,S72,R72)*'1. Standard_Cost'!$B$31</f>
        <v>0</v>
      </c>
      <c r="AF72" s="108">
        <f t="shared" si="69"/>
        <v>0</v>
      </c>
      <c r="AG72" s="107"/>
      <c r="AH72" s="107"/>
      <c r="AI72" s="107"/>
      <c r="AJ72" s="111"/>
      <c r="AK72" s="111"/>
      <c r="AL72" s="111"/>
      <c r="AM72" s="108">
        <f>AG72*'1. Standard_Cost'!$B$27+'Incremental_Cost Year 7'!AH72*'1. Standard_Cost'!$C$27+'Incremental_Cost Year 7'!AI72*'1. Standard_Cost'!$D$27+'Incremental_Cost Year 7'!AJ72+'Incremental_Cost Year 7'!AL72+AK72</f>
        <v>0</v>
      </c>
      <c r="AN72" s="108">
        <f>AM72*'1. Standard_Cost'!$C$31</f>
        <v>0</v>
      </c>
      <c r="AO72" s="125" t="s">
        <v>317</v>
      </c>
      <c r="AQ72" s="14">
        <f t="shared" si="70"/>
        <v>0</v>
      </c>
      <c r="AR72" s="14">
        <f t="shared" si="71"/>
        <v>0</v>
      </c>
      <c r="AS72" s="14">
        <f t="shared" si="72"/>
        <v>0</v>
      </c>
      <c r="AT72" s="14">
        <f t="shared" si="74"/>
        <v>0</v>
      </c>
      <c r="AU72" s="15"/>
      <c r="AV72" s="15"/>
      <c r="AW72" s="15"/>
      <c r="AX72" s="15"/>
      <c r="AY72" s="15"/>
      <c r="AZ72" s="15"/>
      <c r="BA72" s="15"/>
      <c r="BB72" s="16">
        <f t="shared" si="73"/>
        <v>0</v>
      </c>
    </row>
    <row r="73" spans="1:54" ht="27.6" outlineLevel="2">
      <c r="A73" s="98"/>
      <c r="B73" s="102"/>
      <c r="C73" s="23"/>
      <c r="D73" s="251"/>
      <c r="E73" s="251"/>
      <c r="F73" s="251"/>
      <c r="G73" s="173"/>
      <c r="H73" s="272"/>
      <c r="I73" s="104"/>
      <c r="J73" s="105"/>
      <c r="K73" s="105"/>
      <c r="L73" s="106" t="str">
        <f>IF(I73&lt;&gt;0,((VLOOKUP(I73,'1. Standard_Cost'!$B$4:$D$11,2)+VLOOKUP(I73,'1. Standard_Cost'!$B$4:$D$11,3))*J73*K73),"0")</f>
        <v>0</v>
      </c>
      <c r="M73" s="106">
        <f>L73*'1. Standard_Cost'!$F$4</f>
        <v>0</v>
      </c>
      <c r="N73" s="107"/>
      <c r="O73" s="107"/>
      <c r="P73" s="107"/>
      <c r="Q73" s="107"/>
      <c r="R73" s="108">
        <f>'1. Standard_Cost'!$B$15*N73*P73</f>
        <v>0</v>
      </c>
      <c r="S73" s="108">
        <f>N73*O73*P73*'1. Standard_Cost'!$C$15</f>
        <v>0</v>
      </c>
      <c r="T73" s="108">
        <f>N73*P73*Q73*'1. Standard_Cost'!$D$15</f>
        <v>0</v>
      </c>
      <c r="U73" s="108">
        <f>N73*O73*'1. Standard_Cost'!$E$15</f>
        <v>0</v>
      </c>
      <c r="V73" s="107"/>
      <c r="W73" s="107"/>
      <c r="X73" s="107"/>
      <c r="Y73" s="108">
        <f>+V73*((X73*'1. Standard_Cost'!$B$19)+(W73*X73*'1. Standard_Cost'!$C$19))</f>
        <v>0</v>
      </c>
      <c r="Z73" s="107"/>
      <c r="AA73" s="107"/>
      <c r="AB73" s="108">
        <f>+Z73*'1. Standard_Cost'!$B$23+AA73*'1. Standard_Cost'!$C$23</f>
        <v>0</v>
      </c>
      <c r="AC73" s="109"/>
      <c r="AD73" s="110"/>
      <c r="AE73" s="108">
        <f>SUM(AD73,AC73,AB73,Y73,U73,T73,S73,R73)*'1. Standard_Cost'!$B$31</f>
        <v>0</v>
      </c>
      <c r="AF73" s="108">
        <f t="shared" si="69"/>
        <v>0</v>
      </c>
      <c r="AG73" s="107"/>
      <c r="AH73" s="107"/>
      <c r="AI73" s="107"/>
      <c r="AJ73" s="111"/>
      <c r="AK73" s="111"/>
      <c r="AL73" s="111"/>
      <c r="AM73" s="108">
        <f>AG73*'1. Standard_Cost'!$B$27+'Incremental_Cost Year 7'!AH73*'1. Standard_Cost'!$C$27+'Incremental_Cost Year 7'!AI73*'1. Standard_Cost'!$D$27+'Incremental_Cost Year 7'!AJ73+'Incremental_Cost Year 7'!AL73+AK73</f>
        <v>0</v>
      </c>
      <c r="AN73" s="108">
        <f>AM73*'1. Standard_Cost'!$C$31</f>
        <v>0</v>
      </c>
      <c r="AO73" s="125" t="s">
        <v>318</v>
      </c>
      <c r="AQ73" s="14">
        <f t="shared" si="70"/>
        <v>0</v>
      </c>
      <c r="AR73" s="14">
        <f t="shared" si="71"/>
        <v>0</v>
      </c>
      <c r="AS73" s="14">
        <f t="shared" si="72"/>
        <v>0</v>
      </c>
      <c r="AT73" s="14">
        <f t="shared" si="74"/>
        <v>0</v>
      </c>
      <c r="AU73" s="15"/>
      <c r="AV73" s="15"/>
      <c r="AW73" s="15"/>
      <c r="AX73" s="15"/>
      <c r="AY73" s="15"/>
      <c r="AZ73" s="15"/>
      <c r="BA73" s="15"/>
      <c r="BB73" s="16">
        <f t="shared" si="73"/>
        <v>0</v>
      </c>
    </row>
    <row r="74" spans="1:54" ht="41.4" outlineLevel="2">
      <c r="A74" s="98"/>
      <c r="B74" s="102"/>
      <c r="C74" s="23"/>
      <c r="D74" s="251"/>
      <c r="E74" s="251"/>
      <c r="F74" s="251"/>
      <c r="G74" s="250"/>
      <c r="H74" s="272"/>
      <c r="I74" s="104"/>
      <c r="J74" s="105"/>
      <c r="K74" s="105"/>
      <c r="L74" s="106" t="str">
        <f>IF(I74&lt;&gt;0,((VLOOKUP(I74,'1. Standard_Cost'!$B$4:$D$11,2)+VLOOKUP(I74,'1. Standard_Cost'!$B$4:$D$11,3))*J74*K74),"0")</f>
        <v>0</v>
      </c>
      <c r="M74" s="106">
        <f>L74*'1. Standard_Cost'!$F$4</f>
        <v>0</v>
      </c>
      <c r="N74" s="107"/>
      <c r="O74" s="107"/>
      <c r="P74" s="107"/>
      <c r="Q74" s="107"/>
      <c r="R74" s="108">
        <f>'1. Standard_Cost'!$B$15*N74*P74</f>
        <v>0</v>
      </c>
      <c r="S74" s="108">
        <f>N74*O74*P74*'1. Standard_Cost'!$C$15</f>
        <v>0</v>
      </c>
      <c r="T74" s="108">
        <f>N74*P74*Q74*'1. Standard_Cost'!$D$15</f>
        <v>0</v>
      </c>
      <c r="U74" s="108">
        <f>N74*O74*'1. Standard_Cost'!$E$15</f>
        <v>0</v>
      </c>
      <c r="V74" s="107"/>
      <c r="W74" s="107"/>
      <c r="X74" s="107"/>
      <c r="Y74" s="108">
        <f>+V74*((X74*'1. Standard_Cost'!$B$19)+(W74*X74*'1. Standard_Cost'!$C$19))</f>
        <v>0</v>
      </c>
      <c r="Z74" s="107"/>
      <c r="AA74" s="107"/>
      <c r="AB74" s="108">
        <f>+Z74*'1. Standard_Cost'!$B$23+AA74*'1. Standard_Cost'!$C$23</f>
        <v>0</v>
      </c>
      <c r="AC74" s="109"/>
      <c r="AD74" s="110"/>
      <c r="AE74" s="108">
        <f>SUM(AD74,AC74,AB74,Y74,U74,T74,S74,R74)*'1. Standard_Cost'!$B$31</f>
        <v>0</v>
      </c>
      <c r="AF74" s="108">
        <f t="shared" si="69"/>
        <v>0</v>
      </c>
      <c r="AG74" s="107"/>
      <c r="AH74" s="107"/>
      <c r="AI74" s="107"/>
      <c r="AJ74" s="111"/>
      <c r="AK74" s="111"/>
      <c r="AL74" s="111"/>
      <c r="AM74" s="108">
        <f>AG74*'1. Standard_Cost'!$B$27+'Incremental_Cost Year 7'!AH74*'1. Standard_Cost'!$C$27+'Incremental_Cost Year 7'!AI74*'1. Standard_Cost'!$D$27+'Incremental_Cost Year 7'!AJ74+'Incremental_Cost Year 7'!AL74+AK74</f>
        <v>0</v>
      </c>
      <c r="AN74" s="108">
        <f>AM74*'1. Standard_Cost'!$C$31</f>
        <v>0</v>
      </c>
      <c r="AO74" s="125" t="s">
        <v>319</v>
      </c>
      <c r="AQ74" s="14">
        <f t="shared" si="70"/>
        <v>0</v>
      </c>
      <c r="AR74" s="14">
        <f t="shared" si="71"/>
        <v>0</v>
      </c>
      <c r="AS74" s="14">
        <f t="shared" si="72"/>
        <v>0</v>
      </c>
      <c r="AT74" s="14">
        <f t="shared" si="74"/>
        <v>0</v>
      </c>
      <c r="AU74" s="15"/>
      <c r="AV74" s="15"/>
      <c r="AW74" s="15"/>
      <c r="AX74" s="15"/>
      <c r="AY74" s="15"/>
      <c r="AZ74" s="15"/>
      <c r="BA74" s="15"/>
      <c r="BB74" s="16">
        <f t="shared" si="73"/>
        <v>0</v>
      </c>
    </row>
    <row r="75" spans="1:54" ht="15.6" outlineLevel="2">
      <c r="A75" s="98"/>
      <c r="B75" s="102"/>
      <c r="C75" s="23"/>
      <c r="D75" s="251"/>
      <c r="E75" s="251"/>
      <c r="F75" s="251"/>
      <c r="G75" s="250"/>
      <c r="H75" s="272"/>
      <c r="I75" s="104"/>
      <c r="J75" s="105"/>
      <c r="K75" s="105"/>
      <c r="L75" s="106" t="str">
        <f>IF(I75&lt;&gt;0,((VLOOKUP(I75,'1. Standard_Cost'!$B$4:$D$11,2)+VLOOKUP(I75,'1. Standard_Cost'!$B$4:$D$11,3))*J75*K75),"0")</f>
        <v>0</v>
      </c>
      <c r="M75" s="106">
        <f>L75*'1. Standard_Cost'!$F$4</f>
        <v>0</v>
      </c>
      <c r="N75" s="107"/>
      <c r="O75" s="107"/>
      <c r="P75" s="107"/>
      <c r="Q75" s="107"/>
      <c r="R75" s="108">
        <f>'1. Standard_Cost'!$B$15*N75*P75</f>
        <v>0</v>
      </c>
      <c r="S75" s="108">
        <f>N75*O75*P75*'1. Standard_Cost'!$C$15</f>
        <v>0</v>
      </c>
      <c r="T75" s="108">
        <f>N75*P75*Q75*'1. Standard_Cost'!$D$15</f>
        <v>0</v>
      </c>
      <c r="U75" s="108">
        <f>N75*O75*'1. Standard_Cost'!$E$15</f>
        <v>0</v>
      </c>
      <c r="V75" s="107"/>
      <c r="W75" s="107"/>
      <c r="X75" s="107"/>
      <c r="Y75" s="108">
        <f>+V75*((X75*'1. Standard_Cost'!$B$19)+(W75*X75*'1. Standard_Cost'!$C$19))</f>
        <v>0</v>
      </c>
      <c r="Z75" s="107"/>
      <c r="AA75" s="107"/>
      <c r="AB75" s="108">
        <f>+Z75*'1. Standard_Cost'!$B$23+AA75*'1. Standard_Cost'!$C$23</f>
        <v>0</v>
      </c>
      <c r="AC75" s="109"/>
      <c r="AD75" s="110"/>
      <c r="AE75" s="108">
        <f>SUM(AD75,AC75,AB75,Y75,U75,T75,S75,R75)*'1. Standard_Cost'!$B$31</f>
        <v>0</v>
      </c>
      <c r="AF75" s="108">
        <f t="shared" si="69"/>
        <v>0</v>
      </c>
      <c r="AG75" s="107"/>
      <c r="AH75" s="107"/>
      <c r="AI75" s="107"/>
      <c r="AJ75" s="111"/>
      <c r="AK75" s="111"/>
      <c r="AL75" s="111"/>
      <c r="AM75" s="108">
        <f>AG75*'1. Standard_Cost'!$B$27+'Incremental_Cost Year 7'!AH75*'1. Standard_Cost'!$C$27+'Incremental_Cost Year 7'!AI75*'1. Standard_Cost'!$D$27+'Incremental_Cost Year 7'!AJ75+'Incremental_Cost Year 7'!AL75+AK75</f>
        <v>0</v>
      </c>
      <c r="AN75" s="108">
        <f>AM75*'1. Standard_Cost'!$C$31</f>
        <v>0</v>
      </c>
      <c r="AO75" s="125" t="s">
        <v>320</v>
      </c>
      <c r="AQ75" s="14">
        <f t="shared" si="70"/>
        <v>0</v>
      </c>
      <c r="AR75" s="14">
        <f t="shared" si="71"/>
        <v>0</v>
      </c>
      <c r="AS75" s="14">
        <f t="shared" si="72"/>
        <v>0</v>
      </c>
      <c r="AT75" s="14">
        <f t="shared" si="74"/>
        <v>0</v>
      </c>
      <c r="AU75" s="15"/>
      <c r="AV75" s="15"/>
      <c r="AW75" s="15"/>
      <c r="AX75" s="15"/>
      <c r="AY75" s="15"/>
      <c r="AZ75" s="15"/>
      <c r="BA75" s="15"/>
      <c r="BB75" s="16">
        <f t="shared" si="73"/>
        <v>0</v>
      </c>
    </row>
    <row r="76" spans="1:54" ht="69" outlineLevel="2">
      <c r="A76" s="98"/>
      <c r="B76" s="102"/>
      <c r="C76" s="23"/>
      <c r="D76" s="251"/>
      <c r="E76" s="251"/>
      <c r="F76" s="251"/>
      <c r="G76" s="250"/>
      <c r="H76" s="272"/>
      <c r="I76" s="104"/>
      <c r="J76" s="105"/>
      <c r="K76" s="105"/>
      <c r="L76" s="106" t="str">
        <f>IF(I76&lt;&gt;0,((VLOOKUP(I76,'1. Standard_Cost'!$B$4:$D$11,2)+VLOOKUP(I76,'1. Standard_Cost'!$B$4:$D$11,3))*J76*K76),"0")</f>
        <v>0</v>
      </c>
      <c r="M76" s="106">
        <f>L76*'1. Standard_Cost'!$F$4</f>
        <v>0</v>
      </c>
      <c r="N76" s="107"/>
      <c r="O76" s="107"/>
      <c r="P76" s="107"/>
      <c r="Q76" s="107"/>
      <c r="R76" s="108">
        <f>'1. Standard_Cost'!$B$15*N76*P76</f>
        <v>0</v>
      </c>
      <c r="S76" s="108">
        <f>N76*O76*P76*'1. Standard_Cost'!$C$15</f>
        <v>0</v>
      </c>
      <c r="T76" s="108">
        <f>N76*P76*Q76*'1. Standard_Cost'!$D$15</f>
        <v>0</v>
      </c>
      <c r="U76" s="108">
        <f>N76*O76*'1. Standard_Cost'!$E$15</f>
        <v>0</v>
      </c>
      <c r="V76" s="107"/>
      <c r="W76" s="107"/>
      <c r="X76" s="107"/>
      <c r="Y76" s="108">
        <f>+V76*((X76*'1. Standard_Cost'!$B$19)+(W76*X76*'1. Standard_Cost'!$C$19))</f>
        <v>0</v>
      </c>
      <c r="Z76" s="107"/>
      <c r="AA76" s="107"/>
      <c r="AB76" s="108">
        <f>+Z76*'1. Standard_Cost'!$B$23+AA76*'1. Standard_Cost'!$C$23</f>
        <v>0</v>
      </c>
      <c r="AC76" s="109"/>
      <c r="AD76" s="110"/>
      <c r="AE76" s="108">
        <f>SUM(AD76,AC76,AB76,Y76,U76,T76,S76,R76)*'1. Standard_Cost'!$B$31</f>
        <v>0</v>
      </c>
      <c r="AF76" s="108">
        <f t="shared" si="69"/>
        <v>0</v>
      </c>
      <c r="AG76" s="107"/>
      <c r="AH76" s="107"/>
      <c r="AI76" s="107"/>
      <c r="AJ76" s="111"/>
      <c r="AK76" s="111"/>
      <c r="AL76" s="111"/>
      <c r="AM76" s="108">
        <f>AG76*'1. Standard_Cost'!$B$27+'Incremental_Cost Year 7'!AH76*'1. Standard_Cost'!$C$27+'Incremental_Cost Year 7'!AI76*'1. Standard_Cost'!$D$27+'Incremental_Cost Year 7'!AJ76+'Incremental_Cost Year 7'!AL76+AK76</f>
        <v>0</v>
      </c>
      <c r="AN76" s="108">
        <f>AM76*'1. Standard_Cost'!$C$31</f>
        <v>0</v>
      </c>
      <c r="AO76" s="125" t="s">
        <v>321</v>
      </c>
      <c r="AQ76" s="14">
        <f t="shared" si="70"/>
        <v>0</v>
      </c>
      <c r="AR76" s="14">
        <f t="shared" si="71"/>
        <v>0</v>
      </c>
      <c r="AS76" s="14">
        <f t="shared" si="72"/>
        <v>0</v>
      </c>
      <c r="AT76" s="14">
        <f t="shared" si="74"/>
        <v>0</v>
      </c>
      <c r="AU76" s="15"/>
      <c r="AV76" s="15"/>
      <c r="AW76" s="15"/>
      <c r="AX76" s="15"/>
      <c r="AY76" s="15"/>
      <c r="AZ76" s="15"/>
      <c r="BA76" s="15"/>
      <c r="BB76" s="16">
        <f t="shared" si="73"/>
        <v>0</v>
      </c>
    </row>
    <row r="77" spans="1:54" ht="27.6" outlineLevel="2">
      <c r="A77" s="98"/>
      <c r="B77" s="102"/>
      <c r="C77" s="23"/>
      <c r="D77" s="251"/>
      <c r="E77" s="251"/>
      <c r="F77" s="251"/>
      <c r="G77" s="250"/>
      <c r="H77" s="272"/>
      <c r="I77" s="104"/>
      <c r="J77" s="105"/>
      <c r="K77" s="105"/>
      <c r="L77" s="106" t="str">
        <f>IF(I77&lt;&gt;0,((VLOOKUP(I77,'1. Standard_Cost'!$B$4:$D$11,2)+VLOOKUP(I77,'1. Standard_Cost'!$B$4:$D$11,3))*J77*K77),"0")</f>
        <v>0</v>
      </c>
      <c r="M77" s="106">
        <f>L77*'1. Standard_Cost'!$F$4</f>
        <v>0</v>
      </c>
      <c r="N77" s="107"/>
      <c r="O77" s="107"/>
      <c r="P77" s="107"/>
      <c r="Q77" s="107"/>
      <c r="R77" s="108">
        <f>'1. Standard_Cost'!$B$15*N77*P77</f>
        <v>0</v>
      </c>
      <c r="S77" s="108">
        <f>N77*O77*P77*'1. Standard_Cost'!$C$15</f>
        <v>0</v>
      </c>
      <c r="T77" s="108">
        <f>N77*P77*Q77*'1. Standard_Cost'!$D$15</f>
        <v>0</v>
      </c>
      <c r="U77" s="108">
        <f>N77*O77*'1. Standard_Cost'!$E$15</f>
        <v>0</v>
      </c>
      <c r="V77" s="107"/>
      <c r="W77" s="107"/>
      <c r="X77" s="107"/>
      <c r="Y77" s="108">
        <f>+V77*((X77*'1. Standard_Cost'!$B$19)+(W77*X77*'1. Standard_Cost'!$C$19))</f>
        <v>0</v>
      </c>
      <c r="Z77" s="107"/>
      <c r="AA77" s="107"/>
      <c r="AB77" s="108">
        <f>+Z77*'1. Standard_Cost'!$B$23+AA77*'1. Standard_Cost'!$C$23</f>
        <v>0</v>
      </c>
      <c r="AC77" s="109"/>
      <c r="AD77" s="110"/>
      <c r="AE77" s="108">
        <f>SUM(AD77,AC77,AB77,Y77,U77,T77,S77,R77)*'1. Standard_Cost'!$B$31</f>
        <v>0</v>
      </c>
      <c r="AF77" s="108">
        <f t="shared" si="69"/>
        <v>0</v>
      </c>
      <c r="AG77" s="107"/>
      <c r="AH77" s="107"/>
      <c r="AI77" s="107"/>
      <c r="AJ77" s="111"/>
      <c r="AK77" s="111"/>
      <c r="AL77" s="111"/>
      <c r="AM77" s="108">
        <f>AG77*'1. Standard_Cost'!$B$27+'Incremental_Cost Year 7'!AH77*'1. Standard_Cost'!$C$27+'Incremental_Cost Year 7'!AI77*'1. Standard_Cost'!$D$27+'Incremental_Cost Year 7'!AJ77+'Incremental_Cost Year 7'!AL77+AK77</f>
        <v>0</v>
      </c>
      <c r="AN77" s="108">
        <f>AM77*'1. Standard_Cost'!$C$31</f>
        <v>0</v>
      </c>
      <c r="AO77" s="125" t="s">
        <v>322</v>
      </c>
      <c r="AQ77" s="14">
        <f t="shared" si="70"/>
        <v>0</v>
      </c>
      <c r="AR77" s="14">
        <f t="shared" si="71"/>
        <v>0</v>
      </c>
      <c r="AS77" s="14">
        <f t="shared" si="72"/>
        <v>0</v>
      </c>
      <c r="AT77" s="14">
        <f t="shared" si="74"/>
        <v>0</v>
      </c>
      <c r="AU77" s="15"/>
      <c r="AV77" s="15"/>
      <c r="AW77" s="15"/>
      <c r="AX77" s="15"/>
      <c r="AY77" s="15"/>
      <c r="AZ77" s="15"/>
      <c r="BA77" s="15"/>
      <c r="BB77" s="16">
        <f t="shared" si="73"/>
        <v>0</v>
      </c>
    </row>
    <row r="78" spans="1:54" ht="27.6" outlineLevel="2">
      <c r="A78" s="98"/>
      <c r="B78" s="102"/>
      <c r="C78" s="23"/>
      <c r="D78" s="251"/>
      <c r="E78" s="251"/>
      <c r="F78" s="251"/>
      <c r="G78" s="250"/>
      <c r="H78" s="272"/>
      <c r="I78" s="104"/>
      <c r="J78" s="105"/>
      <c r="K78" s="105"/>
      <c r="L78" s="106" t="str">
        <f>IF(I78&lt;&gt;0,((VLOOKUP(I78,'1. Standard_Cost'!$B$4:$D$11,2)+VLOOKUP(I78,'1. Standard_Cost'!$B$4:$D$11,3))*J78*K78),"0")</f>
        <v>0</v>
      </c>
      <c r="M78" s="106">
        <f>L78*'1. Standard_Cost'!$F$4</f>
        <v>0</v>
      </c>
      <c r="N78" s="107"/>
      <c r="O78" s="107"/>
      <c r="P78" s="107"/>
      <c r="Q78" s="107"/>
      <c r="R78" s="108">
        <f>'1. Standard_Cost'!$B$15*N78*P78</f>
        <v>0</v>
      </c>
      <c r="S78" s="108">
        <f>N78*O78*P78*'1. Standard_Cost'!$C$15</f>
        <v>0</v>
      </c>
      <c r="T78" s="108">
        <f>N78*P78*Q78*'1. Standard_Cost'!$D$15</f>
        <v>0</v>
      </c>
      <c r="U78" s="108">
        <f>N78*O78*'1. Standard_Cost'!$E$15</f>
        <v>0</v>
      </c>
      <c r="V78" s="107"/>
      <c r="W78" s="107"/>
      <c r="X78" s="107"/>
      <c r="Y78" s="108">
        <f>+V78*((X78*'1. Standard_Cost'!$B$19)+(W78*X78*'1. Standard_Cost'!$C$19))</f>
        <v>0</v>
      </c>
      <c r="Z78" s="107"/>
      <c r="AA78" s="107"/>
      <c r="AB78" s="108">
        <f>+Z78*'1. Standard_Cost'!$B$23+AA78*'1. Standard_Cost'!$C$23</f>
        <v>0</v>
      </c>
      <c r="AC78" s="109"/>
      <c r="AD78" s="110"/>
      <c r="AE78" s="108">
        <f>SUM(AD78,AC78,AB78,Y78,U78,T78,S78,R78)*'1. Standard_Cost'!$B$31</f>
        <v>0</v>
      </c>
      <c r="AF78" s="108">
        <f t="shared" si="69"/>
        <v>0</v>
      </c>
      <c r="AG78" s="107"/>
      <c r="AH78" s="107"/>
      <c r="AI78" s="107"/>
      <c r="AJ78" s="111"/>
      <c r="AK78" s="111"/>
      <c r="AL78" s="111"/>
      <c r="AM78" s="108">
        <f>AG78*'1. Standard_Cost'!$B$27+'Incremental_Cost Year 7'!AH78*'1. Standard_Cost'!$C$27+'Incremental_Cost Year 7'!AI78*'1. Standard_Cost'!$D$27+'Incremental_Cost Year 7'!AJ78+'Incremental_Cost Year 7'!AL78+AK78</f>
        <v>0</v>
      </c>
      <c r="AN78" s="108">
        <f>AM78*'1. Standard_Cost'!$C$31</f>
        <v>0</v>
      </c>
      <c r="AO78" s="125" t="s">
        <v>323</v>
      </c>
      <c r="AQ78" s="14">
        <f t="shared" si="70"/>
        <v>0</v>
      </c>
      <c r="AR78" s="14">
        <f t="shared" si="71"/>
        <v>0</v>
      </c>
      <c r="AS78" s="14">
        <f t="shared" si="72"/>
        <v>0</v>
      </c>
      <c r="AT78" s="14">
        <f t="shared" si="74"/>
        <v>0</v>
      </c>
      <c r="AU78" s="15"/>
      <c r="AV78" s="15"/>
      <c r="AW78" s="15"/>
      <c r="AX78" s="15"/>
      <c r="AY78" s="15"/>
      <c r="AZ78" s="15"/>
      <c r="BA78" s="15"/>
      <c r="BB78" s="16">
        <f t="shared" si="73"/>
        <v>0</v>
      </c>
    </row>
    <row r="79" spans="1:54" ht="27.6" outlineLevel="1">
      <c r="A79" s="98"/>
      <c r="B79" s="102"/>
      <c r="C79" s="23"/>
      <c r="D79" s="56" t="s">
        <v>47</v>
      </c>
      <c r="E79" s="56" t="s">
        <v>215</v>
      </c>
      <c r="F79" s="253"/>
      <c r="G79" s="254"/>
      <c r="H79" s="277" t="s">
        <v>182</v>
      </c>
      <c r="I79" s="112"/>
      <c r="J79" s="112"/>
      <c r="K79" s="112"/>
      <c r="L79" s="113">
        <f>SUM(L60:L78)</f>
        <v>0</v>
      </c>
      <c r="M79" s="113">
        <f>SUM(M60:M78)</f>
        <v>0</v>
      </c>
      <c r="N79" s="112"/>
      <c r="O79" s="112"/>
      <c r="P79" s="112"/>
      <c r="Q79" s="112"/>
      <c r="R79" s="113">
        <f t="shared" ref="R79:U79" si="75">SUM(R60:R78)</f>
        <v>0</v>
      </c>
      <c r="S79" s="113">
        <f t="shared" si="75"/>
        <v>0</v>
      </c>
      <c r="T79" s="113">
        <f t="shared" si="75"/>
        <v>0</v>
      </c>
      <c r="U79" s="113">
        <f t="shared" si="75"/>
        <v>0</v>
      </c>
      <c r="V79" s="112"/>
      <c r="W79" s="112"/>
      <c r="X79" s="112"/>
      <c r="Y79" s="113">
        <f>SUM(Y60:Y78)</f>
        <v>0</v>
      </c>
      <c r="Z79" s="112"/>
      <c r="AA79" s="112"/>
      <c r="AB79" s="113">
        <f t="shared" ref="AB79:AF79" si="76">SUM(AB60:AB78)</f>
        <v>0</v>
      </c>
      <c r="AC79" s="113">
        <f t="shared" si="76"/>
        <v>0</v>
      </c>
      <c r="AD79" s="113">
        <f t="shared" si="76"/>
        <v>0</v>
      </c>
      <c r="AE79" s="113">
        <f t="shared" si="76"/>
        <v>0</v>
      </c>
      <c r="AF79" s="113">
        <f t="shared" si="76"/>
        <v>0</v>
      </c>
      <c r="AG79" s="112"/>
      <c r="AH79" s="112"/>
      <c r="AI79" s="112"/>
      <c r="AJ79" s="113">
        <f t="shared" ref="AJ79:AN79" si="77">SUM(AJ60:AJ78)</f>
        <v>0</v>
      </c>
      <c r="AK79" s="113">
        <f t="shared" si="77"/>
        <v>0</v>
      </c>
      <c r="AL79" s="113">
        <f t="shared" si="77"/>
        <v>0</v>
      </c>
      <c r="AM79" s="113">
        <f t="shared" si="77"/>
        <v>0</v>
      </c>
      <c r="AN79" s="113">
        <f t="shared" si="77"/>
        <v>0</v>
      </c>
      <c r="AO79" s="131"/>
      <c r="AP79" s="17"/>
      <c r="AQ79" s="113">
        <f>SUM(AQ60:AQ78)</f>
        <v>0</v>
      </c>
      <c r="AR79" s="113">
        <f t="shared" ref="AR79:BB79" si="78">SUM(AR60:AR78)</f>
        <v>0</v>
      </c>
      <c r="AS79" s="113">
        <f t="shared" si="78"/>
        <v>0</v>
      </c>
      <c r="AT79" s="113">
        <f t="shared" si="78"/>
        <v>0</v>
      </c>
      <c r="AU79" s="113">
        <f t="shared" si="78"/>
        <v>0</v>
      </c>
      <c r="AV79" s="113">
        <f t="shared" si="78"/>
        <v>0</v>
      </c>
      <c r="AW79" s="113">
        <f t="shared" si="78"/>
        <v>0</v>
      </c>
      <c r="AX79" s="113">
        <f t="shared" si="78"/>
        <v>0</v>
      </c>
      <c r="AY79" s="113">
        <f t="shared" si="78"/>
        <v>0</v>
      </c>
      <c r="AZ79" s="113">
        <f t="shared" si="78"/>
        <v>0</v>
      </c>
      <c r="BA79" s="113">
        <f t="shared" si="78"/>
        <v>0</v>
      </c>
      <c r="BB79" s="113">
        <f t="shared" si="78"/>
        <v>0</v>
      </c>
    </row>
    <row r="80" spans="1:54" s="24" customFormat="1" ht="13.8" customHeight="1">
      <c r="A80" s="114"/>
      <c r="B80" s="115"/>
      <c r="C80" s="314" t="s">
        <v>216</v>
      </c>
      <c r="D80" s="314"/>
      <c r="E80" s="315"/>
      <c r="F80" s="246"/>
      <c r="G80" s="246"/>
      <c r="H80" s="278" t="s">
        <v>219</v>
      </c>
      <c r="I80" s="116"/>
      <c r="J80" s="116"/>
      <c r="K80" s="116"/>
      <c r="L80" s="117">
        <f>L91</f>
        <v>0</v>
      </c>
      <c r="M80" s="117">
        <f>M91</f>
        <v>0</v>
      </c>
      <c r="N80" s="116"/>
      <c r="O80" s="116"/>
      <c r="P80" s="116"/>
      <c r="Q80" s="116"/>
      <c r="R80" s="117">
        <f t="shared" ref="R80:U80" si="79">R91</f>
        <v>0</v>
      </c>
      <c r="S80" s="117">
        <f t="shared" si="79"/>
        <v>0</v>
      </c>
      <c r="T80" s="117">
        <f t="shared" si="79"/>
        <v>0</v>
      </c>
      <c r="U80" s="117">
        <f t="shared" si="79"/>
        <v>0</v>
      </c>
      <c r="V80" s="116"/>
      <c r="W80" s="116"/>
      <c r="X80" s="116"/>
      <c r="Y80" s="117">
        <f>Y91</f>
        <v>0</v>
      </c>
      <c r="Z80" s="116"/>
      <c r="AA80" s="116"/>
      <c r="AB80" s="117">
        <f t="shared" ref="AB80:AF80" si="80">AB91</f>
        <v>0</v>
      </c>
      <c r="AC80" s="117">
        <f t="shared" si="80"/>
        <v>0</v>
      </c>
      <c r="AD80" s="117">
        <f t="shared" si="80"/>
        <v>0</v>
      </c>
      <c r="AE80" s="117">
        <f t="shared" si="80"/>
        <v>0</v>
      </c>
      <c r="AF80" s="117">
        <f t="shared" si="80"/>
        <v>0</v>
      </c>
      <c r="AG80" s="116"/>
      <c r="AH80" s="116"/>
      <c r="AI80" s="116"/>
      <c r="AJ80" s="117">
        <f t="shared" ref="AJ80:AN80" si="81">AJ91</f>
        <v>0</v>
      </c>
      <c r="AK80" s="117">
        <f t="shared" si="81"/>
        <v>0</v>
      </c>
      <c r="AL80" s="117">
        <f t="shared" si="81"/>
        <v>0</v>
      </c>
      <c r="AM80" s="117">
        <f t="shared" si="81"/>
        <v>0</v>
      </c>
      <c r="AN80" s="117">
        <f t="shared" si="81"/>
        <v>0</v>
      </c>
      <c r="AO80" s="132"/>
      <c r="AP80" s="25"/>
      <c r="AQ80" s="117">
        <f t="shared" ref="AQ80:BB80" si="82">AQ91</f>
        <v>0</v>
      </c>
      <c r="AR80" s="117">
        <f t="shared" si="82"/>
        <v>0</v>
      </c>
      <c r="AS80" s="117">
        <f t="shared" si="82"/>
        <v>0</v>
      </c>
      <c r="AT80" s="117">
        <f t="shared" si="82"/>
        <v>0</v>
      </c>
      <c r="AU80" s="117">
        <f t="shared" si="82"/>
        <v>0</v>
      </c>
      <c r="AV80" s="117">
        <f t="shared" si="82"/>
        <v>0</v>
      </c>
      <c r="AW80" s="117">
        <f t="shared" si="82"/>
        <v>0</v>
      </c>
      <c r="AX80" s="117">
        <f t="shared" si="82"/>
        <v>0</v>
      </c>
      <c r="AY80" s="117">
        <f t="shared" si="82"/>
        <v>0</v>
      </c>
      <c r="AZ80" s="117">
        <f t="shared" si="82"/>
        <v>0</v>
      </c>
      <c r="BA80" s="117">
        <f t="shared" si="82"/>
        <v>0</v>
      </c>
      <c r="BB80" s="117">
        <f t="shared" si="82"/>
        <v>0</v>
      </c>
    </row>
    <row r="81" spans="1:54" ht="15.6" outlineLevel="2">
      <c r="A81" s="98"/>
      <c r="B81" s="102"/>
      <c r="C81" s="23"/>
      <c r="D81" s="257"/>
      <c r="E81" s="257"/>
      <c r="F81" s="252"/>
      <c r="G81" s="249"/>
      <c r="H81" s="272"/>
      <c r="I81" s="138"/>
      <c r="J81" s="105"/>
      <c r="K81" s="105"/>
      <c r="L81" s="106" t="str">
        <f>IF(I81&lt;&gt;0,((VLOOKUP(I81,'1. Standard_Cost'!$B$4:$D$11,2)+VLOOKUP(I81,'1. Standard_Cost'!$B$4:$D$11,3))*J81*K81),"0")</f>
        <v>0</v>
      </c>
      <c r="M81" s="106">
        <f>L81*'1. Standard_Cost'!$F$4</f>
        <v>0</v>
      </c>
      <c r="N81" s="107"/>
      <c r="O81" s="107"/>
      <c r="P81" s="107"/>
      <c r="Q81" s="107"/>
      <c r="R81" s="108">
        <f>'1. Standard_Cost'!$B$15*N81*P81</f>
        <v>0</v>
      </c>
      <c r="S81" s="108">
        <f>N81*O81*P81*'1. Standard_Cost'!$C$15</f>
        <v>0</v>
      </c>
      <c r="T81" s="108">
        <f>N81*P81*Q81*'1. Standard_Cost'!$D$15</f>
        <v>0</v>
      </c>
      <c r="U81" s="108">
        <f>N81*O81*'1. Standard_Cost'!$E$15</f>
        <v>0</v>
      </c>
      <c r="V81" s="107"/>
      <c r="W81" s="107"/>
      <c r="X81" s="107"/>
      <c r="Y81" s="108">
        <f>+V81*((X81*'1. Standard_Cost'!$B$19)+(W81*X81*'1. Standard_Cost'!$C$19))</f>
        <v>0</v>
      </c>
      <c r="Z81" s="107"/>
      <c r="AA81" s="107"/>
      <c r="AB81" s="108">
        <f>+Z81*'1. Standard_Cost'!$B$23+AA81*'1. Standard_Cost'!$C$23</f>
        <v>0</v>
      </c>
      <c r="AC81" s="109"/>
      <c r="AD81" s="110"/>
      <c r="AE81" s="108">
        <f>SUM(AD81,AC81,AB81,Y81,U81,T81,S81,R81)*'1. Standard_Cost'!$B$31</f>
        <v>0</v>
      </c>
      <c r="AF81" s="108">
        <f t="shared" ref="AF81:AF90" si="83">SUM(AE81,AD81,AC81,AB81,Y81,U81,T81,S81,R81)</f>
        <v>0</v>
      </c>
      <c r="AG81" s="107"/>
      <c r="AH81" s="107"/>
      <c r="AI81" s="107"/>
      <c r="AJ81" s="111"/>
      <c r="AK81" s="111"/>
      <c r="AL81" s="111"/>
      <c r="AM81" s="108">
        <f>AG81*'1. Standard_Cost'!$B$27+'Incremental_Cost Year 7'!AH81*'1. Standard_Cost'!$C$27+'Incremental_Cost Year 7'!AI81*'1. Standard_Cost'!$D$27+'Incremental_Cost Year 7'!AJ81+'Incremental_Cost Year 7'!AL81+AK81</f>
        <v>0</v>
      </c>
      <c r="AN81" s="108">
        <f>AM81*'1. Standard_Cost'!$C$31</f>
        <v>0</v>
      </c>
      <c r="AO81" s="125" t="s">
        <v>300</v>
      </c>
      <c r="AQ81" s="14">
        <f t="shared" ref="AQ81:AQ90" si="84">L81+M81</f>
        <v>0</v>
      </c>
      <c r="AR81" s="14">
        <f t="shared" ref="AR81:AR90" si="85">AF81</f>
        <v>0</v>
      </c>
      <c r="AS81" s="14">
        <f t="shared" ref="AS81:AS90" si="86">AM81+AN81</f>
        <v>0</v>
      </c>
      <c r="AT81" s="14">
        <f>SUM(AQ81,AR81,AS81)</f>
        <v>0</v>
      </c>
      <c r="AU81" s="15"/>
      <c r="AV81" s="15"/>
      <c r="AW81" s="15"/>
      <c r="AX81" s="15"/>
      <c r="AY81" s="15"/>
      <c r="AZ81" s="15"/>
      <c r="BA81" s="15"/>
      <c r="BB81" s="16">
        <f t="shared" ref="BB81:BB90" si="87">SUM(AU81:BA81)-AT81</f>
        <v>0</v>
      </c>
    </row>
    <row r="82" spans="1:54" ht="27.6" outlineLevel="2">
      <c r="A82" s="98"/>
      <c r="B82" s="102"/>
      <c r="C82" s="23"/>
      <c r="D82" s="269"/>
      <c r="E82" s="269"/>
      <c r="F82" s="251"/>
      <c r="G82" s="250"/>
      <c r="H82" s="272"/>
      <c r="I82" s="138"/>
      <c r="J82" s="105"/>
      <c r="K82" s="105"/>
      <c r="L82" s="106" t="str">
        <f>IF(I82&lt;&gt;0,((VLOOKUP(I82,'1. Standard_Cost'!$B$4:$D$11,2)+VLOOKUP(I82,'1. Standard_Cost'!$B$4:$D$11,3))*J82*K82),"0")</f>
        <v>0</v>
      </c>
      <c r="M82" s="106">
        <f>L82*'1. Standard_Cost'!$F$4</f>
        <v>0</v>
      </c>
      <c r="N82" s="107"/>
      <c r="O82" s="107"/>
      <c r="P82" s="107"/>
      <c r="Q82" s="107"/>
      <c r="R82" s="108">
        <f>'1. Standard_Cost'!$B$15*N82*P82</f>
        <v>0</v>
      </c>
      <c r="S82" s="108">
        <f>N82*O82*P82*'1. Standard_Cost'!$C$15</f>
        <v>0</v>
      </c>
      <c r="T82" s="108">
        <f>N82*P82*Q82*'1. Standard_Cost'!$D$15</f>
        <v>0</v>
      </c>
      <c r="U82" s="108">
        <f>N82*O82*'1. Standard_Cost'!$E$15</f>
        <v>0</v>
      </c>
      <c r="V82" s="107"/>
      <c r="W82" s="107"/>
      <c r="X82" s="107"/>
      <c r="Y82" s="108">
        <f>+V82*((X82*'1. Standard_Cost'!$B$19)+(W82*X82*'1. Standard_Cost'!$C$19))</f>
        <v>0</v>
      </c>
      <c r="Z82" s="107"/>
      <c r="AA82" s="107"/>
      <c r="AB82" s="108">
        <f>+Z82*'1. Standard_Cost'!$B$23+AA82*'1. Standard_Cost'!$C$23</f>
        <v>0</v>
      </c>
      <c r="AC82" s="109"/>
      <c r="AD82" s="110"/>
      <c r="AE82" s="108">
        <f>SUM(AD82,AC82,AB82,Y82,U82,T82,S82,R82)*'1. Standard_Cost'!$B$31</f>
        <v>0</v>
      </c>
      <c r="AF82" s="108">
        <f t="shared" si="83"/>
        <v>0</v>
      </c>
      <c r="AG82" s="107"/>
      <c r="AH82" s="107"/>
      <c r="AI82" s="107"/>
      <c r="AJ82" s="111"/>
      <c r="AK82" s="111"/>
      <c r="AL82" s="111"/>
      <c r="AM82" s="108">
        <f>AG82*'1. Standard_Cost'!$B$27+'Incremental_Cost Year 7'!AH82*'1. Standard_Cost'!$C$27+'Incremental_Cost Year 7'!AI82*'1. Standard_Cost'!$D$27+'Incremental_Cost Year 7'!AJ82+'Incremental_Cost Year 7'!AL82+AK82</f>
        <v>0</v>
      </c>
      <c r="AN82" s="108">
        <f>AM82*'1. Standard_Cost'!$C$31</f>
        <v>0</v>
      </c>
      <c r="AO82" s="125" t="s">
        <v>324</v>
      </c>
      <c r="AQ82" s="14">
        <f t="shared" si="84"/>
        <v>0</v>
      </c>
      <c r="AR82" s="14">
        <f t="shared" si="85"/>
        <v>0</v>
      </c>
      <c r="AS82" s="14">
        <f t="shared" si="86"/>
        <v>0</v>
      </c>
      <c r="AT82" s="14">
        <f t="shared" ref="AT82:AT90" si="88">SUM(AQ82,AR82,AS82)</f>
        <v>0</v>
      </c>
      <c r="AU82" s="15"/>
      <c r="AV82" s="15"/>
      <c r="AW82" s="15"/>
      <c r="AX82" s="15"/>
      <c r="AY82" s="15"/>
      <c r="AZ82" s="15"/>
      <c r="BA82" s="15"/>
      <c r="BB82" s="16">
        <f t="shared" si="87"/>
        <v>0</v>
      </c>
    </row>
    <row r="83" spans="1:54" ht="15.6" outlineLevel="2">
      <c r="A83" s="98"/>
      <c r="B83" s="102"/>
      <c r="C83" s="23"/>
      <c r="D83" s="269"/>
      <c r="E83" s="269"/>
      <c r="F83" s="251"/>
      <c r="G83" s="250"/>
      <c r="H83" s="272"/>
      <c r="I83" s="138"/>
      <c r="J83" s="105"/>
      <c r="K83" s="105"/>
      <c r="L83" s="106" t="str">
        <f>IF(I83&lt;&gt;0,((VLOOKUP(I83,'1. Standard_Cost'!$B$4:$D$11,2)+VLOOKUP(I83,'1. Standard_Cost'!$B$4:$D$11,3))*J83*K83),"0")</f>
        <v>0</v>
      </c>
      <c r="M83" s="106">
        <f>L83*'1. Standard_Cost'!$F$4</f>
        <v>0</v>
      </c>
      <c r="N83" s="107"/>
      <c r="O83" s="107"/>
      <c r="P83" s="107"/>
      <c r="Q83" s="107"/>
      <c r="R83" s="108">
        <f>'1. Standard_Cost'!$B$15*N83*P83</f>
        <v>0</v>
      </c>
      <c r="S83" s="108">
        <f>N83*O83*P83*'1. Standard_Cost'!$C$15</f>
        <v>0</v>
      </c>
      <c r="T83" s="108">
        <f>N83*P83*Q83*'1. Standard_Cost'!$D$15</f>
        <v>0</v>
      </c>
      <c r="U83" s="108">
        <f>N83*O83*'1. Standard_Cost'!$E$15</f>
        <v>0</v>
      </c>
      <c r="V83" s="107"/>
      <c r="W83" s="107"/>
      <c r="X83" s="107"/>
      <c r="Y83" s="108">
        <f>+V83*((X83*'1. Standard_Cost'!$B$19)+(W83*X83*'1. Standard_Cost'!$C$19))</f>
        <v>0</v>
      </c>
      <c r="Z83" s="107"/>
      <c r="AA83" s="107"/>
      <c r="AB83" s="108">
        <f>+Z83*'1. Standard_Cost'!$B$23+AA83*'1. Standard_Cost'!$C$23</f>
        <v>0</v>
      </c>
      <c r="AC83" s="109"/>
      <c r="AD83" s="110"/>
      <c r="AE83" s="108">
        <f>SUM(AD83,AC83,AB83,Y83,U83,T83,S83,R83)*'1. Standard_Cost'!$B$31</f>
        <v>0</v>
      </c>
      <c r="AF83" s="108">
        <f t="shared" si="83"/>
        <v>0</v>
      </c>
      <c r="AG83" s="107"/>
      <c r="AH83" s="107"/>
      <c r="AI83" s="107"/>
      <c r="AJ83" s="111"/>
      <c r="AK83" s="111"/>
      <c r="AL83" s="111"/>
      <c r="AM83" s="108">
        <f>AG83*'1. Standard_Cost'!$B$27+'Incremental_Cost Year 7'!AH83*'1. Standard_Cost'!$C$27+'Incremental_Cost Year 7'!AI83*'1. Standard_Cost'!$D$27+'Incremental_Cost Year 7'!AJ83+'Incremental_Cost Year 7'!AL83+AK83</f>
        <v>0</v>
      </c>
      <c r="AN83" s="108">
        <f>AM83*'1. Standard_Cost'!$C$31</f>
        <v>0</v>
      </c>
      <c r="AO83" s="125" t="s">
        <v>325</v>
      </c>
      <c r="AQ83" s="14">
        <f t="shared" si="84"/>
        <v>0</v>
      </c>
      <c r="AR83" s="14">
        <f t="shared" si="85"/>
        <v>0</v>
      </c>
      <c r="AS83" s="14">
        <f t="shared" si="86"/>
        <v>0</v>
      </c>
      <c r="AT83" s="14">
        <f t="shared" si="88"/>
        <v>0</v>
      </c>
      <c r="AU83" s="15"/>
      <c r="AV83" s="15"/>
      <c r="AW83" s="15"/>
      <c r="AX83" s="15"/>
      <c r="AY83" s="15"/>
      <c r="AZ83" s="15"/>
      <c r="BA83" s="15"/>
      <c r="BB83" s="16">
        <f t="shared" si="87"/>
        <v>0</v>
      </c>
    </row>
    <row r="84" spans="1:54" ht="15.6" outlineLevel="2">
      <c r="A84" s="98"/>
      <c r="B84" s="102"/>
      <c r="C84" s="23"/>
      <c r="D84" s="269"/>
      <c r="E84" s="269"/>
      <c r="F84" s="251"/>
      <c r="G84" s="250"/>
      <c r="H84" s="272"/>
      <c r="I84" s="104"/>
      <c r="J84" s="105"/>
      <c r="K84" s="105"/>
      <c r="L84" s="106" t="str">
        <f>IF(I84&lt;&gt;0,((VLOOKUP(I84,'1. Standard_Cost'!$B$4:$D$11,2)+VLOOKUP(I84,'1. Standard_Cost'!$B$4:$D$11,3))*J84*K84),"0")</f>
        <v>0</v>
      </c>
      <c r="M84" s="106">
        <f>L84*'1. Standard_Cost'!$F$4</f>
        <v>0</v>
      </c>
      <c r="N84" s="107"/>
      <c r="O84" s="107"/>
      <c r="P84" s="107"/>
      <c r="Q84" s="107"/>
      <c r="R84" s="108">
        <f>'1. Standard_Cost'!$B$15*N84*P84</f>
        <v>0</v>
      </c>
      <c r="S84" s="108">
        <f>N84*O84*P84*'1. Standard_Cost'!$C$15</f>
        <v>0</v>
      </c>
      <c r="T84" s="108">
        <f>N84*P84*Q84*'1. Standard_Cost'!$D$15</f>
        <v>0</v>
      </c>
      <c r="U84" s="108">
        <f>N84*O84*'1. Standard_Cost'!$E$15</f>
        <v>0</v>
      </c>
      <c r="V84" s="107"/>
      <c r="W84" s="107"/>
      <c r="X84" s="107"/>
      <c r="Y84" s="108">
        <f>+V84*((X84*'1. Standard_Cost'!$B$19)+(W84*X84*'1. Standard_Cost'!$C$19))</f>
        <v>0</v>
      </c>
      <c r="Z84" s="107"/>
      <c r="AA84" s="107"/>
      <c r="AB84" s="108">
        <f>+Z84*'1. Standard_Cost'!$B$23+AA84*'1. Standard_Cost'!$C$23</f>
        <v>0</v>
      </c>
      <c r="AC84" s="109"/>
      <c r="AD84" s="110"/>
      <c r="AE84" s="108">
        <f>SUM(AD84,AC84,AB84,Y84,U84,T84,S84,R84)*'1. Standard_Cost'!$B$31</f>
        <v>0</v>
      </c>
      <c r="AF84" s="108">
        <f t="shared" si="83"/>
        <v>0</v>
      </c>
      <c r="AG84" s="107"/>
      <c r="AH84" s="107"/>
      <c r="AI84" s="107"/>
      <c r="AJ84" s="111"/>
      <c r="AK84" s="111"/>
      <c r="AL84" s="111"/>
      <c r="AM84" s="108">
        <f>AG84*'1. Standard_Cost'!$B$27+'Incremental_Cost Year 7'!AH84*'1. Standard_Cost'!$C$27+'Incremental_Cost Year 7'!AI84*'1. Standard_Cost'!$D$27+'Incremental_Cost Year 7'!AJ84+'Incremental_Cost Year 7'!AL84+AK84</f>
        <v>0</v>
      </c>
      <c r="AN84" s="108">
        <f>AM84*'1. Standard_Cost'!$C$31</f>
        <v>0</v>
      </c>
      <c r="AO84" s="125" t="s">
        <v>326</v>
      </c>
      <c r="AQ84" s="14">
        <f t="shared" si="84"/>
        <v>0</v>
      </c>
      <c r="AR84" s="14">
        <f t="shared" si="85"/>
        <v>0</v>
      </c>
      <c r="AS84" s="14">
        <f t="shared" si="86"/>
        <v>0</v>
      </c>
      <c r="AT84" s="14">
        <f t="shared" si="88"/>
        <v>0</v>
      </c>
      <c r="AU84" s="15"/>
      <c r="AV84" s="15"/>
      <c r="AW84" s="15"/>
      <c r="AX84" s="15"/>
      <c r="AY84" s="15"/>
      <c r="AZ84" s="15"/>
      <c r="BA84" s="15"/>
      <c r="BB84" s="16">
        <f t="shared" si="87"/>
        <v>0</v>
      </c>
    </row>
    <row r="85" spans="1:54" ht="15.6" outlineLevel="2">
      <c r="A85" s="98"/>
      <c r="B85" s="102"/>
      <c r="C85" s="23"/>
      <c r="D85" s="269"/>
      <c r="E85" s="269"/>
      <c r="F85" s="251"/>
      <c r="G85" s="250"/>
      <c r="H85" s="272"/>
      <c r="I85" s="138"/>
      <c r="J85" s="105"/>
      <c r="K85" s="105"/>
      <c r="L85" s="106" t="str">
        <f>IF(I85&lt;&gt;0,((VLOOKUP(I85,'1. Standard_Cost'!$B$4:$D$11,2)+VLOOKUP(I85,'1. Standard_Cost'!$B$4:$D$11,3))*J85*K85),"0")</f>
        <v>0</v>
      </c>
      <c r="M85" s="106">
        <f>L85*'1. Standard_Cost'!$F$4</f>
        <v>0</v>
      </c>
      <c r="N85" s="107"/>
      <c r="O85" s="107"/>
      <c r="P85" s="107"/>
      <c r="Q85" s="107"/>
      <c r="R85" s="108">
        <f>'1. Standard_Cost'!$B$15*N85*P85</f>
        <v>0</v>
      </c>
      <c r="S85" s="108">
        <f>N85*O85*P85*'1. Standard_Cost'!$C$15</f>
        <v>0</v>
      </c>
      <c r="T85" s="108">
        <f>N85*P85*Q85*'1. Standard_Cost'!$D$15</f>
        <v>0</v>
      </c>
      <c r="U85" s="108">
        <f>N85*O85*'1. Standard_Cost'!$E$15</f>
        <v>0</v>
      </c>
      <c r="V85" s="107"/>
      <c r="W85" s="107"/>
      <c r="X85" s="107"/>
      <c r="Y85" s="108">
        <f>+V85*((X85*'1. Standard_Cost'!$B$19)+(W85*X85*'1. Standard_Cost'!$C$19))</f>
        <v>0</v>
      </c>
      <c r="Z85" s="107"/>
      <c r="AA85" s="107"/>
      <c r="AB85" s="108">
        <f>+Z85*'1. Standard_Cost'!$B$23+AA85*'1. Standard_Cost'!$C$23</f>
        <v>0</v>
      </c>
      <c r="AC85" s="109"/>
      <c r="AD85" s="110"/>
      <c r="AE85" s="108">
        <f>SUM(AD85,AC85,AB85,Y85,U85,T85,S85,R85)*'1. Standard_Cost'!$B$31</f>
        <v>0</v>
      </c>
      <c r="AF85" s="108">
        <f t="shared" si="83"/>
        <v>0</v>
      </c>
      <c r="AG85" s="107"/>
      <c r="AH85" s="107"/>
      <c r="AI85" s="107"/>
      <c r="AJ85" s="111"/>
      <c r="AK85" s="111"/>
      <c r="AL85" s="111"/>
      <c r="AM85" s="108">
        <f>AG85*'1. Standard_Cost'!$B$27+'Incremental_Cost Year 7'!AH85*'1. Standard_Cost'!$C$27+'Incremental_Cost Year 7'!AI85*'1. Standard_Cost'!$D$27+'Incremental_Cost Year 7'!AJ85+'Incremental_Cost Year 7'!AL85+AK85</f>
        <v>0</v>
      </c>
      <c r="AN85" s="108">
        <f>AM85*'1. Standard_Cost'!$C$31</f>
        <v>0</v>
      </c>
      <c r="AO85" s="125" t="s">
        <v>327</v>
      </c>
      <c r="AQ85" s="14">
        <f t="shared" si="84"/>
        <v>0</v>
      </c>
      <c r="AR85" s="14">
        <f t="shared" si="85"/>
        <v>0</v>
      </c>
      <c r="AS85" s="14">
        <f t="shared" si="86"/>
        <v>0</v>
      </c>
      <c r="AT85" s="14">
        <f t="shared" si="88"/>
        <v>0</v>
      </c>
      <c r="AU85" s="15"/>
      <c r="AV85" s="15"/>
      <c r="AW85" s="15"/>
      <c r="AX85" s="15"/>
      <c r="AY85" s="15"/>
      <c r="AZ85" s="15"/>
      <c r="BA85" s="15"/>
      <c r="BB85" s="16">
        <f t="shared" si="87"/>
        <v>0</v>
      </c>
    </row>
    <row r="86" spans="1:54" ht="15.6" outlineLevel="2">
      <c r="A86" s="98"/>
      <c r="B86" s="102"/>
      <c r="C86" s="23"/>
      <c r="D86" s="269"/>
      <c r="E86" s="269"/>
      <c r="F86" s="251"/>
      <c r="G86" s="250"/>
      <c r="H86" s="272"/>
      <c r="I86" s="104"/>
      <c r="J86" s="105"/>
      <c r="K86" s="105"/>
      <c r="L86" s="106" t="str">
        <f>IF(I86&lt;&gt;0,((VLOOKUP(I86,'1. Standard_Cost'!$B$4:$D$11,2)+VLOOKUP(I86,'1. Standard_Cost'!$B$4:$D$11,3))*J86*K86),"0")</f>
        <v>0</v>
      </c>
      <c r="M86" s="106">
        <f>L86*'1. Standard_Cost'!$F$4</f>
        <v>0</v>
      </c>
      <c r="N86" s="107"/>
      <c r="O86" s="107"/>
      <c r="P86" s="107"/>
      <c r="Q86" s="107"/>
      <c r="R86" s="108">
        <f>'1. Standard_Cost'!$B$15*N86*P86</f>
        <v>0</v>
      </c>
      <c r="S86" s="108">
        <f>N86*O86*P86*'1. Standard_Cost'!$C$15</f>
        <v>0</v>
      </c>
      <c r="T86" s="108">
        <f>N86*P86*Q86*'1. Standard_Cost'!$D$15</f>
        <v>0</v>
      </c>
      <c r="U86" s="108">
        <f>N86*O86*'1. Standard_Cost'!$E$15</f>
        <v>0</v>
      </c>
      <c r="V86" s="107"/>
      <c r="W86" s="107"/>
      <c r="X86" s="107"/>
      <c r="Y86" s="108">
        <f>+V86*((X86*'1. Standard_Cost'!$B$19)+(W86*X86*'1. Standard_Cost'!$C$19))</f>
        <v>0</v>
      </c>
      <c r="Z86" s="107"/>
      <c r="AA86" s="107"/>
      <c r="AB86" s="108">
        <f>+Z86*'1. Standard_Cost'!$B$23+AA86*'1. Standard_Cost'!$C$23</f>
        <v>0</v>
      </c>
      <c r="AC86" s="109"/>
      <c r="AD86" s="110"/>
      <c r="AE86" s="108">
        <f>SUM(AD86,AC86,AB86,Y86,U86,T86,S86,R86)*'1. Standard_Cost'!$B$31</f>
        <v>0</v>
      </c>
      <c r="AF86" s="108">
        <f t="shared" si="83"/>
        <v>0</v>
      </c>
      <c r="AG86" s="107"/>
      <c r="AH86" s="107"/>
      <c r="AI86" s="107"/>
      <c r="AJ86" s="111"/>
      <c r="AK86" s="111"/>
      <c r="AL86" s="111"/>
      <c r="AM86" s="108">
        <f>AG86*'1. Standard_Cost'!$B$27+'Incremental_Cost Year 7'!AH86*'1. Standard_Cost'!$C$27+'Incremental_Cost Year 7'!AI86*'1. Standard_Cost'!$D$27+'Incremental_Cost Year 7'!AJ86+'Incremental_Cost Year 7'!AL86+AK86</f>
        <v>0</v>
      </c>
      <c r="AN86" s="108">
        <f>AM86*'1. Standard_Cost'!$C$31</f>
        <v>0</v>
      </c>
      <c r="AO86" s="125" t="s">
        <v>328</v>
      </c>
      <c r="AQ86" s="14">
        <f t="shared" si="84"/>
        <v>0</v>
      </c>
      <c r="AR86" s="14">
        <f t="shared" si="85"/>
        <v>0</v>
      </c>
      <c r="AS86" s="14">
        <f t="shared" si="86"/>
        <v>0</v>
      </c>
      <c r="AT86" s="14">
        <f t="shared" si="88"/>
        <v>0</v>
      </c>
      <c r="AU86" s="15"/>
      <c r="AV86" s="15"/>
      <c r="AW86" s="15"/>
      <c r="AX86" s="15"/>
      <c r="AY86" s="15"/>
      <c r="AZ86" s="15"/>
      <c r="BA86" s="15"/>
      <c r="BB86" s="16">
        <f t="shared" si="87"/>
        <v>0</v>
      </c>
    </row>
    <row r="87" spans="1:54" ht="15.6" outlineLevel="2">
      <c r="A87" s="98"/>
      <c r="B87" s="102"/>
      <c r="C87" s="23"/>
      <c r="D87" s="269"/>
      <c r="E87" s="269"/>
      <c r="F87" s="251"/>
      <c r="G87" s="250"/>
      <c r="H87" s="272"/>
      <c r="I87" s="104"/>
      <c r="J87" s="105"/>
      <c r="K87" s="105"/>
      <c r="L87" s="106" t="str">
        <f>IF(I87&lt;&gt;0,((VLOOKUP(I87,'1. Standard_Cost'!$B$4:$D$11,2)+VLOOKUP(I87,'1. Standard_Cost'!$B$4:$D$11,3))*J87*K87),"0")</f>
        <v>0</v>
      </c>
      <c r="M87" s="106">
        <f>L87*'1. Standard_Cost'!$F$4</f>
        <v>0</v>
      </c>
      <c r="N87" s="107"/>
      <c r="O87" s="107"/>
      <c r="P87" s="107"/>
      <c r="Q87" s="107"/>
      <c r="R87" s="108">
        <f>'1. Standard_Cost'!$B$15*N87*P87</f>
        <v>0</v>
      </c>
      <c r="S87" s="108">
        <f>N87*O87*P87*'1. Standard_Cost'!$C$15</f>
        <v>0</v>
      </c>
      <c r="T87" s="108">
        <f>N87*P87*Q87*'1. Standard_Cost'!$D$15</f>
        <v>0</v>
      </c>
      <c r="U87" s="108">
        <f>N87*O87*'1. Standard_Cost'!$E$15</f>
        <v>0</v>
      </c>
      <c r="V87" s="107"/>
      <c r="W87" s="107"/>
      <c r="X87" s="107"/>
      <c r="Y87" s="108">
        <f>+V87*((X87*'1. Standard_Cost'!$B$19)+(W87*X87*'1. Standard_Cost'!$C$19))</f>
        <v>0</v>
      </c>
      <c r="Z87" s="107"/>
      <c r="AA87" s="107"/>
      <c r="AB87" s="108">
        <f>+Z87*'1. Standard_Cost'!$B$23+AA87*'1. Standard_Cost'!$C$23</f>
        <v>0</v>
      </c>
      <c r="AC87" s="109"/>
      <c r="AD87" s="110"/>
      <c r="AE87" s="108">
        <f>SUM(AD87,AC87,AB87,Y87,U87,T87,S87,R87)*'1. Standard_Cost'!$B$31</f>
        <v>0</v>
      </c>
      <c r="AF87" s="108">
        <f t="shared" si="83"/>
        <v>0</v>
      </c>
      <c r="AG87" s="107"/>
      <c r="AH87" s="107"/>
      <c r="AI87" s="107"/>
      <c r="AJ87" s="111"/>
      <c r="AK87" s="111"/>
      <c r="AL87" s="111"/>
      <c r="AM87" s="108">
        <f>AG87*'1. Standard_Cost'!$B$27+'Incremental_Cost Year 7'!AH87*'1. Standard_Cost'!$C$27+'Incremental_Cost Year 7'!AI87*'1. Standard_Cost'!$D$27+'Incremental_Cost Year 7'!AJ87+'Incremental_Cost Year 7'!AL87+AK87</f>
        <v>0</v>
      </c>
      <c r="AN87" s="108">
        <f>AM87*'1. Standard_Cost'!$C$31</f>
        <v>0</v>
      </c>
      <c r="AO87" s="125" t="s">
        <v>329</v>
      </c>
      <c r="AQ87" s="14">
        <f t="shared" si="84"/>
        <v>0</v>
      </c>
      <c r="AR87" s="14">
        <f t="shared" si="85"/>
        <v>0</v>
      </c>
      <c r="AS87" s="14">
        <f t="shared" si="86"/>
        <v>0</v>
      </c>
      <c r="AT87" s="14">
        <f t="shared" si="88"/>
        <v>0</v>
      </c>
      <c r="AU87" s="15"/>
      <c r="AV87" s="15"/>
      <c r="AW87" s="15"/>
      <c r="AX87" s="15"/>
      <c r="AY87" s="15"/>
      <c r="AZ87" s="15"/>
      <c r="BA87" s="15"/>
      <c r="BB87" s="16">
        <f t="shared" si="87"/>
        <v>0</v>
      </c>
    </row>
    <row r="88" spans="1:54" ht="27.6" outlineLevel="2">
      <c r="A88" s="98"/>
      <c r="B88" s="102"/>
      <c r="C88" s="23"/>
      <c r="D88" s="269"/>
      <c r="E88" s="269"/>
      <c r="F88" s="251"/>
      <c r="G88" s="250"/>
      <c r="H88" s="272"/>
      <c r="I88" s="104"/>
      <c r="J88" s="105"/>
      <c r="K88" s="105"/>
      <c r="L88" s="106" t="str">
        <f>IF(I88&lt;&gt;0,((VLOOKUP(I88,'1. Standard_Cost'!$B$4:$D$11,2)+VLOOKUP(I88,'1. Standard_Cost'!$B$4:$D$11,3))*J88*K88),"0")</f>
        <v>0</v>
      </c>
      <c r="M88" s="106">
        <f>L88*'1. Standard_Cost'!$F$4</f>
        <v>0</v>
      </c>
      <c r="N88" s="107"/>
      <c r="O88" s="107"/>
      <c r="P88" s="107"/>
      <c r="Q88" s="107"/>
      <c r="R88" s="108">
        <f>'1. Standard_Cost'!$B$15*N88*P88</f>
        <v>0</v>
      </c>
      <c r="S88" s="108">
        <f>N88*O88*P88*'1. Standard_Cost'!$C$15</f>
        <v>0</v>
      </c>
      <c r="T88" s="108">
        <f>N88*P88*Q88*'1. Standard_Cost'!$D$15</f>
        <v>0</v>
      </c>
      <c r="U88" s="108">
        <f>N88*O88*'1. Standard_Cost'!$E$15</f>
        <v>0</v>
      </c>
      <c r="V88" s="107"/>
      <c r="W88" s="107"/>
      <c r="X88" s="107"/>
      <c r="Y88" s="108">
        <f>+V88*((X88*'1. Standard_Cost'!$B$19)+(W88*X88*'1. Standard_Cost'!$C$19))</f>
        <v>0</v>
      </c>
      <c r="Z88" s="107"/>
      <c r="AA88" s="107"/>
      <c r="AB88" s="108">
        <f>+Z88*'1. Standard_Cost'!$B$23+AA88*'1. Standard_Cost'!$C$23</f>
        <v>0</v>
      </c>
      <c r="AC88" s="109"/>
      <c r="AD88" s="110"/>
      <c r="AE88" s="108">
        <f>SUM(AD88,AC88,AB88,Y88,U88,T88,S88,R88)*'1. Standard_Cost'!$B$31</f>
        <v>0</v>
      </c>
      <c r="AF88" s="108">
        <f t="shared" si="83"/>
        <v>0</v>
      </c>
      <c r="AG88" s="107"/>
      <c r="AH88" s="107"/>
      <c r="AI88" s="107"/>
      <c r="AJ88" s="111"/>
      <c r="AK88" s="111"/>
      <c r="AL88" s="111"/>
      <c r="AM88" s="108">
        <f>AG88*'1. Standard_Cost'!$B$27+'Incremental_Cost Year 7'!AH88*'1. Standard_Cost'!$C$27+'Incremental_Cost Year 7'!AI88*'1. Standard_Cost'!$D$27+'Incremental_Cost Year 7'!AJ88+'Incremental_Cost Year 7'!AL88+AK88</f>
        <v>0</v>
      </c>
      <c r="AN88" s="108">
        <f>AM88*'1. Standard_Cost'!$C$31</f>
        <v>0</v>
      </c>
      <c r="AO88" s="125" t="s">
        <v>330</v>
      </c>
      <c r="AQ88" s="14">
        <f t="shared" si="84"/>
        <v>0</v>
      </c>
      <c r="AR88" s="14">
        <f t="shared" si="85"/>
        <v>0</v>
      </c>
      <c r="AS88" s="14">
        <f t="shared" si="86"/>
        <v>0</v>
      </c>
      <c r="AT88" s="14">
        <f t="shared" si="88"/>
        <v>0</v>
      </c>
      <c r="AU88" s="15"/>
      <c r="AV88" s="15"/>
      <c r="AW88" s="15"/>
      <c r="AX88" s="15"/>
      <c r="AY88" s="15"/>
      <c r="AZ88" s="15"/>
      <c r="BA88" s="15"/>
      <c r="BB88" s="16">
        <f t="shared" si="87"/>
        <v>0</v>
      </c>
    </row>
    <row r="89" spans="1:54" ht="27.6" outlineLevel="2">
      <c r="A89" s="98"/>
      <c r="B89" s="102"/>
      <c r="C89" s="23"/>
      <c r="D89" s="269"/>
      <c r="E89" s="269"/>
      <c r="F89" s="251"/>
      <c r="G89" s="250"/>
      <c r="H89" s="272"/>
      <c r="I89" s="104"/>
      <c r="J89" s="105"/>
      <c r="K89" s="105"/>
      <c r="L89" s="106" t="str">
        <f>IF(I89&lt;&gt;0,((VLOOKUP(I89,'1. Standard_Cost'!$B$4:$D$11,2)+VLOOKUP(I89,'1. Standard_Cost'!$B$4:$D$11,3))*J89*K89),"0")</f>
        <v>0</v>
      </c>
      <c r="M89" s="106">
        <f>L89*'1. Standard_Cost'!$F$4</f>
        <v>0</v>
      </c>
      <c r="N89" s="107"/>
      <c r="O89" s="107"/>
      <c r="P89" s="107"/>
      <c r="Q89" s="107"/>
      <c r="R89" s="108">
        <f>'1. Standard_Cost'!$B$15*N89*P89</f>
        <v>0</v>
      </c>
      <c r="S89" s="108">
        <f>N89*O89*P89*'1. Standard_Cost'!$C$15</f>
        <v>0</v>
      </c>
      <c r="T89" s="108">
        <f>N89*P89*Q89*'1. Standard_Cost'!$D$15</f>
        <v>0</v>
      </c>
      <c r="U89" s="108">
        <f>N89*O89*'1. Standard_Cost'!$E$15</f>
        <v>0</v>
      </c>
      <c r="V89" s="107"/>
      <c r="W89" s="107"/>
      <c r="X89" s="107"/>
      <c r="Y89" s="108">
        <f>+V89*((X89*'1. Standard_Cost'!$B$19)+(W89*X89*'1. Standard_Cost'!$C$19))</f>
        <v>0</v>
      </c>
      <c r="Z89" s="107"/>
      <c r="AA89" s="107"/>
      <c r="AB89" s="108">
        <f>+Z89*'1. Standard_Cost'!$B$23+AA89*'1. Standard_Cost'!$C$23</f>
        <v>0</v>
      </c>
      <c r="AC89" s="109"/>
      <c r="AD89" s="110"/>
      <c r="AE89" s="108">
        <f>SUM(AD89,AC89,AB89,Y89,U89,T89,S89,R89)*'1. Standard_Cost'!$B$31</f>
        <v>0</v>
      </c>
      <c r="AF89" s="108">
        <f t="shared" si="83"/>
        <v>0</v>
      </c>
      <c r="AG89" s="107"/>
      <c r="AH89" s="107"/>
      <c r="AI89" s="107"/>
      <c r="AJ89" s="111"/>
      <c r="AK89" s="111"/>
      <c r="AL89" s="111"/>
      <c r="AM89" s="108">
        <f>AG89*'1. Standard_Cost'!$B$27+'Incremental_Cost Year 7'!AH89*'1. Standard_Cost'!$C$27+'Incremental_Cost Year 7'!AI89*'1. Standard_Cost'!$D$27+'Incremental_Cost Year 7'!AJ89+'Incremental_Cost Year 7'!AL89+AK89</f>
        <v>0</v>
      </c>
      <c r="AN89" s="108">
        <f>AM89*'1. Standard_Cost'!$C$31</f>
        <v>0</v>
      </c>
      <c r="AO89" s="125" t="s">
        <v>331</v>
      </c>
      <c r="AQ89" s="14">
        <f t="shared" si="84"/>
        <v>0</v>
      </c>
      <c r="AR89" s="14">
        <f t="shared" si="85"/>
        <v>0</v>
      </c>
      <c r="AS89" s="14">
        <f t="shared" si="86"/>
        <v>0</v>
      </c>
      <c r="AT89" s="14">
        <f t="shared" si="88"/>
        <v>0</v>
      </c>
      <c r="AU89" s="15"/>
      <c r="AV89" s="15"/>
      <c r="AW89" s="15"/>
      <c r="AX89" s="15"/>
      <c r="AY89" s="15"/>
      <c r="AZ89" s="15"/>
      <c r="BA89" s="15"/>
      <c r="BB89" s="16">
        <f t="shared" si="87"/>
        <v>0</v>
      </c>
    </row>
    <row r="90" spans="1:54" ht="15.6" outlineLevel="2">
      <c r="A90" s="98"/>
      <c r="B90" s="102"/>
      <c r="C90" s="23"/>
      <c r="D90" s="251"/>
      <c r="E90" s="251"/>
      <c r="F90" s="251"/>
      <c r="G90" s="250"/>
      <c r="H90" s="272"/>
      <c r="I90" s="104"/>
      <c r="J90" s="105"/>
      <c r="K90" s="105"/>
      <c r="L90" s="106" t="str">
        <f>IF(I90&lt;&gt;0,((VLOOKUP(I90,'1. Standard_Cost'!$B$4:$D$11,2)+VLOOKUP(I90,'1. Standard_Cost'!$B$4:$D$11,3))*J90*K90),"0")</f>
        <v>0</v>
      </c>
      <c r="M90" s="106">
        <f>L90*'1. Standard_Cost'!$F$4</f>
        <v>0</v>
      </c>
      <c r="N90" s="107"/>
      <c r="O90" s="107"/>
      <c r="P90" s="107"/>
      <c r="Q90" s="107"/>
      <c r="R90" s="108">
        <f>'1. Standard_Cost'!$B$15*N90*P90</f>
        <v>0</v>
      </c>
      <c r="S90" s="108">
        <f>N90*O90*P90*'1. Standard_Cost'!$C$15</f>
        <v>0</v>
      </c>
      <c r="T90" s="108">
        <f>N90*P90*Q90*'1. Standard_Cost'!$D$15</f>
        <v>0</v>
      </c>
      <c r="U90" s="108">
        <f>N90*O90*'1. Standard_Cost'!$E$15</f>
        <v>0</v>
      </c>
      <c r="V90" s="107"/>
      <c r="W90" s="107"/>
      <c r="X90" s="107"/>
      <c r="Y90" s="108">
        <f>+V90*((X90*'1. Standard_Cost'!$B$19)+(W90*X90*'1. Standard_Cost'!$C$19))</f>
        <v>0</v>
      </c>
      <c r="Z90" s="107"/>
      <c r="AA90" s="107"/>
      <c r="AB90" s="108">
        <f>+Z90*'1. Standard_Cost'!$B$23+AA90*'1. Standard_Cost'!$C$23</f>
        <v>0</v>
      </c>
      <c r="AC90" s="109"/>
      <c r="AD90" s="110"/>
      <c r="AE90" s="108">
        <f>SUM(AD90,AC90,AB90,Y90,U90,T90,S90,R90)*'1. Standard_Cost'!$B$31</f>
        <v>0</v>
      </c>
      <c r="AF90" s="108">
        <f t="shared" si="83"/>
        <v>0</v>
      </c>
      <c r="AG90" s="107"/>
      <c r="AH90" s="107"/>
      <c r="AI90" s="107"/>
      <c r="AJ90" s="111"/>
      <c r="AK90" s="111"/>
      <c r="AL90" s="111"/>
      <c r="AM90" s="108">
        <f>AG90*'1. Standard_Cost'!$B$27+'Incremental_Cost Year 7'!AH90*'1. Standard_Cost'!$C$27+'Incremental_Cost Year 7'!AI90*'1. Standard_Cost'!$D$27+'Incremental_Cost Year 7'!AJ90+'Incremental_Cost Year 7'!AL90+AK90</f>
        <v>0</v>
      </c>
      <c r="AN90" s="108">
        <f>AM90*'1. Standard_Cost'!$C$31</f>
        <v>0</v>
      </c>
      <c r="AO90" s="125" t="s">
        <v>332</v>
      </c>
      <c r="AQ90" s="14">
        <f t="shared" si="84"/>
        <v>0</v>
      </c>
      <c r="AR90" s="14">
        <f t="shared" si="85"/>
        <v>0</v>
      </c>
      <c r="AS90" s="14">
        <f t="shared" si="86"/>
        <v>0</v>
      </c>
      <c r="AT90" s="14">
        <f t="shared" si="88"/>
        <v>0</v>
      </c>
      <c r="AU90" s="15"/>
      <c r="AV90" s="15"/>
      <c r="AW90" s="15"/>
      <c r="AX90" s="15"/>
      <c r="AY90" s="15"/>
      <c r="AZ90" s="15"/>
      <c r="BA90" s="15"/>
      <c r="BB90" s="16">
        <f t="shared" si="87"/>
        <v>0</v>
      </c>
    </row>
    <row r="91" spans="1:54" ht="27.6" outlineLevel="1">
      <c r="A91" s="98"/>
      <c r="B91" s="102"/>
      <c r="C91" s="23"/>
      <c r="D91" s="56" t="s">
        <v>47</v>
      </c>
      <c r="E91" s="56" t="s">
        <v>217</v>
      </c>
      <c r="F91" s="253">
        <v>2021</v>
      </c>
      <c r="G91" s="254">
        <v>2026</v>
      </c>
      <c r="H91" s="277" t="s">
        <v>218</v>
      </c>
      <c r="I91" s="112"/>
      <c r="J91" s="112"/>
      <c r="K91" s="112"/>
      <c r="L91" s="113">
        <f>SUM(L81:L90)</f>
        <v>0</v>
      </c>
      <c r="M91" s="113">
        <f>SUM(M81:M90)</f>
        <v>0</v>
      </c>
      <c r="N91" s="113"/>
      <c r="O91" s="112"/>
      <c r="P91" s="112"/>
      <c r="Q91" s="112"/>
      <c r="R91" s="113">
        <f t="shared" ref="R91:U91" si="89">SUM(R81:R90)</f>
        <v>0</v>
      </c>
      <c r="S91" s="113">
        <f t="shared" si="89"/>
        <v>0</v>
      </c>
      <c r="T91" s="113">
        <f t="shared" si="89"/>
        <v>0</v>
      </c>
      <c r="U91" s="113">
        <f t="shared" si="89"/>
        <v>0</v>
      </c>
      <c r="V91" s="112"/>
      <c r="W91" s="112"/>
      <c r="X91" s="112"/>
      <c r="Y91" s="113">
        <f>SUM(Y81:Y90)</f>
        <v>0</v>
      </c>
      <c r="Z91" s="112"/>
      <c r="AA91" s="112"/>
      <c r="AB91" s="113">
        <f t="shared" ref="AB91:AF91" si="90">SUM(AB81:AB90)</f>
        <v>0</v>
      </c>
      <c r="AC91" s="113">
        <f t="shared" si="90"/>
        <v>0</v>
      </c>
      <c r="AD91" s="113">
        <f t="shared" si="90"/>
        <v>0</v>
      </c>
      <c r="AE91" s="113">
        <f t="shared" si="90"/>
        <v>0</v>
      </c>
      <c r="AF91" s="113">
        <f t="shared" si="90"/>
        <v>0</v>
      </c>
      <c r="AG91" s="112"/>
      <c r="AH91" s="112"/>
      <c r="AI91" s="112"/>
      <c r="AJ91" s="113">
        <f t="shared" ref="AJ91:AN91" si="91">SUM(AJ81:AJ90)</f>
        <v>0</v>
      </c>
      <c r="AK91" s="113">
        <f t="shared" si="91"/>
        <v>0</v>
      </c>
      <c r="AL91" s="113">
        <f t="shared" si="91"/>
        <v>0</v>
      </c>
      <c r="AM91" s="113">
        <f t="shared" si="91"/>
        <v>0</v>
      </c>
      <c r="AN91" s="113">
        <f t="shared" si="91"/>
        <v>0</v>
      </c>
      <c r="AO91" s="131"/>
      <c r="AP91" s="17"/>
      <c r="AQ91" s="113">
        <f t="shared" ref="AQ91:BB91" si="92">SUM(AQ81:AQ90)</f>
        <v>0</v>
      </c>
      <c r="AR91" s="113">
        <f t="shared" si="92"/>
        <v>0</v>
      </c>
      <c r="AS91" s="113">
        <f t="shared" si="92"/>
        <v>0</v>
      </c>
      <c r="AT91" s="113">
        <f t="shared" si="92"/>
        <v>0</v>
      </c>
      <c r="AU91" s="113">
        <f t="shared" si="92"/>
        <v>0</v>
      </c>
      <c r="AV91" s="113">
        <f t="shared" si="92"/>
        <v>0</v>
      </c>
      <c r="AW91" s="113">
        <f t="shared" si="92"/>
        <v>0</v>
      </c>
      <c r="AX91" s="113">
        <f t="shared" si="92"/>
        <v>0</v>
      </c>
      <c r="AY91" s="113">
        <f t="shared" si="92"/>
        <v>0</v>
      </c>
      <c r="AZ91" s="113">
        <f t="shared" si="92"/>
        <v>0</v>
      </c>
      <c r="BA91" s="113">
        <f t="shared" si="92"/>
        <v>0</v>
      </c>
      <c r="BB91" s="113">
        <f t="shared" si="92"/>
        <v>0</v>
      </c>
    </row>
    <row r="92" spans="1:54" s="13" customFormat="1" ht="13.8" customHeight="1">
      <c r="A92" s="101"/>
      <c r="B92" s="316" t="s">
        <v>220</v>
      </c>
      <c r="C92" s="317"/>
      <c r="D92" s="317"/>
      <c r="E92" s="318"/>
      <c r="F92" s="241"/>
      <c r="G92" s="241"/>
      <c r="H92" s="241" t="s">
        <v>185</v>
      </c>
      <c r="I92" s="40"/>
      <c r="J92" s="40"/>
      <c r="K92" s="40"/>
      <c r="L92" s="41">
        <f>SUM(L93,L143,L179,L202)</f>
        <v>0</v>
      </c>
      <c r="M92" s="41">
        <f>SUM(M93,M143,M179,M202)</f>
        <v>0</v>
      </c>
      <c r="N92" s="40"/>
      <c r="O92" s="40"/>
      <c r="P92" s="40"/>
      <c r="Q92" s="40"/>
      <c r="R92" s="41">
        <f t="shared" ref="R92:U92" si="93">SUM(R93,R143,R179,R202)</f>
        <v>0</v>
      </c>
      <c r="S92" s="41">
        <f t="shared" si="93"/>
        <v>0</v>
      </c>
      <c r="T92" s="41">
        <f t="shared" si="93"/>
        <v>0</v>
      </c>
      <c r="U92" s="41">
        <f t="shared" si="93"/>
        <v>0</v>
      </c>
      <c r="V92" s="40"/>
      <c r="W92" s="40"/>
      <c r="X92" s="40"/>
      <c r="Y92" s="41">
        <f>SUM(Y93,Y143,Y179,Y202)</f>
        <v>0</v>
      </c>
      <c r="Z92" s="41">
        <f>SUM(Z93,Z143,Z179,Z202)</f>
        <v>0</v>
      </c>
      <c r="AA92" s="40"/>
      <c r="AB92" s="41">
        <f>SUM(AB93,AB143,AB179,AB202)</f>
        <v>0</v>
      </c>
      <c r="AC92" s="41">
        <f>SUM(AC93,AC143,AC179,AC202)</f>
        <v>0</v>
      </c>
      <c r="AD92" s="41">
        <f>SUM(AD93,AD143)</f>
        <v>0</v>
      </c>
      <c r="AE92" s="41">
        <f>SUM(AE93,AE143)</f>
        <v>0</v>
      </c>
      <c r="AF92" s="41">
        <f>SUM(AF93,AF143)</f>
        <v>0</v>
      </c>
      <c r="AG92" s="40"/>
      <c r="AH92" s="40"/>
      <c r="AI92" s="40"/>
      <c r="AJ92" s="41">
        <f>SUM(AJ93,AJ143,AJ179,AJ202)</f>
        <v>0</v>
      </c>
      <c r="AK92" s="41">
        <f>SUM(AK93,AK143,AK179,AK202)</f>
        <v>0</v>
      </c>
      <c r="AL92" s="41">
        <f>SUM(AL93,AL143)</f>
        <v>0</v>
      </c>
      <c r="AM92" s="41">
        <f>SUM(AM93,AM143)</f>
        <v>0</v>
      </c>
      <c r="AN92" s="41">
        <f>SUM(AN93,AN143)</f>
        <v>0</v>
      </c>
      <c r="AO92" s="129"/>
      <c r="AQ92" s="41">
        <f t="shared" ref="AQ92:BB92" si="94">SUM(AQ93,AQ143,AQ179,AQ202)</f>
        <v>0</v>
      </c>
      <c r="AR92" s="41">
        <f t="shared" si="94"/>
        <v>0</v>
      </c>
      <c r="AS92" s="41">
        <f t="shared" si="94"/>
        <v>0</v>
      </c>
      <c r="AT92" s="41">
        <f t="shared" si="94"/>
        <v>0</v>
      </c>
      <c r="AU92" s="41">
        <f t="shared" si="94"/>
        <v>0</v>
      </c>
      <c r="AV92" s="41">
        <f t="shared" si="94"/>
        <v>0</v>
      </c>
      <c r="AW92" s="41">
        <f t="shared" si="94"/>
        <v>0</v>
      </c>
      <c r="AX92" s="41">
        <f t="shared" si="94"/>
        <v>0</v>
      </c>
      <c r="AY92" s="41">
        <f t="shared" si="94"/>
        <v>0</v>
      </c>
      <c r="AZ92" s="41">
        <f t="shared" si="94"/>
        <v>0</v>
      </c>
      <c r="BA92" s="41">
        <f t="shared" si="94"/>
        <v>0</v>
      </c>
      <c r="BB92" s="41">
        <f t="shared" si="94"/>
        <v>0</v>
      </c>
    </row>
    <row r="93" spans="1:54" s="24" customFormat="1" ht="13.8" customHeight="1">
      <c r="A93" s="114"/>
      <c r="B93" s="115"/>
      <c r="C93" s="314" t="s">
        <v>221</v>
      </c>
      <c r="D93" s="314"/>
      <c r="E93" s="315"/>
      <c r="F93" s="246"/>
      <c r="G93" s="246"/>
      <c r="H93" s="278" t="s">
        <v>186</v>
      </c>
      <c r="I93" s="116"/>
      <c r="J93" s="116"/>
      <c r="K93" s="116"/>
      <c r="L93" s="117">
        <f>SUM(L101,L113,L136,L139,L142)</f>
        <v>0</v>
      </c>
      <c r="M93" s="117">
        <f>SUM(M101,M113,M136,M139,M142)</f>
        <v>0</v>
      </c>
      <c r="N93" s="116"/>
      <c r="O93" s="116"/>
      <c r="P93" s="116"/>
      <c r="Q93" s="116"/>
      <c r="R93" s="117">
        <f t="shared" ref="R93:U93" si="95">SUM(R101,R113,R136,R139,R142)</f>
        <v>0</v>
      </c>
      <c r="S93" s="117">
        <f t="shared" si="95"/>
        <v>0</v>
      </c>
      <c r="T93" s="117">
        <f t="shared" si="95"/>
        <v>0</v>
      </c>
      <c r="U93" s="117">
        <f t="shared" si="95"/>
        <v>0</v>
      </c>
      <c r="V93" s="116"/>
      <c r="W93" s="116"/>
      <c r="X93" s="116"/>
      <c r="Y93" s="117">
        <f>SUM(Y101,Y113,Y136,Y139,Y142)</f>
        <v>0</v>
      </c>
      <c r="Z93" s="116"/>
      <c r="AA93" s="116"/>
      <c r="AB93" s="117">
        <f t="shared" ref="AB93:AF93" si="96">SUM(AB101,AB113,AB136,AB139,AB142)</f>
        <v>0</v>
      </c>
      <c r="AC93" s="117">
        <f t="shared" si="96"/>
        <v>0</v>
      </c>
      <c r="AD93" s="117">
        <f t="shared" si="96"/>
        <v>0</v>
      </c>
      <c r="AE93" s="117">
        <f t="shared" si="96"/>
        <v>0</v>
      </c>
      <c r="AF93" s="117">
        <f t="shared" si="96"/>
        <v>0</v>
      </c>
      <c r="AG93" s="116"/>
      <c r="AH93" s="116"/>
      <c r="AI93" s="116"/>
      <c r="AJ93" s="117">
        <f t="shared" ref="AJ93:AN93" si="97">SUM(AJ101,AJ113,AJ136,AJ139,AJ142)</f>
        <v>0</v>
      </c>
      <c r="AK93" s="117">
        <f t="shared" si="97"/>
        <v>0</v>
      </c>
      <c r="AL93" s="117">
        <f t="shared" si="97"/>
        <v>0</v>
      </c>
      <c r="AM93" s="117">
        <f t="shared" si="97"/>
        <v>0</v>
      </c>
      <c r="AN93" s="117">
        <f t="shared" si="97"/>
        <v>0</v>
      </c>
      <c r="AO93" s="132"/>
      <c r="AP93" s="25"/>
      <c r="AQ93" s="117">
        <f t="shared" ref="AQ93:BB93" si="98">SUM(AQ101,AQ113,AQ136,AQ139,AQ142)</f>
        <v>0</v>
      </c>
      <c r="AR93" s="117">
        <f t="shared" si="98"/>
        <v>0</v>
      </c>
      <c r="AS93" s="117">
        <f t="shared" si="98"/>
        <v>0</v>
      </c>
      <c r="AT93" s="117">
        <f t="shared" si="98"/>
        <v>0</v>
      </c>
      <c r="AU93" s="117">
        <f t="shared" si="98"/>
        <v>0</v>
      </c>
      <c r="AV93" s="117">
        <f t="shared" si="98"/>
        <v>0</v>
      </c>
      <c r="AW93" s="117">
        <f t="shared" si="98"/>
        <v>0</v>
      </c>
      <c r="AX93" s="117">
        <f t="shared" si="98"/>
        <v>0</v>
      </c>
      <c r="AY93" s="117">
        <f t="shared" si="98"/>
        <v>0</v>
      </c>
      <c r="AZ93" s="117">
        <f t="shared" si="98"/>
        <v>0</v>
      </c>
      <c r="BA93" s="117">
        <f t="shared" si="98"/>
        <v>0</v>
      </c>
      <c r="BB93" s="117">
        <f t="shared" si="98"/>
        <v>0</v>
      </c>
    </row>
    <row r="94" spans="1:54" ht="15.6" outlineLevel="2">
      <c r="A94" s="98"/>
      <c r="B94" s="102"/>
      <c r="C94" s="23"/>
      <c r="D94" s="257"/>
      <c r="E94" s="257"/>
      <c r="F94" s="257"/>
      <c r="G94" s="257"/>
      <c r="H94" s="272"/>
      <c r="I94" s="104"/>
      <c r="J94" s="105"/>
      <c r="K94" s="105"/>
      <c r="L94" s="106" t="str">
        <f>IF(I94&lt;&gt;0,((VLOOKUP(I94,'1. Standard_Cost'!$B$4:$D$11,2)+VLOOKUP(I94,'1. Standard_Cost'!$B$4:$D$11,3))*J94*K94),"0")</f>
        <v>0</v>
      </c>
      <c r="M94" s="106">
        <f>L94*'1. Standard_Cost'!$F$4</f>
        <v>0</v>
      </c>
      <c r="N94" s="107"/>
      <c r="O94" s="107"/>
      <c r="P94" s="107"/>
      <c r="Q94" s="107"/>
      <c r="R94" s="108">
        <f>'1. Standard_Cost'!$B$15*N94*P94</f>
        <v>0</v>
      </c>
      <c r="S94" s="108">
        <f>N94*O94*P94*'1. Standard_Cost'!$C$15</f>
        <v>0</v>
      </c>
      <c r="T94" s="108">
        <f>N94*P94*Q94*'1. Standard_Cost'!$D$15</f>
        <v>0</v>
      </c>
      <c r="U94" s="108">
        <f>N94*O94*'1. Standard_Cost'!$E$15</f>
        <v>0</v>
      </c>
      <c r="V94" s="107"/>
      <c r="W94" s="107"/>
      <c r="X94" s="107"/>
      <c r="Y94" s="108">
        <f>+V94*((X94*'1. Standard_Cost'!$B$19)+(W94*X94*'1. Standard_Cost'!$C$19))</f>
        <v>0</v>
      </c>
      <c r="Z94" s="107"/>
      <c r="AA94" s="107"/>
      <c r="AB94" s="108">
        <f>+Z94*'1. Standard_Cost'!$B$23+AA94*'1. Standard_Cost'!$C$23</f>
        <v>0</v>
      </c>
      <c r="AC94" s="109"/>
      <c r="AD94" s="110"/>
      <c r="AE94" s="108">
        <f>SUM(AD94,AC94,AB94,Y94,U94,T94,S94,R94)*'1. Standard_Cost'!$B$31</f>
        <v>0</v>
      </c>
      <c r="AF94" s="108">
        <f t="shared" ref="AF94:AF100" si="99">SUM(AE94,AD94,AC94,AB94,Y94,U94,T94,S94,R94)</f>
        <v>0</v>
      </c>
      <c r="AG94" s="107"/>
      <c r="AH94" s="107"/>
      <c r="AI94" s="107"/>
      <c r="AJ94" s="111"/>
      <c r="AK94" s="111"/>
      <c r="AL94" s="111"/>
      <c r="AM94" s="108">
        <f>AG94*'1. Standard_Cost'!$B$27+'Incremental_Cost Year 7'!AH94*'1. Standard_Cost'!$C$27+'Incremental_Cost Year 7'!AI94*'1. Standard_Cost'!$D$27+'Incremental_Cost Year 7'!AJ94+'Incremental_Cost Year 7'!AL94+AK94</f>
        <v>0</v>
      </c>
      <c r="AN94" s="108">
        <f>AM94*'1. Standard_Cost'!$C$31</f>
        <v>0</v>
      </c>
      <c r="AO94" s="125" t="s">
        <v>333</v>
      </c>
      <c r="AQ94" s="14">
        <f t="shared" ref="AQ94:AQ100" si="100">L94+M94</f>
        <v>0</v>
      </c>
      <c r="AR94" s="14">
        <f t="shared" ref="AR94:AR100" si="101">AF94</f>
        <v>0</v>
      </c>
      <c r="AS94" s="14">
        <f t="shared" ref="AS94:AS100" si="102">AM94+AN94</f>
        <v>0</v>
      </c>
      <c r="AT94" s="14">
        <f>SUM(AQ94,AR94,AS94)</f>
        <v>0</v>
      </c>
      <c r="AU94" s="15"/>
      <c r="AV94" s="15"/>
      <c r="AW94" s="15"/>
      <c r="AX94" s="15"/>
      <c r="AY94" s="15"/>
      <c r="AZ94" s="15"/>
      <c r="BA94" s="15"/>
      <c r="BB94" s="16">
        <f t="shared" ref="BB94:BB100" si="103">SUM(AU94:BA94)-AT94</f>
        <v>0</v>
      </c>
    </row>
    <row r="95" spans="1:54" ht="109.2" customHeight="1" outlineLevel="2">
      <c r="A95" s="98"/>
      <c r="B95" s="102"/>
      <c r="C95" s="23"/>
      <c r="D95" s="269"/>
      <c r="E95" s="269"/>
      <c r="F95" s="269"/>
      <c r="G95" s="269"/>
      <c r="H95" s="272"/>
      <c r="I95" s="104"/>
      <c r="J95" s="105"/>
      <c r="K95" s="105"/>
      <c r="L95" s="106" t="str">
        <f>IF(I95&lt;&gt;0,((VLOOKUP(I95,'1. Standard_Cost'!$B$4:$D$11,2)+VLOOKUP(I95,'1. Standard_Cost'!$B$4:$D$11,3))*J95*K95),"0")</f>
        <v>0</v>
      </c>
      <c r="M95" s="106">
        <f>L95*'1. Standard_Cost'!$F$4</f>
        <v>0</v>
      </c>
      <c r="N95" s="107"/>
      <c r="O95" s="107"/>
      <c r="P95" s="107"/>
      <c r="Q95" s="107"/>
      <c r="R95" s="108">
        <f>'1. Standard_Cost'!$B$15*N95*P95</f>
        <v>0</v>
      </c>
      <c r="S95" s="108">
        <f>N95*O95*P95*'1. Standard_Cost'!$C$15</f>
        <v>0</v>
      </c>
      <c r="T95" s="108">
        <f>N95*P95*Q95*'1. Standard_Cost'!$D$15</f>
        <v>0</v>
      </c>
      <c r="U95" s="108">
        <f>N95*O95*'1. Standard_Cost'!$E$15</f>
        <v>0</v>
      </c>
      <c r="V95" s="107"/>
      <c r="W95" s="107"/>
      <c r="X95" s="107"/>
      <c r="Y95" s="108">
        <f>+V95*((X95*'1. Standard_Cost'!$B$19)+(W95*X95*'1. Standard_Cost'!$C$19))</f>
        <v>0</v>
      </c>
      <c r="Z95" s="107"/>
      <c r="AA95" s="107"/>
      <c r="AB95" s="108">
        <f>+Z95*'1. Standard_Cost'!$B$23+AA95*'1. Standard_Cost'!$C$23</f>
        <v>0</v>
      </c>
      <c r="AC95" s="109"/>
      <c r="AD95" s="110"/>
      <c r="AE95" s="108">
        <f>SUM(AD95,AC95,AB95,Y95,U95,T95,S95,R95)*'1. Standard_Cost'!$B$31</f>
        <v>0</v>
      </c>
      <c r="AF95" s="108">
        <f t="shared" si="99"/>
        <v>0</v>
      </c>
      <c r="AG95" s="107"/>
      <c r="AH95" s="107"/>
      <c r="AI95" s="107"/>
      <c r="AJ95" s="111"/>
      <c r="AK95" s="111"/>
      <c r="AL95" s="111"/>
      <c r="AM95" s="108">
        <f>AG95*'1. Standard_Cost'!$B$27+'Incremental_Cost Year 7'!AH95*'1. Standard_Cost'!$C$27+'Incremental_Cost Year 7'!AI95*'1. Standard_Cost'!$D$27+'Incremental_Cost Year 7'!AJ95+'Incremental_Cost Year 7'!AL95+AK95</f>
        <v>0</v>
      </c>
      <c r="AN95" s="108">
        <f>AM95*'1. Standard_Cost'!$C$31</f>
        <v>0</v>
      </c>
      <c r="AO95" s="125" t="s">
        <v>334</v>
      </c>
      <c r="AQ95" s="14">
        <f t="shared" si="100"/>
        <v>0</v>
      </c>
      <c r="AR95" s="14">
        <f t="shared" si="101"/>
        <v>0</v>
      </c>
      <c r="AS95" s="14">
        <f t="shared" si="102"/>
        <v>0</v>
      </c>
      <c r="AT95" s="14">
        <f t="shared" ref="AT95:AT100" si="104">SUM(AQ95,AR95,AS95)</f>
        <v>0</v>
      </c>
      <c r="AU95" s="15"/>
      <c r="AV95" s="15"/>
      <c r="AW95" s="15"/>
      <c r="AX95" s="15"/>
      <c r="AY95" s="15"/>
      <c r="AZ95" s="15"/>
      <c r="BA95" s="15"/>
      <c r="BB95" s="16">
        <f t="shared" si="103"/>
        <v>0</v>
      </c>
    </row>
    <row r="96" spans="1:54" ht="15.6" outlineLevel="2">
      <c r="A96" s="98"/>
      <c r="B96" s="102"/>
      <c r="C96" s="23"/>
      <c r="D96" s="269"/>
      <c r="E96" s="269"/>
      <c r="F96" s="269"/>
      <c r="G96" s="174"/>
      <c r="H96" s="272"/>
      <c r="I96" s="104"/>
      <c r="J96" s="105"/>
      <c r="K96" s="105"/>
      <c r="L96" s="106" t="str">
        <f>IF(I96&lt;&gt;0,((VLOOKUP(I96,'1. Standard_Cost'!$B$4:$D$11,2)+VLOOKUP(I96,'1. Standard_Cost'!$B$4:$D$11,3))*J96*K96),"0")</f>
        <v>0</v>
      </c>
      <c r="M96" s="106">
        <f>L96*'1. Standard_Cost'!$F$4</f>
        <v>0</v>
      </c>
      <c r="N96" s="107"/>
      <c r="O96" s="107"/>
      <c r="P96" s="107"/>
      <c r="Q96" s="107"/>
      <c r="R96" s="108">
        <f>'1. Standard_Cost'!$B$15*N96*P96</f>
        <v>0</v>
      </c>
      <c r="S96" s="108">
        <f>N96*O96*P96*'1. Standard_Cost'!$C$15</f>
        <v>0</v>
      </c>
      <c r="T96" s="108">
        <f>N96*P96*Q96*'1. Standard_Cost'!$D$15</f>
        <v>0</v>
      </c>
      <c r="U96" s="108">
        <f>N96*O96*'1. Standard_Cost'!$E$15</f>
        <v>0</v>
      </c>
      <c r="V96" s="107"/>
      <c r="W96" s="107"/>
      <c r="X96" s="107"/>
      <c r="Y96" s="108">
        <f>+V96*((X96*'1. Standard_Cost'!$B$19)+(W96*X96*'1. Standard_Cost'!$C$19))</f>
        <v>0</v>
      </c>
      <c r="Z96" s="107"/>
      <c r="AA96" s="107"/>
      <c r="AB96" s="108">
        <f>+Z96*'1. Standard_Cost'!$B$23+AA96*'1. Standard_Cost'!$C$23</f>
        <v>0</v>
      </c>
      <c r="AC96" s="109"/>
      <c r="AD96" s="110"/>
      <c r="AE96" s="108">
        <f>SUM(AD96,AC96,AB96,Y96,U96,T96,S96,R96)*'1. Standard_Cost'!$B$31</f>
        <v>0</v>
      </c>
      <c r="AF96" s="108">
        <f t="shared" si="99"/>
        <v>0</v>
      </c>
      <c r="AG96" s="107"/>
      <c r="AH96" s="107"/>
      <c r="AI96" s="107"/>
      <c r="AJ96" s="111"/>
      <c r="AK96" s="111"/>
      <c r="AL96" s="111"/>
      <c r="AM96" s="108">
        <f>AG96*'1. Standard_Cost'!$B$27+'Incremental_Cost Year 7'!AH96*'1. Standard_Cost'!$C$27+'Incremental_Cost Year 7'!AI96*'1. Standard_Cost'!$D$27+'Incremental_Cost Year 7'!AJ96+'Incremental_Cost Year 7'!AL96+AK96</f>
        <v>0</v>
      </c>
      <c r="AN96" s="108">
        <f>AM96*'1. Standard_Cost'!$C$31</f>
        <v>0</v>
      </c>
      <c r="AO96" s="125" t="s">
        <v>335</v>
      </c>
      <c r="AQ96" s="14">
        <f t="shared" si="100"/>
        <v>0</v>
      </c>
      <c r="AR96" s="14">
        <f t="shared" si="101"/>
        <v>0</v>
      </c>
      <c r="AS96" s="14">
        <f t="shared" si="102"/>
        <v>0</v>
      </c>
      <c r="AT96" s="14">
        <f t="shared" si="104"/>
        <v>0</v>
      </c>
      <c r="AU96" s="15"/>
      <c r="AV96" s="15"/>
      <c r="AW96" s="15"/>
      <c r="AX96" s="15"/>
      <c r="AY96" s="15"/>
      <c r="AZ96" s="15"/>
      <c r="BA96" s="15"/>
      <c r="BB96" s="16">
        <f t="shared" si="103"/>
        <v>0</v>
      </c>
    </row>
    <row r="97" spans="1:54" ht="15.6" outlineLevel="2">
      <c r="A97" s="98"/>
      <c r="B97" s="102"/>
      <c r="C97" s="23"/>
      <c r="D97" s="269"/>
      <c r="E97" s="269"/>
      <c r="F97" s="269"/>
      <c r="G97" s="269"/>
      <c r="H97" s="272"/>
      <c r="I97" s="104"/>
      <c r="J97" s="105"/>
      <c r="K97" s="105"/>
      <c r="L97" s="106" t="str">
        <f>IF(I97&lt;&gt;0,((VLOOKUP(I97,'1. Standard_Cost'!$B$4:$D$11,2)+VLOOKUP(I97,'1. Standard_Cost'!$B$4:$D$11,3))*J97*K97),"0")</f>
        <v>0</v>
      </c>
      <c r="M97" s="106">
        <f>L97*'1. Standard_Cost'!$F$4</f>
        <v>0</v>
      </c>
      <c r="N97" s="107"/>
      <c r="O97" s="107"/>
      <c r="P97" s="107"/>
      <c r="Q97" s="107"/>
      <c r="R97" s="108">
        <f>'1. Standard_Cost'!$B$15*N97*P97</f>
        <v>0</v>
      </c>
      <c r="S97" s="108">
        <f>N97*O97*P97*'1. Standard_Cost'!$C$15</f>
        <v>0</v>
      </c>
      <c r="T97" s="108">
        <f>N97*P97*Q97*'1. Standard_Cost'!$D$15</f>
        <v>0</v>
      </c>
      <c r="U97" s="108">
        <f>N97*O97*'1. Standard_Cost'!$E$15</f>
        <v>0</v>
      </c>
      <c r="V97" s="107"/>
      <c r="W97" s="107"/>
      <c r="X97" s="107"/>
      <c r="Y97" s="108">
        <f>+V97*((X97*'1. Standard_Cost'!$B$19)+(W97*X97*'1. Standard_Cost'!$C$19))</f>
        <v>0</v>
      </c>
      <c r="Z97" s="107"/>
      <c r="AA97" s="107"/>
      <c r="AB97" s="108">
        <f>+Z97*'1. Standard_Cost'!$B$23+AA97*'1. Standard_Cost'!$C$23</f>
        <v>0</v>
      </c>
      <c r="AC97" s="109"/>
      <c r="AD97" s="110"/>
      <c r="AE97" s="108">
        <f>SUM(AD97,AC97,AB97,Y97,U97,T97,S97,R97)*'1. Standard_Cost'!$B$31</f>
        <v>0</v>
      </c>
      <c r="AF97" s="108">
        <f t="shared" si="99"/>
        <v>0</v>
      </c>
      <c r="AG97" s="107"/>
      <c r="AH97" s="107"/>
      <c r="AI97" s="107"/>
      <c r="AJ97" s="111"/>
      <c r="AK97" s="111"/>
      <c r="AL97" s="111"/>
      <c r="AM97" s="108">
        <f>AG97*'1. Standard_Cost'!$B$27+'Incremental_Cost Year 7'!AH97*'1. Standard_Cost'!$C$27+'Incremental_Cost Year 7'!AI97*'1. Standard_Cost'!$D$27+'Incremental_Cost Year 7'!AJ97+'Incremental_Cost Year 7'!AL97+AK97</f>
        <v>0</v>
      </c>
      <c r="AN97" s="108">
        <f>AM97*'1. Standard_Cost'!$C$31</f>
        <v>0</v>
      </c>
      <c r="AO97" s="125" t="s">
        <v>336</v>
      </c>
      <c r="AQ97" s="14">
        <f t="shared" si="100"/>
        <v>0</v>
      </c>
      <c r="AR97" s="14">
        <f t="shared" si="101"/>
        <v>0</v>
      </c>
      <c r="AS97" s="14">
        <f t="shared" si="102"/>
        <v>0</v>
      </c>
      <c r="AT97" s="14">
        <f t="shared" si="104"/>
        <v>0</v>
      </c>
      <c r="AU97" s="15"/>
      <c r="AV97" s="15"/>
      <c r="AW97" s="15"/>
      <c r="AX97" s="15"/>
      <c r="AY97" s="15"/>
      <c r="AZ97" s="15"/>
      <c r="BA97" s="15"/>
      <c r="BB97" s="16">
        <f t="shared" si="103"/>
        <v>0</v>
      </c>
    </row>
    <row r="98" spans="1:54" ht="15.6" outlineLevel="2">
      <c r="A98" s="98"/>
      <c r="B98" s="102"/>
      <c r="C98" s="23"/>
      <c r="D98" s="269"/>
      <c r="E98" s="269"/>
      <c r="F98" s="269"/>
      <c r="G98" s="269"/>
      <c r="H98" s="272"/>
      <c r="I98" s="104"/>
      <c r="J98" s="105"/>
      <c r="K98" s="105"/>
      <c r="L98" s="106" t="str">
        <f>IF(I98&lt;&gt;0,((VLOOKUP(I98,'1. Standard_Cost'!$B$4:$D$11,2)+VLOOKUP(I98,'1. Standard_Cost'!$B$4:$D$11,3))*J98*K98),"0")</f>
        <v>0</v>
      </c>
      <c r="M98" s="106">
        <f>L98*'1. Standard_Cost'!$F$4</f>
        <v>0</v>
      </c>
      <c r="N98" s="107"/>
      <c r="O98" s="107"/>
      <c r="P98" s="107"/>
      <c r="Q98" s="107"/>
      <c r="R98" s="108">
        <f>'1. Standard_Cost'!$B$15*N98*P98</f>
        <v>0</v>
      </c>
      <c r="S98" s="108">
        <f>N98*O98*P98*'1. Standard_Cost'!$C$15</f>
        <v>0</v>
      </c>
      <c r="T98" s="108">
        <f>N98*P98*Q98*'1. Standard_Cost'!$D$15</f>
        <v>0</v>
      </c>
      <c r="U98" s="108">
        <f>N98*O98*'1. Standard_Cost'!$E$15</f>
        <v>0</v>
      </c>
      <c r="V98" s="107"/>
      <c r="W98" s="107"/>
      <c r="X98" s="107"/>
      <c r="Y98" s="108">
        <f>+V98*((X98*'1. Standard_Cost'!$B$19)+(W98*X98*'1. Standard_Cost'!$C$19))</f>
        <v>0</v>
      </c>
      <c r="Z98" s="107"/>
      <c r="AA98" s="107"/>
      <c r="AB98" s="108">
        <f>+Z98*'1. Standard_Cost'!$B$23+AA98*'1. Standard_Cost'!$C$23</f>
        <v>0</v>
      </c>
      <c r="AC98" s="109"/>
      <c r="AD98" s="110"/>
      <c r="AE98" s="108">
        <f>SUM(AD98,AC98,AB98,Y98,U98,T98,S98,R98)*'1. Standard_Cost'!$B$31</f>
        <v>0</v>
      </c>
      <c r="AF98" s="108">
        <f t="shared" si="99"/>
        <v>0</v>
      </c>
      <c r="AG98" s="107"/>
      <c r="AH98" s="107"/>
      <c r="AI98" s="107"/>
      <c r="AJ98" s="111"/>
      <c r="AK98" s="111"/>
      <c r="AL98" s="111"/>
      <c r="AM98" s="108">
        <f>AG98*'1. Standard_Cost'!$B$27+'Incremental_Cost Year 7'!AH98*'1. Standard_Cost'!$C$27+'Incremental_Cost Year 7'!AI98*'1. Standard_Cost'!$D$27+'Incremental_Cost Year 7'!AJ98+'Incremental_Cost Year 7'!AL98+AK98</f>
        <v>0</v>
      </c>
      <c r="AN98" s="108">
        <f>AM98*'1. Standard_Cost'!$C$31</f>
        <v>0</v>
      </c>
      <c r="AO98" s="125" t="s">
        <v>337</v>
      </c>
      <c r="AQ98" s="14">
        <f t="shared" si="100"/>
        <v>0</v>
      </c>
      <c r="AR98" s="14">
        <f t="shared" si="101"/>
        <v>0</v>
      </c>
      <c r="AS98" s="14">
        <f t="shared" si="102"/>
        <v>0</v>
      </c>
      <c r="AT98" s="14">
        <f t="shared" si="104"/>
        <v>0</v>
      </c>
      <c r="AU98" s="15"/>
      <c r="AV98" s="15"/>
      <c r="AW98" s="15"/>
      <c r="AX98" s="15"/>
      <c r="AY98" s="15"/>
      <c r="AZ98" s="15"/>
      <c r="BA98" s="15"/>
      <c r="BB98" s="16">
        <f t="shared" si="103"/>
        <v>0</v>
      </c>
    </row>
    <row r="99" spans="1:54" ht="27.6" outlineLevel="2">
      <c r="A99" s="98"/>
      <c r="B99" s="102"/>
      <c r="C99" s="23"/>
      <c r="D99" s="269"/>
      <c r="E99" s="269"/>
      <c r="F99" s="269"/>
      <c r="G99" s="269"/>
      <c r="H99" s="272"/>
      <c r="I99" s="104"/>
      <c r="J99" s="105"/>
      <c r="K99" s="105"/>
      <c r="L99" s="106" t="str">
        <f>IF(I99&lt;&gt;0,((VLOOKUP(I99,'1. Standard_Cost'!$B$4:$D$11,2)+VLOOKUP(I99,'1. Standard_Cost'!$B$4:$D$11,3))*J99*K99),"0")</f>
        <v>0</v>
      </c>
      <c r="M99" s="106">
        <f>L99*'1. Standard_Cost'!$F$4</f>
        <v>0</v>
      </c>
      <c r="N99" s="107"/>
      <c r="O99" s="107"/>
      <c r="P99" s="107"/>
      <c r="Q99" s="107"/>
      <c r="R99" s="108">
        <f>'1. Standard_Cost'!$B$15*N99*P99</f>
        <v>0</v>
      </c>
      <c r="S99" s="108">
        <f>N99*O99*P99*'1. Standard_Cost'!$C$15</f>
        <v>0</v>
      </c>
      <c r="T99" s="108">
        <f>N99*P99*Q99*'1. Standard_Cost'!$D$15</f>
        <v>0</v>
      </c>
      <c r="U99" s="108">
        <f>N99*O99*'1. Standard_Cost'!$E$15</f>
        <v>0</v>
      </c>
      <c r="V99" s="107"/>
      <c r="W99" s="107"/>
      <c r="X99" s="107"/>
      <c r="Y99" s="108">
        <f>+V99*((X99*'1. Standard_Cost'!$B$19)+(W99*X99*'1. Standard_Cost'!$C$19))</f>
        <v>0</v>
      </c>
      <c r="Z99" s="107"/>
      <c r="AA99" s="107"/>
      <c r="AB99" s="108">
        <f>+Z99*'1. Standard_Cost'!$B$23+AA99*'1. Standard_Cost'!$C$23</f>
        <v>0</v>
      </c>
      <c r="AC99" s="109"/>
      <c r="AD99" s="110"/>
      <c r="AE99" s="108">
        <f>SUM(AD99,AC99,AB99,Y99,U99,T99,S99,R99)*'1. Standard_Cost'!$B$31</f>
        <v>0</v>
      </c>
      <c r="AF99" s="108">
        <f t="shared" si="99"/>
        <v>0</v>
      </c>
      <c r="AG99" s="107"/>
      <c r="AH99" s="107"/>
      <c r="AI99" s="107"/>
      <c r="AJ99" s="111"/>
      <c r="AK99" s="111"/>
      <c r="AL99" s="111"/>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00"/>
        <v>0</v>
      </c>
      <c r="AR99" s="14">
        <f t="shared" si="101"/>
        <v>0</v>
      </c>
      <c r="AS99" s="14">
        <f t="shared" si="102"/>
        <v>0</v>
      </c>
      <c r="AT99" s="14">
        <f t="shared" si="104"/>
        <v>0</v>
      </c>
      <c r="AU99" s="15"/>
      <c r="AV99" s="15"/>
      <c r="AW99" s="15"/>
      <c r="AX99" s="15"/>
      <c r="AY99" s="15"/>
      <c r="AZ99" s="15"/>
      <c r="BA99" s="15"/>
      <c r="BB99" s="16">
        <f t="shared" si="103"/>
        <v>0</v>
      </c>
    </row>
    <row r="100" spans="1:54" ht="27.6" outlineLevel="2">
      <c r="A100" s="98"/>
      <c r="B100" s="102"/>
      <c r="C100" s="23"/>
      <c r="D100" s="269"/>
      <c r="E100" s="269"/>
      <c r="F100" s="251"/>
      <c r="G100" s="254"/>
      <c r="H100" s="272"/>
      <c r="I100" s="104"/>
      <c r="J100" s="105"/>
      <c r="K100" s="105"/>
      <c r="L100" s="106" t="str">
        <f>IF(I100&lt;&gt;0,((VLOOKUP(I100,'1. Standard_Cost'!$B$4:$D$11,2)+VLOOKUP(I100,'1. Standard_Cost'!$B$4:$D$11,3))*J100*K100),"0")</f>
        <v>0</v>
      </c>
      <c r="M100" s="106">
        <f>L100*'1. Standard_Cost'!$F$4</f>
        <v>0</v>
      </c>
      <c r="N100" s="107"/>
      <c r="O100" s="107"/>
      <c r="P100" s="107"/>
      <c r="Q100" s="107"/>
      <c r="R100" s="108">
        <f>'1. Standard_Cost'!$B$15*N100*P100</f>
        <v>0</v>
      </c>
      <c r="S100" s="108">
        <f>N100*O100*P100*'1. Standard_Cost'!$C$15</f>
        <v>0</v>
      </c>
      <c r="T100" s="108">
        <f>N100*P100*Q100*'1. Standard_Cost'!$D$15</f>
        <v>0</v>
      </c>
      <c r="U100" s="108">
        <f>N100*O100*'1. Standard_Cost'!$E$15</f>
        <v>0</v>
      </c>
      <c r="V100" s="107"/>
      <c r="W100" s="107"/>
      <c r="X100" s="107"/>
      <c r="Y100" s="108">
        <f>+V100*((X100*'1. Standard_Cost'!$B$19)+(W100*X100*'1. Standard_Cost'!$C$19))</f>
        <v>0</v>
      </c>
      <c r="Z100" s="107"/>
      <c r="AA100" s="107"/>
      <c r="AB100" s="108">
        <f>+Z100*'1. Standard_Cost'!$B$23+AA100*'1. Standard_Cost'!$C$23</f>
        <v>0</v>
      </c>
      <c r="AC100" s="109"/>
      <c r="AD100" s="110"/>
      <c r="AE100" s="108">
        <f>SUM(AD100,AC100,AB100,Y100,U100,T100,S100,R100)*'1. Standard_Cost'!$B$31</f>
        <v>0</v>
      </c>
      <c r="AF100" s="108">
        <f t="shared" si="99"/>
        <v>0</v>
      </c>
      <c r="AG100" s="107"/>
      <c r="AH100" s="107"/>
      <c r="AI100" s="107"/>
      <c r="AJ100" s="111"/>
      <c r="AK100" s="111"/>
      <c r="AL100" s="111"/>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00"/>
        <v>0</v>
      </c>
      <c r="AR100" s="14">
        <f t="shared" si="101"/>
        <v>0</v>
      </c>
      <c r="AS100" s="14">
        <f t="shared" si="102"/>
        <v>0</v>
      </c>
      <c r="AT100" s="14">
        <f t="shared" si="104"/>
        <v>0</v>
      </c>
      <c r="AU100" s="15"/>
      <c r="AV100" s="15"/>
      <c r="AW100" s="15"/>
      <c r="AX100" s="15"/>
      <c r="AY100" s="15"/>
      <c r="AZ100" s="15"/>
      <c r="BA100" s="15"/>
      <c r="BB100" s="16">
        <f t="shared" si="103"/>
        <v>0</v>
      </c>
    </row>
    <row r="101" spans="1:54" ht="27.6" outlineLevel="1">
      <c r="A101" s="98"/>
      <c r="B101" s="102"/>
      <c r="C101" s="23"/>
      <c r="D101" s="56" t="s">
        <v>47</v>
      </c>
      <c r="E101" s="56" t="s">
        <v>222</v>
      </c>
      <c r="F101" s="253">
        <v>2021</v>
      </c>
      <c r="G101" s="254">
        <v>2026</v>
      </c>
      <c r="H101" s="277" t="s">
        <v>187</v>
      </c>
      <c r="I101" s="112"/>
      <c r="J101" s="112"/>
      <c r="K101" s="112"/>
      <c r="L101" s="113">
        <f>SUM(L94:L100)</f>
        <v>0</v>
      </c>
      <c r="M101" s="113">
        <f>SUM(M94:M100)</f>
        <v>0</v>
      </c>
      <c r="N101" s="112"/>
      <c r="O101" s="112"/>
      <c r="P101" s="112"/>
      <c r="Q101" s="112"/>
      <c r="R101" s="113">
        <f>SUM(R94:R100)</f>
        <v>0</v>
      </c>
      <c r="S101" s="113">
        <f>SUM(S94:S100)</f>
        <v>0</v>
      </c>
      <c r="T101" s="113">
        <f>SUM(T94:T100)</f>
        <v>0</v>
      </c>
      <c r="U101" s="113">
        <f>SUM(U94:U100)</f>
        <v>0</v>
      </c>
      <c r="V101" s="112"/>
      <c r="W101" s="112"/>
      <c r="X101" s="112"/>
      <c r="Y101" s="113">
        <f>SUM(Y94:Y100)</f>
        <v>0</v>
      </c>
      <c r="Z101" s="112"/>
      <c r="AA101" s="112"/>
      <c r="AB101" s="113">
        <f>SUM(AB94:AB100)</f>
        <v>0</v>
      </c>
      <c r="AC101" s="113">
        <f>SUM(AC94:AC100)</f>
        <v>0</v>
      </c>
      <c r="AD101" s="113">
        <f>SUM(AD94:AD100)</f>
        <v>0</v>
      </c>
      <c r="AE101" s="113">
        <f>SUM(AE94:AE100)</f>
        <v>0</v>
      </c>
      <c r="AF101" s="113">
        <f>SUM(AF94:AF100)</f>
        <v>0</v>
      </c>
      <c r="AG101" s="112"/>
      <c r="AH101" s="112"/>
      <c r="AI101" s="112"/>
      <c r="AJ101" s="113">
        <f>SUM(AJ94:AJ100)</f>
        <v>0</v>
      </c>
      <c r="AK101" s="113">
        <f>SUM(AK94:AK100)</f>
        <v>0</v>
      </c>
      <c r="AL101" s="113">
        <f>SUM(AL94:AL100)</f>
        <v>0</v>
      </c>
      <c r="AM101" s="113">
        <f>SUM(AM94:AM100)</f>
        <v>0</v>
      </c>
      <c r="AN101" s="113">
        <f>SUM(AN94:AN100)</f>
        <v>0</v>
      </c>
      <c r="AO101" s="131"/>
      <c r="AP101" s="17"/>
      <c r="AQ101" s="113">
        <f t="shared" ref="AQ101:BB101" si="105">SUM(AQ94:AQ100)</f>
        <v>0</v>
      </c>
      <c r="AR101" s="113">
        <f t="shared" si="105"/>
        <v>0</v>
      </c>
      <c r="AS101" s="113">
        <f t="shared" si="105"/>
        <v>0</v>
      </c>
      <c r="AT101" s="113">
        <f t="shared" si="105"/>
        <v>0</v>
      </c>
      <c r="AU101" s="113">
        <f t="shared" si="105"/>
        <v>0</v>
      </c>
      <c r="AV101" s="113">
        <f t="shared" si="105"/>
        <v>0</v>
      </c>
      <c r="AW101" s="113">
        <f t="shared" si="105"/>
        <v>0</v>
      </c>
      <c r="AX101" s="113">
        <f t="shared" si="105"/>
        <v>0</v>
      </c>
      <c r="AY101" s="113">
        <f t="shared" si="105"/>
        <v>0</v>
      </c>
      <c r="AZ101" s="113">
        <f t="shared" si="105"/>
        <v>0</v>
      </c>
      <c r="BA101" s="113">
        <f t="shared" si="105"/>
        <v>0</v>
      </c>
      <c r="BB101" s="113">
        <f t="shared" si="105"/>
        <v>0</v>
      </c>
    </row>
    <row r="102" spans="1:54" ht="41.4" outlineLevel="2">
      <c r="A102" s="98"/>
      <c r="B102" s="102"/>
      <c r="C102" s="23"/>
      <c r="D102" s="257"/>
      <c r="E102" s="257"/>
      <c r="F102" s="175"/>
      <c r="G102" s="175"/>
      <c r="H102" s="272"/>
      <c r="I102" s="104"/>
      <c r="J102" s="105"/>
      <c r="K102" s="105"/>
      <c r="L102" s="106" t="str">
        <f>IF(I102&lt;&gt;0,((VLOOKUP(I102,'1. Standard_Cost'!$B$4:$D$11,2)+VLOOKUP(I102,'1. Standard_Cost'!$B$4:$D$11,3))*J102*K102),"0")</f>
        <v>0</v>
      </c>
      <c r="M102" s="106">
        <f>L102*'1. Standard_Cost'!$F$4</f>
        <v>0</v>
      </c>
      <c r="N102" s="107"/>
      <c r="O102" s="107"/>
      <c r="P102" s="107"/>
      <c r="Q102" s="107"/>
      <c r="R102" s="108">
        <f>'1. Standard_Cost'!$B$15*N102*P102</f>
        <v>0</v>
      </c>
      <c r="S102" s="108">
        <f>N102*O102*P102*'1. Standard_Cost'!$C$15</f>
        <v>0</v>
      </c>
      <c r="T102" s="108">
        <f>N102*P102*Q102*'1. Standard_Cost'!$D$15</f>
        <v>0</v>
      </c>
      <c r="U102" s="108">
        <f>N102*O102*'1. Standard_Cost'!$E$15</f>
        <v>0</v>
      </c>
      <c r="V102" s="107"/>
      <c r="W102" s="107"/>
      <c r="X102" s="107"/>
      <c r="Y102" s="108">
        <f>+V102*((X102*'1. Standard_Cost'!$B$19)+(W102*X102*'1. Standard_Cost'!$C$19))</f>
        <v>0</v>
      </c>
      <c r="Z102" s="107"/>
      <c r="AA102" s="107"/>
      <c r="AB102" s="108">
        <f>+Z102*'1. Standard_Cost'!$B$23+AA102*'1. Standard_Cost'!$C$23</f>
        <v>0</v>
      </c>
      <c r="AC102" s="109"/>
      <c r="AD102" s="110"/>
      <c r="AE102" s="108">
        <f>SUM(AD102,AC102,AB102,Y102,U102,T102,S102,R102)*'1. Standard_Cost'!$B$31</f>
        <v>0</v>
      </c>
      <c r="AF102" s="108">
        <f t="shared" ref="AF102:AF112" si="106">SUM(AE102,AD102,AC102,AB102,Y102,U102,T102,S102,R102)</f>
        <v>0</v>
      </c>
      <c r="AG102" s="107"/>
      <c r="AH102" s="107"/>
      <c r="AI102" s="107"/>
      <c r="AJ102" s="111"/>
      <c r="AK102" s="111"/>
      <c r="AL102" s="111"/>
      <c r="AM102" s="108">
        <f>AG102*'1. Standard_Cost'!$B$27+'Incremental_Cost Year 7'!AH102*'1. Standard_Cost'!$C$27+'Incremental_Cost Year 7'!AI102*'1. Standard_Cost'!$D$27+'Incremental_Cost Year 7'!AJ102+'Incremental_Cost Year 7'!AL102+AK102</f>
        <v>0</v>
      </c>
      <c r="AN102" s="108">
        <f>AM102*'1. Standard_Cost'!$C$31</f>
        <v>0</v>
      </c>
      <c r="AO102" s="125" t="s">
        <v>340</v>
      </c>
      <c r="AQ102" s="14">
        <f t="shared" ref="AQ102:AQ112" si="107">L102+M102</f>
        <v>0</v>
      </c>
      <c r="AR102" s="14">
        <f t="shared" ref="AR102:AR112" si="108">AF102</f>
        <v>0</v>
      </c>
      <c r="AS102" s="14">
        <f t="shared" ref="AS102:AS112" si="109">AM102+AN102</f>
        <v>0</v>
      </c>
      <c r="AT102" s="14">
        <f>SUM(AQ102,AR102,AS102)</f>
        <v>0</v>
      </c>
      <c r="AU102" s="15"/>
      <c r="AV102" s="15"/>
      <c r="AW102" s="15"/>
      <c r="AX102" s="15"/>
      <c r="AY102" s="15"/>
      <c r="AZ102" s="15"/>
      <c r="BA102" s="15"/>
      <c r="BB102" s="16">
        <f t="shared" ref="BB102:BB112" si="110">SUM(AU102:BA102)-AT102</f>
        <v>0</v>
      </c>
    </row>
    <row r="103" spans="1:54" ht="15.6" outlineLevel="2">
      <c r="A103" s="98"/>
      <c r="B103" s="102"/>
      <c r="C103" s="23"/>
      <c r="D103" s="269"/>
      <c r="E103" s="269"/>
      <c r="F103" s="174"/>
      <c r="G103" s="269"/>
      <c r="H103" s="272"/>
      <c r="I103" s="104"/>
      <c r="J103" s="105"/>
      <c r="K103" s="105"/>
      <c r="L103" s="106" t="str">
        <f>IF(I103&lt;&gt;0,((VLOOKUP(I103,'1. Standard_Cost'!$B$4:$D$11,2)+VLOOKUP(I103,'1. Standard_Cost'!$B$4:$D$11,3))*J103*K103),"0")</f>
        <v>0</v>
      </c>
      <c r="M103" s="106">
        <f>L103*'1. Standard_Cost'!$F$4</f>
        <v>0</v>
      </c>
      <c r="N103" s="107"/>
      <c r="O103" s="107"/>
      <c r="P103" s="107"/>
      <c r="Q103" s="107"/>
      <c r="R103" s="108">
        <f>'1. Standard_Cost'!$B$15*N103*P103</f>
        <v>0</v>
      </c>
      <c r="S103" s="108">
        <f>N103*O103*P103*'1. Standard_Cost'!$C$15</f>
        <v>0</v>
      </c>
      <c r="T103" s="108">
        <f>N103*P103*Q103*'1. Standard_Cost'!$D$15</f>
        <v>0</v>
      </c>
      <c r="U103" s="108">
        <f>N103*O103*'1. Standard_Cost'!$E$15</f>
        <v>0</v>
      </c>
      <c r="V103" s="107"/>
      <c r="W103" s="107"/>
      <c r="X103" s="107"/>
      <c r="Y103" s="108">
        <f>+V103*((X103*'1. Standard_Cost'!$B$19)+(W103*X103*'1. Standard_Cost'!$C$19))</f>
        <v>0</v>
      </c>
      <c r="Z103" s="107"/>
      <c r="AA103" s="107"/>
      <c r="AB103" s="108">
        <f>+Z103*'1. Standard_Cost'!$B$23+AA103*'1. Standard_Cost'!$C$23</f>
        <v>0</v>
      </c>
      <c r="AC103" s="109"/>
      <c r="AD103" s="110"/>
      <c r="AE103" s="108">
        <f>SUM(AD103,AC103,AB103,Y103,U103,T103,S103,R103)*'1. Standard_Cost'!$B$31</f>
        <v>0</v>
      </c>
      <c r="AF103" s="108">
        <f t="shared" si="106"/>
        <v>0</v>
      </c>
      <c r="AG103" s="107"/>
      <c r="AH103" s="107"/>
      <c r="AI103" s="107"/>
      <c r="AJ103" s="111"/>
      <c r="AK103" s="111"/>
      <c r="AL103" s="111"/>
      <c r="AM103" s="108">
        <f>AG103*'1. Standard_Cost'!$B$27+'Incremental_Cost Year 7'!AH103*'1. Standard_Cost'!$C$27+'Incremental_Cost Year 7'!AI103*'1. Standard_Cost'!$D$27+'Incremental_Cost Year 7'!AJ103+'Incremental_Cost Year 7'!AL103+AK103</f>
        <v>0</v>
      </c>
      <c r="AN103" s="108">
        <f>AM103*'1. Standard_Cost'!$C$31</f>
        <v>0</v>
      </c>
      <c r="AO103" s="125" t="s">
        <v>341</v>
      </c>
      <c r="AQ103" s="14">
        <f t="shared" si="107"/>
        <v>0</v>
      </c>
      <c r="AR103" s="14">
        <f t="shared" si="108"/>
        <v>0</v>
      </c>
      <c r="AS103" s="14">
        <f t="shared" si="109"/>
        <v>0</v>
      </c>
      <c r="AT103" s="14">
        <f t="shared" ref="AT103:AT112" si="111">SUM(AQ103,AR103,AS103)</f>
        <v>0</v>
      </c>
      <c r="AU103" s="15"/>
      <c r="AV103" s="15"/>
      <c r="AW103" s="15"/>
      <c r="AX103" s="15"/>
      <c r="AY103" s="15"/>
      <c r="AZ103" s="15"/>
      <c r="BA103" s="15"/>
      <c r="BB103" s="16">
        <f t="shared" si="110"/>
        <v>0</v>
      </c>
    </row>
    <row r="104" spans="1:54" ht="27.6" outlineLevel="2">
      <c r="A104" s="98"/>
      <c r="B104" s="102"/>
      <c r="C104" s="23"/>
      <c r="D104" s="269"/>
      <c r="E104" s="269"/>
      <c r="F104" s="174"/>
      <c r="G104" s="269"/>
      <c r="H104" s="272"/>
      <c r="I104" s="104"/>
      <c r="J104" s="105"/>
      <c r="K104" s="105"/>
      <c r="L104" s="106" t="str">
        <f>IF(I104&lt;&gt;0,((VLOOKUP(I104,'1. Standard_Cost'!$B$4:$D$11,2)+VLOOKUP(I104,'1. Standard_Cost'!$B$4:$D$11,3))*J104*K104),"0")</f>
        <v>0</v>
      </c>
      <c r="M104" s="106">
        <f>L104*'1. Standard_Cost'!$F$4</f>
        <v>0</v>
      </c>
      <c r="N104" s="107"/>
      <c r="O104" s="107"/>
      <c r="P104" s="107"/>
      <c r="Q104" s="107"/>
      <c r="R104" s="108">
        <f>'1. Standard_Cost'!$B$15*N104*P104</f>
        <v>0</v>
      </c>
      <c r="S104" s="108">
        <f>N104*O104*P104*'1. Standard_Cost'!$C$15</f>
        <v>0</v>
      </c>
      <c r="T104" s="108">
        <f>N104*P104*Q104*'1. Standard_Cost'!$D$15</f>
        <v>0</v>
      </c>
      <c r="U104" s="108">
        <f>N104*O104*'1. Standard_Cost'!$E$15</f>
        <v>0</v>
      </c>
      <c r="V104" s="107"/>
      <c r="W104" s="107"/>
      <c r="X104" s="107"/>
      <c r="Y104" s="108">
        <f>+V104*((X104*'1. Standard_Cost'!$B$19)+(W104*X104*'1. Standard_Cost'!$C$19))</f>
        <v>0</v>
      </c>
      <c r="Z104" s="107"/>
      <c r="AA104" s="107"/>
      <c r="AB104" s="108">
        <f>+Z104*'1. Standard_Cost'!$B$23+AA104*'1. Standard_Cost'!$C$23</f>
        <v>0</v>
      </c>
      <c r="AC104" s="109"/>
      <c r="AD104" s="110"/>
      <c r="AE104" s="108">
        <f>SUM(AD104,AC104,AB104,Y104,U104,T104,S104,R104)*'1. Standard_Cost'!$B$31</f>
        <v>0</v>
      </c>
      <c r="AF104" s="108">
        <f t="shared" si="106"/>
        <v>0</v>
      </c>
      <c r="AG104" s="107"/>
      <c r="AH104" s="107"/>
      <c r="AI104" s="107"/>
      <c r="AJ104" s="111"/>
      <c r="AK104" s="111"/>
      <c r="AL104" s="111"/>
      <c r="AM104" s="108">
        <f>AG104*'1. Standard_Cost'!$B$27+'Incremental_Cost Year 7'!AH104*'1. Standard_Cost'!$C$27+'Incremental_Cost Year 7'!AI104*'1. Standard_Cost'!$D$27+'Incremental_Cost Year 7'!AJ104+'Incremental_Cost Year 7'!AL104+AK104</f>
        <v>0</v>
      </c>
      <c r="AN104" s="108">
        <f>AM104*'1. Standard_Cost'!$C$31</f>
        <v>0</v>
      </c>
      <c r="AO104" s="125" t="s">
        <v>342</v>
      </c>
      <c r="AQ104" s="14">
        <f t="shared" si="107"/>
        <v>0</v>
      </c>
      <c r="AR104" s="14">
        <f t="shared" si="108"/>
        <v>0</v>
      </c>
      <c r="AS104" s="14">
        <f t="shared" si="109"/>
        <v>0</v>
      </c>
      <c r="AT104" s="14">
        <f t="shared" si="111"/>
        <v>0</v>
      </c>
      <c r="AU104" s="15"/>
      <c r="AV104" s="15"/>
      <c r="AW104" s="15"/>
      <c r="AX104" s="15"/>
      <c r="AY104" s="15"/>
      <c r="AZ104" s="15"/>
      <c r="BA104" s="15"/>
      <c r="BB104" s="16">
        <f t="shared" si="110"/>
        <v>0</v>
      </c>
    </row>
    <row r="105" spans="1:54" ht="15.6" outlineLevel="2">
      <c r="A105" s="98"/>
      <c r="B105" s="102"/>
      <c r="C105" s="23"/>
      <c r="D105" s="269"/>
      <c r="E105" s="269"/>
      <c r="F105" s="174"/>
      <c r="G105" s="269"/>
      <c r="H105" s="272"/>
      <c r="I105" s="104"/>
      <c r="J105" s="105"/>
      <c r="K105" s="105"/>
      <c r="L105" s="106" t="str">
        <f>IF(I105&lt;&gt;0,((VLOOKUP(I105,'1. Standard_Cost'!$B$4:$D$11,2)+VLOOKUP(I105,'1. Standard_Cost'!$B$4:$D$11,3))*J105*K105),"0")</f>
        <v>0</v>
      </c>
      <c r="M105" s="106">
        <f>L105*'1. Standard_Cost'!$F$4</f>
        <v>0</v>
      </c>
      <c r="N105" s="107"/>
      <c r="O105" s="107"/>
      <c r="P105" s="107"/>
      <c r="Q105" s="107"/>
      <c r="R105" s="108">
        <f>'1. Standard_Cost'!$B$15*N105*P105</f>
        <v>0</v>
      </c>
      <c r="S105" s="108">
        <f>N105*O105*P105*'1. Standard_Cost'!$C$15</f>
        <v>0</v>
      </c>
      <c r="T105" s="108">
        <f>N105*P105*Q105*'1. Standard_Cost'!$D$15</f>
        <v>0</v>
      </c>
      <c r="U105" s="108">
        <f>N105*O105*'1. Standard_Cost'!$E$15</f>
        <v>0</v>
      </c>
      <c r="V105" s="107"/>
      <c r="W105" s="107"/>
      <c r="X105" s="107"/>
      <c r="Y105" s="108">
        <f>+V105*((X105*'1. Standard_Cost'!$B$19)+(W105*X105*'1. Standard_Cost'!$C$19))</f>
        <v>0</v>
      </c>
      <c r="Z105" s="107"/>
      <c r="AA105" s="107"/>
      <c r="AB105" s="108">
        <f>+Z105*'1. Standard_Cost'!$B$23+AA105*'1. Standard_Cost'!$C$23</f>
        <v>0</v>
      </c>
      <c r="AC105" s="109"/>
      <c r="AD105" s="110"/>
      <c r="AE105" s="108">
        <f>SUM(AD105,AC105,AB105,Y105,U105,T105,S105,R105)*'1. Standard_Cost'!$B$31</f>
        <v>0</v>
      </c>
      <c r="AF105" s="108">
        <f t="shared" si="106"/>
        <v>0</v>
      </c>
      <c r="AG105" s="107"/>
      <c r="AH105" s="107"/>
      <c r="AI105" s="107"/>
      <c r="AJ105" s="111"/>
      <c r="AK105" s="111"/>
      <c r="AL105" s="111"/>
      <c r="AM105" s="108">
        <f>AG105*'1. Standard_Cost'!$B$27+'Incremental_Cost Year 7'!AH105*'1. Standard_Cost'!$C$27+'Incremental_Cost Year 7'!AI105*'1. Standard_Cost'!$D$27+'Incremental_Cost Year 7'!AJ105+'Incremental_Cost Year 7'!AL105+AK105</f>
        <v>0</v>
      </c>
      <c r="AN105" s="108">
        <f>AM105*'1. Standard_Cost'!$C$31</f>
        <v>0</v>
      </c>
      <c r="AO105" s="125" t="s">
        <v>343</v>
      </c>
      <c r="AQ105" s="14">
        <f t="shared" si="107"/>
        <v>0</v>
      </c>
      <c r="AR105" s="14">
        <f t="shared" si="108"/>
        <v>0</v>
      </c>
      <c r="AS105" s="14">
        <f t="shared" si="109"/>
        <v>0</v>
      </c>
      <c r="AT105" s="14">
        <f t="shared" si="111"/>
        <v>0</v>
      </c>
      <c r="AU105" s="15"/>
      <c r="AV105" s="15"/>
      <c r="AW105" s="15"/>
      <c r="AX105" s="15"/>
      <c r="AY105" s="15"/>
      <c r="AZ105" s="15"/>
      <c r="BA105" s="15"/>
      <c r="BB105" s="16">
        <f t="shared" si="110"/>
        <v>0</v>
      </c>
    </row>
    <row r="106" spans="1:54" ht="27.6" outlineLevel="2">
      <c r="A106" s="98"/>
      <c r="B106" s="102"/>
      <c r="C106" s="23"/>
      <c r="D106" s="269"/>
      <c r="E106" s="269"/>
      <c r="F106" s="174"/>
      <c r="G106" s="269"/>
      <c r="H106" s="272"/>
      <c r="I106" s="104"/>
      <c r="J106" s="105"/>
      <c r="K106" s="105"/>
      <c r="L106" s="106" t="str">
        <f>IF(I106&lt;&gt;0,((VLOOKUP(I106,'1. Standard_Cost'!$B$4:$D$11,2)+VLOOKUP(I106,'1. Standard_Cost'!$B$4:$D$11,3))*J106*K106),"0")</f>
        <v>0</v>
      </c>
      <c r="M106" s="106">
        <f>L106*'1. Standard_Cost'!$F$4</f>
        <v>0</v>
      </c>
      <c r="N106" s="107"/>
      <c r="O106" s="107"/>
      <c r="P106" s="107"/>
      <c r="Q106" s="107"/>
      <c r="R106" s="108">
        <f>'1. Standard_Cost'!$B$15*N106*P106</f>
        <v>0</v>
      </c>
      <c r="S106" s="108">
        <f>N106*O106*P106*'1. Standard_Cost'!$C$15</f>
        <v>0</v>
      </c>
      <c r="T106" s="108">
        <f>N106*P106*Q106*'1. Standard_Cost'!$D$15</f>
        <v>0</v>
      </c>
      <c r="U106" s="108">
        <f>N106*O106*'1. Standard_Cost'!$E$15</f>
        <v>0</v>
      </c>
      <c r="V106" s="107"/>
      <c r="W106" s="107"/>
      <c r="X106" s="107"/>
      <c r="Y106" s="108">
        <f>+V106*((X106*'1. Standard_Cost'!$B$19)+(W106*X106*'1. Standard_Cost'!$C$19))</f>
        <v>0</v>
      </c>
      <c r="Z106" s="107"/>
      <c r="AA106" s="107"/>
      <c r="AB106" s="108">
        <f>+Z106*'1. Standard_Cost'!$B$23+AA106*'1. Standard_Cost'!$C$23</f>
        <v>0</v>
      </c>
      <c r="AC106" s="109"/>
      <c r="AD106" s="110"/>
      <c r="AE106" s="108">
        <f>SUM(AD106,AC106,AB106,Y106,U106,T106,S106,R106)*'1. Standard_Cost'!$B$31</f>
        <v>0</v>
      </c>
      <c r="AF106" s="108">
        <f t="shared" si="106"/>
        <v>0</v>
      </c>
      <c r="AG106" s="107"/>
      <c r="AH106" s="107"/>
      <c r="AI106" s="107"/>
      <c r="AJ106" s="111"/>
      <c r="AK106" s="111"/>
      <c r="AL106" s="111"/>
      <c r="AM106" s="108">
        <f>AG106*'1. Standard_Cost'!$B$27+'Incremental_Cost Year 7'!AH106*'1. Standard_Cost'!$C$27+'Incremental_Cost Year 7'!AI106*'1. Standard_Cost'!$D$27+'Incremental_Cost Year 7'!AJ106+'Incremental_Cost Year 7'!AL106+AK106</f>
        <v>0</v>
      </c>
      <c r="AN106" s="108">
        <f>AM106*'1. Standard_Cost'!$C$31</f>
        <v>0</v>
      </c>
      <c r="AO106" s="125" t="s">
        <v>344</v>
      </c>
      <c r="AQ106" s="14">
        <f t="shared" si="107"/>
        <v>0</v>
      </c>
      <c r="AR106" s="14">
        <f t="shared" si="108"/>
        <v>0</v>
      </c>
      <c r="AS106" s="14">
        <f t="shared" si="109"/>
        <v>0</v>
      </c>
      <c r="AT106" s="14">
        <f t="shared" si="111"/>
        <v>0</v>
      </c>
      <c r="AU106" s="15"/>
      <c r="AV106" s="15"/>
      <c r="AW106" s="15"/>
      <c r="AX106" s="15"/>
      <c r="AY106" s="15"/>
      <c r="AZ106" s="15"/>
      <c r="BA106" s="15"/>
      <c r="BB106" s="16">
        <f t="shared" si="110"/>
        <v>0</v>
      </c>
    </row>
    <row r="107" spans="1:54" ht="15.6" outlineLevel="2">
      <c r="A107" s="98"/>
      <c r="B107" s="102"/>
      <c r="C107" s="23"/>
      <c r="D107" s="269"/>
      <c r="E107" s="269"/>
      <c r="F107" s="269"/>
      <c r="G107" s="269"/>
      <c r="H107" s="272"/>
      <c r="I107" s="104"/>
      <c r="J107" s="105"/>
      <c r="K107" s="105"/>
      <c r="L107" s="106" t="str">
        <f>IF(I107&lt;&gt;0,((VLOOKUP(I107,'1. Standard_Cost'!$B$4:$D$11,2)+VLOOKUP(I107,'1. Standard_Cost'!$B$4:$D$11,3))*J107*K107),"0")</f>
        <v>0</v>
      </c>
      <c r="M107" s="106">
        <f>L107*'1. Standard_Cost'!$F$4</f>
        <v>0</v>
      </c>
      <c r="N107" s="107"/>
      <c r="O107" s="107"/>
      <c r="P107" s="107"/>
      <c r="Q107" s="107"/>
      <c r="R107" s="108">
        <f>'1. Standard_Cost'!$B$15*N107*P107</f>
        <v>0</v>
      </c>
      <c r="S107" s="108">
        <f>N107*O107*P107*'1. Standard_Cost'!$C$15</f>
        <v>0</v>
      </c>
      <c r="T107" s="108">
        <f>N107*P107*Q107*'1. Standard_Cost'!$D$15</f>
        <v>0</v>
      </c>
      <c r="U107" s="108">
        <f>N107*O107*'1. Standard_Cost'!$E$15</f>
        <v>0</v>
      </c>
      <c r="V107" s="107"/>
      <c r="W107" s="107"/>
      <c r="X107" s="107"/>
      <c r="Y107" s="108">
        <f>+V107*((X107*'1. Standard_Cost'!$B$19)+(W107*X107*'1. Standard_Cost'!$C$19))</f>
        <v>0</v>
      </c>
      <c r="Z107" s="107"/>
      <c r="AA107" s="107"/>
      <c r="AB107" s="108">
        <f>+Z107*'1. Standard_Cost'!$B$23+AA107*'1. Standard_Cost'!$C$23</f>
        <v>0</v>
      </c>
      <c r="AC107" s="109"/>
      <c r="AD107" s="110"/>
      <c r="AE107" s="108">
        <f>SUM(AD107,AC107,AB107,Y107,U107,T107,S107,R107)*'1. Standard_Cost'!$B$31</f>
        <v>0</v>
      </c>
      <c r="AF107" s="108">
        <f t="shared" si="106"/>
        <v>0</v>
      </c>
      <c r="AG107" s="107"/>
      <c r="AH107" s="107"/>
      <c r="AI107" s="107"/>
      <c r="AJ107" s="111"/>
      <c r="AK107" s="111"/>
      <c r="AL107" s="111"/>
      <c r="AM107" s="108">
        <f>AG107*'1. Standard_Cost'!$B$27+'Incremental_Cost Year 7'!AH107*'1. Standard_Cost'!$C$27+'Incremental_Cost Year 7'!AI107*'1. Standard_Cost'!$D$27+'Incremental_Cost Year 7'!AJ107+'Incremental_Cost Year 7'!AL107+AK107</f>
        <v>0</v>
      </c>
      <c r="AN107" s="108">
        <f>AM107*'1. Standard_Cost'!$C$31</f>
        <v>0</v>
      </c>
      <c r="AO107" s="125" t="s">
        <v>345</v>
      </c>
      <c r="AQ107" s="14">
        <f t="shared" si="107"/>
        <v>0</v>
      </c>
      <c r="AR107" s="14">
        <f t="shared" si="108"/>
        <v>0</v>
      </c>
      <c r="AS107" s="14">
        <f t="shared" si="109"/>
        <v>0</v>
      </c>
      <c r="AT107" s="14">
        <f t="shared" si="111"/>
        <v>0</v>
      </c>
      <c r="AU107" s="15"/>
      <c r="AV107" s="15"/>
      <c r="AW107" s="15"/>
      <c r="AX107" s="15"/>
      <c r="AY107" s="15"/>
      <c r="AZ107" s="15"/>
      <c r="BA107" s="15"/>
      <c r="BB107" s="16">
        <f t="shared" si="110"/>
        <v>0</v>
      </c>
    </row>
    <row r="108" spans="1:54" ht="15.6" outlineLevel="2">
      <c r="A108" s="98"/>
      <c r="B108" s="102"/>
      <c r="C108" s="23"/>
      <c r="D108" s="269"/>
      <c r="E108" s="269"/>
      <c r="F108" s="269"/>
      <c r="G108" s="269"/>
      <c r="H108" s="272"/>
      <c r="I108" s="104"/>
      <c r="J108" s="105"/>
      <c r="K108" s="105"/>
      <c r="L108" s="106" t="str">
        <f>IF(I108&lt;&gt;0,((VLOOKUP(I108,'1. Standard_Cost'!$B$4:$D$11,2)+VLOOKUP(I108,'1. Standard_Cost'!$B$4:$D$11,3))*J108*K108),"0")</f>
        <v>0</v>
      </c>
      <c r="M108" s="106">
        <f>L108*'1. Standard_Cost'!$F$4</f>
        <v>0</v>
      </c>
      <c r="N108" s="107"/>
      <c r="O108" s="107"/>
      <c r="P108" s="107"/>
      <c r="Q108" s="107"/>
      <c r="R108" s="108">
        <f>'1. Standard_Cost'!$B$15*N108*P108</f>
        <v>0</v>
      </c>
      <c r="S108" s="108">
        <f>N108*O108*P108*'1. Standard_Cost'!$C$15</f>
        <v>0</v>
      </c>
      <c r="T108" s="108">
        <f>N108*P108*Q108*'1. Standard_Cost'!$D$15</f>
        <v>0</v>
      </c>
      <c r="U108" s="108">
        <f>N108*O108*'1. Standard_Cost'!$E$15</f>
        <v>0</v>
      </c>
      <c r="V108" s="107"/>
      <c r="W108" s="107"/>
      <c r="X108" s="107"/>
      <c r="Y108" s="108">
        <f>+V108*((X108*'1. Standard_Cost'!$B$19)+(W108*X108*'1. Standard_Cost'!$C$19))</f>
        <v>0</v>
      </c>
      <c r="Z108" s="107"/>
      <c r="AA108" s="107"/>
      <c r="AB108" s="108">
        <f>+Z108*'1. Standard_Cost'!$B$23+AA108*'1. Standard_Cost'!$C$23</f>
        <v>0</v>
      </c>
      <c r="AC108" s="109"/>
      <c r="AD108" s="110"/>
      <c r="AE108" s="108">
        <f>SUM(AD108,AC108,AB108,Y108,U108,T108,S108,R108)*'1. Standard_Cost'!$B$31</f>
        <v>0</v>
      </c>
      <c r="AF108" s="108">
        <f t="shared" si="106"/>
        <v>0</v>
      </c>
      <c r="AG108" s="107"/>
      <c r="AH108" s="107"/>
      <c r="AI108" s="107"/>
      <c r="AJ108" s="111"/>
      <c r="AK108" s="111"/>
      <c r="AL108" s="111"/>
      <c r="AM108" s="108">
        <f>AG108*'1. Standard_Cost'!$B$27+'Incremental_Cost Year 7'!AH108*'1. Standard_Cost'!$C$27+'Incremental_Cost Year 7'!AI108*'1. Standard_Cost'!$D$27+'Incremental_Cost Year 7'!AJ108+'Incremental_Cost Year 7'!AL108+AK108</f>
        <v>0</v>
      </c>
      <c r="AN108" s="108">
        <f>AM108*'1. Standard_Cost'!$C$31</f>
        <v>0</v>
      </c>
      <c r="AO108" s="125" t="s">
        <v>346</v>
      </c>
      <c r="AQ108" s="14">
        <f t="shared" si="107"/>
        <v>0</v>
      </c>
      <c r="AR108" s="14">
        <f t="shared" si="108"/>
        <v>0</v>
      </c>
      <c r="AS108" s="14">
        <f t="shared" si="109"/>
        <v>0</v>
      </c>
      <c r="AT108" s="14">
        <f t="shared" si="111"/>
        <v>0</v>
      </c>
      <c r="AU108" s="15"/>
      <c r="AV108" s="15"/>
      <c r="AW108" s="15"/>
      <c r="AX108" s="15"/>
      <c r="AY108" s="15"/>
      <c r="AZ108" s="15"/>
      <c r="BA108" s="15"/>
      <c r="BB108" s="16">
        <f t="shared" si="110"/>
        <v>0</v>
      </c>
    </row>
    <row r="109" spans="1:54" ht="15.6" outlineLevel="2">
      <c r="A109" s="98"/>
      <c r="B109" s="102"/>
      <c r="C109" s="23"/>
      <c r="D109" s="269"/>
      <c r="E109" s="269"/>
      <c r="F109" s="269"/>
      <c r="G109" s="174"/>
      <c r="H109" s="272"/>
      <c r="I109" s="104"/>
      <c r="J109" s="105"/>
      <c r="K109" s="105"/>
      <c r="L109" s="106" t="str">
        <f>IF(I109&lt;&gt;0,((VLOOKUP(I109,'1. Standard_Cost'!$B$4:$D$11,2)+VLOOKUP(I109,'1. Standard_Cost'!$B$4:$D$11,3))*J109*K109),"0")</f>
        <v>0</v>
      </c>
      <c r="M109" s="106">
        <f>L109*'1. Standard_Cost'!$F$4</f>
        <v>0</v>
      </c>
      <c r="N109" s="107"/>
      <c r="O109" s="107"/>
      <c r="P109" s="107"/>
      <c r="Q109" s="107"/>
      <c r="R109" s="108">
        <f>'1. Standard_Cost'!$B$15*N109*P109</f>
        <v>0</v>
      </c>
      <c r="S109" s="108">
        <f>N109*O109*P109*'1. Standard_Cost'!$C$15</f>
        <v>0</v>
      </c>
      <c r="T109" s="108">
        <f>N109*P109*Q109*'1. Standard_Cost'!$D$15</f>
        <v>0</v>
      </c>
      <c r="U109" s="108">
        <f>N109*O109*'1. Standard_Cost'!$E$15</f>
        <v>0</v>
      </c>
      <c r="V109" s="107"/>
      <c r="W109" s="107"/>
      <c r="X109" s="107"/>
      <c r="Y109" s="108">
        <f>+V109*((X109*'1. Standard_Cost'!$B$19)+(W109*X109*'1. Standard_Cost'!$C$19))</f>
        <v>0</v>
      </c>
      <c r="Z109" s="107"/>
      <c r="AA109" s="107"/>
      <c r="AB109" s="108">
        <f>+Z109*'1. Standard_Cost'!$B$23+AA109*'1. Standard_Cost'!$C$23</f>
        <v>0</v>
      </c>
      <c r="AC109" s="109"/>
      <c r="AD109" s="110"/>
      <c r="AE109" s="108">
        <f>SUM(AD109,AC109,AB109,Y109,U109,T109,S109,R109)*'1. Standard_Cost'!$B$31</f>
        <v>0</v>
      </c>
      <c r="AF109" s="108">
        <f t="shared" si="106"/>
        <v>0</v>
      </c>
      <c r="AG109" s="107"/>
      <c r="AH109" s="107"/>
      <c r="AI109" s="107"/>
      <c r="AJ109" s="111"/>
      <c r="AK109" s="111"/>
      <c r="AL109" s="111"/>
      <c r="AM109" s="108">
        <f>AG109*'1. Standard_Cost'!$B$27+'Incremental_Cost Year 7'!AH109*'1. Standard_Cost'!$C$27+'Incremental_Cost Year 7'!AI109*'1. Standard_Cost'!$D$27+'Incremental_Cost Year 7'!AJ109+'Incremental_Cost Year 7'!AL109+AK109</f>
        <v>0</v>
      </c>
      <c r="AN109" s="108">
        <f>AM109*'1. Standard_Cost'!$C$31</f>
        <v>0</v>
      </c>
      <c r="AO109" s="125" t="s">
        <v>347</v>
      </c>
      <c r="AQ109" s="14">
        <f t="shared" si="107"/>
        <v>0</v>
      </c>
      <c r="AR109" s="14">
        <f t="shared" si="108"/>
        <v>0</v>
      </c>
      <c r="AS109" s="14">
        <f t="shared" si="109"/>
        <v>0</v>
      </c>
      <c r="AT109" s="14">
        <f t="shared" si="111"/>
        <v>0</v>
      </c>
      <c r="AU109" s="15"/>
      <c r="AV109" s="15"/>
      <c r="AW109" s="15"/>
      <c r="AX109" s="15"/>
      <c r="AY109" s="15"/>
      <c r="AZ109" s="15"/>
      <c r="BA109" s="15"/>
      <c r="BB109" s="16">
        <f t="shared" si="110"/>
        <v>0</v>
      </c>
    </row>
    <row r="110" spans="1:54" ht="27.6" outlineLevel="2">
      <c r="A110" s="98"/>
      <c r="B110" s="102"/>
      <c r="C110" s="23"/>
      <c r="D110" s="269"/>
      <c r="E110" s="269"/>
      <c r="F110" s="269"/>
      <c r="G110" s="174"/>
      <c r="H110" s="272"/>
      <c r="I110" s="104"/>
      <c r="J110" s="105"/>
      <c r="K110" s="105"/>
      <c r="L110" s="106" t="str">
        <f>IF(I110&lt;&gt;0,((VLOOKUP(I110,'1. Standard_Cost'!$B$4:$D$11,2)+VLOOKUP(I110,'1. Standard_Cost'!$B$4:$D$11,3))*J110*K110),"0")</f>
        <v>0</v>
      </c>
      <c r="M110" s="106">
        <f>L110*'1. Standard_Cost'!$F$4</f>
        <v>0</v>
      </c>
      <c r="N110" s="107"/>
      <c r="O110" s="107"/>
      <c r="P110" s="107"/>
      <c r="Q110" s="107"/>
      <c r="R110" s="108">
        <f>'1. Standard_Cost'!$B$15*N110*P110</f>
        <v>0</v>
      </c>
      <c r="S110" s="108">
        <f>N110*O110*P110*'1. Standard_Cost'!$C$15</f>
        <v>0</v>
      </c>
      <c r="T110" s="108">
        <f>N110*P110*Q110*'1. Standard_Cost'!$D$15</f>
        <v>0</v>
      </c>
      <c r="U110" s="108">
        <f>N110*O110*'1. Standard_Cost'!$E$15</f>
        <v>0</v>
      </c>
      <c r="V110" s="107"/>
      <c r="W110" s="107"/>
      <c r="X110" s="107"/>
      <c r="Y110" s="108">
        <f>+V110*((X110*'1. Standard_Cost'!$B$19)+(W110*X110*'1. Standard_Cost'!$C$19))</f>
        <v>0</v>
      </c>
      <c r="Z110" s="107"/>
      <c r="AA110" s="107"/>
      <c r="AB110" s="108">
        <f>+Z110*'1. Standard_Cost'!$B$23+AA110*'1. Standard_Cost'!$C$23</f>
        <v>0</v>
      </c>
      <c r="AC110" s="109"/>
      <c r="AD110" s="110"/>
      <c r="AE110" s="108">
        <f>SUM(AD110,AC110,AB110,Y110,U110,T110,S110,R110)*'1. Standard_Cost'!$B$31</f>
        <v>0</v>
      </c>
      <c r="AF110" s="108">
        <f t="shared" si="106"/>
        <v>0</v>
      </c>
      <c r="AG110" s="107"/>
      <c r="AH110" s="107"/>
      <c r="AI110" s="107"/>
      <c r="AJ110" s="111"/>
      <c r="AK110" s="111"/>
      <c r="AL110" s="111"/>
      <c r="AM110" s="108">
        <f>AG110*'1. Standard_Cost'!$B$27+'Incremental_Cost Year 7'!AH110*'1. Standard_Cost'!$C$27+'Incremental_Cost Year 7'!AI110*'1. Standard_Cost'!$D$27+'Incremental_Cost Year 7'!AJ110+'Incremental_Cost Year 7'!AL110+AK110</f>
        <v>0</v>
      </c>
      <c r="AN110" s="108">
        <f>AM110*'1. Standard_Cost'!$C$31</f>
        <v>0</v>
      </c>
      <c r="AO110" s="125" t="s">
        <v>348</v>
      </c>
      <c r="AQ110" s="14">
        <f t="shared" si="107"/>
        <v>0</v>
      </c>
      <c r="AR110" s="14">
        <f t="shared" si="108"/>
        <v>0</v>
      </c>
      <c r="AS110" s="14">
        <f t="shared" si="109"/>
        <v>0</v>
      </c>
      <c r="AT110" s="14">
        <f t="shared" si="111"/>
        <v>0</v>
      </c>
      <c r="AU110" s="15"/>
      <c r="AV110" s="15"/>
      <c r="AW110" s="15"/>
      <c r="AX110" s="15"/>
      <c r="AY110" s="15"/>
      <c r="AZ110" s="15"/>
      <c r="BA110" s="15"/>
      <c r="BB110" s="16">
        <f t="shared" si="110"/>
        <v>0</v>
      </c>
    </row>
    <row r="111" spans="1:54" ht="15.6" outlineLevel="2">
      <c r="A111" s="98"/>
      <c r="B111" s="102"/>
      <c r="C111" s="23"/>
      <c r="D111" s="269"/>
      <c r="E111" s="269"/>
      <c r="F111" s="269"/>
      <c r="G111" s="174"/>
      <c r="H111" s="272"/>
      <c r="I111" s="104"/>
      <c r="J111" s="105"/>
      <c r="K111" s="105"/>
      <c r="L111" s="106" t="str">
        <f>IF(I111&lt;&gt;0,((VLOOKUP(I111,'1. Standard_Cost'!$B$4:$D$11,2)+VLOOKUP(I111,'1. Standard_Cost'!$B$4:$D$11,3))*J111*K111),"0")</f>
        <v>0</v>
      </c>
      <c r="M111" s="106">
        <f>L111*'1. Standard_Cost'!$F$4</f>
        <v>0</v>
      </c>
      <c r="N111" s="107"/>
      <c r="O111" s="107"/>
      <c r="P111" s="107"/>
      <c r="Q111" s="107"/>
      <c r="R111" s="108">
        <f>'1. Standard_Cost'!$B$15*N111*P111</f>
        <v>0</v>
      </c>
      <c r="S111" s="108">
        <f>N111*O111*P111*'1. Standard_Cost'!$C$15</f>
        <v>0</v>
      </c>
      <c r="T111" s="108">
        <f>N111*P111*Q111*'1. Standard_Cost'!$D$15</f>
        <v>0</v>
      </c>
      <c r="U111" s="108">
        <f>N111*O111*'1. Standard_Cost'!$E$15</f>
        <v>0</v>
      </c>
      <c r="V111" s="107"/>
      <c r="W111" s="107"/>
      <c r="X111" s="107"/>
      <c r="Y111" s="108">
        <f>+V111*((X111*'1. Standard_Cost'!$B$19)+(W111*X111*'1. Standard_Cost'!$C$19))</f>
        <v>0</v>
      </c>
      <c r="Z111" s="107"/>
      <c r="AA111" s="107"/>
      <c r="AB111" s="108">
        <f>+Z111*'1. Standard_Cost'!$B$23+AA111*'1. Standard_Cost'!$C$23</f>
        <v>0</v>
      </c>
      <c r="AC111" s="109"/>
      <c r="AD111" s="110"/>
      <c r="AE111" s="108">
        <f>SUM(AD111,AC111,AB111,Y111,U111,T111,S111,R111)*'1. Standard_Cost'!$B$31</f>
        <v>0</v>
      </c>
      <c r="AF111" s="108">
        <f t="shared" si="106"/>
        <v>0</v>
      </c>
      <c r="AG111" s="107"/>
      <c r="AH111" s="107"/>
      <c r="AI111" s="107"/>
      <c r="AJ111" s="111"/>
      <c r="AK111" s="111"/>
      <c r="AL111" s="111"/>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07"/>
        <v>0</v>
      </c>
      <c r="AR111" s="14">
        <f t="shared" si="108"/>
        <v>0</v>
      </c>
      <c r="AS111" s="14">
        <f t="shared" si="109"/>
        <v>0</v>
      </c>
      <c r="AT111" s="14">
        <f t="shared" si="111"/>
        <v>0</v>
      </c>
      <c r="AU111" s="15"/>
      <c r="AV111" s="15"/>
      <c r="AW111" s="15"/>
      <c r="AX111" s="15"/>
      <c r="AY111" s="15"/>
      <c r="AZ111" s="15"/>
      <c r="BA111" s="15"/>
      <c r="BB111" s="16">
        <f t="shared" si="110"/>
        <v>0</v>
      </c>
    </row>
    <row r="112" spans="1:54" ht="15.6" outlineLevel="2">
      <c r="A112" s="98"/>
      <c r="B112" s="102"/>
      <c r="C112" s="23"/>
      <c r="D112" s="269"/>
      <c r="E112" s="269"/>
      <c r="F112" s="251"/>
      <c r="G112" s="250"/>
      <c r="H112" s="272"/>
      <c r="I112" s="104"/>
      <c r="J112" s="105"/>
      <c r="K112" s="105"/>
      <c r="L112" s="106" t="str">
        <f>IF(I112&lt;&gt;0,((VLOOKUP(I112,'1. Standard_Cost'!$B$4:$D$11,2)+VLOOKUP(I112,'1. Standard_Cost'!$B$4:$D$11,3))*J112*K112),"0")</f>
        <v>0</v>
      </c>
      <c r="M112" s="106">
        <f>L112*'1. Standard_Cost'!$F$4</f>
        <v>0</v>
      </c>
      <c r="N112" s="107"/>
      <c r="O112" s="107"/>
      <c r="P112" s="107"/>
      <c r="Q112" s="107"/>
      <c r="R112" s="108">
        <f>'1. Standard_Cost'!$B$15*N112*P112</f>
        <v>0</v>
      </c>
      <c r="S112" s="108">
        <f>N112*O112*P112*'1. Standard_Cost'!$C$15</f>
        <v>0</v>
      </c>
      <c r="T112" s="108">
        <f>N112*P112*Q112*'1. Standard_Cost'!$D$15</f>
        <v>0</v>
      </c>
      <c r="U112" s="108">
        <f>N112*O112*'1. Standard_Cost'!$E$15</f>
        <v>0</v>
      </c>
      <c r="V112" s="107"/>
      <c r="W112" s="107"/>
      <c r="X112" s="107"/>
      <c r="Y112" s="108">
        <f>+V112*((X112*'1. Standard_Cost'!$B$19)+(W112*X112*'1. Standard_Cost'!$C$19))</f>
        <v>0</v>
      </c>
      <c r="Z112" s="107"/>
      <c r="AA112" s="107"/>
      <c r="AB112" s="108">
        <f>+Z112*'1. Standard_Cost'!$B$23+AA112*'1. Standard_Cost'!$C$23</f>
        <v>0</v>
      </c>
      <c r="AC112" s="109"/>
      <c r="AD112" s="110"/>
      <c r="AE112" s="108">
        <f>SUM(AD112,AC112,AB112,Y112,U112,T112,S112,R112)*'1. Standard_Cost'!$B$31</f>
        <v>0</v>
      </c>
      <c r="AF112" s="108">
        <f t="shared" si="106"/>
        <v>0</v>
      </c>
      <c r="AG112" s="107"/>
      <c r="AH112" s="107"/>
      <c r="AI112" s="107"/>
      <c r="AJ112" s="111"/>
      <c r="AK112" s="111"/>
      <c r="AL112" s="111"/>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07"/>
        <v>0</v>
      </c>
      <c r="AR112" s="14">
        <f t="shared" si="108"/>
        <v>0</v>
      </c>
      <c r="AS112" s="14">
        <f t="shared" si="109"/>
        <v>0</v>
      </c>
      <c r="AT112" s="14">
        <f t="shared" si="111"/>
        <v>0</v>
      </c>
      <c r="AU112" s="15"/>
      <c r="AV112" s="15"/>
      <c r="AW112" s="15"/>
      <c r="AX112" s="15"/>
      <c r="AY112" s="15"/>
      <c r="AZ112" s="15"/>
      <c r="BA112" s="15"/>
      <c r="BB112" s="16">
        <f t="shared" si="110"/>
        <v>0</v>
      </c>
    </row>
    <row r="113" spans="1:54" ht="27.6" outlineLevel="1">
      <c r="A113" s="98"/>
      <c r="B113" s="102"/>
      <c r="C113" s="23"/>
      <c r="D113" s="56" t="s">
        <v>47</v>
      </c>
      <c r="E113" s="56" t="s">
        <v>223</v>
      </c>
      <c r="F113" s="253">
        <v>2021</v>
      </c>
      <c r="G113" s="254">
        <v>2026</v>
      </c>
      <c r="H113" s="277" t="s">
        <v>226</v>
      </c>
      <c r="I113" s="112"/>
      <c r="J113" s="112"/>
      <c r="K113" s="112"/>
      <c r="L113" s="113">
        <f>SUM(L102:L112)</f>
        <v>0</v>
      </c>
      <c r="M113" s="113">
        <f>SUM(M102:M112)</f>
        <v>0</v>
      </c>
      <c r="N113" s="112"/>
      <c r="O113" s="112"/>
      <c r="P113" s="112"/>
      <c r="Q113" s="112"/>
      <c r="R113" s="113">
        <f>SUM(R102:R112)</f>
        <v>0</v>
      </c>
      <c r="S113" s="113">
        <f>SUM(S102:S112)</f>
        <v>0</v>
      </c>
      <c r="T113" s="113">
        <f>SUM(T102:T112)</f>
        <v>0</v>
      </c>
      <c r="U113" s="113">
        <f>SUM(U102:U112)</f>
        <v>0</v>
      </c>
      <c r="V113" s="112"/>
      <c r="W113" s="112"/>
      <c r="X113" s="112"/>
      <c r="Y113" s="113">
        <f>SUM(Y102:Y112)</f>
        <v>0</v>
      </c>
      <c r="Z113" s="112"/>
      <c r="AA113" s="112"/>
      <c r="AB113" s="113">
        <f>SUM(AB102:AB112)</f>
        <v>0</v>
      </c>
      <c r="AC113" s="113">
        <f>SUM(AC102:AC112)</f>
        <v>0</v>
      </c>
      <c r="AD113" s="113">
        <f>SUM(AD102:AD112)</f>
        <v>0</v>
      </c>
      <c r="AE113" s="113">
        <f>SUM(AE102:AE112)</f>
        <v>0</v>
      </c>
      <c r="AF113" s="113">
        <f>SUM(AF102:AF112)</f>
        <v>0</v>
      </c>
      <c r="AG113" s="112"/>
      <c r="AH113" s="112"/>
      <c r="AI113" s="112"/>
      <c r="AJ113" s="113">
        <f>SUM(AJ102:AJ112)</f>
        <v>0</v>
      </c>
      <c r="AK113" s="113">
        <f>SUM(AK102:AK112)</f>
        <v>0</v>
      </c>
      <c r="AL113" s="113">
        <f>SUM(AL102:AL112)</f>
        <v>0</v>
      </c>
      <c r="AM113" s="113">
        <f>SUM(AM102:AM112)</f>
        <v>0</v>
      </c>
      <c r="AN113" s="113">
        <f>SUM(AN102:AN112)</f>
        <v>0</v>
      </c>
      <c r="AO113" s="131"/>
      <c r="AP113" s="17"/>
      <c r="AQ113" s="113">
        <f t="shared" ref="AQ113:BB113" si="112">SUM(AQ102:AQ112)</f>
        <v>0</v>
      </c>
      <c r="AR113" s="113">
        <f t="shared" si="112"/>
        <v>0</v>
      </c>
      <c r="AS113" s="113">
        <f t="shared" si="112"/>
        <v>0</v>
      </c>
      <c r="AT113" s="113">
        <f t="shared" si="112"/>
        <v>0</v>
      </c>
      <c r="AU113" s="113">
        <f t="shared" si="112"/>
        <v>0</v>
      </c>
      <c r="AV113" s="113">
        <f t="shared" si="112"/>
        <v>0</v>
      </c>
      <c r="AW113" s="113">
        <f t="shared" si="112"/>
        <v>0</v>
      </c>
      <c r="AX113" s="113">
        <f t="shared" si="112"/>
        <v>0</v>
      </c>
      <c r="AY113" s="113">
        <f t="shared" si="112"/>
        <v>0</v>
      </c>
      <c r="AZ113" s="113">
        <f t="shared" si="112"/>
        <v>0</v>
      </c>
      <c r="BA113" s="113">
        <f t="shared" si="112"/>
        <v>0</v>
      </c>
      <c r="BB113" s="113">
        <f t="shared" si="112"/>
        <v>0</v>
      </c>
    </row>
    <row r="114" spans="1:54" ht="15.6" outlineLevel="2">
      <c r="A114" s="98"/>
      <c r="B114" s="102"/>
      <c r="C114" s="23"/>
      <c r="D114" s="257"/>
      <c r="E114" s="257"/>
      <c r="F114" s="257"/>
      <c r="G114" s="257"/>
      <c r="H114" s="272"/>
      <c r="I114" s="104"/>
      <c r="J114" s="105"/>
      <c r="K114" s="105"/>
      <c r="L114" s="106" t="str">
        <f>IF(I114&lt;&gt;0,((VLOOKUP(I114,'1. Standard_Cost'!$B$4:$D$11,2)+VLOOKUP(I114,'1. Standard_Cost'!$B$4:$D$11,3))*J114*K114),"0")</f>
        <v>0</v>
      </c>
      <c r="M114" s="106">
        <f>L114*'1. Standard_Cost'!$F$4</f>
        <v>0</v>
      </c>
      <c r="N114" s="107"/>
      <c r="O114" s="107"/>
      <c r="P114" s="107"/>
      <c r="Q114" s="107"/>
      <c r="R114" s="108">
        <f>'1. Standard_Cost'!$B$15*N114*P114</f>
        <v>0</v>
      </c>
      <c r="S114" s="108">
        <f>N114*O114*P114*'1. Standard_Cost'!$C$15</f>
        <v>0</v>
      </c>
      <c r="T114" s="108">
        <f>N114*P114*Q114*'1. Standard_Cost'!$D$15</f>
        <v>0</v>
      </c>
      <c r="U114" s="108">
        <f>N114*O114*'1. Standard_Cost'!$E$15</f>
        <v>0</v>
      </c>
      <c r="V114" s="107"/>
      <c r="W114" s="107"/>
      <c r="X114" s="107"/>
      <c r="Y114" s="108">
        <f>+V114*((X114*'1. Standard_Cost'!$B$19)+(W114*X114*'1. Standard_Cost'!$C$19))</f>
        <v>0</v>
      </c>
      <c r="Z114" s="107"/>
      <c r="AA114" s="107"/>
      <c r="AB114" s="108">
        <f>+Z114*'1. Standard_Cost'!$B$23+AA114*'1. Standard_Cost'!$C$23</f>
        <v>0</v>
      </c>
      <c r="AC114" s="109"/>
      <c r="AD114" s="110"/>
      <c r="AE114" s="108">
        <f>SUM(AD114,AC114,AB114,Y114,U114,T114,S114,R114)*'1. Standard_Cost'!$B$31</f>
        <v>0</v>
      </c>
      <c r="AF114" s="108">
        <f t="shared" ref="AF114:AF135" si="113">SUM(AE114,AD114,AC114,AB114,Y114,U114,T114,S114,R114)</f>
        <v>0</v>
      </c>
      <c r="AG114" s="107"/>
      <c r="AH114" s="107"/>
      <c r="AI114" s="107"/>
      <c r="AJ114" s="111"/>
      <c r="AK114" s="111"/>
      <c r="AL114" s="111"/>
      <c r="AM114" s="108">
        <f>AG114*'1. Standard_Cost'!$B$27+'Incremental_Cost Year 7'!AH114*'1. Standard_Cost'!$C$27+'Incremental_Cost Year 7'!AI114*'1. Standard_Cost'!$D$27+'Incremental_Cost Year 7'!AJ114+'Incremental_Cost Year 7'!AL114+AK114</f>
        <v>0</v>
      </c>
      <c r="AN114" s="108">
        <f>AM114*'1. Standard_Cost'!$C$31</f>
        <v>0</v>
      </c>
      <c r="AO114" s="125" t="s">
        <v>350</v>
      </c>
      <c r="AQ114" s="14">
        <f t="shared" ref="AQ114:AQ135" si="114">L114+M114</f>
        <v>0</v>
      </c>
      <c r="AR114" s="14">
        <f t="shared" ref="AR114:AR135" si="115">AF114</f>
        <v>0</v>
      </c>
      <c r="AS114" s="14">
        <f t="shared" ref="AS114:AS135" si="116">AM114+AN114</f>
        <v>0</v>
      </c>
      <c r="AT114" s="14">
        <f>SUM(AQ114,AR114,AS114)</f>
        <v>0</v>
      </c>
      <c r="AU114" s="15"/>
      <c r="AV114" s="15"/>
      <c r="AW114" s="15"/>
      <c r="AX114" s="15"/>
      <c r="AY114" s="15"/>
      <c r="AZ114" s="15"/>
      <c r="BA114" s="15"/>
      <c r="BB114" s="16">
        <f t="shared" ref="BB114:BB135" si="117">SUM(AU114:BA114)-AT114</f>
        <v>0</v>
      </c>
    </row>
    <row r="115" spans="1:54" ht="15.6" outlineLevel="2">
      <c r="A115" s="98"/>
      <c r="B115" s="102"/>
      <c r="C115" s="23"/>
      <c r="D115" s="269"/>
      <c r="E115" s="269"/>
      <c r="F115" s="269"/>
      <c r="G115" s="174"/>
      <c r="H115" s="272"/>
      <c r="I115" s="104"/>
      <c r="J115" s="105"/>
      <c r="K115" s="105"/>
      <c r="L115" s="106" t="str">
        <f>IF(I115&lt;&gt;0,((VLOOKUP(I115,'1. Standard_Cost'!$B$4:$D$11,2)+VLOOKUP(I115,'1. Standard_Cost'!$B$4:$D$11,3))*J115*K115),"0")</f>
        <v>0</v>
      </c>
      <c r="M115" s="106">
        <f>L115*'1. Standard_Cost'!$F$4</f>
        <v>0</v>
      </c>
      <c r="N115" s="107"/>
      <c r="O115" s="107"/>
      <c r="P115" s="107"/>
      <c r="Q115" s="107"/>
      <c r="R115" s="108">
        <f>'1. Standard_Cost'!$B$15*N115*P115</f>
        <v>0</v>
      </c>
      <c r="S115" s="108">
        <f>N115*O115*P115*'1. Standard_Cost'!$C$15</f>
        <v>0</v>
      </c>
      <c r="T115" s="108">
        <f>N115*P115*Q115*'1. Standard_Cost'!$D$15</f>
        <v>0</v>
      </c>
      <c r="U115" s="108">
        <f>N115*O115*'1. Standard_Cost'!$E$15</f>
        <v>0</v>
      </c>
      <c r="V115" s="107"/>
      <c r="W115" s="107"/>
      <c r="X115" s="107"/>
      <c r="Y115" s="108">
        <f>+V115*((X115*'1. Standard_Cost'!$B$19)+(W115*X115*'1. Standard_Cost'!$C$19))</f>
        <v>0</v>
      </c>
      <c r="Z115" s="107"/>
      <c r="AA115" s="107"/>
      <c r="AB115" s="108">
        <f>+Z115*'1. Standard_Cost'!$B$23+AA115*'1. Standard_Cost'!$C$23</f>
        <v>0</v>
      </c>
      <c r="AC115" s="109"/>
      <c r="AD115" s="110"/>
      <c r="AE115" s="108">
        <f>SUM(AD115,AC115,AB115,Y115,U115,T115,S115,R115)*'1. Standard_Cost'!$B$31</f>
        <v>0</v>
      </c>
      <c r="AF115" s="108">
        <f t="shared" si="113"/>
        <v>0</v>
      </c>
      <c r="AG115" s="107"/>
      <c r="AH115" s="107"/>
      <c r="AI115" s="107"/>
      <c r="AJ115" s="111"/>
      <c r="AK115" s="111"/>
      <c r="AL115" s="111"/>
      <c r="AM115" s="108">
        <f>AG115*'1. Standard_Cost'!$B$27+'Incremental_Cost Year 7'!AH115*'1. Standard_Cost'!$C$27+'Incremental_Cost Year 7'!AI115*'1. Standard_Cost'!$D$27+'Incremental_Cost Year 7'!AJ115+'Incremental_Cost Year 7'!AL115+AK115</f>
        <v>0</v>
      </c>
      <c r="AN115" s="108">
        <f>AM115*'1. Standard_Cost'!$C$31</f>
        <v>0</v>
      </c>
      <c r="AO115" s="125" t="s">
        <v>349</v>
      </c>
      <c r="AQ115" s="14">
        <f t="shared" si="114"/>
        <v>0</v>
      </c>
      <c r="AR115" s="14">
        <f t="shared" si="115"/>
        <v>0</v>
      </c>
      <c r="AS115" s="14">
        <f t="shared" si="116"/>
        <v>0</v>
      </c>
      <c r="AT115" s="14">
        <f t="shared" ref="AT115:AT135" si="118">SUM(AQ115,AR115,AS115)</f>
        <v>0</v>
      </c>
      <c r="AU115" s="15"/>
      <c r="AV115" s="15"/>
      <c r="AW115" s="15"/>
      <c r="AX115" s="15"/>
      <c r="AY115" s="15"/>
      <c r="AZ115" s="15"/>
      <c r="BA115" s="15"/>
      <c r="BB115" s="16">
        <f t="shared" si="117"/>
        <v>0</v>
      </c>
    </row>
    <row r="116" spans="1:54" ht="15.6" outlineLevel="2">
      <c r="A116" s="98"/>
      <c r="B116" s="102"/>
      <c r="C116" s="23"/>
      <c r="D116" s="269"/>
      <c r="E116" s="269"/>
      <c r="F116" s="269"/>
      <c r="G116" s="269"/>
      <c r="H116" s="272"/>
      <c r="I116" s="104"/>
      <c r="J116" s="105"/>
      <c r="K116" s="105"/>
      <c r="L116" s="106" t="str">
        <f>IF(I116&lt;&gt;0,((VLOOKUP(I116,'1. Standard_Cost'!$B$4:$D$11,2)+VLOOKUP(I116,'1. Standard_Cost'!$B$4:$D$11,3))*J116*K116),"0")</f>
        <v>0</v>
      </c>
      <c r="M116" s="106">
        <f>L116*'1. Standard_Cost'!$F$4</f>
        <v>0</v>
      </c>
      <c r="N116" s="107"/>
      <c r="O116" s="107"/>
      <c r="P116" s="107"/>
      <c r="Q116" s="107"/>
      <c r="R116" s="108">
        <f>'1. Standard_Cost'!$B$15*N116*P116</f>
        <v>0</v>
      </c>
      <c r="S116" s="108">
        <f>N116*O116*P116*'1. Standard_Cost'!$C$15</f>
        <v>0</v>
      </c>
      <c r="T116" s="108">
        <f>N116*P116*Q116*'1. Standard_Cost'!$D$15</f>
        <v>0</v>
      </c>
      <c r="U116" s="108">
        <f>N116*O116*'1. Standard_Cost'!$E$15</f>
        <v>0</v>
      </c>
      <c r="V116" s="107"/>
      <c r="W116" s="107"/>
      <c r="X116" s="107"/>
      <c r="Y116" s="108">
        <f>+V116*((X116*'1. Standard_Cost'!$B$19)+(W116*X116*'1. Standard_Cost'!$C$19))</f>
        <v>0</v>
      </c>
      <c r="Z116" s="107"/>
      <c r="AA116" s="107"/>
      <c r="AB116" s="108">
        <f>+Z116*'1. Standard_Cost'!$B$23+AA116*'1. Standard_Cost'!$C$23</f>
        <v>0</v>
      </c>
      <c r="AC116" s="109"/>
      <c r="AD116" s="110"/>
      <c r="AE116" s="108">
        <f>SUM(AD116,AC116,AB116,Y116,U116,T116,S116,R116)*'1. Standard_Cost'!$B$31</f>
        <v>0</v>
      </c>
      <c r="AF116" s="108">
        <f t="shared" si="113"/>
        <v>0</v>
      </c>
      <c r="AG116" s="107"/>
      <c r="AH116" s="107"/>
      <c r="AI116" s="107"/>
      <c r="AJ116" s="111"/>
      <c r="AK116" s="111"/>
      <c r="AL116" s="111"/>
      <c r="AM116" s="108">
        <f>AG116*'1. Standard_Cost'!$B$27+'Incremental_Cost Year 7'!AH116*'1. Standard_Cost'!$C$27+'Incremental_Cost Year 7'!AI116*'1. Standard_Cost'!$D$27+'Incremental_Cost Year 7'!AJ116+'Incremental_Cost Year 7'!AL116+AK116</f>
        <v>0</v>
      </c>
      <c r="AN116" s="108">
        <f>AM116*'1. Standard_Cost'!$C$31</f>
        <v>0</v>
      </c>
      <c r="AO116" s="125" t="s">
        <v>351</v>
      </c>
      <c r="AQ116" s="14">
        <f t="shared" si="114"/>
        <v>0</v>
      </c>
      <c r="AR116" s="14">
        <f t="shared" si="115"/>
        <v>0</v>
      </c>
      <c r="AS116" s="14">
        <f t="shared" si="116"/>
        <v>0</v>
      </c>
      <c r="AT116" s="14">
        <f t="shared" si="118"/>
        <v>0</v>
      </c>
      <c r="AU116" s="15">
        <f>AQ116</f>
        <v>0</v>
      </c>
      <c r="AV116" s="15"/>
      <c r="AW116" s="15"/>
      <c r="AX116" s="15">
        <f>AT116-AU116</f>
        <v>0</v>
      </c>
      <c r="AY116" s="15"/>
      <c r="AZ116" s="15"/>
      <c r="BA116" s="15"/>
      <c r="BB116" s="16">
        <f t="shared" si="117"/>
        <v>0</v>
      </c>
    </row>
    <row r="117" spans="1:54" ht="15.6" outlineLevel="2">
      <c r="A117" s="98"/>
      <c r="B117" s="102"/>
      <c r="C117" s="23"/>
      <c r="D117" s="269"/>
      <c r="E117" s="269"/>
      <c r="F117" s="269"/>
      <c r="G117" s="269"/>
      <c r="H117" s="272"/>
      <c r="I117" s="104"/>
      <c r="J117" s="105"/>
      <c r="K117" s="105"/>
      <c r="L117" s="106" t="str">
        <f>IF(I117&lt;&gt;0,((VLOOKUP(I117,'1. Standard_Cost'!$B$4:$D$11,2)+VLOOKUP(I117,'1. Standard_Cost'!$B$4:$D$11,3))*J117*K117),"0")</f>
        <v>0</v>
      </c>
      <c r="M117" s="106">
        <f>L117*'1. Standard_Cost'!$F$4</f>
        <v>0</v>
      </c>
      <c r="N117" s="107"/>
      <c r="O117" s="107"/>
      <c r="P117" s="107"/>
      <c r="Q117" s="107"/>
      <c r="R117" s="108">
        <f>'1. Standard_Cost'!$B$15*N117*P117</f>
        <v>0</v>
      </c>
      <c r="S117" s="108">
        <f>N117*O117*P117*'1. Standard_Cost'!$C$15</f>
        <v>0</v>
      </c>
      <c r="T117" s="108">
        <f>N117*P117*Q117*'1. Standard_Cost'!$D$15</f>
        <v>0</v>
      </c>
      <c r="U117" s="108">
        <f>N117*O117*'1. Standard_Cost'!$E$15</f>
        <v>0</v>
      </c>
      <c r="V117" s="107"/>
      <c r="W117" s="107"/>
      <c r="X117" s="107"/>
      <c r="Y117" s="108">
        <f>+V117*((X117*'1. Standard_Cost'!$B$19)+(W117*X117*'1. Standard_Cost'!$C$19))</f>
        <v>0</v>
      </c>
      <c r="Z117" s="107"/>
      <c r="AA117" s="107"/>
      <c r="AB117" s="108">
        <f>+Z117*'1. Standard_Cost'!$B$23+AA117*'1. Standard_Cost'!$C$23</f>
        <v>0</v>
      </c>
      <c r="AC117" s="109"/>
      <c r="AD117" s="110"/>
      <c r="AE117" s="108">
        <f>SUM(AD117,AC117,AB117,Y117,U117,T117,S117,R117)*'1. Standard_Cost'!$B$31</f>
        <v>0</v>
      </c>
      <c r="AF117" s="108">
        <f t="shared" si="113"/>
        <v>0</v>
      </c>
      <c r="AG117" s="107"/>
      <c r="AH117" s="107"/>
      <c r="AI117" s="107"/>
      <c r="AJ117" s="111"/>
      <c r="AK117" s="111"/>
      <c r="AL117" s="111"/>
      <c r="AM117" s="108">
        <f>AG117*'1. Standard_Cost'!$B$27+'Incremental_Cost Year 7'!AH117*'1. Standard_Cost'!$C$27+'Incremental_Cost Year 7'!AI117*'1. Standard_Cost'!$D$27+'Incremental_Cost Year 7'!AJ117+'Incremental_Cost Year 7'!AL117+AK117</f>
        <v>0</v>
      </c>
      <c r="AN117" s="108">
        <f>AM117*'1. Standard_Cost'!$C$31</f>
        <v>0</v>
      </c>
      <c r="AO117" s="125" t="s">
        <v>349</v>
      </c>
      <c r="AQ117" s="14">
        <f t="shared" si="114"/>
        <v>0</v>
      </c>
      <c r="AR117" s="14">
        <f t="shared" si="115"/>
        <v>0</v>
      </c>
      <c r="AS117" s="14">
        <f t="shared" si="116"/>
        <v>0</v>
      </c>
      <c r="AT117" s="14">
        <f t="shared" si="118"/>
        <v>0</v>
      </c>
      <c r="AU117" s="15"/>
      <c r="AV117" s="15"/>
      <c r="AW117" s="15"/>
      <c r="AX117" s="15"/>
      <c r="AY117" s="15"/>
      <c r="AZ117" s="15"/>
      <c r="BA117" s="15"/>
      <c r="BB117" s="16">
        <f t="shared" si="117"/>
        <v>0</v>
      </c>
    </row>
    <row r="118" spans="1:54" ht="15.6" outlineLevel="2">
      <c r="A118" s="98"/>
      <c r="B118" s="102"/>
      <c r="C118" s="23"/>
      <c r="D118" s="269"/>
      <c r="E118" s="269"/>
      <c r="F118" s="269"/>
      <c r="G118" s="269"/>
      <c r="H118" s="272"/>
      <c r="I118" s="104"/>
      <c r="J118" s="105"/>
      <c r="K118" s="105"/>
      <c r="L118" s="106" t="str">
        <f>IF(I118&lt;&gt;0,((VLOOKUP(I118,'1. Standard_Cost'!$B$4:$D$11,2)+VLOOKUP(I118,'1. Standard_Cost'!$B$4:$D$11,3))*J118*K118),"0")</f>
        <v>0</v>
      </c>
      <c r="M118" s="106">
        <f>L118*'1. Standard_Cost'!$F$4</f>
        <v>0</v>
      </c>
      <c r="N118" s="107"/>
      <c r="O118" s="107"/>
      <c r="P118" s="107"/>
      <c r="Q118" s="107"/>
      <c r="R118" s="108">
        <f>'1. Standard_Cost'!$B$15*N118*P118</f>
        <v>0</v>
      </c>
      <c r="S118" s="108">
        <f>N118*O118*P118*'1. Standard_Cost'!$C$15</f>
        <v>0</v>
      </c>
      <c r="T118" s="108">
        <f>N118*P118*Q118*'1. Standard_Cost'!$D$15</f>
        <v>0</v>
      </c>
      <c r="U118" s="108">
        <f>N118*O118*'1. Standard_Cost'!$E$15</f>
        <v>0</v>
      </c>
      <c r="V118" s="107"/>
      <c r="W118" s="107"/>
      <c r="X118" s="107"/>
      <c r="Y118" s="108">
        <f>+V118*((X118*'1. Standard_Cost'!$B$19)+(W118*X118*'1. Standard_Cost'!$C$19))</f>
        <v>0</v>
      </c>
      <c r="Z118" s="107"/>
      <c r="AA118" s="107"/>
      <c r="AB118" s="108">
        <f>+Z118*'1. Standard_Cost'!$B$23+AA118*'1. Standard_Cost'!$C$23</f>
        <v>0</v>
      </c>
      <c r="AC118" s="109"/>
      <c r="AD118" s="110"/>
      <c r="AE118" s="108">
        <f>SUM(AD118,AC118,AB118,Y118,U118,T118,S118,R118)*'1. Standard_Cost'!$B$31</f>
        <v>0</v>
      </c>
      <c r="AF118" s="108">
        <f t="shared" si="113"/>
        <v>0</v>
      </c>
      <c r="AG118" s="107"/>
      <c r="AH118" s="107"/>
      <c r="AI118" s="107"/>
      <c r="AJ118" s="111"/>
      <c r="AK118" s="111"/>
      <c r="AL118" s="111"/>
      <c r="AM118" s="108">
        <f>AG118*'1. Standard_Cost'!$B$27+'Incremental_Cost Year 7'!AH118*'1. Standard_Cost'!$C$27+'Incremental_Cost Year 7'!AI118*'1. Standard_Cost'!$D$27+'Incremental_Cost Year 7'!AJ118+'Incremental_Cost Year 7'!AL118+AK118</f>
        <v>0</v>
      </c>
      <c r="AN118" s="108">
        <f>AM118*'1. Standard_Cost'!$C$31</f>
        <v>0</v>
      </c>
      <c r="AO118" s="125" t="s">
        <v>352</v>
      </c>
      <c r="AQ118" s="14">
        <f t="shared" si="114"/>
        <v>0</v>
      </c>
      <c r="AR118" s="14">
        <f t="shared" si="115"/>
        <v>0</v>
      </c>
      <c r="AS118" s="14">
        <f t="shared" si="116"/>
        <v>0</v>
      </c>
      <c r="AT118" s="14">
        <f t="shared" si="118"/>
        <v>0</v>
      </c>
      <c r="AU118" s="15"/>
      <c r="AV118" s="15"/>
      <c r="AW118" s="15"/>
      <c r="AX118" s="15"/>
      <c r="AY118" s="15"/>
      <c r="AZ118" s="15"/>
      <c r="BA118" s="15"/>
      <c r="BB118" s="16">
        <f t="shared" si="117"/>
        <v>0</v>
      </c>
    </row>
    <row r="119" spans="1:54" ht="15.6" outlineLevel="2">
      <c r="A119" s="98"/>
      <c r="B119" s="102"/>
      <c r="C119" s="23"/>
      <c r="D119" s="269"/>
      <c r="E119" s="269"/>
      <c r="F119" s="269"/>
      <c r="G119" s="269"/>
      <c r="H119" s="272"/>
      <c r="I119" s="104"/>
      <c r="J119" s="105"/>
      <c r="K119" s="105"/>
      <c r="L119" s="106" t="str">
        <f>IF(I119&lt;&gt;0,((VLOOKUP(I119,'1. Standard_Cost'!$B$4:$D$11,2)+VLOOKUP(I119,'1. Standard_Cost'!$B$4:$D$11,3))*J119*K119),"0")</f>
        <v>0</v>
      </c>
      <c r="M119" s="106">
        <f>L119*'1. Standard_Cost'!$F$4</f>
        <v>0</v>
      </c>
      <c r="N119" s="107"/>
      <c r="O119" s="107"/>
      <c r="P119" s="107"/>
      <c r="Q119" s="107"/>
      <c r="R119" s="108">
        <f>'1. Standard_Cost'!$B$15*N119*P119</f>
        <v>0</v>
      </c>
      <c r="S119" s="108">
        <f>N119*O119*P119*'1. Standard_Cost'!$C$15</f>
        <v>0</v>
      </c>
      <c r="T119" s="108">
        <f>N119*P119*Q119*'1. Standard_Cost'!$D$15</f>
        <v>0</v>
      </c>
      <c r="U119" s="108">
        <f>N119*O119*'1. Standard_Cost'!$E$15</f>
        <v>0</v>
      </c>
      <c r="V119" s="107"/>
      <c r="W119" s="107"/>
      <c r="X119" s="107"/>
      <c r="Y119" s="108">
        <f>+V119*((X119*'1. Standard_Cost'!$B$19)+(W119*X119*'1. Standard_Cost'!$C$19))</f>
        <v>0</v>
      </c>
      <c r="Z119" s="107"/>
      <c r="AA119" s="107"/>
      <c r="AB119" s="108">
        <f>+Z119*'1. Standard_Cost'!$B$23+AA119*'1. Standard_Cost'!$C$23</f>
        <v>0</v>
      </c>
      <c r="AC119" s="109"/>
      <c r="AD119" s="110"/>
      <c r="AE119" s="108">
        <f>SUM(AD119,AC119,AB119,Y119,U119,T119,S119,R119)*'1. Standard_Cost'!$B$31</f>
        <v>0</v>
      </c>
      <c r="AF119" s="108">
        <f t="shared" si="113"/>
        <v>0</v>
      </c>
      <c r="AG119" s="107"/>
      <c r="AH119" s="107"/>
      <c r="AI119" s="107"/>
      <c r="AJ119" s="111"/>
      <c r="AK119" s="111"/>
      <c r="AL119" s="111"/>
      <c r="AM119" s="108">
        <f>AG119*'1. Standard_Cost'!$B$27+'Incremental_Cost Year 7'!AH119*'1. Standard_Cost'!$C$27+'Incremental_Cost Year 7'!AI119*'1. Standard_Cost'!$D$27+'Incremental_Cost Year 7'!AJ119+'Incremental_Cost Year 7'!AL119+AK119</f>
        <v>0</v>
      </c>
      <c r="AN119" s="108">
        <f>AM119*'1. Standard_Cost'!$C$31</f>
        <v>0</v>
      </c>
      <c r="AO119" s="125" t="s">
        <v>353</v>
      </c>
      <c r="AQ119" s="14">
        <f t="shared" si="114"/>
        <v>0</v>
      </c>
      <c r="AR119" s="14">
        <f t="shared" si="115"/>
        <v>0</v>
      </c>
      <c r="AS119" s="14">
        <f t="shared" si="116"/>
        <v>0</v>
      </c>
      <c r="AT119" s="14">
        <f t="shared" si="118"/>
        <v>0</v>
      </c>
      <c r="AU119" s="15"/>
      <c r="AV119" s="15"/>
      <c r="AW119" s="15"/>
      <c r="AX119" s="15"/>
      <c r="AY119" s="15"/>
      <c r="AZ119" s="15"/>
      <c r="BA119" s="15"/>
      <c r="BB119" s="16">
        <f t="shared" si="117"/>
        <v>0</v>
      </c>
    </row>
    <row r="120" spans="1:54" ht="27.6" outlineLevel="2">
      <c r="A120" s="98"/>
      <c r="B120" s="102"/>
      <c r="C120" s="23"/>
      <c r="D120" s="269"/>
      <c r="E120" s="269"/>
      <c r="F120" s="269"/>
      <c r="G120" s="269"/>
      <c r="H120" s="272"/>
      <c r="I120" s="104"/>
      <c r="J120" s="105"/>
      <c r="K120" s="105"/>
      <c r="L120" s="106" t="str">
        <f>IF(I120&lt;&gt;0,((VLOOKUP(I120,'1. Standard_Cost'!$B$4:$D$11,2)+VLOOKUP(I120,'1. Standard_Cost'!$B$4:$D$11,3))*J120*K120),"0")</f>
        <v>0</v>
      </c>
      <c r="M120" s="106">
        <f>L120*'1. Standard_Cost'!$F$4</f>
        <v>0</v>
      </c>
      <c r="N120" s="107"/>
      <c r="O120" s="107"/>
      <c r="P120" s="107"/>
      <c r="Q120" s="107"/>
      <c r="R120" s="108">
        <f>'1. Standard_Cost'!$B$15*N120*P120</f>
        <v>0</v>
      </c>
      <c r="S120" s="108">
        <f>N120*O120*P120*'1. Standard_Cost'!$C$15</f>
        <v>0</v>
      </c>
      <c r="T120" s="108">
        <f>N120*P120*Q120*'1. Standard_Cost'!$D$15</f>
        <v>0</v>
      </c>
      <c r="U120" s="108">
        <f>N120*O120*'1. Standard_Cost'!$E$15</f>
        <v>0</v>
      </c>
      <c r="V120" s="107"/>
      <c r="W120" s="107"/>
      <c r="X120" s="107"/>
      <c r="Y120" s="108">
        <f>+V120*((X120*'1. Standard_Cost'!$B$19)+(W120*X120*'1. Standard_Cost'!$C$19))</f>
        <v>0</v>
      </c>
      <c r="Z120" s="107"/>
      <c r="AA120" s="107"/>
      <c r="AB120" s="108">
        <f>+Z120*'1. Standard_Cost'!$B$23+AA120*'1. Standard_Cost'!$C$23</f>
        <v>0</v>
      </c>
      <c r="AC120" s="109"/>
      <c r="AD120" s="110"/>
      <c r="AE120" s="108">
        <f>SUM(AD120,AC120,AB120,Y120,U120,T120,S120,R120)*'1. Standard_Cost'!$B$31</f>
        <v>0</v>
      </c>
      <c r="AF120" s="108">
        <f t="shared" si="113"/>
        <v>0</v>
      </c>
      <c r="AG120" s="107"/>
      <c r="AH120" s="107"/>
      <c r="AI120" s="107"/>
      <c r="AJ120" s="111"/>
      <c r="AK120" s="111"/>
      <c r="AL120" s="111"/>
      <c r="AM120" s="108">
        <f>AG120*'1. Standard_Cost'!$B$27+'Incremental_Cost Year 7'!AH120*'1. Standard_Cost'!$C$27+'Incremental_Cost Year 7'!AI120*'1. Standard_Cost'!$D$27+'Incremental_Cost Year 7'!AJ120+'Incremental_Cost Year 7'!AL120+AK120</f>
        <v>0</v>
      </c>
      <c r="AN120" s="108">
        <f>AM120*'1. Standard_Cost'!$C$31</f>
        <v>0</v>
      </c>
      <c r="AO120" s="125" t="s">
        <v>354</v>
      </c>
      <c r="AQ120" s="14">
        <f t="shared" si="114"/>
        <v>0</v>
      </c>
      <c r="AR120" s="14">
        <f t="shared" si="115"/>
        <v>0</v>
      </c>
      <c r="AS120" s="14">
        <f t="shared" si="116"/>
        <v>0</v>
      </c>
      <c r="AT120" s="14">
        <f t="shared" si="118"/>
        <v>0</v>
      </c>
      <c r="AU120" s="15"/>
      <c r="AV120" s="15"/>
      <c r="AW120" s="15"/>
      <c r="AX120" s="15"/>
      <c r="AY120" s="15"/>
      <c r="AZ120" s="15"/>
      <c r="BA120" s="15"/>
      <c r="BB120" s="16">
        <f t="shared" si="117"/>
        <v>0</v>
      </c>
    </row>
    <row r="121" spans="1:54" ht="15.6" outlineLevel="2">
      <c r="A121" s="98"/>
      <c r="B121" s="102"/>
      <c r="C121" s="23"/>
      <c r="D121" s="269"/>
      <c r="E121" s="269"/>
      <c r="F121" s="174"/>
      <c r="G121" s="174"/>
      <c r="H121" s="272"/>
      <c r="I121" s="104"/>
      <c r="J121" s="105"/>
      <c r="K121" s="105"/>
      <c r="L121" s="106" t="str">
        <f>IF(I121&lt;&gt;0,((VLOOKUP(I121,'1. Standard_Cost'!$B$4:$D$11,2)+VLOOKUP(I121,'1. Standard_Cost'!$B$4:$D$11,3))*J121*K121),"0")</f>
        <v>0</v>
      </c>
      <c r="M121" s="106">
        <f>L121*'1. Standard_Cost'!$F$4</f>
        <v>0</v>
      </c>
      <c r="N121" s="107"/>
      <c r="O121" s="107"/>
      <c r="P121" s="107"/>
      <c r="Q121" s="107"/>
      <c r="R121" s="108">
        <f>'1. Standard_Cost'!$B$15*N121*P121</f>
        <v>0</v>
      </c>
      <c r="S121" s="108">
        <f>N121*O121*P121*'1. Standard_Cost'!$C$15</f>
        <v>0</v>
      </c>
      <c r="T121" s="108">
        <f>N121*P121*Q121*'1. Standard_Cost'!$D$15</f>
        <v>0</v>
      </c>
      <c r="U121" s="108">
        <f>N121*O121*'1. Standard_Cost'!$E$15</f>
        <v>0</v>
      </c>
      <c r="V121" s="107"/>
      <c r="W121" s="107"/>
      <c r="X121" s="107"/>
      <c r="Y121" s="108">
        <f>+V121*((X121*'1. Standard_Cost'!$B$19)+(W121*X121*'1. Standard_Cost'!$C$19))</f>
        <v>0</v>
      </c>
      <c r="Z121" s="107"/>
      <c r="AA121" s="107"/>
      <c r="AB121" s="108">
        <f>+Z121*'1. Standard_Cost'!$B$23+AA121*'1. Standard_Cost'!$C$23</f>
        <v>0</v>
      </c>
      <c r="AC121" s="109"/>
      <c r="AD121" s="110"/>
      <c r="AE121" s="108">
        <f>SUM(AD121,AC121,AB121,Y121,U121,T121,S121,R121)*'1. Standard_Cost'!$B$31</f>
        <v>0</v>
      </c>
      <c r="AF121" s="108">
        <f t="shared" si="113"/>
        <v>0</v>
      </c>
      <c r="AG121" s="107"/>
      <c r="AH121" s="107"/>
      <c r="AI121" s="107"/>
      <c r="AJ121" s="111"/>
      <c r="AK121" s="111"/>
      <c r="AL121" s="111"/>
      <c r="AM121" s="108">
        <f>AG121*'1. Standard_Cost'!$B$27+'Incremental_Cost Year 7'!AH121*'1. Standard_Cost'!$C$27+'Incremental_Cost Year 7'!AI121*'1. Standard_Cost'!$D$27+'Incremental_Cost Year 7'!AJ121+'Incremental_Cost Year 7'!AL121+AK121</f>
        <v>0</v>
      </c>
      <c r="AN121" s="108">
        <f>AM121*'1. Standard_Cost'!$C$31</f>
        <v>0</v>
      </c>
      <c r="AO121" s="125" t="s">
        <v>335</v>
      </c>
      <c r="AQ121" s="14">
        <f t="shared" si="114"/>
        <v>0</v>
      </c>
      <c r="AR121" s="14">
        <f t="shared" si="115"/>
        <v>0</v>
      </c>
      <c r="AS121" s="14">
        <f t="shared" si="116"/>
        <v>0</v>
      </c>
      <c r="AT121" s="14">
        <f t="shared" si="118"/>
        <v>0</v>
      </c>
      <c r="AU121" s="15"/>
      <c r="AV121" s="15"/>
      <c r="AW121" s="15"/>
      <c r="AX121" s="15"/>
      <c r="AY121" s="15"/>
      <c r="AZ121" s="15"/>
      <c r="BA121" s="15"/>
      <c r="BB121" s="16">
        <f t="shared" si="117"/>
        <v>0</v>
      </c>
    </row>
    <row r="122" spans="1:54" ht="41.4" outlineLevel="2">
      <c r="A122" s="98"/>
      <c r="B122" s="102"/>
      <c r="C122" s="23"/>
      <c r="D122" s="269"/>
      <c r="E122" s="269"/>
      <c r="F122" s="269"/>
      <c r="G122" s="269"/>
      <c r="H122" s="272"/>
      <c r="I122" s="104"/>
      <c r="J122" s="105"/>
      <c r="K122" s="105"/>
      <c r="L122" s="106" t="str">
        <f>IF(I122&lt;&gt;0,((VLOOKUP(I122,'1. Standard_Cost'!$B$4:$D$11,2)+VLOOKUP(I122,'1. Standard_Cost'!$B$4:$D$11,3))*J122*K122),"0")</f>
        <v>0</v>
      </c>
      <c r="M122" s="106">
        <f>L122*'1. Standard_Cost'!$F$4</f>
        <v>0</v>
      </c>
      <c r="N122" s="107"/>
      <c r="O122" s="107"/>
      <c r="P122" s="107"/>
      <c r="Q122" s="107"/>
      <c r="R122" s="108">
        <f>'1. Standard_Cost'!$B$15*N122*P122</f>
        <v>0</v>
      </c>
      <c r="S122" s="108">
        <f>N122*O122*P122*'1. Standard_Cost'!$C$15</f>
        <v>0</v>
      </c>
      <c r="T122" s="108">
        <f>N122*P122*Q122*'1. Standard_Cost'!$D$15</f>
        <v>0</v>
      </c>
      <c r="U122" s="108">
        <f>N122*O122*'1. Standard_Cost'!$E$15</f>
        <v>0</v>
      </c>
      <c r="V122" s="107"/>
      <c r="W122" s="107"/>
      <c r="X122" s="107"/>
      <c r="Y122" s="108">
        <f>+V122*((X122*'1. Standard_Cost'!$B$19)+(W122*X122*'1. Standard_Cost'!$C$19))</f>
        <v>0</v>
      </c>
      <c r="Z122" s="107"/>
      <c r="AA122" s="107"/>
      <c r="AB122" s="108">
        <f>+Z122*'1. Standard_Cost'!$B$23+AA122*'1. Standard_Cost'!$C$23</f>
        <v>0</v>
      </c>
      <c r="AC122" s="109"/>
      <c r="AD122" s="110"/>
      <c r="AE122" s="108">
        <f>SUM(AD122,AC122,AB122,Y122,U122,T122,S122,R122)*'1. Standard_Cost'!$B$31</f>
        <v>0</v>
      </c>
      <c r="AF122" s="108">
        <f t="shared" si="113"/>
        <v>0</v>
      </c>
      <c r="AG122" s="107"/>
      <c r="AH122" s="107"/>
      <c r="AI122" s="107"/>
      <c r="AJ122" s="111"/>
      <c r="AK122" s="111"/>
      <c r="AL122" s="111"/>
      <c r="AM122" s="108">
        <f>AG122*'1. Standard_Cost'!$B$27+'Incremental_Cost Year 7'!AH122*'1. Standard_Cost'!$C$27+'Incremental_Cost Year 7'!AI122*'1. Standard_Cost'!$D$27+'Incremental_Cost Year 7'!AJ122+'Incremental_Cost Year 7'!AL122+AK122</f>
        <v>0</v>
      </c>
      <c r="AN122" s="108">
        <f>AM122*'1. Standard_Cost'!$C$31</f>
        <v>0</v>
      </c>
      <c r="AO122" s="125" t="s">
        <v>355</v>
      </c>
      <c r="AQ122" s="14">
        <f t="shared" si="114"/>
        <v>0</v>
      </c>
      <c r="AR122" s="14">
        <f t="shared" si="115"/>
        <v>0</v>
      </c>
      <c r="AS122" s="14">
        <f t="shared" si="116"/>
        <v>0</v>
      </c>
      <c r="AT122" s="14">
        <f t="shared" si="118"/>
        <v>0</v>
      </c>
      <c r="AU122" s="15"/>
      <c r="AV122" s="15"/>
      <c r="AW122" s="15"/>
      <c r="AX122" s="15"/>
      <c r="AY122" s="15"/>
      <c r="AZ122" s="15"/>
      <c r="BA122" s="15"/>
      <c r="BB122" s="16">
        <f t="shared" si="117"/>
        <v>0</v>
      </c>
    </row>
    <row r="123" spans="1:54" ht="27.6" outlineLevel="2">
      <c r="A123" s="98"/>
      <c r="B123" s="102"/>
      <c r="C123" s="23"/>
      <c r="D123" s="269"/>
      <c r="E123" s="269"/>
      <c r="F123" s="269"/>
      <c r="G123" s="174"/>
      <c r="H123" s="272"/>
      <c r="I123" s="104"/>
      <c r="J123" s="105"/>
      <c r="K123" s="105"/>
      <c r="L123" s="106" t="str">
        <f>IF(I123&lt;&gt;0,((VLOOKUP(I123,'1. Standard_Cost'!$B$4:$D$11,2)+VLOOKUP(I123,'1. Standard_Cost'!$B$4:$D$11,3))*J123*K123),"0")</f>
        <v>0</v>
      </c>
      <c r="M123" s="106">
        <f>L123*'1. Standard_Cost'!$F$4</f>
        <v>0</v>
      </c>
      <c r="N123" s="107"/>
      <c r="O123" s="107"/>
      <c r="P123" s="107"/>
      <c r="Q123" s="107"/>
      <c r="R123" s="108">
        <f>'1. Standard_Cost'!$B$15*N123*P123</f>
        <v>0</v>
      </c>
      <c r="S123" s="108">
        <f>N123*O123*P123*'1. Standard_Cost'!$C$15</f>
        <v>0</v>
      </c>
      <c r="T123" s="108">
        <f>N123*P123*Q123*'1. Standard_Cost'!$D$15</f>
        <v>0</v>
      </c>
      <c r="U123" s="108">
        <f>N123*O123*'1. Standard_Cost'!$E$15</f>
        <v>0</v>
      </c>
      <c r="V123" s="107"/>
      <c r="W123" s="107"/>
      <c r="X123" s="107"/>
      <c r="Y123" s="108">
        <f>+V123*((X123*'1. Standard_Cost'!$B$19)+(W123*X123*'1. Standard_Cost'!$C$19))</f>
        <v>0</v>
      </c>
      <c r="Z123" s="107"/>
      <c r="AA123" s="107"/>
      <c r="AB123" s="108">
        <f>+Z123*'1. Standard_Cost'!$B$23+AA123*'1. Standard_Cost'!$C$23</f>
        <v>0</v>
      </c>
      <c r="AC123" s="109"/>
      <c r="AD123" s="110"/>
      <c r="AE123" s="108">
        <f>SUM(AD123,AC123,AB123,Y123,U123,T123,S123,R123)*'1. Standard_Cost'!$B$31</f>
        <v>0</v>
      </c>
      <c r="AF123" s="108">
        <f t="shared" si="113"/>
        <v>0</v>
      </c>
      <c r="AG123" s="107"/>
      <c r="AH123" s="107"/>
      <c r="AI123" s="107"/>
      <c r="AJ123" s="111"/>
      <c r="AK123" s="111"/>
      <c r="AL123" s="111"/>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14"/>
        <v>0</v>
      </c>
      <c r="AR123" s="14">
        <f t="shared" si="115"/>
        <v>0</v>
      </c>
      <c r="AS123" s="14">
        <f t="shared" si="116"/>
        <v>0</v>
      </c>
      <c r="AT123" s="14">
        <f t="shared" si="118"/>
        <v>0</v>
      </c>
      <c r="AU123" s="15"/>
      <c r="AV123" s="15"/>
      <c r="AW123" s="15"/>
      <c r="AX123" s="15"/>
      <c r="AY123" s="15"/>
      <c r="AZ123" s="15"/>
      <c r="BA123" s="15"/>
      <c r="BB123" s="16">
        <f t="shared" si="117"/>
        <v>0</v>
      </c>
    </row>
    <row r="124" spans="1:54" ht="27.6" outlineLevel="2">
      <c r="A124" s="98"/>
      <c r="B124" s="102"/>
      <c r="C124" s="23"/>
      <c r="D124" s="269"/>
      <c r="E124" s="269"/>
      <c r="F124" s="251"/>
      <c r="G124" s="250"/>
      <c r="H124" s="272"/>
      <c r="I124" s="104"/>
      <c r="J124" s="105"/>
      <c r="K124" s="105"/>
      <c r="L124" s="106" t="str">
        <f>IF(I124&lt;&gt;0,((VLOOKUP(I124,'1. Standard_Cost'!$B$4:$D$11,2)+VLOOKUP(I124,'1. Standard_Cost'!$B$4:$D$11,3))*J124*K124),"0")</f>
        <v>0</v>
      </c>
      <c r="M124" s="106">
        <f>L124*'1. Standard_Cost'!$F$4</f>
        <v>0</v>
      </c>
      <c r="N124" s="107"/>
      <c r="O124" s="107"/>
      <c r="P124" s="107"/>
      <c r="Q124" s="107"/>
      <c r="R124" s="108">
        <f>'1. Standard_Cost'!$B$15*N124*P124</f>
        <v>0</v>
      </c>
      <c r="S124" s="108">
        <f>N124*O124*P124*'1. Standard_Cost'!$C$15</f>
        <v>0</v>
      </c>
      <c r="T124" s="108">
        <f>N124*P124*Q124*'1. Standard_Cost'!$D$15</f>
        <v>0</v>
      </c>
      <c r="U124" s="108">
        <f>N124*O124*'1. Standard_Cost'!$E$15</f>
        <v>0</v>
      </c>
      <c r="V124" s="107"/>
      <c r="W124" s="107"/>
      <c r="X124" s="107"/>
      <c r="Y124" s="108">
        <f>+V124*((X124*'1. Standard_Cost'!$B$19)+(W124*X124*'1. Standard_Cost'!$C$19))</f>
        <v>0</v>
      </c>
      <c r="Z124" s="107"/>
      <c r="AA124" s="107"/>
      <c r="AB124" s="108">
        <f>+Z124*'1. Standard_Cost'!$B$23+AA124*'1. Standard_Cost'!$C$23</f>
        <v>0</v>
      </c>
      <c r="AC124" s="109"/>
      <c r="AD124" s="110"/>
      <c r="AE124" s="108">
        <f>SUM(AD124,AC124,AB124,Y124,U124,T124,S124,R124)*'1. Standard_Cost'!$B$31</f>
        <v>0</v>
      </c>
      <c r="AF124" s="108">
        <f t="shared" si="113"/>
        <v>0</v>
      </c>
      <c r="AG124" s="107"/>
      <c r="AH124" s="107"/>
      <c r="AI124" s="107"/>
      <c r="AJ124" s="111"/>
      <c r="AK124" s="111"/>
      <c r="AL124" s="111"/>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14"/>
        <v>0</v>
      </c>
      <c r="AR124" s="14">
        <f t="shared" si="115"/>
        <v>0</v>
      </c>
      <c r="AS124" s="14">
        <f t="shared" si="116"/>
        <v>0</v>
      </c>
      <c r="AT124" s="14">
        <f t="shared" si="118"/>
        <v>0</v>
      </c>
      <c r="AU124" s="15"/>
      <c r="AV124" s="15"/>
      <c r="AW124" s="15"/>
      <c r="AX124" s="15"/>
      <c r="AY124" s="15"/>
      <c r="AZ124" s="15"/>
      <c r="BA124" s="15"/>
      <c r="BB124" s="16">
        <f t="shared" si="117"/>
        <v>0</v>
      </c>
    </row>
    <row r="125" spans="1:54" ht="27.6" outlineLevel="2">
      <c r="A125" s="98"/>
      <c r="B125" s="102"/>
      <c r="C125" s="23"/>
      <c r="D125" s="269"/>
      <c r="E125" s="269"/>
      <c r="F125" s="269"/>
      <c r="G125" s="269"/>
      <c r="H125" s="272"/>
      <c r="I125" s="104"/>
      <c r="J125" s="105"/>
      <c r="K125" s="105"/>
      <c r="L125" s="106" t="str">
        <f>IF(I125&lt;&gt;0,((VLOOKUP(I125,'1. Standard_Cost'!$B$4:$D$11,2)+VLOOKUP(I125,'1. Standard_Cost'!$B$4:$D$11,3))*J125*K125),"0")</f>
        <v>0</v>
      </c>
      <c r="M125" s="106">
        <f>L125*'1. Standard_Cost'!$F$4</f>
        <v>0</v>
      </c>
      <c r="N125" s="107"/>
      <c r="O125" s="107"/>
      <c r="P125" s="107"/>
      <c r="Q125" s="107"/>
      <c r="R125" s="108">
        <f>'1. Standard_Cost'!$B$15*N125*P125</f>
        <v>0</v>
      </c>
      <c r="S125" s="108">
        <f>N125*O125*P125*'1. Standard_Cost'!$C$15</f>
        <v>0</v>
      </c>
      <c r="T125" s="108">
        <f>N125*P125*Q125*'1. Standard_Cost'!$D$15</f>
        <v>0</v>
      </c>
      <c r="U125" s="108">
        <f>N125*O125*'1. Standard_Cost'!$E$15</f>
        <v>0</v>
      </c>
      <c r="V125" s="107"/>
      <c r="W125" s="107"/>
      <c r="X125" s="107"/>
      <c r="Y125" s="108">
        <f>+V125*((X125*'1. Standard_Cost'!$B$19)+(W125*X125*'1. Standard_Cost'!$C$19))</f>
        <v>0</v>
      </c>
      <c r="Z125" s="107"/>
      <c r="AA125" s="107"/>
      <c r="AB125" s="108">
        <f>+Z125*'1. Standard_Cost'!$B$23+AA125*'1. Standard_Cost'!$C$23</f>
        <v>0</v>
      </c>
      <c r="AC125" s="109"/>
      <c r="AD125" s="110"/>
      <c r="AE125" s="108">
        <f>SUM(AD125,AC125,AB125,Y125,U125,T125,S125,R125)*'1. Standard_Cost'!$B$31</f>
        <v>0</v>
      </c>
      <c r="AF125" s="108">
        <f t="shared" si="113"/>
        <v>0</v>
      </c>
      <c r="AG125" s="107"/>
      <c r="AH125" s="107"/>
      <c r="AI125" s="107"/>
      <c r="AJ125" s="111"/>
      <c r="AK125" s="111"/>
      <c r="AL125" s="111"/>
      <c r="AM125" s="108">
        <f>AG125*'1. Standard_Cost'!$B$27+'Incremental_Cost Year 7'!AH125*'1. Standard_Cost'!$C$27+'Incremental_Cost Year 7'!AI125*'1. Standard_Cost'!$D$27+'Incremental_Cost Year 7'!AJ125+'Incremental_Cost Year 7'!AL125+AK125</f>
        <v>0</v>
      </c>
      <c r="AN125" s="108">
        <f>AM125*'1. Standard_Cost'!$C$31</f>
        <v>0</v>
      </c>
      <c r="AO125" s="125" t="s">
        <v>358</v>
      </c>
      <c r="AQ125" s="14">
        <f t="shared" si="114"/>
        <v>0</v>
      </c>
      <c r="AR125" s="14">
        <f t="shared" si="115"/>
        <v>0</v>
      </c>
      <c r="AS125" s="14">
        <f t="shared" si="116"/>
        <v>0</v>
      </c>
      <c r="AT125" s="14">
        <f t="shared" si="118"/>
        <v>0</v>
      </c>
      <c r="AU125" s="15"/>
      <c r="AV125" s="15"/>
      <c r="AW125" s="15"/>
      <c r="AX125" s="15"/>
      <c r="AY125" s="15"/>
      <c r="AZ125" s="15"/>
      <c r="BA125" s="15"/>
      <c r="BB125" s="16">
        <f t="shared" si="117"/>
        <v>0</v>
      </c>
    </row>
    <row r="126" spans="1:54" ht="27.6" outlineLevel="2">
      <c r="A126" s="98"/>
      <c r="B126" s="102"/>
      <c r="C126" s="23"/>
      <c r="D126" s="269"/>
      <c r="E126" s="269"/>
      <c r="F126" s="269"/>
      <c r="G126" s="269"/>
      <c r="H126" s="272"/>
      <c r="I126" s="104"/>
      <c r="J126" s="105"/>
      <c r="K126" s="105"/>
      <c r="L126" s="106" t="str">
        <f>IF(I126&lt;&gt;0,((VLOOKUP(I126,'1. Standard_Cost'!$B$4:$D$11,2)+VLOOKUP(I126,'1. Standard_Cost'!$B$4:$D$11,3))*J126*K126),"0")</f>
        <v>0</v>
      </c>
      <c r="M126" s="106">
        <f>L126*'1. Standard_Cost'!$F$4</f>
        <v>0</v>
      </c>
      <c r="N126" s="107"/>
      <c r="O126" s="107"/>
      <c r="P126" s="107"/>
      <c r="Q126" s="107"/>
      <c r="R126" s="108">
        <f>'1. Standard_Cost'!$B$15*N126*P126</f>
        <v>0</v>
      </c>
      <c r="S126" s="108">
        <f>N126*O126*P126*'1. Standard_Cost'!$C$15</f>
        <v>0</v>
      </c>
      <c r="T126" s="108">
        <f>N126*P126*Q126*'1. Standard_Cost'!$D$15</f>
        <v>0</v>
      </c>
      <c r="U126" s="108">
        <f>N126*O126*'1. Standard_Cost'!$E$15</f>
        <v>0</v>
      </c>
      <c r="V126" s="107"/>
      <c r="W126" s="107"/>
      <c r="X126" s="107"/>
      <c r="Y126" s="108">
        <f>+V126*((X126*'1. Standard_Cost'!$B$19)+(W126*X126*'1. Standard_Cost'!$C$19))</f>
        <v>0</v>
      </c>
      <c r="Z126" s="107"/>
      <c r="AA126" s="107"/>
      <c r="AB126" s="108">
        <f>+Z126*'1. Standard_Cost'!$B$23+AA126*'1. Standard_Cost'!$C$23</f>
        <v>0</v>
      </c>
      <c r="AC126" s="109"/>
      <c r="AD126" s="110"/>
      <c r="AE126" s="108">
        <f>SUM(AD126,AC126,AB126,Y126,U126,T126,S126,R126)*'1. Standard_Cost'!$B$31</f>
        <v>0</v>
      </c>
      <c r="AF126" s="108">
        <f t="shared" si="113"/>
        <v>0</v>
      </c>
      <c r="AG126" s="107"/>
      <c r="AH126" s="107"/>
      <c r="AI126" s="107"/>
      <c r="AJ126" s="111"/>
      <c r="AK126" s="111"/>
      <c r="AL126" s="111"/>
      <c r="AM126" s="108">
        <f>AG126*'1. Standard_Cost'!$B$27+'Incremental_Cost Year 7'!AH126*'1. Standard_Cost'!$C$27+'Incremental_Cost Year 7'!AI126*'1. Standard_Cost'!$D$27+'Incremental_Cost Year 7'!AJ126+'Incremental_Cost Year 7'!AL126+AK126</f>
        <v>0</v>
      </c>
      <c r="AN126" s="108">
        <f>AM126*'1. Standard_Cost'!$C$31</f>
        <v>0</v>
      </c>
      <c r="AO126" s="125" t="s">
        <v>359</v>
      </c>
      <c r="AQ126" s="14">
        <f t="shared" si="114"/>
        <v>0</v>
      </c>
      <c r="AR126" s="14">
        <f t="shared" si="115"/>
        <v>0</v>
      </c>
      <c r="AS126" s="14">
        <f t="shared" si="116"/>
        <v>0</v>
      </c>
      <c r="AT126" s="14">
        <f t="shared" si="118"/>
        <v>0</v>
      </c>
      <c r="AU126" s="15">
        <f>AT126</f>
        <v>0</v>
      </c>
      <c r="AV126" s="15"/>
      <c r="AW126" s="15"/>
      <c r="AX126" s="15"/>
      <c r="AY126" s="15"/>
      <c r="AZ126" s="15"/>
      <c r="BA126" s="15"/>
      <c r="BB126" s="16">
        <f t="shared" si="117"/>
        <v>0</v>
      </c>
    </row>
    <row r="127" spans="1:54" ht="15.6" outlineLevel="2">
      <c r="A127" s="98"/>
      <c r="B127" s="102"/>
      <c r="C127" s="23"/>
      <c r="D127" s="269"/>
      <c r="E127" s="269"/>
      <c r="F127" s="174"/>
      <c r="G127" s="269"/>
      <c r="H127" s="272"/>
      <c r="I127" s="104"/>
      <c r="J127" s="105"/>
      <c r="K127" s="105"/>
      <c r="L127" s="106" t="str">
        <f>IF(I127&lt;&gt;0,((VLOOKUP(I127,'1. Standard_Cost'!$B$4:$D$11,2)+VLOOKUP(I127,'1. Standard_Cost'!$B$4:$D$11,3))*J127*K127),"0")</f>
        <v>0</v>
      </c>
      <c r="M127" s="106">
        <f>L127*'1. Standard_Cost'!$F$4</f>
        <v>0</v>
      </c>
      <c r="N127" s="107"/>
      <c r="O127" s="107"/>
      <c r="P127" s="107"/>
      <c r="Q127" s="107"/>
      <c r="R127" s="108">
        <f>'1. Standard_Cost'!$B$15*N127*P127</f>
        <v>0</v>
      </c>
      <c r="S127" s="108">
        <f>N127*O127*P127*'1. Standard_Cost'!$C$15</f>
        <v>0</v>
      </c>
      <c r="T127" s="108">
        <f>N127*P127*Q127*'1. Standard_Cost'!$D$15</f>
        <v>0</v>
      </c>
      <c r="U127" s="108">
        <f>N127*O127*'1. Standard_Cost'!$E$15</f>
        <v>0</v>
      </c>
      <c r="V127" s="107"/>
      <c r="W127" s="107"/>
      <c r="X127" s="107"/>
      <c r="Y127" s="108">
        <f>+V127*((X127*'1. Standard_Cost'!$B$19)+(W127*X127*'1. Standard_Cost'!$C$19))</f>
        <v>0</v>
      </c>
      <c r="Z127" s="107"/>
      <c r="AA127" s="107"/>
      <c r="AB127" s="108">
        <f>+Z127*'1. Standard_Cost'!$B$23+AA127*'1. Standard_Cost'!$C$23</f>
        <v>0</v>
      </c>
      <c r="AC127" s="109"/>
      <c r="AD127" s="110"/>
      <c r="AE127" s="108">
        <f>SUM(AD127,AC127,AB127,Y127,U127,T127,S127,R127)*'1. Standard_Cost'!$B$31</f>
        <v>0</v>
      </c>
      <c r="AF127" s="108">
        <f t="shared" si="113"/>
        <v>0</v>
      </c>
      <c r="AG127" s="107"/>
      <c r="AH127" s="107"/>
      <c r="AI127" s="107"/>
      <c r="AJ127" s="111"/>
      <c r="AK127" s="111"/>
      <c r="AL127" s="111"/>
      <c r="AM127" s="108">
        <f>AG127*'1. Standard_Cost'!$B$27+'Incremental_Cost Year 7'!AH127*'1. Standard_Cost'!$C$27+'Incremental_Cost Year 7'!AI127*'1. Standard_Cost'!$D$27+'Incremental_Cost Year 7'!AJ127+'Incremental_Cost Year 7'!AL127+AK127</f>
        <v>0</v>
      </c>
      <c r="AN127" s="108">
        <f>AM127*'1. Standard_Cost'!$C$31</f>
        <v>0</v>
      </c>
      <c r="AO127" s="125" t="s">
        <v>349</v>
      </c>
      <c r="AQ127" s="14">
        <f t="shared" si="114"/>
        <v>0</v>
      </c>
      <c r="AR127" s="14">
        <f t="shared" si="115"/>
        <v>0</v>
      </c>
      <c r="AS127" s="14">
        <f t="shared" si="116"/>
        <v>0</v>
      </c>
      <c r="AT127" s="14">
        <f t="shared" si="118"/>
        <v>0</v>
      </c>
      <c r="AU127" s="15">
        <f>AT127</f>
        <v>0</v>
      </c>
      <c r="AV127" s="15"/>
      <c r="AW127" s="15"/>
      <c r="AX127" s="15"/>
      <c r="AY127" s="15"/>
      <c r="AZ127" s="15"/>
      <c r="BA127" s="15"/>
      <c r="BB127" s="16">
        <f t="shared" si="117"/>
        <v>0</v>
      </c>
    </row>
    <row r="128" spans="1:54" ht="15.6" outlineLevel="2">
      <c r="A128" s="98"/>
      <c r="B128" s="102"/>
      <c r="C128" s="23"/>
      <c r="D128" s="269"/>
      <c r="E128" s="269"/>
      <c r="F128" s="174"/>
      <c r="G128" s="174"/>
      <c r="H128" s="272"/>
      <c r="I128" s="104"/>
      <c r="J128" s="105"/>
      <c r="K128" s="105"/>
      <c r="L128" s="106" t="str">
        <f>IF(I128&lt;&gt;0,((VLOOKUP(I128,'1. Standard_Cost'!$B$4:$D$11,2)+VLOOKUP(I128,'1. Standard_Cost'!$B$4:$D$11,3))*J128*K128),"0")</f>
        <v>0</v>
      </c>
      <c r="M128" s="106">
        <f>L128*'1. Standard_Cost'!$F$4</f>
        <v>0</v>
      </c>
      <c r="N128" s="107"/>
      <c r="O128" s="107"/>
      <c r="P128" s="107"/>
      <c r="Q128" s="107"/>
      <c r="R128" s="108">
        <f>'1. Standard_Cost'!$B$15*N128*P128</f>
        <v>0</v>
      </c>
      <c r="S128" s="108">
        <f>N128*O128*P128*'1. Standard_Cost'!$C$15</f>
        <v>0</v>
      </c>
      <c r="T128" s="108">
        <f>N128*P128*Q128*'1. Standard_Cost'!$D$15</f>
        <v>0</v>
      </c>
      <c r="U128" s="108">
        <f>N128*O128*'1. Standard_Cost'!$E$15</f>
        <v>0</v>
      </c>
      <c r="V128" s="107"/>
      <c r="W128" s="107"/>
      <c r="X128" s="107"/>
      <c r="Y128" s="108">
        <f>+V128*((X128*'1. Standard_Cost'!$B$19)+(W128*X128*'1. Standard_Cost'!$C$19))</f>
        <v>0</v>
      </c>
      <c r="Z128" s="107"/>
      <c r="AA128" s="107"/>
      <c r="AB128" s="108">
        <f>+Z128*'1. Standard_Cost'!$B$23+AA128*'1. Standard_Cost'!$C$23</f>
        <v>0</v>
      </c>
      <c r="AC128" s="109"/>
      <c r="AD128" s="110"/>
      <c r="AE128" s="108">
        <f>SUM(AD128,AC128,AB128,Y128,U128,T128,S128,R128)*'1. Standard_Cost'!$B$31</f>
        <v>0</v>
      </c>
      <c r="AF128" s="108">
        <f t="shared" si="113"/>
        <v>0</v>
      </c>
      <c r="AG128" s="107"/>
      <c r="AH128" s="107"/>
      <c r="AI128" s="107"/>
      <c r="AJ128" s="111"/>
      <c r="AK128" s="111"/>
      <c r="AL128" s="111"/>
      <c r="AM128" s="108">
        <f>AG128*'1. Standard_Cost'!$B$27+'Incremental_Cost Year 7'!AH128*'1. Standard_Cost'!$C$27+'Incremental_Cost Year 7'!AI128*'1. Standard_Cost'!$D$27+'Incremental_Cost Year 7'!AJ128+'Incremental_Cost Year 7'!AL128+AK128</f>
        <v>0</v>
      </c>
      <c r="AN128" s="108">
        <f>AM128*'1. Standard_Cost'!$C$31</f>
        <v>0</v>
      </c>
      <c r="AO128" s="125" t="s">
        <v>360</v>
      </c>
      <c r="AQ128" s="14">
        <f t="shared" si="114"/>
        <v>0</v>
      </c>
      <c r="AR128" s="14">
        <f t="shared" si="115"/>
        <v>0</v>
      </c>
      <c r="AS128" s="14">
        <f t="shared" si="116"/>
        <v>0</v>
      </c>
      <c r="AT128" s="14">
        <f t="shared" si="118"/>
        <v>0</v>
      </c>
      <c r="AU128" s="15"/>
      <c r="AV128" s="15"/>
      <c r="AW128" s="15"/>
      <c r="AX128" s="15"/>
      <c r="AY128" s="15"/>
      <c r="AZ128" s="15"/>
      <c r="BA128" s="15"/>
      <c r="BB128" s="16">
        <f t="shared" si="117"/>
        <v>0</v>
      </c>
    </row>
    <row r="129" spans="1:54" ht="78" customHeight="1" outlineLevel="2">
      <c r="A129" s="98"/>
      <c r="B129" s="102"/>
      <c r="C129" s="23"/>
      <c r="D129" s="269"/>
      <c r="E129" s="269"/>
      <c r="F129" s="269"/>
      <c r="G129" s="269"/>
      <c r="H129" s="272"/>
      <c r="I129" s="104"/>
      <c r="J129" s="105"/>
      <c r="K129" s="105"/>
      <c r="L129" s="106" t="str">
        <f>IF(I129&lt;&gt;0,((VLOOKUP(I129,'1. Standard_Cost'!$B$4:$D$11,2)+VLOOKUP(I129,'1. Standard_Cost'!$B$4:$D$11,3))*J129*K129),"0")</f>
        <v>0</v>
      </c>
      <c r="M129" s="106">
        <f>L129*'1. Standard_Cost'!$F$4</f>
        <v>0</v>
      </c>
      <c r="N129" s="107"/>
      <c r="O129" s="107"/>
      <c r="P129" s="107"/>
      <c r="Q129" s="107"/>
      <c r="R129" s="108">
        <f>'1. Standard_Cost'!$B$15*N129*P129</f>
        <v>0</v>
      </c>
      <c r="S129" s="108">
        <f>N129*O129*P129*'1. Standard_Cost'!$C$15</f>
        <v>0</v>
      </c>
      <c r="T129" s="108">
        <f>N129*P129*Q129*'1. Standard_Cost'!$D$15</f>
        <v>0</v>
      </c>
      <c r="U129" s="108">
        <f>N129*O129*'1. Standard_Cost'!$E$15</f>
        <v>0</v>
      </c>
      <c r="V129" s="107"/>
      <c r="W129" s="107"/>
      <c r="X129" s="107"/>
      <c r="Y129" s="108">
        <f>+V129*((X129*'1. Standard_Cost'!$B$19)+(W129*X129*'1. Standard_Cost'!$C$19))</f>
        <v>0</v>
      </c>
      <c r="Z129" s="107"/>
      <c r="AA129" s="107"/>
      <c r="AB129" s="108">
        <f>+Z129*'1. Standard_Cost'!$B$23+AA129*'1. Standard_Cost'!$C$23</f>
        <v>0</v>
      </c>
      <c r="AC129" s="109"/>
      <c r="AD129" s="110"/>
      <c r="AE129" s="108">
        <f>SUM(AD129,AC129,AB129,Y129,U129,T129,S129,R129)*'1. Standard_Cost'!$B$31</f>
        <v>0</v>
      </c>
      <c r="AF129" s="108">
        <f t="shared" si="113"/>
        <v>0</v>
      </c>
      <c r="AG129" s="107"/>
      <c r="AH129" s="107"/>
      <c r="AI129" s="107"/>
      <c r="AJ129" s="111"/>
      <c r="AK129" s="111"/>
      <c r="AL129" s="111"/>
      <c r="AM129" s="108">
        <f>AG129*'1. Standard_Cost'!$B$27+'Incremental_Cost Year 7'!AH129*'1. Standard_Cost'!$C$27+'Incremental_Cost Year 7'!AI129*'1. Standard_Cost'!$D$27+'Incremental_Cost Year 7'!AJ129+'Incremental_Cost Year 7'!AL129+AK129</f>
        <v>0</v>
      </c>
      <c r="AN129" s="108">
        <f>AM129*'1. Standard_Cost'!$C$31</f>
        <v>0</v>
      </c>
      <c r="AO129" s="125" t="s">
        <v>361</v>
      </c>
      <c r="AQ129" s="14">
        <f t="shared" si="114"/>
        <v>0</v>
      </c>
      <c r="AR129" s="14">
        <f t="shared" si="115"/>
        <v>0</v>
      </c>
      <c r="AS129" s="14">
        <f t="shared" si="116"/>
        <v>0</v>
      </c>
      <c r="AT129" s="14">
        <f t="shared" si="118"/>
        <v>0</v>
      </c>
      <c r="AU129" s="15"/>
      <c r="AV129" s="15"/>
      <c r="AW129" s="15"/>
      <c r="AX129" s="15"/>
      <c r="AY129" s="15"/>
      <c r="AZ129" s="15"/>
      <c r="BA129" s="15"/>
      <c r="BB129" s="16">
        <f t="shared" si="117"/>
        <v>0</v>
      </c>
    </row>
    <row r="130" spans="1:54" ht="27.6" outlineLevel="2">
      <c r="A130" s="98"/>
      <c r="B130" s="102"/>
      <c r="C130" s="23"/>
      <c r="D130" s="269"/>
      <c r="E130" s="269"/>
      <c r="F130" s="174"/>
      <c r="G130" s="174"/>
      <c r="H130" s="272"/>
      <c r="I130" s="104"/>
      <c r="J130" s="105"/>
      <c r="K130" s="105"/>
      <c r="L130" s="106" t="str">
        <f>IF(I130&lt;&gt;0,((VLOOKUP(I130,'1. Standard_Cost'!$B$4:$D$11,2)+VLOOKUP(I130,'1. Standard_Cost'!$B$4:$D$11,3))*J130*K130),"0")</f>
        <v>0</v>
      </c>
      <c r="M130" s="106">
        <f>L130*'1. Standard_Cost'!$F$4</f>
        <v>0</v>
      </c>
      <c r="N130" s="107"/>
      <c r="O130" s="107"/>
      <c r="P130" s="107"/>
      <c r="Q130" s="107"/>
      <c r="R130" s="108">
        <f>'1. Standard_Cost'!$B$15*N130*P130</f>
        <v>0</v>
      </c>
      <c r="S130" s="108">
        <f>N130*O130*P130*'1. Standard_Cost'!$C$15</f>
        <v>0</v>
      </c>
      <c r="T130" s="108">
        <f>N130*P130*Q130*'1. Standard_Cost'!$D$15</f>
        <v>0</v>
      </c>
      <c r="U130" s="108">
        <f>N130*O130*'1. Standard_Cost'!$E$15</f>
        <v>0</v>
      </c>
      <c r="V130" s="107"/>
      <c r="W130" s="107"/>
      <c r="X130" s="107"/>
      <c r="Y130" s="108">
        <f>+V130*((X130*'1. Standard_Cost'!$B$19)+(W130*X130*'1. Standard_Cost'!$C$19))</f>
        <v>0</v>
      </c>
      <c r="Z130" s="107"/>
      <c r="AA130" s="107"/>
      <c r="AB130" s="108">
        <f>+Z130*'1. Standard_Cost'!$B$23+AA130*'1. Standard_Cost'!$C$23</f>
        <v>0</v>
      </c>
      <c r="AC130" s="109"/>
      <c r="AD130" s="110"/>
      <c r="AE130" s="108">
        <f>SUM(AD130,AC130,AB130,Y130,U130,T130,S130,R130)*'1. Standard_Cost'!$B$31</f>
        <v>0</v>
      </c>
      <c r="AF130" s="108">
        <f t="shared" si="113"/>
        <v>0</v>
      </c>
      <c r="AG130" s="107"/>
      <c r="AH130" s="107"/>
      <c r="AI130" s="107"/>
      <c r="AJ130" s="111"/>
      <c r="AK130" s="111"/>
      <c r="AL130" s="111"/>
      <c r="AM130" s="108">
        <f>AG130*'1. Standard_Cost'!$B$27+'Incremental_Cost Year 7'!AH130*'1. Standard_Cost'!$C$27+'Incremental_Cost Year 7'!AI130*'1. Standard_Cost'!$D$27+'Incremental_Cost Year 7'!AJ130+'Incremental_Cost Year 7'!AL130+AK130</f>
        <v>0</v>
      </c>
      <c r="AN130" s="108">
        <f>AM130*'1. Standard_Cost'!$C$31</f>
        <v>0</v>
      </c>
      <c r="AO130" s="125" t="s">
        <v>362</v>
      </c>
      <c r="AQ130" s="14">
        <f t="shared" si="114"/>
        <v>0</v>
      </c>
      <c r="AR130" s="14">
        <f t="shared" si="115"/>
        <v>0</v>
      </c>
      <c r="AS130" s="14">
        <f t="shared" si="116"/>
        <v>0</v>
      </c>
      <c r="AT130" s="14">
        <f t="shared" si="118"/>
        <v>0</v>
      </c>
      <c r="AU130" s="15"/>
      <c r="AV130" s="15"/>
      <c r="AW130" s="15"/>
      <c r="AX130" s="15"/>
      <c r="AY130" s="15"/>
      <c r="AZ130" s="15"/>
      <c r="BA130" s="15"/>
      <c r="BB130" s="16">
        <f t="shared" si="117"/>
        <v>0</v>
      </c>
    </row>
    <row r="131" spans="1:54" ht="113.4" customHeight="1" outlineLevel="2">
      <c r="A131" s="98"/>
      <c r="B131" s="102"/>
      <c r="C131" s="23"/>
      <c r="D131" s="269"/>
      <c r="E131" s="269"/>
      <c r="F131" s="269"/>
      <c r="G131" s="269"/>
      <c r="H131" s="160"/>
      <c r="I131" s="104"/>
      <c r="J131" s="105"/>
      <c r="K131" s="105"/>
      <c r="L131" s="106" t="str">
        <f>IF(I131&lt;&gt;0,((VLOOKUP(I131,'[1]1. Standard_Cost'!$B$4:$D$11,2)+VLOOKUP(I131,'[1]1. Standard_Cost'!$B$4:$D$11,3))*J131*K131),"0")</f>
        <v>0</v>
      </c>
      <c r="M131" s="106">
        <f>L131*'[1]1. Standard_Cost'!$F$4</f>
        <v>0</v>
      </c>
      <c r="N131" s="107"/>
      <c r="O131" s="107"/>
      <c r="P131" s="107"/>
      <c r="Q131" s="107"/>
      <c r="R131" s="108">
        <f>'[1]1. Standard_Cost'!$B$15*N131*P131</f>
        <v>0</v>
      </c>
      <c r="S131" s="108">
        <f>N131*O131*P131*'[1]1. Standard_Cost'!$C$15</f>
        <v>0</v>
      </c>
      <c r="T131" s="108">
        <f>N131*P131*Q131*'[1]1. Standard_Cost'!$D$15</f>
        <v>0</v>
      </c>
      <c r="U131" s="108">
        <f>N131*O131*'[1]1. Standard_Cost'!$E$15</f>
        <v>0</v>
      </c>
      <c r="V131" s="107"/>
      <c r="W131" s="107"/>
      <c r="X131" s="107"/>
      <c r="Y131" s="108">
        <f>+V131*((X131*'[1]1. Standard_Cost'!$B$19)+(W131*X131*'[1]1. Standard_Cost'!$C$19))</f>
        <v>0</v>
      </c>
      <c r="Z131" s="107"/>
      <c r="AA131" s="107"/>
      <c r="AB131" s="108">
        <f>+Z131*'[1]1. Standard_Cost'!$B$23+AA131*'[1]1. Standard_Cost'!$C$23</f>
        <v>0</v>
      </c>
      <c r="AC131" s="109"/>
      <c r="AD131" s="110"/>
      <c r="AE131" s="108">
        <f>SUM(AD131,AC131,AB131,Y131,U131,T131,S131,R131)*'[1]1. Standard_Cost'!$B$31</f>
        <v>0</v>
      </c>
      <c r="AF131" s="108">
        <f t="shared" si="113"/>
        <v>0</v>
      </c>
      <c r="AG131" s="107"/>
      <c r="AH131" s="107"/>
      <c r="AI131" s="107"/>
      <c r="AJ131" s="111"/>
      <c r="AK131" s="111"/>
      <c r="AL131" s="111"/>
      <c r="AM131" s="108">
        <f>AG131*'[1]1. Standard_Cost'!$B$27+'[1]Incremental_Cost Year 7'!AH130*'[1]1. Standard_Cost'!$C$27+'[1]Incremental_Cost Year 7'!AI130*'[1]1. Standard_Cost'!$D$27+'[1]Incremental_Cost Year 7'!AJ130+'[1]Incremental_Cost Year 7'!AL130+AK131</f>
        <v>0</v>
      </c>
      <c r="AN131" s="108">
        <f>AM131*'[1]1. Standard_Cost'!$C$31</f>
        <v>0</v>
      </c>
      <c r="AO131" s="125" t="s">
        <v>443</v>
      </c>
      <c r="AQ131" s="14">
        <f t="shared" si="114"/>
        <v>0</v>
      </c>
      <c r="AR131" s="14">
        <f t="shared" si="115"/>
        <v>0</v>
      </c>
      <c r="AS131" s="14">
        <f t="shared" si="116"/>
        <v>0</v>
      </c>
      <c r="AT131" s="14">
        <f t="shared" si="118"/>
        <v>0</v>
      </c>
      <c r="AU131" s="15"/>
      <c r="AV131" s="15"/>
      <c r="AW131" s="15"/>
      <c r="AX131" s="15"/>
      <c r="AY131" s="15"/>
      <c r="AZ131" s="15"/>
      <c r="BA131" s="15"/>
      <c r="BB131" s="16">
        <f t="shared" si="117"/>
        <v>0</v>
      </c>
    </row>
    <row r="132" spans="1:54" ht="15.6" outlineLevel="2">
      <c r="A132" s="98"/>
      <c r="B132" s="102"/>
      <c r="C132" s="23"/>
      <c r="D132" s="269"/>
      <c r="E132" s="269"/>
      <c r="F132" s="174"/>
      <c r="G132" s="174"/>
      <c r="H132" s="272"/>
      <c r="I132" s="104"/>
      <c r="J132" s="105"/>
      <c r="K132" s="105"/>
      <c r="L132" s="106" t="str">
        <f>IF(I132&lt;&gt;0,((VLOOKUP(I132,'1. Standard_Cost'!$B$4:$D$11,2)+VLOOKUP(I132,'1. Standard_Cost'!$B$4:$D$11,3))*J132*K132),"0")</f>
        <v>0</v>
      </c>
      <c r="M132" s="106">
        <f>L132*'1. Standard_Cost'!$F$4</f>
        <v>0</v>
      </c>
      <c r="N132" s="107"/>
      <c r="O132" s="107"/>
      <c r="P132" s="107"/>
      <c r="Q132" s="107"/>
      <c r="R132" s="108">
        <f>'1. Standard_Cost'!$B$15*N132*P132</f>
        <v>0</v>
      </c>
      <c r="S132" s="108">
        <f>N132*O132*P132*'1. Standard_Cost'!$C$15</f>
        <v>0</v>
      </c>
      <c r="T132" s="108">
        <f>N132*P132*Q132*'1. Standard_Cost'!$D$15</f>
        <v>0</v>
      </c>
      <c r="U132" s="108">
        <f>N132*O132*'1. Standard_Cost'!$E$15</f>
        <v>0</v>
      </c>
      <c r="V132" s="107"/>
      <c r="W132" s="107"/>
      <c r="X132" s="107"/>
      <c r="Y132" s="108">
        <f>+V132*((X132*'1. Standard_Cost'!$B$19)+(W132*X132*'1. Standard_Cost'!$C$19))</f>
        <v>0</v>
      </c>
      <c r="Z132" s="107"/>
      <c r="AA132" s="107"/>
      <c r="AB132" s="108">
        <f>+Z132*'1. Standard_Cost'!$B$23+AA132*'1. Standard_Cost'!$C$23</f>
        <v>0</v>
      </c>
      <c r="AC132" s="109"/>
      <c r="AD132" s="110"/>
      <c r="AE132" s="108">
        <f>SUM(AD132,AC132,AB132,Y132,U132,T132,S132,R132)*'1. Standard_Cost'!$B$31</f>
        <v>0</v>
      </c>
      <c r="AF132" s="108">
        <f t="shared" si="113"/>
        <v>0</v>
      </c>
      <c r="AG132" s="107"/>
      <c r="AH132" s="107"/>
      <c r="AI132" s="107"/>
      <c r="AJ132" s="111"/>
      <c r="AK132" s="111"/>
      <c r="AL132" s="111"/>
      <c r="AM132" s="108">
        <f>AG132*'1. Standard_Cost'!$B$27+'Incremental_Cost Year 7'!AH132*'1. Standard_Cost'!$C$27+'Incremental_Cost Year 7'!AI132*'1. Standard_Cost'!$D$27+'Incremental_Cost Year 7'!AJ132+'Incremental_Cost Year 7'!AL132+AK132</f>
        <v>0</v>
      </c>
      <c r="AN132" s="108">
        <f>AM132*'1. Standard_Cost'!$C$31</f>
        <v>0</v>
      </c>
      <c r="AO132" s="125" t="s">
        <v>363</v>
      </c>
      <c r="AQ132" s="14">
        <f t="shared" si="114"/>
        <v>0</v>
      </c>
      <c r="AR132" s="14">
        <f t="shared" si="115"/>
        <v>0</v>
      </c>
      <c r="AS132" s="14">
        <f t="shared" si="116"/>
        <v>0</v>
      </c>
      <c r="AT132" s="14">
        <f t="shared" si="118"/>
        <v>0</v>
      </c>
      <c r="AU132" s="15"/>
      <c r="AV132" s="15"/>
      <c r="AW132" s="15"/>
      <c r="AX132" s="15"/>
      <c r="AY132" s="15"/>
      <c r="AZ132" s="15"/>
      <c r="BA132" s="15"/>
      <c r="BB132" s="16">
        <f t="shared" si="117"/>
        <v>0</v>
      </c>
    </row>
    <row r="133" spans="1:54" ht="15.6" outlineLevel="2">
      <c r="A133" s="98"/>
      <c r="B133" s="102"/>
      <c r="C133" s="23"/>
      <c r="D133" s="269"/>
      <c r="E133" s="269"/>
      <c r="F133" s="174"/>
      <c r="G133" s="174"/>
      <c r="H133" s="272"/>
      <c r="I133" s="104"/>
      <c r="J133" s="105"/>
      <c r="K133" s="105"/>
      <c r="L133" s="106" t="str">
        <f>IF(I133&lt;&gt;0,((VLOOKUP(I133,'1. Standard_Cost'!$B$4:$D$11,2)+VLOOKUP(I133,'1. Standard_Cost'!$B$4:$D$11,3))*J133*K133),"0")</f>
        <v>0</v>
      </c>
      <c r="M133" s="106">
        <f>L133*'1. Standard_Cost'!$F$4</f>
        <v>0</v>
      </c>
      <c r="N133" s="107"/>
      <c r="O133" s="107"/>
      <c r="P133" s="107"/>
      <c r="Q133" s="107"/>
      <c r="R133" s="108">
        <f>'1. Standard_Cost'!$B$15*N133*P133</f>
        <v>0</v>
      </c>
      <c r="S133" s="108">
        <f>N133*O133*P133*'1. Standard_Cost'!$C$15</f>
        <v>0</v>
      </c>
      <c r="T133" s="108">
        <f>N133*P133*Q133*'1. Standard_Cost'!$D$15</f>
        <v>0</v>
      </c>
      <c r="U133" s="108">
        <f>N133*O133*'1. Standard_Cost'!$E$15</f>
        <v>0</v>
      </c>
      <c r="V133" s="107"/>
      <c r="W133" s="107"/>
      <c r="X133" s="107"/>
      <c r="Y133" s="108">
        <f>+V133*((X133*'1. Standard_Cost'!$B$19)+(W133*X133*'1. Standard_Cost'!$C$19))</f>
        <v>0</v>
      </c>
      <c r="Z133" s="107"/>
      <c r="AA133" s="107"/>
      <c r="AB133" s="108">
        <f>+Z133*'1. Standard_Cost'!$B$23+AA133*'1. Standard_Cost'!$C$23</f>
        <v>0</v>
      </c>
      <c r="AC133" s="109"/>
      <c r="AD133" s="110"/>
      <c r="AE133" s="108">
        <f>SUM(AD133,AC133,AB133,Y133,U133,T133,S133,R133)*'1. Standard_Cost'!$B$31</f>
        <v>0</v>
      </c>
      <c r="AF133" s="108">
        <f t="shared" si="113"/>
        <v>0</v>
      </c>
      <c r="AG133" s="107"/>
      <c r="AH133" s="107"/>
      <c r="AI133" s="107"/>
      <c r="AJ133" s="111"/>
      <c r="AK133" s="111"/>
      <c r="AL133" s="111"/>
      <c r="AM133" s="108">
        <f>AG133*'1. Standard_Cost'!$B$27+'Incremental_Cost Year 7'!AH133*'1. Standard_Cost'!$C$27+'Incremental_Cost Year 7'!AI133*'1. Standard_Cost'!$D$27+'Incremental_Cost Year 7'!AJ133+'Incremental_Cost Year 7'!AL133+AK133</f>
        <v>0</v>
      </c>
      <c r="AN133" s="108">
        <f>AM133*'1. Standard_Cost'!$C$31</f>
        <v>0</v>
      </c>
      <c r="AO133" s="125" t="s">
        <v>364</v>
      </c>
      <c r="AQ133" s="14">
        <f t="shared" si="114"/>
        <v>0</v>
      </c>
      <c r="AR133" s="14">
        <f t="shared" si="115"/>
        <v>0</v>
      </c>
      <c r="AS133" s="14">
        <f t="shared" si="116"/>
        <v>0</v>
      </c>
      <c r="AT133" s="14">
        <f t="shared" si="118"/>
        <v>0</v>
      </c>
      <c r="AU133" s="15"/>
      <c r="AV133" s="15"/>
      <c r="AW133" s="15"/>
      <c r="AX133" s="15"/>
      <c r="AY133" s="15"/>
      <c r="AZ133" s="15"/>
      <c r="BA133" s="15"/>
      <c r="BB133" s="16">
        <f t="shared" si="117"/>
        <v>0</v>
      </c>
    </row>
    <row r="134" spans="1:54" ht="15.6" outlineLevel="2">
      <c r="A134" s="98"/>
      <c r="B134" s="102"/>
      <c r="C134" s="23"/>
      <c r="D134" s="269"/>
      <c r="E134" s="269"/>
      <c r="F134" s="174"/>
      <c r="G134" s="174"/>
      <c r="H134" s="272"/>
      <c r="I134" s="104"/>
      <c r="J134" s="105"/>
      <c r="K134" s="105"/>
      <c r="L134" s="106" t="str">
        <f>IF(I134&lt;&gt;0,((VLOOKUP(I134,'1. Standard_Cost'!$B$4:$D$11,2)+VLOOKUP(I134,'1. Standard_Cost'!$B$4:$D$11,3))*J134*K134),"0")</f>
        <v>0</v>
      </c>
      <c r="M134" s="106">
        <f>L134*'1. Standard_Cost'!$F$4</f>
        <v>0</v>
      </c>
      <c r="N134" s="107"/>
      <c r="O134" s="107"/>
      <c r="P134" s="107"/>
      <c r="Q134" s="107"/>
      <c r="R134" s="108">
        <f>'1. Standard_Cost'!$B$15*N134*P134</f>
        <v>0</v>
      </c>
      <c r="S134" s="108">
        <f>N134*O134*P134*'1. Standard_Cost'!$C$15</f>
        <v>0</v>
      </c>
      <c r="T134" s="108">
        <f>N134*P134*Q134*'1. Standard_Cost'!$D$15</f>
        <v>0</v>
      </c>
      <c r="U134" s="108">
        <f>N134*O134*'1. Standard_Cost'!$E$15</f>
        <v>0</v>
      </c>
      <c r="V134" s="107"/>
      <c r="W134" s="107"/>
      <c r="X134" s="107"/>
      <c r="Y134" s="108">
        <f>+V134*((X134*'1. Standard_Cost'!$B$19)+(W134*X134*'1. Standard_Cost'!$C$19))</f>
        <v>0</v>
      </c>
      <c r="Z134" s="107"/>
      <c r="AA134" s="107"/>
      <c r="AB134" s="108">
        <f>+Z134*'1. Standard_Cost'!$B$23+AA134*'1. Standard_Cost'!$C$23</f>
        <v>0</v>
      </c>
      <c r="AC134" s="109"/>
      <c r="AD134" s="110"/>
      <c r="AE134" s="108">
        <f>SUM(AD134,AC134,AB134,Y134,U134,T134,S134,R134)*'1. Standard_Cost'!$B$31</f>
        <v>0</v>
      </c>
      <c r="AF134" s="108">
        <f t="shared" si="113"/>
        <v>0</v>
      </c>
      <c r="AG134" s="107"/>
      <c r="AH134" s="107"/>
      <c r="AI134" s="107"/>
      <c r="AJ134" s="111"/>
      <c r="AK134" s="111"/>
      <c r="AL134" s="111"/>
      <c r="AM134" s="108">
        <f>AG134*'1. Standard_Cost'!$B$27+'Incremental_Cost Year 2'!AH177*'1. Standard_Cost'!$C$27+'Incremental_Cost Year 2'!AI177*'1. Standard_Cost'!$D$27+'Incremental_Cost Year 2'!AJ177+'Incremental_Cost Year 2'!AL177+AK134</f>
        <v>0</v>
      </c>
      <c r="AN134" s="108">
        <f>AM134*'1. Standard_Cost'!$C$31</f>
        <v>0</v>
      </c>
      <c r="AO134" s="125" t="s">
        <v>365</v>
      </c>
      <c r="AQ134" s="14">
        <f t="shared" si="114"/>
        <v>0</v>
      </c>
      <c r="AR134" s="14">
        <f t="shared" si="115"/>
        <v>0</v>
      </c>
      <c r="AS134" s="14">
        <f t="shared" si="116"/>
        <v>0</v>
      </c>
      <c r="AT134" s="14">
        <f t="shared" si="118"/>
        <v>0</v>
      </c>
      <c r="AU134" s="15"/>
      <c r="AV134" s="15"/>
      <c r="AW134" s="15"/>
      <c r="AX134" s="15"/>
      <c r="AY134" s="15"/>
      <c r="AZ134" s="15"/>
      <c r="BA134" s="15"/>
      <c r="BB134" s="16">
        <f t="shared" si="117"/>
        <v>0</v>
      </c>
    </row>
    <row r="135" spans="1:54" ht="15.6" outlineLevel="2">
      <c r="A135" s="98"/>
      <c r="B135" s="102"/>
      <c r="C135" s="23"/>
      <c r="D135" s="269"/>
      <c r="E135" s="269"/>
      <c r="F135" s="251"/>
      <c r="G135" s="250"/>
      <c r="H135" s="176"/>
      <c r="I135" s="104"/>
      <c r="J135" s="105"/>
      <c r="K135" s="105"/>
      <c r="L135" s="106" t="str">
        <f>IF(I135&lt;&gt;0,((VLOOKUP(I135,'1. Standard_Cost'!$B$4:$D$11,2)+VLOOKUP(I135,'1. Standard_Cost'!$B$4:$D$11,3))*J135*K135),"0")</f>
        <v>0</v>
      </c>
      <c r="M135" s="106">
        <f>L135*'1. Standard_Cost'!$F$4</f>
        <v>0</v>
      </c>
      <c r="N135" s="107"/>
      <c r="O135" s="107"/>
      <c r="P135" s="107"/>
      <c r="Q135" s="107"/>
      <c r="R135" s="108">
        <f>'1. Standard_Cost'!$B$15*N135*P135</f>
        <v>0</v>
      </c>
      <c r="S135" s="108">
        <f>N135*O135*P135*'1. Standard_Cost'!$C$15</f>
        <v>0</v>
      </c>
      <c r="T135" s="108">
        <f>N135*P135*Q135*'1. Standard_Cost'!$D$15</f>
        <v>0</v>
      </c>
      <c r="U135" s="108">
        <f>N135*O135*'1. Standard_Cost'!$E$15</f>
        <v>0</v>
      </c>
      <c r="V135" s="107"/>
      <c r="W135" s="107"/>
      <c r="X135" s="107"/>
      <c r="Y135" s="108">
        <f>+V135*((X135*'1. Standard_Cost'!$B$19)+(W135*X135*'1. Standard_Cost'!$C$19))</f>
        <v>0</v>
      </c>
      <c r="Z135" s="107"/>
      <c r="AA135" s="107"/>
      <c r="AB135" s="108">
        <f>+Z135*'1. Standard_Cost'!$B$23+AA135*'1. Standard_Cost'!$C$23</f>
        <v>0</v>
      </c>
      <c r="AC135" s="109"/>
      <c r="AD135" s="110"/>
      <c r="AE135" s="108">
        <f>SUM(AD135,AC135,AB135,Y135,U135,T135,S135,R135)*'1. Standard_Cost'!$B$31</f>
        <v>0</v>
      </c>
      <c r="AF135" s="108">
        <f t="shared" si="113"/>
        <v>0</v>
      </c>
      <c r="AG135" s="107"/>
      <c r="AH135" s="107"/>
      <c r="AI135" s="107"/>
      <c r="AJ135" s="111"/>
      <c r="AK135" s="111"/>
      <c r="AL135" s="111"/>
      <c r="AM135" s="108">
        <f>AG135*'1. Standard_Cost'!$B$27+'Incremental_Cost Year 2'!AH178*'1. Standard_Cost'!$C$27+'Incremental_Cost Year 2'!AI178*'1. Standard_Cost'!$D$27+'Incremental_Cost Year 2'!AJ178+'Incremental_Cost Year 2'!AL178+AK135</f>
        <v>0</v>
      </c>
      <c r="AN135" s="108">
        <f>AM135*'1. Standard_Cost'!$C$31</f>
        <v>0</v>
      </c>
      <c r="AO135" s="125" t="s">
        <v>366</v>
      </c>
      <c r="AQ135" s="14">
        <f t="shared" si="114"/>
        <v>0</v>
      </c>
      <c r="AR135" s="14">
        <f t="shared" si="115"/>
        <v>0</v>
      </c>
      <c r="AS135" s="14">
        <f t="shared" si="116"/>
        <v>0</v>
      </c>
      <c r="AT135" s="14">
        <f t="shared" si="118"/>
        <v>0</v>
      </c>
      <c r="AU135" s="15"/>
      <c r="AV135" s="15"/>
      <c r="AW135" s="15"/>
      <c r="AX135" s="15"/>
      <c r="AY135" s="15"/>
      <c r="AZ135" s="15"/>
      <c r="BA135" s="15"/>
      <c r="BB135" s="16">
        <f t="shared" si="117"/>
        <v>0</v>
      </c>
    </row>
    <row r="136" spans="1:54" ht="27.6" outlineLevel="1">
      <c r="A136" s="98"/>
      <c r="B136" s="102"/>
      <c r="C136" s="23"/>
      <c r="D136" s="56" t="s">
        <v>47</v>
      </c>
      <c r="E136" s="56" t="s">
        <v>228</v>
      </c>
      <c r="F136" s="253">
        <v>2021</v>
      </c>
      <c r="G136" s="254">
        <v>2026</v>
      </c>
      <c r="H136" s="277" t="s">
        <v>227</v>
      </c>
      <c r="I136" s="112"/>
      <c r="J136" s="112"/>
      <c r="K136" s="112"/>
      <c r="L136" s="113">
        <f>SUM(L114:L135)</f>
        <v>0</v>
      </c>
      <c r="M136" s="113">
        <f>SUM(M114:M135)</f>
        <v>0</v>
      </c>
      <c r="N136" s="112"/>
      <c r="O136" s="112"/>
      <c r="P136" s="112"/>
      <c r="Q136" s="112"/>
      <c r="R136" s="113">
        <f>SUM(R114:R135)</f>
        <v>0</v>
      </c>
      <c r="S136" s="113">
        <f>SUM(S114:S135)</f>
        <v>0</v>
      </c>
      <c r="T136" s="113">
        <f>SUM(T114:T135)</f>
        <v>0</v>
      </c>
      <c r="U136" s="113">
        <f>SUM(U114:U135)</f>
        <v>0</v>
      </c>
      <c r="V136" s="112"/>
      <c r="W136" s="112"/>
      <c r="X136" s="112"/>
      <c r="Y136" s="113">
        <f>SUM(Y114:Y135)</f>
        <v>0</v>
      </c>
      <c r="Z136" s="112"/>
      <c r="AA136" s="112"/>
      <c r="AB136" s="113">
        <f>SUM(AB114:AB135)</f>
        <v>0</v>
      </c>
      <c r="AC136" s="113">
        <f>SUM(AC114:AC135)</f>
        <v>0</v>
      </c>
      <c r="AD136" s="113">
        <f>SUM(AD114:AD135)</f>
        <v>0</v>
      </c>
      <c r="AE136" s="113">
        <f>SUM(AE114:AE135)</f>
        <v>0</v>
      </c>
      <c r="AF136" s="113">
        <f>SUM(AF114:AF135)</f>
        <v>0</v>
      </c>
      <c r="AG136" s="112"/>
      <c r="AH136" s="112"/>
      <c r="AI136" s="112"/>
      <c r="AJ136" s="113">
        <f>SUM(AJ114:AJ135)</f>
        <v>0</v>
      </c>
      <c r="AK136" s="113">
        <f>SUM(AK114:AK135)</f>
        <v>0</v>
      </c>
      <c r="AL136" s="113">
        <f>SUM(AL114:AL135)</f>
        <v>0</v>
      </c>
      <c r="AM136" s="113">
        <f>SUM(AM114:AM135)</f>
        <v>0</v>
      </c>
      <c r="AN136" s="113">
        <f>SUM(AN114:AN135)</f>
        <v>0</v>
      </c>
      <c r="AO136" s="131"/>
      <c r="AP136" s="17"/>
      <c r="AQ136" s="113">
        <f t="shared" ref="AQ136:BB136" si="119">SUM(AQ114:AQ135)</f>
        <v>0</v>
      </c>
      <c r="AR136" s="113">
        <f t="shared" si="119"/>
        <v>0</v>
      </c>
      <c r="AS136" s="113">
        <f t="shared" si="119"/>
        <v>0</v>
      </c>
      <c r="AT136" s="113">
        <f t="shared" si="119"/>
        <v>0</v>
      </c>
      <c r="AU136" s="113">
        <f t="shared" si="119"/>
        <v>0</v>
      </c>
      <c r="AV136" s="113">
        <f t="shared" si="119"/>
        <v>0</v>
      </c>
      <c r="AW136" s="113">
        <f t="shared" si="119"/>
        <v>0</v>
      </c>
      <c r="AX136" s="113">
        <f t="shared" si="119"/>
        <v>0</v>
      </c>
      <c r="AY136" s="113">
        <f t="shared" si="119"/>
        <v>0</v>
      </c>
      <c r="AZ136" s="113">
        <f t="shared" si="119"/>
        <v>0</v>
      </c>
      <c r="BA136" s="113">
        <f t="shared" si="119"/>
        <v>0</v>
      </c>
      <c r="BB136" s="113">
        <f t="shared" si="119"/>
        <v>0</v>
      </c>
    </row>
    <row r="137" spans="1:54" ht="15.6" outlineLevel="2">
      <c r="A137" s="98"/>
      <c r="B137" s="102"/>
      <c r="C137" s="23"/>
      <c r="D137" s="269"/>
      <c r="E137" s="269"/>
      <c r="F137" s="174"/>
      <c r="G137" s="269"/>
      <c r="H137" s="272"/>
      <c r="I137" s="104"/>
      <c r="J137" s="105"/>
      <c r="K137" s="105"/>
      <c r="L137" s="106" t="str">
        <f>IF(I137&lt;&gt;0,((VLOOKUP(I137,'1. Standard_Cost'!$B$4:$D$11,2)+VLOOKUP(I137,'1. Standard_Cost'!$B$4:$D$11,3))*J137*K137),"0")</f>
        <v>0</v>
      </c>
      <c r="M137" s="106">
        <f>L137*'1. Standard_Cost'!$F$4</f>
        <v>0</v>
      </c>
      <c r="N137" s="107"/>
      <c r="O137" s="107"/>
      <c r="P137" s="107"/>
      <c r="Q137" s="107"/>
      <c r="R137" s="108">
        <f>'1. Standard_Cost'!$B$15*N137*P137</f>
        <v>0</v>
      </c>
      <c r="S137" s="108">
        <f>N137*O137*P137*'1. Standard_Cost'!$C$15</f>
        <v>0</v>
      </c>
      <c r="T137" s="108">
        <f>N137*P137*Q137*'1. Standard_Cost'!$D$15</f>
        <v>0</v>
      </c>
      <c r="U137" s="108">
        <f>N137*O137*'1. Standard_Cost'!$E$15</f>
        <v>0</v>
      </c>
      <c r="V137" s="107"/>
      <c r="W137" s="107"/>
      <c r="X137" s="107"/>
      <c r="Y137" s="108">
        <f>+V137*((X137*'1. Standard_Cost'!$B$19)+(W137*X137*'1. Standard_Cost'!$C$19))</f>
        <v>0</v>
      </c>
      <c r="Z137" s="107"/>
      <c r="AA137" s="107"/>
      <c r="AB137" s="108">
        <f>+Z137*'1. Standard_Cost'!$B$23+AA137*'1. Standard_Cost'!$C$23</f>
        <v>0</v>
      </c>
      <c r="AC137" s="109"/>
      <c r="AD137" s="110"/>
      <c r="AE137" s="108"/>
      <c r="AF137" s="108">
        <f t="shared" ref="AF137:AF138" si="120">SUM(AE137,AD137,AC137,AB137,Y137,U137,T137,S137,R137)</f>
        <v>0</v>
      </c>
      <c r="AG137" s="107"/>
      <c r="AH137" s="107"/>
      <c r="AI137" s="107"/>
      <c r="AJ137" s="111"/>
      <c r="AK137" s="111"/>
      <c r="AL137" s="111"/>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21">L137+M137</f>
        <v>0</v>
      </c>
      <c r="AR137" s="14">
        <f t="shared" ref="AR137:AR138" si="122">AF137</f>
        <v>0</v>
      </c>
      <c r="AS137" s="14">
        <f t="shared" ref="AS137:AS138" si="123">AM137+AN137</f>
        <v>0</v>
      </c>
      <c r="AT137" s="14">
        <f t="shared" ref="AT137:AT138" si="124">SUM(AQ137,AR137,AS137)</f>
        <v>0</v>
      </c>
      <c r="AU137" s="15"/>
      <c r="AV137" s="15"/>
      <c r="AW137" s="15"/>
      <c r="AX137" s="15"/>
      <c r="AY137" s="15"/>
      <c r="AZ137" s="15"/>
      <c r="BA137" s="15"/>
      <c r="BB137" s="16">
        <f t="shared" ref="BB137:BB138" si="125">SUM(AU137:BA137)-AT137</f>
        <v>0</v>
      </c>
    </row>
    <row r="138" spans="1:54" ht="15.6" outlineLevel="2">
      <c r="A138" s="98"/>
      <c r="B138" s="102"/>
      <c r="C138" s="23"/>
      <c r="D138" s="269"/>
      <c r="E138" s="269"/>
      <c r="F138" s="174"/>
      <c r="G138" s="174"/>
      <c r="H138" s="272"/>
      <c r="I138" s="104"/>
      <c r="J138" s="105"/>
      <c r="K138" s="105"/>
      <c r="L138" s="106" t="str">
        <f>IF(I138&lt;&gt;0,((VLOOKUP(I138,'1. Standard_Cost'!$B$4:$D$11,2)+VLOOKUP(I138,'1. Standard_Cost'!$B$4:$D$11,3))*J138*K138),"0")</f>
        <v>0</v>
      </c>
      <c r="M138" s="106">
        <f>L138*'1. Standard_Cost'!$F$4</f>
        <v>0</v>
      </c>
      <c r="N138" s="107"/>
      <c r="O138" s="107"/>
      <c r="P138" s="107"/>
      <c r="Q138" s="107"/>
      <c r="R138" s="108">
        <f>'1. Standard_Cost'!$B$15*N138*P138</f>
        <v>0</v>
      </c>
      <c r="S138" s="108">
        <f>N138*O138*P138*'1. Standard_Cost'!$C$15</f>
        <v>0</v>
      </c>
      <c r="T138" s="108">
        <f>N138*P138*Q138*'1. Standard_Cost'!$D$15</f>
        <v>0</v>
      </c>
      <c r="U138" s="108">
        <f>N138*O138*'1. Standard_Cost'!$E$15</f>
        <v>0</v>
      </c>
      <c r="V138" s="107"/>
      <c r="W138" s="107"/>
      <c r="X138" s="107"/>
      <c r="Y138" s="108">
        <f>+V138*((X138*'1. Standard_Cost'!$B$19)+(W138*X138*'1. Standard_Cost'!$C$19))</f>
        <v>0</v>
      </c>
      <c r="Z138" s="107"/>
      <c r="AA138" s="107"/>
      <c r="AB138" s="108">
        <f>+Z138*'1. Standard_Cost'!$B$23+AA138*'1. Standard_Cost'!$C$23</f>
        <v>0</v>
      </c>
      <c r="AC138" s="109"/>
      <c r="AD138" s="110"/>
      <c r="AE138" s="108"/>
      <c r="AF138" s="108">
        <f t="shared" si="120"/>
        <v>0</v>
      </c>
      <c r="AG138" s="107"/>
      <c r="AH138" s="107"/>
      <c r="AI138" s="107"/>
      <c r="AJ138" s="111"/>
      <c r="AK138" s="111"/>
      <c r="AL138" s="111"/>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21"/>
        <v>0</v>
      </c>
      <c r="AR138" s="14">
        <f t="shared" si="122"/>
        <v>0</v>
      </c>
      <c r="AS138" s="14">
        <f t="shared" si="123"/>
        <v>0</v>
      </c>
      <c r="AT138" s="14">
        <f t="shared" si="124"/>
        <v>0</v>
      </c>
      <c r="AU138" s="15"/>
      <c r="AV138" s="15"/>
      <c r="AW138" s="15"/>
      <c r="AX138" s="15"/>
      <c r="AY138" s="15"/>
      <c r="AZ138" s="15"/>
      <c r="BA138" s="15"/>
      <c r="BB138" s="16">
        <f t="shared" si="125"/>
        <v>0</v>
      </c>
    </row>
    <row r="139" spans="1:54" ht="27.6" outlineLevel="1">
      <c r="A139" s="98"/>
      <c r="B139" s="102"/>
      <c r="C139" s="23"/>
      <c r="D139" s="56" t="s">
        <v>47</v>
      </c>
      <c r="E139" s="56" t="s">
        <v>231</v>
      </c>
      <c r="F139" s="253">
        <v>2022</v>
      </c>
      <c r="G139" s="254">
        <v>2023</v>
      </c>
      <c r="H139" s="277" t="s">
        <v>230</v>
      </c>
      <c r="I139" s="112"/>
      <c r="J139" s="112"/>
      <c r="K139" s="112"/>
      <c r="L139" s="113">
        <f>SUM(L137:L138)</f>
        <v>0</v>
      </c>
      <c r="M139" s="113">
        <f>SUM(M137:M138)</f>
        <v>0</v>
      </c>
      <c r="N139" s="112"/>
      <c r="O139" s="112"/>
      <c r="P139" s="112"/>
      <c r="Q139" s="112"/>
      <c r="R139" s="113">
        <f t="shared" ref="R139:U139" si="126">SUM(R137:R138)</f>
        <v>0</v>
      </c>
      <c r="S139" s="113">
        <f t="shared" si="126"/>
        <v>0</v>
      </c>
      <c r="T139" s="113">
        <f t="shared" si="126"/>
        <v>0</v>
      </c>
      <c r="U139" s="113">
        <f t="shared" si="126"/>
        <v>0</v>
      </c>
      <c r="V139" s="112"/>
      <c r="W139" s="112"/>
      <c r="X139" s="112"/>
      <c r="Y139" s="113">
        <f>SUM(Y137:Y138)</f>
        <v>0</v>
      </c>
      <c r="Z139" s="112"/>
      <c r="AA139" s="112"/>
      <c r="AB139" s="113">
        <f t="shared" ref="AB139:AF139" si="127">SUM(AB137:AB138)</f>
        <v>0</v>
      </c>
      <c r="AC139" s="113">
        <f t="shared" si="127"/>
        <v>0</v>
      </c>
      <c r="AD139" s="113">
        <f t="shared" si="127"/>
        <v>0</v>
      </c>
      <c r="AE139" s="113">
        <f t="shared" si="127"/>
        <v>0</v>
      </c>
      <c r="AF139" s="113">
        <f t="shared" si="127"/>
        <v>0</v>
      </c>
      <c r="AG139" s="112"/>
      <c r="AH139" s="112"/>
      <c r="AI139" s="112"/>
      <c r="AJ139" s="113">
        <f t="shared" ref="AJ139:AN139" si="128">SUM(AJ137:AJ138)</f>
        <v>0</v>
      </c>
      <c r="AK139" s="113">
        <f t="shared" si="128"/>
        <v>0</v>
      </c>
      <c r="AL139" s="113">
        <f t="shared" si="128"/>
        <v>0</v>
      </c>
      <c r="AM139" s="113">
        <f t="shared" si="128"/>
        <v>0</v>
      </c>
      <c r="AN139" s="113">
        <f t="shared" si="128"/>
        <v>0</v>
      </c>
      <c r="AO139" s="131"/>
      <c r="AP139" s="17"/>
      <c r="AQ139" s="113">
        <f t="shared" ref="AQ139:BB139" si="129">SUM(AQ137:AQ138)</f>
        <v>0</v>
      </c>
      <c r="AR139" s="113">
        <f t="shared" si="129"/>
        <v>0</v>
      </c>
      <c r="AS139" s="113">
        <f t="shared" si="129"/>
        <v>0</v>
      </c>
      <c r="AT139" s="113">
        <f t="shared" si="129"/>
        <v>0</v>
      </c>
      <c r="AU139" s="113">
        <f t="shared" si="129"/>
        <v>0</v>
      </c>
      <c r="AV139" s="113">
        <f t="shared" si="129"/>
        <v>0</v>
      </c>
      <c r="AW139" s="113">
        <f t="shared" si="129"/>
        <v>0</v>
      </c>
      <c r="AX139" s="113">
        <f t="shared" si="129"/>
        <v>0</v>
      </c>
      <c r="AY139" s="113">
        <f t="shared" si="129"/>
        <v>0</v>
      </c>
      <c r="AZ139" s="113">
        <f t="shared" si="129"/>
        <v>0</v>
      </c>
      <c r="BA139" s="113">
        <f t="shared" si="129"/>
        <v>0</v>
      </c>
      <c r="BB139" s="113">
        <f t="shared" si="129"/>
        <v>0</v>
      </c>
    </row>
    <row r="140" spans="1:54" ht="15.6" outlineLevel="2">
      <c r="A140" s="98"/>
      <c r="B140" s="102"/>
      <c r="C140" s="23"/>
      <c r="D140" s="269"/>
      <c r="E140" s="269"/>
      <c r="F140" s="269"/>
      <c r="G140" s="269"/>
      <c r="H140" s="272"/>
      <c r="I140" s="104"/>
      <c r="J140" s="105"/>
      <c r="K140" s="105"/>
      <c r="L140" s="106" t="str">
        <f>IF(I140&lt;&gt;0,((VLOOKUP(I140,'1. Standard_Cost'!$B$4:$D$11,2)+VLOOKUP(I140,'1. Standard_Cost'!$B$4:$D$11,3))*J140*K140),"0")</f>
        <v>0</v>
      </c>
      <c r="M140" s="106">
        <f>L140*'1. Standard_Cost'!$F$4</f>
        <v>0</v>
      </c>
      <c r="N140" s="107"/>
      <c r="O140" s="107"/>
      <c r="P140" s="107"/>
      <c r="Q140" s="107"/>
      <c r="R140" s="108">
        <f>'1. Standard_Cost'!$B$15*N140*P140</f>
        <v>0</v>
      </c>
      <c r="S140" s="108">
        <f>N140*O140*P140*'1. Standard_Cost'!$C$15</f>
        <v>0</v>
      </c>
      <c r="T140" s="108">
        <f>N140*P140*Q140*'1. Standard_Cost'!$D$15</f>
        <v>0</v>
      </c>
      <c r="U140" s="108">
        <f>N140*O140*'1. Standard_Cost'!$E$15</f>
        <v>0</v>
      </c>
      <c r="V140" s="107"/>
      <c r="W140" s="107"/>
      <c r="X140" s="107"/>
      <c r="Y140" s="108">
        <f>+V140*((X140*'1. Standard_Cost'!$B$19)+(W140*X140*'1. Standard_Cost'!$C$19))</f>
        <v>0</v>
      </c>
      <c r="Z140" s="107"/>
      <c r="AA140" s="107"/>
      <c r="AB140" s="108">
        <f>+Z140*'1. Standard_Cost'!$B$23+AA140*'1. Standard_Cost'!$C$23</f>
        <v>0</v>
      </c>
      <c r="AC140" s="109"/>
      <c r="AD140" s="110"/>
      <c r="AE140" s="108">
        <f>SUM(AD140,AC140,AB140,Y140,U140,T140,S140,R140)*'1. Standard_Cost'!$B$31</f>
        <v>0</v>
      </c>
      <c r="AF140" s="108">
        <f t="shared" ref="AF140:AF141" si="130">SUM(AE140,AD140,AC140,AB140,Y140,U140,T140,S140,R140)</f>
        <v>0</v>
      </c>
      <c r="AG140" s="107"/>
      <c r="AH140" s="107"/>
      <c r="AI140" s="107"/>
      <c r="AJ140" s="111"/>
      <c r="AK140" s="111"/>
      <c r="AL140" s="111"/>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31">L140+M140</f>
        <v>0</v>
      </c>
      <c r="AR140" s="14">
        <f t="shared" ref="AR140:AR141" si="132">AF140</f>
        <v>0</v>
      </c>
      <c r="AS140" s="14">
        <f t="shared" ref="AS140:AS141" si="133">AM140+AN140</f>
        <v>0</v>
      </c>
      <c r="AT140" s="14">
        <f t="shared" ref="AT140:AT141" si="134">SUM(AQ140,AR140,AS140)</f>
        <v>0</v>
      </c>
      <c r="AU140" s="15"/>
      <c r="AV140" s="15"/>
      <c r="AW140" s="15"/>
      <c r="AX140" s="15"/>
      <c r="AY140" s="15"/>
      <c r="AZ140" s="15"/>
      <c r="BA140" s="15"/>
      <c r="BB140" s="16">
        <f t="shared" ref="BB140:BB141" si="135">SUM(AU140:BA140)-AT140</f>
        <v>0</v>
      </c>
    </row>
    <row r="141" spans="1:54" ht="15.6" outlineLevel="2">
      <c r="A141" s="98"/>
      <c r="B141" s="102"/>
      <c r="C141" s="23"/>
      <c r="D141" s="269"/>
      <c r="E141" s="269"/>
      <c r="F141" s="172"/>
      <c r="G141" s="173"/>
      <c r="H141" s="272"/>
      <c r="I141" s="104"/>
      <c r="J141" s="105"/>
      <c r="K141" s="105"/>
      <c r="L141" s="106" t="str">
        <f>IF(I141&lt;&gt;0,((VLOOKUP(I141,'1. Standard_Cost'!$B$4:$D$11,2)+VLOOKUP(I141,'1. Standard_Cost'!$B$4:$D$11,3))*J141*K141),"0")</f>
        <v>0</v>
      </c>
      <c r="M141" s="106">
        <f>L141*'1. Standard_Cost'!$F$4</f>
        <v>0</v>
      </c>
      <c r="N141" s="107"/>
      <c r="O141" s="107"/>
      <c r="P141" s="107"/>
      <c r="Q141" s="107"/>
      <c r="R141" s="108">
        <f>'1. Standard_Cost'!$B$15*N141*P141</f>
        <v>0</v>
      </c>
      <c r="S141" s="108">
        <f>N141*O141*P141*'1. Standard_Cost'!$C$15</f>
        <v>0</v>
      </c>
      <c r="T141" s="108">
        <f>N141*P141*Q141*'1. Standard_Cost'!$D$15</f>
        <v>0</v>
      </c>
      <c r="U141" s="108">
        <f>N141*O141*'1. Standard_Cost'!$E$15</f>
        <v>0</v>
      </c>
      <c r="V141" s="107"/>
      <c r="W141" s="107"/>
      <c r="X141" s="107"/>
      <c r="Y141" s="108">
        <f>+V141*((X141*'1. Standard_Cost'!$B$19)+(W141*X141*'1. Standard_Cost'!$C$19))</f>
        <v>0</v>
      </c>
      <c r="Z141" s="107"/>
      <c r="AA141" s="107"/>
      <c r="AB141" s="108">
        <f>+Z141*'1. Standard_Cost'!$B$23+AA141*'1. Standard_Cost'!$C$23</f>
        <v>0</v>
      </c>
      <c r="AC141" s="109"/>
      <c r="AD141" s="110"/>
      <c r="AE141" s="108">
        <f>SUM(AD141,AC141,AB141,Y141,U141,T141,S141,R141)*'1. Standard_Cost'!$B$31</f>
        <v>0</v>
      </c>
      <c r="AF141" s="108">
        <f t="shared" si="130"/>
        <v>0</v>
      </c>
      <c r="AG141" s="107"/>
      <c r="AH141" s="107"/>
      <c r="AI141" s="107"/>
      <c r="AJ141" s="111"/>
      <c r="AK141" s="111"/>
      <c r="AL141" s="111"/>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31"/>
        <v>0</v>
      </c>
      <c r="AR141" s="14">
        <f t="shared" si="132"/>
        <v>0</v>
      </c>
      <c r="AS141" s="14">
        <f t="shared" si="133"/>
        <v>0</v>
      </c>
      <c r="AT141" s="14">
        <f t="shared" si="134"/>
        <v>0</v>
      </c>
      <c r="AU141" s="15"/>
      <c r="AV141" s="15"/>
      <c r="AW141" s="15"/>
      <c r="AX141" s="15"/>
      <c r="AY141" s="15"/>
      <c r="AZ141" s="15"/>
      <c r="BA141" s="15"/>
      <c r="BB141" s="16">
        <f t="shared" si="135"/>
        <v>0</v>
      </c>
    </row>
    <row r="142" spans="1:54" ht="28.5" customHeight="1" outlineLevel="1">
      <c r="A142" s="98"/>
      <c r="B142" s="102"/>
      <c r="C142" s="23"/>
      <c r="D142" s="56" t="s">
        <v>47</v>
      </c>
      <c r="E142" s="56" t="s">
        <v>232</v>
      </c>
      <c r="F142" s="253">
        <v>2022</v>
      </c>
      <c r="G142" s="254">
        <v>2023</v>
      </c>
      <c r="H142" s="277" t="s">
        <v>230</v>
      </c>
      <c r="I142" s="112"/>
      <c r="J142" s="112"/>
      <c r="K142" s="112"/>
      <c r="L142" s="113">
        <f>SUM(L140:L141)</f>
        <v>0</v>
      </c>
      <c r="M142" s="113">
        <f>SUM(M140:M141)</f>
        <v>0</v>
      </c>
      <c r="N142" s="112"/>
      <c r="O142" s="112"/>
      <c r="P142" s="112"/>
      <c r="Q142" s="112"/>
      <c r="R142" s="113">
        <f t="shared" ref="R142:U142" si="136">SUM(R140:R141)</f>
        <v>0</v>
      </c>
      <c r="S142" s="113">
        <f t="shared" si="136"/>
        <v>0</v>
      </c>
      <c r="T142" s="113">
        <f t="shared" si="136"/>
        <v>0</v>
      </c>
      <c r="U142" s="113">
        <f t="shared" si="136"/>
        <v>0</v>
      </c>
      <c r="V142" s="112"/>
      <c r="W142" s="112"/>
      <c r="X142" s="112"/>
      <c r="Y142" s="113">
        <f>SUM(Y140:Y141)</f>
        <v>0</v>
      </c>
      <c r="Z142" s="112"/>
      <c r="AA142" s="112"/>
      <c r="AB142" s="113">
        <f t="shared" ref="AB142:AF142" si="137">SUM(AB140:AB141)</f>
        <v>0</v>
      </c>
      <c r="AC142" s="113">
        <f t="shared" si="137"/>
        <v>0</v>
      </c>
      <c r="AD142" s="113">
        <f t="shared" si="137"/>
        <v>0</v>
      </c>
      <c r="AE142" s="113">
        <f t="shared" si="137"/>
        <v>0</v>
      </c>
      <c r="AF142" s="113">
        <f t="shared" si="137"/>
        <v>0</v>
      </c>
      <c r="AG142" s="112"/>
      <c r="AH142" s="112"/>
      <c r="AI142" s="112"/>
      <c r="AJ142" s="113">
        <f t="shared" ref="AJ142:AN142" si="138">SUM(AJ140:AJ141)</f>
        <v>0</v>
      </c>
      <c r="AK142" s="113">
        <f t="shared" si="138"/>
        <v>0</v>
      </c>
      <c r="AL142" s="113">
        <f t="shared" si="138"/>
        <v>0</v>
      </c>
      <c r="AM142" s="113">
        <f t="shared" si="138"/>
        <v>0</v>
      </c>
      <c r="AN142" s="113">
        <f t="shared" si="138"/>
        <v>0</v>
      </c>
      <c r="AO142" s="131"/>
      <c r="AP142" s="17"/>
      <c r="AQ142" s="113">
        <f t="shared" ref="AQ142:BB142" si="139">SUM(AQ140:AQ141)</f>
        <v>0</v>
      </c>
      <c r="AR142" s="113">
        <f t="shared" si="139"/>
        <v>0</v>
      </c>
      <c r="AS142" s="113">
        <f t="shared" si="139"/>
        <v>0</v>
      </c>
      <c r="AT142" s="113">
        <f t="shared" si="139"/>
        <v>0</v>
      </c>
      <c r="AU142" s="113">
        <f t="shared" si="139"/>
        <v>0</v>
      </c>
      <c r="AV142" s="113">
        <f t="shared" si="139"/>
        <v>0</v>
      </c>
      <c r="AW142" s="113">
        <f t="shared" si="139"/>
        <v>0</v>
      </c>
      <c r="AX142" s="113">
        <f t="shared" si="139"/>
        <v>0</v>
      </c>
      <c r="AY142" s="113">
        <f t="shared" si="139"/>
        <v>0</v>
      </c>
      <c r="AZ142" s="113">
        <f t="shared" si="139"/>
        <v>0</v>
      </c>
      <c r="BA142" s="113">
        <f t="shared" si="139"/>
        <v>0</v>
      </c>
      <c r="BB142" s="113">
        <f t="shared" si="139"/>
        <v>0</v>
      </c>
    </row>
    <row r="143" spans="1:54" s="24" customFormat="1" ht="13.8" customHeight="1">
      <c r="A143" s="114"/>
      <c r="B143" s="115"/>
      <c r="C143" s="314" t="s">
        <v>233</v>
      </c>
      <c r="D143" s="314"/>
      <c r="E143" s="315"/>
      <c r="F143" s="246"/>
      <c r="G143" s="246"/>
      <c r="H143" s="278" t="s">
        <v>188</v>
      </c>
      <c r="I143" s="116"/>
      <c r="J143" s="116"/>
      <c r="K143" s="116"/>
      <c r="L143" s="117">
        <f>SUM(L168,L178)</f>
        <v>0</v>
      </c>
      <c r="M143" s="117">
        <f>SUM(M168,M178)</f>
        <v>0</v>
      </c>
      <c r="N143" s="116"/>
      <c r="O143" s="116"/>
      <c r="P143" s="116"/>
      <c r="Q143" s="116"/>
      <c r="R143" s="117">
        <f t="shared" ref="R143:U143" si="140">SUM(R168,R178)</f>
        <v>0</v>
      </c>
      <c r="S143" s="117">
        <f t="shared" si="140"/>
        <v>0</v>
      </c>
      <c r="T143" s="117">
        <f t="shared" si="140"/>
        <v>0</v>
      </c>
      <c r="U143" s="117">
        <f t="shared" si="140"/>
        <v>0</v>
      </c>
      <c r="V143" s="116"/>
      <c r="W143" s="116"/>
      <c r="X143" s="116"/>
      <c r="Y143" s="117">
        <f>SUM(Y168,Y178)</f>
        <v>0</v>
      </c>
      <c r="Z143" s="117"/>
      <c r="AA143" s="117"/>
      <c r="AB143" s="117">
        <f t="shared" ref="AB143:AF143" si="141">SUM(AB168,AB178)</f>
        <v>0</v>
      </c>
      <c r="AC143" s="117">
        <f t="shared" si="141"/>
        <v>0</v>
      </c>
      <c r="AD143" s="117">
        <f t="shared" si="141"/>
        <v>0</v>
      </c>
      <c r="AE143" s="117">
        <f t="shared" si="141"/>
        <v>0</v>
      </c>
      <c r="AF143" s="117">
        <f t="shared" si="141"/>
        <v>0</v>
      </c>
      <c r="AG143" s="116"/>
      <c r="AH143" s="116"/>
      <c r="AI143" s="116"/>
      <c r="AJ143" s="117">
        <f t="shared" ref="AJ143:AN143" si="142">SUM(AJ168,AJ178)</f>
        <v>0</v>
      </c>
      <c r="AK143" s="117">
        <f t="shared" si="142"/>
        <v>0</v>
      </c>
      <c r="AL143" s="117">
        <f t="shared" si="142"/>
        <v>0</v>
      </c>
      <c r="AM143" s="117">
        <f t="shared" si="142"/>
        <v>0</v>
      </c>
      <c r="AN143" s="117">
        <f t="shared" si="142"/>
        <v>0</v>
      </c>
      <c r="AO143" s="132"/>
      <c r="AP143" s="25"/>
      <c r="AQ143" s="117">
        <f t="shared" ref="AQ143:BB143" si="143">SUM(AQ168,AQ178)</f>
        <v>0</v>
      </c>
      <c r="AR143" s="117">
        <f t="shared" si="143"/>
        <v>0</v>
      </c>
      <c r="AS143" s="117">
        <f t="shared" si="143"/>
        <v>0</v>
      </c>
      <c r="AT143" s="117">
        <f t="shared" si="143"/>
        <v>0</v>
      </c>
      <c r="AU143" s="117">
        <f t="shared" si="143"/>
        <v>0</v>
      </c>
      <c r="AV143" s="117">
        <f t="shared" si="143"/>
        <v>0</v>
      </c>
      <c r="AW143" s="117">
        <f t="shared" si="143"/>
        <v>0</v>
      </c>
      <c r="AX143" s="117">
        <f t="shared" si="143"/>
        <v>0</v>
      </c>
      <c r="AY143" s="117">
        <f t="shared" si="143"/>
        <v>0</v>
      </c>
      <c r="AZ143" s="117">
        <f t="shared" si="143"/>
        <v>0</v>
      </c>
      <c r="BA143" s="117">
        <f t="shared" si="143"/>
        <v>0</v>
      </c>
      <c r="BB143" s="117">
        <f t="shared" si="143"/>
        <v>0</v>
      </c>
    </row>
    <row r="144" spans="1:54" ht="27.6" outlineLevel="2">
      <c r="A144" s="98"/>
      <c r="B144" s="102"/>
      <c r="C144" s="23"/>
      <c r="D144" s="257"/>
      <c r="E144" s="123"/>
      <c r="F144" s="249"/>
      <c r="G144" s="283"/>
      <c r="H144" s="272"/>
      <c r="I144" s="104"/>
      <c r="J144" s="105"/>
      <c r="K144" s="105"/>
      <c r="L144" s="106" t="str">
        <f>IF(I144&lt;&gt;0,((VLOOKUP(I144,'1. Standard_Cost'!$B$4:$D$11,2)+VLOOKUP(I144,'1. Standard_Cost'!$B$4:$D$11,3))*J144*K144),"0")</f>
        <v>0</v>
      </c>
      <c r="M144" s="106">
        <f>L144*'1. Standard_Cost'!$F$4</f>
        <v>0</v>
      </c>
      <c r="N144" s="107"/>
      <c r="O144" s="107"/>
      <c r="P144" s="107"/>
      <c r="Q144" s="162"/>
      <c r="R144" s="108">
        <f>'1. Standard_Cost'!$B$15*N144*P144</f>
        <v>0</v>
      </c>
      <c r="S144" s="108">
        <f>N144*O144*P144*'1. Standard_Cost'!$C$15</f>
        <v>0</v>
      </c>
      <c r="T144" s="108">
        <f>N144*P144*Q144*'1. Standard_Cost'!$D$15</f>
        <v>0</v>
      </c>
      <c r="U144" s="108">
        <f>N144*O144*'1. Standard_Cost'!$E$15</f>
        <v>0</v>
      </c>
      <c r="V144" s="107"/>
      <c r="W144" s="107"/>
      <c r="X144" s="107"/>
      <c r="Y144" s="108">
        <f>+V144*((X144*'1. Standard_Cost'!$B$19)+(W144*X144*'1. Standard_Cost'!$C$19))</f>
        <v>0</v>
      </c>
      <c r="Z144" s="107"/>
      <c r="AA144" s="107"/>
      <c r="AB144" s="108">
        <f>+Z144*'1. Standard_Cost'!$B$23+AA144*'1. Standard_Cost'!$C$23</f>
        <v>0</v>
      </c>
      <c r="AC144" s="109"/>
      <c r="AD144" s="110"/>
      <c r="AE144" s="108">
        <f>SUM(AD144,AC144,AB144,Y144,U144,T144,S144,R144)*'1. Standard_Cost'!$B$31</f>
        <v>0</v>
      </c>
      <c r="AF144" s="108">
        <f t="shared" ref="AF144:AF167" si="144">SUM(AE144,AD144,AC144,AB144,Y144,U144,T144,S144,R144)</f>
        <v>0</v>
      </c>
      <c r="AG144" s="107"/>
      <c r="AH144" s="107"/>
      <c r="AI144" s="107"/>
      <c r="AJ144" s="111"/>
      <c r="AK144" s="111"/>
      <c r="AL144" s="111"/>
      <c r="AM144" s="108">
        <f>AG144*'1. Standard_Cost'!$B$27+'Incremental_Cost Year 7'!AH144*'1. Standard_Cost'!$C$27+'Incremental_Cost Year 7'!AI144*'1. Standard_Cost'!$D$27+'Incremental_Cost Year 7'!AJ144+'Incremental_Cost Year 7'!AL144+AK144</f>
        <v>0</v>
      </c>
      <c r="AN144" s="108">
        <f>AM144*'1. Standard_Cost'!$C$31</f>
        <v>0</v>
      </c>
      <c r="AO144" s="125" t="s">
        <v>370</v>
      </c>
      <c r="AQ144" s="14">
        <f t="shared" ref="AQ144:AQ167" si="145">L144+M144</f>
        <v>0</v>
      </c>
      <c r="AR144" s="14">
        <f t="shared" ref="AR144:AR167" si="146">AF144</f>
        <v>0</v>
      </c>
      <c r="AS144" s="14">
        <f t="shared" ref="AS144:AS167" si="147">AM144+AN144</f>
        <v>0</v>
      </c>
      <c r="AT144" s="14">
        <f>SUM(AQ144,AR144,AS144)</f>
        <v>0</v>
      </c>
      <c r="AU144" s="15"/>
      <c r="AV144" s="15"/>
      <c r="AW144" s="15"/>
      <c r="AX144" s="15"/>
      <c r="AY144" s="15"/>
      <c r="AZ144" s="15"/>
      <c r="BA144" s="15"/>
      <c r="BB144" s="16">
        <f t="shared" ref="BB144:BB167" si="148">SUM(AU144:BA144)-AT144</f>
        <v>0</v>
      </c>
    </row>
    <row r="145" spans="1:54" ht="21.6" customHeight="1" outlineLevel="2">
      <c r="A145" s="98"/>
      <c r="B145" s="102"/>
      <c r="C145" s="23"/>
      <c r="D145" s="269"/>
      <c r="E145" s="271"/>
      <c r="F145" s="161"/>
      <c r="G145" s="161"/>
      <c r="H145" s="160"/>
      <c r="I145" s="104"/>
      <c r="J145" s="105"/>
      <c r="K145" s="105"/>
      <c r="L145" s="106" t="str">
        <f>IF(I145&lt;&gt;0,((VLOOKUP(I145,'1. Standard_Cost'!$B$4:$D$11,2)+VLOOKUP(I145,'1. Standard_Cost'!$B$4:$D$11,3))*J145*K145),"0")</f>
        <v>0</v>
      </c>
      <c r="M145" s="106">
        <f>L145*'1. Standard_Cost'!$F$4</f>
        <v>0</v>
      </c>
      <c r="N145" s="107"/>
      <c r="O145" s="107"/>
      <c r="P145" s="107"/>
      <c r="Q145" s="162"/>
      <c r="R145" s="108">
        <f>'[1]1. Standard_Cost'!$B$15*N145*P145</f>
        <v>0</v>
      </c>
      <c r="S145" s="108">
        <f>N145*O145*P145*'[1]1. Standard_Cost'!$C$15</f>
        <v>0</v>
      </c>
      <c r="T145" s="108">
        <f>N145*P145*Q145*'[1]1. Standard_Cost'!$D$15</f>
        <v>0</v>
      </c>
      <c r="U145" s="108">
        <f>N145*O145*'[1]1. Standard_Cost'!$E$15</f>
        <v>0</v>
      </c>
      <c r="V145" s="107"/>
      <c r="W145" s="107"/>
      <c r="X145" s="107"/>
      <c r="Y145" s="108">
        <f>+V145*((X145*'[1]1. Standard_Cost'!$B$19)+(W145*X145*'[1]1. Standard_Cost'!$C$19))</f>
        <v>0</v>
      </c>
      <c r="Z145" s="107"/>
      <c r="AA145" s="107"/>
      <c r="AB145" s="108">
        <f>+Z145*'[1]1. Standard_Cost'!$B$23+AA145*'[1]1. Standard_Cost'!$C$23</f>
        <v>0</v>
      </c>
      <c r="AC145" s="109"/>
      <c r="AD145" s="110"/>
      <c r="AE145" s="108">
        <f>SUM(AD145,AC145,AB145,Y145,U145,T145,S145,R145)*'[1]1. Standard_Cost'!$B$31</f>
        <v>0</v>
      </c>
      <c r="AF145" s="108">
        <f t="shared" si="144"/>
        <v>0</v>
      </c>
      <c r="AG145" s="107"/>
      <c r="AH145" s="107"/>
      <c r="AI145" s="107"/>
      <c r="AJ145" s="111"/>
      <c r="AK145" s="111"/>
      <c r="AL145" s="111"/>
      <c r="AM145" s="108">
        <f>AG145*'[1]1. Standard_Cost'!$B$27+'[1]Incremental_Cost Year 7'!AH145*'[1]1. Standard_Cost'!$C$27+'[1]Incremental_Cost Year 7'!AI145*'[1]1. Standard_Cost'!$D$27+'[1]Incremental_Cost Year 7'!AJ145+'[1]Incremental_Cost Year 7'!AL145+AK145</f>
        <v>0</v>
      </c>
      <c r="AN145" s="108">
        <f>AM145*'[1]1. Standard_Cost'!$C$31</f>
        <v>0</v>
      </c>
      <c r="AO145" s="125"/>
      <c r="AQ145" s="14">
        <f t="shared" si="145"/>
        <v>0</v>
      </c>
      <c r="AR145" s="14">
        <f t="shared" si="146"/>
        <v>0</v>
      </c>
      <c r="AS145" s="14">
        <f t="shared" si="147"/>
        <v>0</v>
      </c>
      <c r="AT145" s="14">
        <f>SUM(AQ145,AR145,AS145)</f>
        <v>0</v>
      </c>
      <c r="AU145" s="15"/>
      <c r="AV145" s="15"/>
      <c r="AW145" s="15"/>
      <c r="AX145" s="15"/>
      <c r="AY145" s="15"/>
      <c r="AZ145" s="15"/>
      <c r="BA145" s="15"/>
      <c r="BB145" s="16">
        <f t="shared" si="148"/>
        <v>0</v>
      </c>
    </row>
    <row r="146" spans="1:54" ht="19.95" customHeight="1" outlineLevel="2">
      <c r="A146" s="98"/>
      <c r="B146" s="102"/>
      <c r="C146" s="23"/>
      <c r="D146" s="269"/>
      <c r="E146" s="271"/>
      <c r="F146" s="161"/>
      <c r="G146" s="161"/>
      <c r="H146" s="160"/>
      <c r="I146" s="104"/>
      <c r="J146" s="105"/>
      <c r="K146" s="105"/>
      <c r="L146" s="106" t="str">
        <f>IF(I146&lt;&gt;0,((VLOOKUP(I146,'1. Standard_Cost'!$B$4:$D$11,2)+VLOOKUP(I146,'1. Standard_Cost'!$B$4:$D$11,3))*J146*K146),"0")</f>
        <v>0</v>
      </c>
      <c r="M146" s="106">
        <f>L146*'1. Standard_Cost'!$F$4</f>
        <v>0</v>
      </c>
      <c r="N146" s="107"/>
      <c r="O146" s="107"/>
      <c r="P146" s="107"/>
      <c r="Q146" s="162"/>
      <c r="R146" s="108">
        <f>'[1]1. Standard_Cost'!$B$15*N146*P146</f>
        <v>0</v>
      </c>
      <c r="S146" s="108">
        <f>N146*O146*P146*'[1]1. Standard_Cost'!$C$15</f>
        <v>0</v>
      </c>
      <c r="T146" s="108">
        <f>N146*P146*Q146*'[1]1. Standard_Cost'!$D$15</f>
        <v>0</v>
      </c>
      <c r="U146" s="108">
        <f>N146*O146*'[1]1. Standard_Cost'!$E$15</f>
        <v>0</v>
      </c>
      <c r="V146" s="107"/>
      <c r="W146" s="107"/>
      <c r="X146" s="107"/>
      <c r="Y146" s="108">
        <f>+V146*((X146*'[1]1. Standard_Cost'!$B$19)+(W146*X146*'[1]1. Standard_Cost'!$C$19))</f>
        <v>0</v>
      </c>
      <c r="Z146" s="107"/>
      <c r="AA146" s="107"/>
      <c r="AB146" s="108">
        <f>+Z146*'[1]1. Standard_Cost'!$B$23+AA146*'[1]1. Standard_Cost'!$C$23</f>
        <v>0</v>
      </c>
      <c r="AC146" s="109"/>
      <c r="AD146" s="110"/>
      <c r="AE146" s="108">
        <f>SUM(AD146,AC146,AB146,Y146,U146,T146,S146,R146)*'[1]1. Standard_Cost'!$B$31</f>
        <v>0</v>
      </c>
      <c r="AF146" s="108">
        <f t="shared" si="144"/>
        <v>0</v>
      </c>
      <c r="AG146" s="107"/>
      <c r="AH146" s="107"/>
      <c r="AI146" s="107"/>
      <c r="AJ146" s="111"/>
      <c r="AK146" s="111"/>
      <c r="AL146" s="111"/>
      <c r="AM146" s="108">
        <f>AG146*'[1]1. Standard_Cost'!$B$27+'[1]Incremental_Cost Year 7'!AH146*'[1]1. Standard_Cost'!$C$27+'[1]Incremental_Cost Year 7'!AI146*'[1]1. Standard_Cost'!$D$27+'[1]Incremental_Cost Year 7'!AJ146+'[1]Incremental_Cost Year 7'!AL146+AK146</f>
        <v>0</v>
      </c>
      <c r="AN146" s="108">
        <f>AM146*'[1]1. Standard_Cost'!$C$31</f>
        <v>0</v>
      </c>
      <c r="AO146" s="125"/>
      <c r="AQ146" s="14">
        <f t="shared" si="145"/>
        <v>0</v>
      </c>
      <c r="AR146" s="14">
        <f t="shared" si="146"/>
        <v>0</v>
      </c>
      <c r="AS146" s="14">
        <f t="shared" si="147"/>
        <v>0</v>
      </c>
      <c r="AT146" s="14">
        <f>SUM(AQ146,AR146,AS146)</f>
        <v>0</v>
      </c>
      <c r="AU146" s="15"/>
      <c r="AV146" s="15"/>
      <c r="AW146" s="15"/>
      <c r="AX146" s="15"/>
      <c r="AY146" s="15"/>
      <c r="AZ146" s="15"/>
      <c r="BA146" s="15"/>
      <c r="BB146" s="16">
        <f t="shared" si="148"/>
        <v>0</v>
      </c>
    </row>
    <row r="147" spans="1:54" ht="27.6" outlineLevel="2">
      <c r="A147" s="98"/>
      <c r="B147" s="102"/>
      <c r="C147" s="23"/>
      <c r="D147" s="269"/>
      <c r="E147" s="271"/>
      <c r="F147" s="250"/>
      <c r="G147" s="255"/>
      <c r="H147" s="272"/>
      <c r="I147" s="104"/>
      <c r="J147" s="105"/>
      <c r="K147" s="105"/>
      <c r="L147" s="106" t="str">
        <f>IF(I147&lt;&gt;0,((VLOOKUP(I147,'1. Standard_Cost'!$B$4:$D$11,2)+VLOOKUP(I147,'1. Standard_Cost'!$B$4:$D$11,3))*J147*K147),"0")</f>
        <v>0</v>
      </c>
      <c r="M147" s="106">
        <f>L147*'1. Standard_Cost'!$F$4</f>
        <v>0</v>
      </c>
      <c r="N147" s="107"/>
      <c r="O147" s="107"/>
      <c r="P147" s="107"/>
      <c r="Q147" s="107"/>
      <c r="R147" s="108">
        <f>'1. Standard_Cost'!$B$15*N147*P147</f>
        <v>0</v>
      </c>
      <c r="S147" s="108">
        <f>N147*O147*P147*'1. Standard_Cost'!$C$15</f>
        <v>0</v>
      </c>
      <c r="T147" s="108">
        <f>N147*P147*Q147*'1. Standard_Cost'!$D$15</f>
        <v>0</v>
      </c>
      <c r="U147" s="108">
        <f>N147*O147*'1. Standard_Cost'!$E$15</f>
        <v>0</v>
      </c>
      <c r="V147" s="107"/>
      <c r="W147" s="107"/>
      <c r="X147" s="107"/>
      <c r="Y147" s="108">
        <f>+V147*((X147*'1. Standard_Cost'!$B$19)+(W147*X147*'1. Standard_Cost'!$C$19))</f>
        <v>0</v>
      </c>
      <c r="Z147" s="107"/>
      <c r="AA147" s="107"/>
      <c r="AB147" s="108">
        <f>+Z147*'1. Standard_Cost'!$B$23+AA147*'1. Standard_Cost'!$C$23</f>
        <v>0</v>
      </c>
      <c r="AC147" s="109"/>
      <c r="AD147" s="110"/>
      <c r="AE147" s="108">
        <f>SUM(AD147,AC147,AB147,Y147,U147,T147,S147,R147)*'1. Standard_Cost'!$B$31</f>
        <v>0</v>
      </c>
      <c r="AF147" s="108">
        <f t="shared" si="144"/>
        <v>0</v>
      </c>
      <c r="AG147" s="107"/>
      <c r="AH147" s="107"/>
      <c r="AI147" s="107"/>
      <c r="AJ147" s="111"/>
      <c r="AK147" s="111"/>
      <c r="AL147" s="111"/>
      <c r="AM147" s="108">
        <f>AG147*'1. Standard_Cost'!$B$27+'Incremental_Cost Year 7'!AH147*'1. Standard_Cost'!$C$27+'Incremental_Cost Year 7'!AI147*'1. Standard_Cost'!$D$27+'Incremental_Cost Year 7'!AJ147+'Incremental_Cost Year 7'!AL147+AK147</f>
        <v>0</v>
      </c>
      <c r="AN147" s="108">
        <f>AM147*'1. Standard_Cost'!$C$31</f>
        <v>0</v>
      </c>
      <c r="AO147" s="125" t="s">
        <v>371</v>
      </c>
      <c r="AQ147" s="14">
        <f t="shared" si="145"/>
        <v>0</v>
      </c>
      <c r="AR147" s="14">
        <f t="shared" si="146"/>
        <v>0</v>
      </c>
      <c r="AS147" s="14">
        <f t="shared" si="147"/>
        <v>0</v>
      </c>
      <c r="AT147" s="14">
        <f t="shared" ref="AT147:AT167" si="149">SUM(AQ147,AR147,AS147)</f>
        <v>0</v>
      </c>
      <c r="AU147" s="15"/>
      <c r="AV147" s="15"/>
      <c r="AW147" s="15"/>
      <c r="AX147" s="15"/>
      <c r="AY147" s="15"/>
      <c r="AZ147" s="15"/>
      <c r="BA147" s="15"/>
      <c r="BB147" s="16">
        <f t="shared" si="148"/>
        <v>0</v>
      </c>
    </row>
    <row r="148" spans="1:54" ht="124.2" customHeight="1" outlineLevel="2">
      <c r="A148" s="98"/>
      <c r="B148" s="102"/>
      <c r="C148" s="23"/>
      <c r="D148" s="269"/>
      <c r="E148" s="271"/>
      <c r="F148" s="161"/>
      <c r="G148" s="161"/>
      <c r="H148" s="202"/>
      <c r="I148" s="104"/>
      <c r="J148" s="105"/>
      <c r="K148" s="105"/>
      <c r="L148" s="106" t="str">
        <f>IF(I148&lt;&gt;0,((VLOOKUP(I148,'1. Standard_Cost'!$B$4:$D$11,2)+VLOOKUP(I148,'1. Standard_Cost'!$B$4:$D$11,3))*J148*K148),"0")</f>
        <v>0</v>
      </c>
      <c r="M148" s="106">
        <f>L148*'1. Standard_Cost'!$F$4</f>
        <v>0</v>
      </c>
      <c r="N148" s="107"/>
      <c r="O148" s="107"/>
      <c r="P148" s="107"/>
      <c r="Q148" s="107"/>
      <c r="R148" s="108">
        <f>'[1]1. Standard_Cost'!$B$15*N148*P148</f>
        <v>0</v>
      </c>
      <c r="S148" s="108">
        <f>N148*O148*P148*'[1]1. Standard_Cost'!$C$15</f>
        <v>0</v>
      </c>
      <c r="T148" s="108">
        <f>N148*P148*Q148*'[1]1. Standard_Cost'!$D$15</f>
        <v>0</v>
      </c>
      <c r="U148" s="108">
        <f>N148*O148*'[1]1. Standard_Cost'!$E$15</f>
        <v>0</v>
      </c>
      <c r="V148" s="107"/>
      <c r="W148" s="107"/>
      <c r="X148" s="107"/>
      <c r="Y148" s="108">
        <f>+V148*((X148*'[1]1. Standard_Cost'!$B$19)+(W148*X148*'[1]1. Standard_Cost'!$C$19))</f>
        <v>0</v>
      </c>
      <c r="Z148" s="107"/>
      <c r="AA148" s="107"/>
      <c r="AB148" s="108">
        <f>+Z148*'[1]1. Standard_Cost'!$B$23+AA148*'[1]1. Standard_Cost'!$C$23</f>
        <v>0</v>
      </c>
      <c r="AC148" s="109"/>
      <c r="AD148" s="110"/>
      <c r="AE148" s="108">
        <v>0</v>
      </c>
      <c r="AF148" s="108">
        <f t="shared" si="144"/>
        <v>0</v>
      </c>
      <c r="AG148" s="107"/>
      <c r="AH148" s="107"/>
      <c r="AI148" s="107"/>
      <c r="AJ148" s="111"/>
      <c r="AK148" s="111"/>
      <c r="AL148" s="111"/>
      <c r="AM148" s="108">
        <f>AG148*'[1]1. Standard_Cost'!$B$27+'[1]Incremental_Cost Year 7'!AH148*'[1]1. Standard_Cost'!$C$27+'[1]Incremental_Cost Year 7'!AI148*'[1]1. Standard_Cost'!$D$27+'[1]Incremental_Cost Year 7'!AJ148+'[1]Incremental_Cost Year 7'!AL148+AK148</f>
        <v>0</v>
      </c>
      <c r="AN148" s="108">
        <f>AM148*'[1]1. Standard_Cost'!$C$31</f>
        <v>0</v>
      </c>
      <c r="AO148" s="163" t="s">
        <v>487</v>
      </c>
      <c r="AQ148" s="14">
        <f t="shared" si="145"/>
        <v>0</v>
      </c>
      <c r="AR148" s="14">
        <f t="shared" si="146"/>
        <v>0</v>
      </c>
      <c r="AS148" s="14">
        <f t="shared" si="147"/>
        <v>0</v>
      </c>
      <c r="AT148" s="14">
        <f t="shared" si="149"/>
        <v>0</v>
      </c>
      <c r="AU148" s="15"/>
      <c r="AV148" s="15"/>
      <c r="AW148" s="15"/>
      <c r="AX148" s="15"/>
      <c r="AY148" s="15"/>
      <c r="AZ148" s="15"/>
      <c r="BA148" s="15"/>
      <c r="BB148" s="16">
        <f t="shared" si="148"/>
        <v>0</v>
      </c>
    </row>
    <row r="149" spans="1:54" ht="27.6" outlineLevel="2">
      <c r="A149" s="98"/>
      <c r="B149" s="102"/>
      <c r="C149" s="23"/>
      <c r="D149" s="269"/>
      <c r="E149" s="271"/>
      <c r="F149" s="250"/>
      <c r="G149" s="255"/>
      <c r="H149" s="272"/>
      <c r="I149" s="104"/>
      <c r="J149" s="105"/>
      <c r="K149" s="105"/>
      <c r="L149" s="106" t="str">
        <f>IF(I149&lt;&gt;0,((VLOOKUP(I149,'1. Standard_Cost'!$B$4:$D$11,2)+VLOOKUP(I149,'1. Standard_Cost'!$B$4:$D$11,3))*J149*K149),"0")</f>
        <v>0</v>
      </c>
      <c r="M149" s="106">
        <f>L149*'1. Standard_Cost'!$F$4</f>
        <v>0</v>
      </c>
      <c r="N149" s="107"/>
      <c r="O149" s="107"/>
      <c r="P149" s="107"/>
      <c r="Q149" s="107"/>
      <c r="R149" s="108">
        <f>'1. Standard_Cost'!$B$15*N149*P149</f>
        <v>0</v>
      </c>
      <c r="S149" s="108">
        <f>N149*O149*P149*'1. Standard_Cost'!$C$15</f>
        <v>0</v>
      </c>
      <c r="T149" s="108">
        <f>N149*P149*Q149*'1. Standard_Cost'!$D$15</f>
        <v>0</v>
      </c>
      <c r="U149" s="108">
        <f>N149*O149*'1. Standard_Cost'!$E$15</f>
        <v>0</v>
      </c>
      <c r="V149" s="107"/>
      <c r="W149" s="107"/>
      <c r="X149" s="107"/>
      <c r="Y149" s="108">
        <f>+V149*((X149*'1. Standard_Cost'!$B$19)+(W149*X149*'1. Standard_Cost'!$C$19))</f>
        <v>0</v>
      </c>
      <c r="Z149" s="107"/>
      <c r="AA149" s="107"/>
      <c r="AB149" s="108">
        <f>+Z149*'1. Standard_Cost'!$B$23+AA149*'1. Standard_Cost'!$C$23</f>
        <v>0</v>
      </c>
      <c r="AC149" s="109"/>
      <c r="AD149" s="110"/>
      <c r="AE149" s="108">
        <f>SUM(AD149,AC149,AB149,Y149,U149,T149,S149,R149)*'1. Standard_Cost'!$B$31</f>
        <v>0</v>
      </c>
      <c r="AF149" s="108">
        <f t="shared" si="144"/>
        <v>0</v>
      </c>
      <c r="AG149" s="107"/>
      <c r="AH149" s="107"/>
      <c r="AI149" s="107"/>
      <c r="AJ149" s="111"/>
      <c r="AK149" s="111"/>
      <c r="AL149" s="111"/>
      <c r="AM149" s="108">
        <f>AG149*'1. Standard_Cost'!$B$27+'Incremental_Cost Year 7'!AH149*'1. Standard_Cost'!$C$27+'Incremental_Cost Year 7'!AI149*'1. Standard_Cost'!$D$27+'Incremental_Cost Year 7'!AJ149+'Incremental_Cost Year 7'!AL149+AK149</f>
        <v>0</v>
      </c>
      <c r="AN149" s="108">
        <f>AM149*'1. Standard_Cost'!$C$31</f>
        <v>0</v>
      </c>
      <c r="AO149" s="125" t="s">
        <v>372</v>
      </c>
      <c r="AQ149" s="14">
        <f t="shared" si="145"/>
        <v>0</v>
      </c>
      <c r="AR149" s="14">
        <f t="shared" si="146"/>
        <v>0</v>
      </c>
      <c r="AS149" s="14">
        <f t="shared" si="147"/>
        <v>0</v>
      </c>
      <c r="AT149" s="14">
        <f t="shared" si="149"/>
        <v>0</v>
      </c>
      <c r="AU149" s="15"/>
      <c r="AV149" s="15"/>
      <c r="AW149" s="15"/>
      <c r="AX149" s="15"/>
      <c r="AY149" s="15"/>
      <c r="AZ149" s="15"/>
      <c r="BA149" s="15"/>
      <c r="BB149" s="16">
        <f t="shared" si="148"/>
        <v>0</v>
      </c>
    </row>
    <row r="150" spans="1:54" ht="15.6" outlineLevel="2">
      <c r="A150" s="98"/>
      <c r="B150" s="102"/>
      <c r="C150" s="23"/>
      <c r="D150" s="269"/>
      <c r="E150" s="271"/>
      <c r="F150" s="250"/>
      <c r="G150" s="255"/>
      <c r="H150" s="272"/>
      <c r="I150" s="104"/>
      <c r="J150" s="105"/>
      <c r="K150" s="105"/>
      <c r="L150" s="106" t="str">
        <f>IF(I150&lt;&gt;0,((VLOOKUP(I150,'1. Standard_Cost'!$B$4:$D$11,2)+VLOOKUP(I150,'1. Standard_Cost'!$B$4:$D$11,3))*J150*K150),"0")</f>
        <v>0</v>
      </c>
      <c r="M150" s="106">
        <f>L150*'1. Standard_Cost'!$F$4</f>
        <v>0</v>
      </c>
      <c r="N150" s="107"/>
      <c r="O150" s="107"/>
      <c r="P150" s="107"/>
      <c r="Q150" s="107"/>
      <c r="R150" s="108">
        <f>'1. Standard_Cost'!$B$15*N150*P150</f>
        <v>0</v>
      </c>
      <c r="S150" s="108">
        <f>N150*O150*P150*'1. Standard_Cost'!$C$15</f>
        <v>0</v>
      </c>
      <c r="T150" s="108">
        <f>N150*P150*Q150*'1. Standard_Cost'!$D$15</f>
        <v>0</v>
      </c>
      <c r="U150" s="108">
        <f>N150*O150*'1. Standard_Cost'!$E$15</f>
        <v>0</v>
      </c>
      <c r="V150" s="107"/>
      <c r="W150" s="107"/>
      <c r="X150" s="107"/>
      <c r="Y150" s="108">
        <f>+V150*((X150*'1. Standard_Cost'!$B$19)+(W150*X150*'1. Standard_Cost'!$C$19))</f>
        <v>0</v>
      </c>
      <c r="Z150" s="107"/>
      <c r="AA150" s="107"/>
      <c r="AB150" s="108">
        <f>+Z150*'1. Standard_Cost'!$B$23+AA150*'1. Standard_Cost'!$C$23</f>
        <v>0</v>
      </c>
      <c r="AC150" s="109"/>
      <c r="AD150" s="110"/>
      <c r="AE150" s="108"/>
      <c r="AF150" s="108">
        <f t="shared" si="144"/>
        <v>0</v>
      </c>
      <c r="AG150" s="107"/>
      <c r="AH150" s="107"/>
      <c r="AI150" s="107"/>
      <c r="AJ150" s="111"/>
      <c r="AK150" s="111"/>
      <c r="AL150" s="111"/>
      <c r="AM150" s="108">
        <f>AG150*'1. Standard_Cost'!$B$27+'Incremental_Cost Year 7'!AH150*'1. Standard_Cost'!$C$27+'Incremental_Cost Year 7'!AI150*'1. Standard_Cost'!$D$27+'Incremental_Cost Year 7'!AJ150+'Incremental_Cost Year 7'!AL150+AK150</f>
        <v>0</v>
      </c>
      <c r="AN150" s="108">
        <f>AM150*'1. Standard_Cost'!$C$31</f>
        <v>0</v>
      </c>
      <c r="AO150" s="125" t="s">
        <v>373</v>
      </c>
      <c r="AQ150" s="14">
        <f t="shared" si="145"/>
        <v>0</v>
      </c>
      <c r="AR150" s="14">
        <f t="shared" si="146"/>
        <v>0</v>
      </c>
      <c r="AS150" s="14">
        <f t="shared" si="147"/>
        <v>0</v>
      </c>
      <c r="AT150" s="14">
        <f t="shared" si="149"/>
        <v>0</v>
      </c>
      <c r="AU150" s="15"/>
      <c r="AV150" s="15"/>
      <c r="AW150" s="15"/>
      <c r="AX150" s="15"/>
      <c r="AY150" s="15"/>
      <c r="AZ150" s="15"/>
      <c r="BA150" s="15"/>
      <c r="BB150" s="16">
        <f t="shared" si="148"/>
        <v>0</v>
      </c>
    </row>
    <row r="151" spans="1:54" ht="15.6" outlineLevel="2">
      <c r="A151" s="98"/>
      <c r="B151" s="102"/>
      <c r="C151" s="23"/>
      <c r="D151" s="269"/>
      <c r="E151" s="271"/>
      <c r="F151" s="250"/>
      <c r="G151" s="177"/>
      <c r="H151" s="272"/>
      <c r="I151" s="104"/>
      <c r="J151" s="105"/>
      <c r="K151" s="105"/>
      <c r="L151" s="106" t="str">
        <f>IF(I151&lt;&gt;0,((VLOOKUP(I151,'1. Standard_Cost'!$B$4:$D$11,2)+VLOOKUP(I151,'1. Standard_Cost'!$B$4:$D$11,3))*J151*K151),"0")</f>
        <v>0</v>
      </c>
      <c r="M151" s="106">
        <f>L151*'1. Standard_Cost'!$F$4</f>
        <v>0</v>
      </c>
      <c r="N151" s="107"/>
      <c r="O151" s="107"/>
      <c r="P151" s="107"/>
      <c r="Q151" s="107"/>
      <c r="R151" s="108">
        <f>'1. Standard_Cost'!$B$15*N151*P151</f>
        <v>0</v>
      </c>
      <c r="S151" s="108">
        <f>N151*O151*P151*'1. Standard_Cost'!$C$15</f>
        <v>0</v>
      </c>
      <c r="T151" s="108">
        <f>N151*P151*Q151*'1. Standard_Cost'!$D$15</f>
        <v>0</v>
      </c>
      <c r="U151" s="108">
        <f>N151*O151*'1. Standard_Cost'!$E$15</f>
        <v>0</v>
      </c>
      <c r="V151" s="107"/>
      <c r="W151" s="107"/>
      <c r="X151" s="107"/>
      <c r="Y151" s="108">
        <f>+V151*((X151*'1. Standard_Cost'!$B$19)+(W151*X151*'1. Standard_Cost'!$C$19))</f>
        <v>0</v>
      </c>
      <c r="Z151" s="107"/>
      <c r="AA151" s="107"/>
      <c r="AB151" s="108">
        <f>+Z151*'1. Standard_Cost'!$B$23+AA151*'1. Standard_Cost'!$C$23</f>
        <v>0</v>
      </c>
      <c r="AC151" s="109"/>
      <c r="AD151" s="110"/>
      <c r="AE151" s="108">
        <f>SUM(AD151,AC151,AB151,Y151,U151,T151,S151,R151)*'1. Standard_Cost'!$B$31</f>
        <v>0</v>
      </c>
      <c r="AF151" s="108">
        <f t="shared" si="144"/>
        <v>0</v>
      </c>
      <c r="AG151" s="107"/>
      <c r="AH151" s="107"/>
      <c r="AI151" s="107"/>
      <c r="AJ151" s="111"/>
      <c r="AK151" s="111"/>
      <c r="AL151" s="111"/>
      <c r="AM151" s="108">
        <f>AG151*'1. Standard_Cost'!$B$27+'Incremental_Cost Year 7'!AH151*'1. Standard_Cost'!$C$27+'Incremental_Cost Year 7'!AI151*'1. Standard_Cost'!$D$27+'Incremental_Cost Year 7'!AJ151+'Incremental_Cost Year 7'!AL151+AK151</f>
        <v>0</v>
      </c>
      <c r="AN151" s="108">
        <f>AM151*'1. Standard_Cost'!$C$31</f>
        <v>0</v>
      </c>
      <c r="AO151" s="125" t="s">
        <v>374</v>
      </c>
      <c r="AQ151" s="14">
        <f t="shared" si="145"/>
        <v>0</v>
      </c>
      <c r="AR151" s="14">
        <f t="shared" si="146"/>
        <v>0</v>
      </c>
      <c r="AS151" s="14">
        <f t="shared" si="147"/>
        <v>0</v>
      </c>
      <c r="AT151" s="14">
        <f t="shared" si="149"/>
        <v>0</v>
      </c>
      <c r="AU151" s="15"/>
      <c r="AV151" s="15"/>
      <c r="AW151" s="15"/>
      <c r="AX151" s="15"/>
      <c r="AY151" s="15"/>
      <c r="AZ151" s="15"/>
      <c r="BA151" s="15"/>
      <c r="BB151" s="16">
        <f t="shared" si="148"/>
        <v>0</v>
      </c>
    </row>
    <row r="152" spans="1:54" ht="41.4" customHeight="1" outlineLevel="2">
      <c r="A152" s="98"/>
      <c r="B152" s="102"/>
      <c r="C152" s="23"/>
      <c r="D152" s="269"/>
      <c r="E152" s="271"/>
      <c r="F152" s="161"/>
      <c r="G152" s="161"/>
      <c r="H152" s="164"/>
      <c r="I152" s="104"/>
      <c r="J152" s="105"/>
      <c r="K152" s="105"/>
      <c r="L152" s="106" t="str">
        <f>IF(I152&lt;&gt;0,((VLOOKUP(I152,'1. Standard_Cost'!$B$4:$D$11,2)+VLOOKUP(I152,'1. Standard_Cost'!$B$4:$D$11,3))*J152*K152),"0")</f>
        <v>0</v>
      </c>
      <c r="M152" s="106">
        <f>L152*'1. Standard_Cost'!$F$4</f>
        <v>0</v>
      </c>
      <c r="N152" s="107"/>
      <c r="O152" s="107"/>
      <c r="P152" s="107"/>
      <c r="Q152" s="107"/>
      <c r="R152" s="108">
        <f>'[1]1. Standard_Cost'!$B$15*N152*P152</f>
        <v>0</v>
      </c>
      <c r="S152" s="108">
        <f>N152*O152*P152*'[1]1. Standard_Cost'!$C$15</f>
        <v>0</v>
      </c>
      <c r="T152" s="108">
        <f>N152*P152*Q152*'[1]1. Standard_Cost'!$D$15</f>
        <v>0</v>
      </c>
      <c r="U152" s="108">
        <f>N152*O152*'[1]1. Standard_Cost'!$E$15</f>
        <v>0</v>
      </c>
      <c r="V152" s="107"/>
      <c r="W152" s="107"/>
      <c r="X152" s="107"/>
      <c r="Y152" s="108">
        <f>+V152*((X152*'[1]1. Standard_Cost'!$B$19)+(W152*X152*'[1]1. Standard_Cost'!$C$19))</f>
        <v>0</v>
      </c>
      <c r="Z152" s="107"/>
      <c r="AA152" s="107"/>
      <c r="AB152" s="108">
        <f>+Z152*'[1]1. Standard_Cost'!$B$23+AA152*'[1]1. Standard_Cost'!$C$23</f>
        <v>0</v>
      </c>
      <c r="AC152" s="109"/>
      <c r="AD152" s="110"/>
      <c r="AE152" s="108">
        <f>SUM(AD152,AC152,AB152,Y152,U152,T152,S152,R152)*'[1]1. Standard_Cost'!$B$31</f>
        <v>0</v>
      </c>
      <c r="AF152" s="108">
        <f t="shared" si="144"/>
        <v>0</v>
      </c>
      <c r="AG152" s="107"/>
      <c r="AH152" s="107"/>
      <c r="AI152" s="107"/>
      <c r="AJ152" s="111"/>
      <c r="AK152" s="111"/>
      <c r="AL152" s="111"/>
      <c r="AM152" s="108">
        <f>AG152*'[1]1. Standard_Cost'!$B$27+'[1]Incremental_Cost Year 7'!AH152*'[1]1. Standard_Cost'!$C$27+'[1]Incremental_Cost Year 7'!AI152*'[1]1. Standard_Cost'!$D$27+'[1]Incremental_Cost Year 7'!AJ152+'[1]Incremental_Cost Year 7'!AL152+AK152</f>
        <v>0</v>
      </c>
      <c r="AN152" s="108">
        <f>AM152*'[1]1. Standard_Cost'!$C$31</f>
        <v>0</v>
      </c>
      <c r="AO152" s="125" t="s">
        <v>374</v>
      </c>
      <c r="AQ152" s="14">
        <f t="shared" si="145"/>
        <v>0</v>
      </c>
      <c r="AR152" s="14">
        <f t="shared" si="146"/>
        <v>0</v>
      </c>
      <c r="AS152" s="14">
        <f t="shared" si="147"/>
        <v>0</v>
      </c>
      <c r="AT152" s="14">
        <f t="shared" si="149"/>
        <v>0</v>
      </c>
      <c r="AU152" s="15"/>
      <c r="AV152" s="15"/>
      <c r="AW152" s="15"/>
      <c r="AX152" s="15"/>
      <c r="AY152" s="15"/>
      <c r="AZ152" s="15"/>
      <c r="BA152" s="15"/>
      <c r="BB152" s="16">
        <f t="shared" si="148"/>
        <v>0</v>
      </c>
    </row>
    <row r="153" spans="1:54" ht="15.6" outlineLevel="2">
      <c r="A153" s="98"/>
      <c r="B153" s="102"/>
      <c r="C153" s="23"/>
      <c r="D153" s="269"/>
      <c r="E153" s="271"/>
      <c r="F153" s="250"/>
      <c r="G153" s="255"/>
      <c r="H153" s="272"/>
      <c r="I153" s="104"/>
      <c r="J153" s="105"/>
      <c r="K153" s="105"/>
      <c r="L153" s="106" t="str">
        <f>IF(I153&lt;&gt;0,((VLOOKUP(I153,'1. Standard_Cost'!$B$4:$D$11,2)+VLOOKUP(I153,'1. Standard_Cost'!$B$4:$D$11,3))*J153*K153),"0")</f>
        <v>0</v>
      </c>
      <c r="M153" s="106">
        <f>L153*'1. Standard_Cost'!$F$4</f>
        <v>0</v>
      </c>
      <c r="N153" s="107"/>
      <c r="O153" s="107"/>
      <c r="P153" s="107"/>
      <c r="Q153" s="107"/>
      <c r="R153" s="108">
        <f>'1. Standard_Cost'!$B$15*N153*P153</f>
        <v>0</v>
      </c>
      <c r="S153" s="108">
        <f>N153*O153*P153*'1. Standard_Cost'!$C$15</f>
        <v>0</v>
      </c>
      <c r="T153" s="108">
        <f>N153*P153*Q153*'1. Standard_Cost'!$D$15</f>
        <v>0</v>
      </c>
      <c r="U153" s="108">
        <f>N153*O153*'1. Standard_Cost'!$E$15</f>
        <v>0</v>
      </c>
      <c r="V153" s="107"/>
      <c r="W153" s="107"/>
      <c r="X153" s="107"/>
      <c r="Y153" s="108">
        <f>+V153*((X153*'1. Standard_Cost'!$B$19)+(W153*X153*'1. Standard_Cost'!$C$19))</f>
        <v>0</v>
      </c>
      <c r="Z153" s="107"/>
      <c r="AA153" s="107"/>
      <c r="AB153" s="108">
        <f>+Z153*'1. Standard_Cost'!$B$23+AA153*'1. Standard_Cost'!$C$23</f>
        <v>0</v>
      </c>
      <c r="AC153" s="109"/>
      <c r="AD153" s="110"/>
      <c r="AE153" s="108">
        <f>SUM(AD153,AC153,AB153,Y153,U153,T153,S153,R153)*'1. Standard_Cost'!$B$31</f>
        <v>0</v>
      </c>
      <c r="AF153" s="108">
        <f t="shared" si="144"/>
        <v>0</v>
      </c>
      <c r="AG153" s="107"/>
      <c r="AH153" s="107"/>
      <c r="AI153" s="107"/>
      <c r="AJ153" s="111"/>
      <c r="AK153" s="111"/>
      <c r="AL153" s="111"/>
      <c r="AM153" s="108">
        <f>AG153*'1. Standard_Cost'!$B$27+'Incremental_Cost Year 7'!AH153*'1. Standard_Cost'!$C$27+'Incremental_Cost Year 7'!AI153*'1. Standard_Cost'!$D$27+'Incremental_Cost Year 7'!AJ153+'Incremental_Cost Year 7'!AL153+AK153</f>
        <v>0</v>
      </c>
      <c r="AN153" s="108">
        <f>AM153*'1. Standard_Cost'!$C$31</f>
        <v>0</v>
      </c>
      <c r="AO153" s="125" t="s">
        <v>313</v>
      </c>
      <c r="AQ153" s="14">
        <f t="shared" si="145"/>
        <v>0</v>
      </c>
      <c r="AR153" s="14">
        <f t="shared" si="146"/>
        <v>0</v>
      </c>
      <c r="AS153" s="14">
        <f t="shared" si="147"/>
        <v>0</v>
      </c>
      <c r="AT153" s="14">
        <f t="shared" si="149"/>
        <v>0</v>
      </c>
      <c r="AU153" s="15"/>
      <c r="AV153" s="15"/>
      <c r="AW153" s="15"/>
      <c r="AX153" s="15"/>
      <c r="AY153" s="15"/>
      <c r="AZ153" s="15"/>
      <c r="BA153" s="15"/>
      <c r="BB153" s="16">
        <f t="shared" si="148"/>
        <v>0</v>
      </c>
    </row>
    <row r="154" spans="1:54" ht="15.6" outlineLevel="2">
      <c r="A154" s="98"/>
      <c r="B154" s="102"/>
      <c r="C154" s="23"/>
      <c r="D154" s="269"/>
      <c r="E154" s="271"/>
      <c r="F154" s="250"/>
      <c r="G154" s="255"/>
      <c r="H154" s="272"/>
      <c r="I154" s="104"/>
      <c r="J154" s="105"/>
      <c r="K154" s="105"/>
      <c r="L154" s="106" t="str">
        <f>IF(I154&lt;&gt;0,((VLOOKUP(I154,'1. Standard_Cost'!$B$4:$D$11,2)+VLOOKUP(I154,'1. Standard_Cost'!$B$4:$D$11,3))*J154*K154),"0")</f>
        <v>0</v>
      </c>
      <c r="M154" s="106">
        <f>L154*'1. Standard_Cost'!$F$4</f>
        <v>0</v>
      </c>
      <c r="N154" s="107"/>
      <c r="O154" s="107"/>
      <c r="P154" s="107"/>
      <c r="Q154" s="107"/>
      <c r="R154" s="108">
        <f>'1. Standard_Cost'!$B$15*N154*P154</f>
        <v>0</v>
      </c>
      <c r="S154" s="108">
        <f>N154*O154*P154*'1. Standard_Cost'!$C$15</f>
        <v>0</v>
      </c>
      <c r="T154" s="108">
        <f>N154*P154*Q154*'1. Standard_Cost'!$D$15</f>
        <v>0</v>
      </c>
      <c r="U154" s="108">
        <f>N154*O154*'1. Standard_Cost'!$E$15</f>
        <v>0</v>
      </c>
      <c r="V154" s="107"/>
      <c r="W154" s="107"/>
      <c r="X154" s="107"/>
      <c r="Y154" s="108">
        <f>+V154*((X154*'1. Standard_Cost'!$B$19)+(W154*X154*'1. Standard_Cost'!$C$19))</f>
        <v>0</v>
      </c>
      <c r="Z154" s="107"/>
      <c r="AA154" s="107"/>
      <c r="AB154" s="108">
        <f>+Z154*'1. Standard_Cost'!$B$23+AA154*'1. Standard_Cost'!$C$23</f>
        <v>0</v>
      </c>
      <c r="AC154" s="109"/>
      <c r="AD154" s="110"/>
      <c r="AE154" s="108">
        <f>SUM(AD154,AC154,AB154,Y154,U154,T154,S154,R154)*'1. Standard_Cost'!$B$31</f>
        <v>0</v>
      </c>
      <c r="AF154" s="108">
        <f t="shared" si="144"/>
        <v>0</v>
      </c>
      <c r="AG154" s="107"/>
      <c r="AH154" s="107"/>
      <c r="AI154" s="107"/>
      <c r="AJ154" s="111"/>
      <c r="AK154" s="111"/>
      <c r="AL154" s="111"/>
      <c r="AM154" s="108">
        <f>AG154*'1. Standard_Cost'!$B$27+'Incremental_Cost Year 7'!AH154*'1. Standard_Cost'!$C$27+'Incremental_Cost Year 7'!AI154*'1. Standard_Cost'!$D$27+'Incremental_Cost Year 7'!AJ154+'Incremental_Cost Year 7'!AL154+AK154</f>
        <v>0</v>
      </c>
      <c r="AN154" s="108">
        <f>AM154*'1. Standard_Cost'!$C$31</f>
        <v>0</v>
      </c>
      <c r="AO154" s="125" t="s">
        <v>375</v>
      </c>
      <c r="AQ154" s="14">
        <f t="shared" si="145"/>
        <v>0</v>
      </c>
      <c r="AR154" s="14">
        <f t="shared" si="146"/>
        <v>0</v>
      </c>
      <c r="AS154" s="14">
        <f t="shared" si="147"/>
        <v>0</v>
      </c>
      <c r="AT154" s="14">
        <f t="shared" si="149"/>
        <v>0</v>
      </c>
      <c r="AU154" s="15"/>
      <c r="AV154" s="15"/>
      <c r="AW154" s="15"/>
      <c r="AX154" s="15"/>
      <c r="AY154" s="15"/>
      <c r="AZ154" s="15"/>
      <c r="BA154" s="15"/>
      <c r="BB154" s="16">
        <f t="shared" si="148"/>
        <v>0</v>
      </c>
    </row>
    <row r="155" spans="1:54" ht="15.6" outlineLevel="2">
      <c r="A155" s="98"/>
      <c r="B155" s="102"/>
      <c r="C155" s="23"/>
      <c r="D155" s="269"/>
      <c r="E155" s="271"/>
      <c r="F155" s="250"/>
      <c r="G155" s="255"/>
      <c r="H155" s="165"/>
      <c r="I155" s="104"/>
      <c r="J155" s="105"/>
      <c r="K155" s="105"/>
      <c r="L155" s="106" t="str">
        <f>IF(I155&lt;&gt;0,((VLOOKUP(I155,'1. Standard_Cost'!$B$4:$D$11,2)+VLOOKUP(I155,'1. Standard_Cost'!$B$4:$D$11,3))*J155*K155),"0")</f>
        <v>0</v>
      </c>
      <c r="M155" s="106">
        <f>L155*'1. Standard_Cost'!$F$4</f>
        <v>0</v>
      </c>
      <c r="N155" s="107"/>
      <c r="O155" s="107"/>
      <c r="P155" s="107"/>
      <c r="Q155" s="107"/>
      <c r="R155" s="108">
        <f>'[1]1. Standard_Cost'!$B$15*N155*P155</f>
        <v>0</v>
      </c>
      <c r="S155" s="108">
        <f>N155*O155*P155*'[1]1. Standard_Cost'!$C$15</f>
        <v>0</v>
      </c>
      <c r="T155" s="108">
        <f>N155*P155*Q155*'[1]1. Standard_Cost'!$D$15</f>
        <v>0</v>
      </c>
      <c r="U155" s="108">
        <f>N155*O155*'[1]1. Standard_Cost'!$E$15</f>
        <v>0</v>
      </c>
      <c r="V155" s="107"/>
      <c r="W155" s="107"/>
      <c r="X155" s="107"/>
      <c r="Y155" s="108">
        <f>+V155*((X155*'[1]1. Standard_Cost'!$B$19)+(W155*X155*'[1]1. Standard_Cost'!$C$19))</f>
        <v>0</v>
      </c>
      <c r="Z155" s="107"/>
      <c r="AA155" s="107"/>
      <c r="AB155" s="108">
        <f>+Z155*'[1]1. Standard_Cost'!$B$23+AA155*'[1]1. Standard_Cost'!$C$23</f>
        <v>0</v>
      </c>
      <c r="AC155" s="109"/>
      <c r="AD155" s="110"/>
      <c r="AE155" s="108">
        <f>SUM(AD155,AC155,AB155,Y155,U155,T155,S155,R155)*'[1]1. Standard_Cost'!$B$31</f>
        <v>0</v>
      </c>
      <c r="AF155" s="108">
        <f t="shared" si="144"/>
        <v>0</v>
      </c>
      <c r="AG155" s="107"/>
      <c r="AH155" s="107"/>
      <c r="AI155" s="107"/>
      <c r="AJ155" s="111"/>
      <c r="AK155" s="111"/>
      <c r="AL155" s="111"/>
      <c r="AM155" s="108">
        <f>AG155*'[1]1. Standard_Cost'!$B$27+'[1]Incremental_Cost Year 7'!AH155*'[1]1. Standard_Cost'!$C$27+'[1]Incremental_Cost Year 7'!AI155*'[1]1. Standard_Cost'!$D$27+'[1]Incremental_Cost Year 7'!AJ155+'[1]Incremental_Cost Year 7'!AL155+AK155</f>
        <v>0</v>
      </c>
      <c r="AN155" s="108">
        <f>AM155*'[1]1. Standard_Cost'!$C$31</f>
        <v>0</v>
      </c>
      <c r="AO155" s="125" t="s">
        <v>376</v>
      </c>
      <c r="AQ155" s="14">
        <f t="shared" si="145"/>
        <v>0</v>
      </c>
      <c r="AR155" s="14">
        <f t="shared" si="146"/>
        <v>0</v>
      </c>
      <c r="AS155" s="14">
        <f t="shared" si="147"/>
        <v>0</v>
      </c>
      <c r="AT155" s="14">
        <f t="shared" si="149"/>
        <v>0</v>
      </c>
      <c r="AU155" s="15"/>
      <c r="AV155" s="15"/>
      <c r="AW155" s="15"/>
      <c r="AX155" s="15"/>
      <c r="AY155" s="15"/>
      <c r="AZ155" s="15"/>
      <c r="BA155" s="15"/>
      <c r="BB155" s="16">
        <f t="shared" si="148"/>
        <v>0</v>
      </c>
    </row>
    <row r="156" spans="1:54" ht="27.6" outlineLevel="2">
      <c r="A156" s="98"/>
      <c r="B156" s="102"/>
      <c r="C156" s="23"/>
      <c r="D156" s="269"/>
      <c r="E156" s="271"/>
      <c r="F156" s="250"/>
      <c r="G156" s="255"/>
      <c r="H156" s="272"/>
      <c r="I156" s="104"/>
      <c r="J156" s="105"/>
      <c r="K156" s="105"/>
      <c r="L156" s="106" t="str">
        <f>IF(I156&lt;&gt;0,((VLOOKUP(I156,'1. Standard_Cost'!$B$4:$D$11,2)+VLOOKUP(I156,'1. Standard_Cost'!$B$4:$D$11,3))*J156*K156),"0")</f>
        <v>0</v>
      </c>
      <c r="M156" s="106">
        <f>L156*'1. Standard_Cost'!$F$4</f>
        <v>0</v>
      </c>
      <c r="N156" s="107"/>
      <c r="O156" s="107"/>
      <c r="P156" s="107"/>
      <c r="Q156" s="107"/>
      <c r="R156" s="108">
        <f>'1. Standard_Cost'!$B$15*N156*P156</f>
        <v>0</v>
      </c>
      <c r="S156" s="108">
        <f>N156*O156*P156*'1. Standard_Cost'!$C$15</f>
        <v>0</v>
      </c>
      <c r="T156" s="108">
        <f>N156*P156*Q156*'1. Standard_Cost'!$D$15</f>
        <v>0</v>
      </c>
      <c r="U156" s="108">
        <f>N156*O156*'1. Standard_Cost'!$E$15</f>
        <v>0</v>
      </c>
      <c r="V156" s="107"/>
      <c r="W156" s="107"/>
      <c r="X156" s="107"/>
      <c r="Y156" s="108">
        <f>+V156*((X156*'1. Standard_Cost'!$B$19)+(W156*X156*'1. Standard_Cost'!$C$19))</f>
        <v>0</v>
      </c>
      <c r="Z156" s="107"/>
      <c r="AA156" s="107"/>
      <c r="AB156" s="108">
        <f>+Z156*'1. Standard_Cost'!$B$23+AA156*'1. Standard_Cost'!$C$23</f>
        <v>0</v>
      </c>
      <c r="AC156" s="109"/>
      <c r="AD156" s="110"/>
      <c r="AE156" s="108">
        <f>SUM(AD156,AC156,AB156,Y156,U156,T156,S156,R156)*'1. Standard_Cost'!$B$31</f>
        <v>0</v>
      </c>
      <c r="AF156" s="108">
        <f t="shared" si="144"/>
        <v>0</v>
      </c>
      <c r="AG156" s="107"/>
      <c r="AH156" s="107"/>
      <c r="AI156" s="107"/>
      <c r="AJ156" s="111"/>
      <c r="AK156" s="111"/>
      <c r="AL156" s="111"/>
      <c r="AM156" s="108">
        <f>AG156*'1. Standard_Cost'!$B$27+'Incremental_Cost Year 7'!AH156*'1. Standard_Cost'!$C$27+'Incremental_Cost Year 7'!AI156*'1. Standard_Cost'!$D$27+'Incremental_Cost Year 7'!AJ156+'Incremental_Cost Year 7'!AL156+AK156</f>
        <v>0</v>
      </c>
      <c r="AN156" s="108">
        <f>AM156*'1. Standard_Cost'!$C$31</f>
        <v>0</v>
      </c>
      <c r="AO156" s="125" t="s">
        <v>377</v>
      </c>
      <c r="AQ156" s="14">
        <f t="shared" si="145"/>
        <v>0</v>
      </c>
      <c r="AR156" s="14">
        <f t="shared" si="146"/>
        <v>0</v>
      </c>
      <c r="AS156" s="14">
        <f t="shared" si="147"/>
        <v>0</v>
      </c>
      <c r="AT156" s="14">
        <f t="shared" si="149"/>
        <v>0</v>
      </c>
      <c r="AU156" s="15"/>
      <c r="AV156" s="15"/>
      <c r="AW156" s="15"/>
      <c r="AX156" s="15"/>
      <c r="AY156" s="15"/>
      <c r="AZ156" s="15"/>
      <c r="BA156" s="15"/>
      <c r="BB156" s="16">
        <f t="shared" si="148"/>
        <v>0</v>
      </c>
    </row>
    <row r="157" spans="1:54" ht="15.6" outlineLevel="2">
      <c r="A157" s="98"/>
      <c r="B157" s="102"/>
      <c r="C157" s="23"/>
      <c r="D157" s="269"/>
      <c r="E157" s="271"/>
      <c r="F157" s="250"/>
      <c r="G157" s="255"/>
      <c r="H157" s="272"/>
      <c r="I157" s="104"/>
      <c r="J157" s="105"/>
      <c r="K157" s="105"/>
      <c r="L157" s="106" t="str">
        <f>IF(I157&lt;&gt;0,((VLOOKUP(I157,'1. Standard_Cost'!$B$4:$D$11,2)+VLOOKUP(I157,'1. Standard_Cost'!$B$4:$D$11,3))*J157*K157),"0")</f>
        <v>0</v>
      </c>
      <c r="M157" s="106">
        <f>L157*'1. Standard_Cost'!$F$4</f>
        <v>0</v>
      </c>
      <c r="N157" s="107"/>
      <c r="O157" s="107"/>
      <c r="P157" s="107"/>
      <c r="Q157" s="107"/>
      <c r="R157" s="108">
        <f>'1. Standard_Cost'!$B$15*N157*P157</f>
        <v>0</v>
      </c>
      <c r="S157" s="108">
        <f>N157*O157*P157*'1. Standard_Cost'!$C$15</f>
        <v>0</v>
      </c>
      <c r="T157" s="108">
        <f>N157*P157*Q157*'1. Standard_Cost'!$D$15</f>
        <v>0</v>
      </c>
      <c r="U157" s="108">
        <f>N157*O157*'1. Standard_Cost'!$E$15</f>
        <v>0</v>
      </c>
      <c r="V157" s="107"/>
      <c r="W157" s="107"/>
      <c r="X157" s="107"/>
      <c r="Y157" s="108">
        <f>+V157*((X157*'1. Standard_Cost'!$B$19)+(W157*X157*'1. Standard_Cost'!$C$19))</f>
        <v>0</v>
      </c>
      <c r="Z157" s="107"/>
      <c r="AA157" s="107"/>
      <c r="AB157" s="108">
        <f>+Z157*'1. Standard_Cost'!$B$23+AA157*'1. Standard_Cost'!$C$23</f>
        <v>0</v>
      </c>
      <c r="AC157" s="109"/>
      <c r="AD157" s="110"/>
      <c r="AE157" s="108">
        <f>SUM(AD157,AC157,AB157,Y157,U157,T157,S157,R157)*'1. Standard_Cost'!$B$31</f>
        <v>0</v>
      </c>
      <c r="AF157" s="108">
        <f t="shared" si="144"/>
        <v>0</v>
      </c>
      <c r="AG157" s="107"/>
      <c r="AH157" s="107"/>
      <c r="AI157" s="107"/>
      <c r="AJ157" s="111"/>
      <c r="AK157" s="111"/>
      <c r="AL157" s="111"/>
      <c r="AM157" s="108">
        <f>AG157*'1. Standard_Cost'!$B$27+'Incremental_Cost Year 7'!AH157*'1. Standard_Cost'!$C$27+'Incremental_Cost Year 7'!AI157*'1. Standard_Cost'!$D$27+'Incremental_Cost Year 7'!AJ157+'Incremental_Cost Year 7'!AL157+AK157</f>
        <v>0</v>
      </c>
      <c r="AN157" s="108">
        <f>AM157*'1. Standard_Cost'!$C$31</f>
        <v>0</v>
      </c>
      <c r="AO157" s="125" t="s">
        <v>378</v>
      </c>
      <c r="AQ157" s="14">
        <f t="shared" si="145"/>
        <v>0</v>
      </c>
      <c r="AR157" s="14">
        <f t="shared" si="146"/>
        <v>0</v>
      </c>
      <c r="AS157" s="14">
        <f t="shared" si="147"/>
        <v>0</v>
      </c>
      <c r="AT157" s="14">
        <f t="shared" si="149"/>
        <v>0</v>
      </c>
      <c r="AU157" s="15"/>
      <c r="AV157" s="15"/>
      <c r="AW157" s="15"/>
      <c r="AX157" s="15"/>
      <c r="AY157" s="15"/>
      <c r="AZ157" s="15"/>
      <c r="BA157" s="15"/>
      <c r="BB157" s="16">
        <f t="shared" si="148"/>
        <v>0</v>
      </c>
    </row>
    <row r="158" spans="1:54" ht="15.6" outlineLevel="2">
      <c r="A158" s="98"/>
      <c r="B158" s="102"/>
      <c r="C158" s="23"/>
      <c r="D158" s="269"/>
      <c r="E158" s="271"/>
      <c r="F158" s="250"/>
      <c r="G158" s="255"/>
      <c r="H158" s="272"/>
      <c r="I158" s="104"/>
      <c r="J158" s="105"/>
      <c r="K158" s="105"/>
      <c r="L158" s="106" t="str">
        <f>IF(I158&lt;&gt;0,((VLOOKUP(I158,'1. Standard_Cost'!$B$4:$D$11,2)+VLOOKUP(I158,'1. Standard_Cost'!$B$4:$D$11,3))*J158*K158),"0")</f>
        <v>0</v>
      </c>
      <c r="M158" s="106">
        <f>L158*'1. Standard_Cost'!$F$4</f>
        <v>0</v>
      </c>
      <c r="N158" s="107"/>
      <c r="O158" s="107"/>
      <c r="P158" s="107"/>
      <c r="Q158" s="107"/>
      <c r="R158" s="108">
        <f>'1. Standard_Cost'!$B$15*N158*P158</f>
        <v>0</v>
      </c>
      <c r="S158" s="108">
        <f>N158*O158*P158*'1. Standard_Cost'!$C$15</f>
        <v>0</v>
      </c>
      <c r="T158" s="108">
        <f>N158*P158*Q158*'1. Standard_Cost'!$D$15</f>
        <v>0</v>
      </c>
      <c r="U158" s="108">
        <f>N158*O158*'1. Standard_Cost'!$E$15</f>
        <v>0</v>
      </c>
      <c r="V158" s="107"/>
      <c r="W158" s="107"/>
      <c r="X158" s="107"/>
      <c r="Y158" s="108">
        <f>+V158*((X158*'1. Standard_Cost'!$B$19)+(W158*X158*'1. Standard_Cost'!$C$19))</f>
        <v>0</v>
      </c>
      <c r="Z158" s="107"/>
      <c r="AA158" s="107"/>
      <c r="AB158" s="108">
        <f>+Z158*'1. Standard_Cost'!$B$23+AA158*'1. Standard_Cost'!$C$23</f>
        <v>0</v>
      </c>
      <c r="AC158" s="109"/>
      <c r="AD158" s="110"/>
      <c r="AE158" s="108">
        <f>SUM(AD158,AC158,AB158,Y158,U158,T158,S158,R158)*'1. Standard_Cost'!$B$31</f>
        <v>0</v>
      </c>
      <c r="AF158" s="108">
        <f t="shared" si="144"/>
        <v>0</v>
      </c>
      <c r="AG158" s="107"/>
      <c r="AH158" s="107"/>
      <c r="AI158" s="107"/>
      <c r="AJ158" s="111"/>
      <c r="AK158" s="111"/>
      <c r="AL158" s="111"/>
      <c r="AM158" s="108">
        <f>AG158*'1. Standard_Cost'!$B$27+'Incremental_Cost Year 7'!AH158*'1. Standard_Cost'!$C$27+'Incremental_Cost Year 7'!AI158*'1. Standard_Cost'!$D$27+'Incremental_Cost Year 7'!AJ158+'Incremental_Cost Year 7'!AL158+AK158</f>
        <v>0</v>
      </c>
      <c r="AN158" s="108">
        <f>AM158*'1. Standard_Cost'!$C$31</f>
        <v>0</v>
      </c>
      <c r="AO158" s="125" t="s">
        <v>379</v>
      </c>
      <c r="AQ158" s="14">
        <f t="shared" si="145"/>
        <v>0</v>
      </c>
      <c r="AR158" s="14">
        <f t="shared" si="146"/>
        <v>0</v>
      </c>
      <c r="AS158" s="14">
        <f t="shared" si="147"/>
        <v>0</v>
      </c>
      <c r="AT158" s="14">
        <f t="shared" si="149"/>
        <v>0</v>
      </c>
      <c r="AU158" s="15"/>
      <c r="AV158" s="15"/>
      <c r="AW158" s="15"/>
      <c r="AX158" s="15"/>
      <c r="AY158" s="15"/>
      <c r="AZ158" s="15"/>
      <c r="BA158" s="15"/>
      <c r="BB158" s="16">
        <f t="shared" si="148"/>
        <v>0</v>
      </c>
    </row>
    <row r="159" spans="1:54" ht="15.6" outlineLevel="2">
      <c r="A159" s="98"/>
      <c r="B159" s="102"/>
      <c r="C159" s="23"/>
      <c r="D159" s="269"/>
      <c r="E159" s="271"/>
      <c r="F159" s="250"/>
      <c r="G159" s="255"/>
      <c r="H159" s="272"/>
      <c r="I159" s="104"/>
      <c r="J159" s="105"/>
      <c r="K159" s="105"/>
      <c r="L159" s="106" t="str">
        <f>IF(I159&lt;&gt;0,((VLOOKUP(I159,'1. Standard_Cost'!$B$4:$D$11,2)+VLOOKUP(I159,'1. Standard_Cost'!$B$4:$D$11,3))*J159*K159),"0")</f>
        <v>0</v>
      </c>
      <c r="M159" s="106">
        <f>L159*'1. Standard_Cost'!$F$4</f>
        <v>0</v>
      </c>
      <c r="N159" s="107"/>
      <c r="O159" s="107"/>
      <c r="P159" s="107"/>
      <c r="Q159" s="107"/>
      <c r="R159" s="108">
        <f>'1. Standard_Cost'!$B$15*N159*P159</f>
        <v>0</v>
      </c>
      <c r="S159" s="108">
        <f>N159*O159*P159*'1. Standard_Cost'!$C$15</f>
        <v>0</v>
      </c>
      <c r="T159" s="108">
        <f>N159*P159*Q159*'1. Standard_Cost'!$D$15</f>
        <v>0</v>
      </c>
      <c r="U159" s="108">
        <f>N159*O159*'1. Standard_Cost'!$E$15</f>
        <v>0</v>
      </c>
      <c r="V159" s="107"/>
      <c r="W159" s="107"/>
      <c r="X159" s="107"/>
      <c r="Y159" s="108">
        <f>+V159*((X159*'1. Standard_Cost'!$B$19)+(W159*X159*'1. Standard_Cost'!$C$19))</f>
        <v>0</v>
      </c>
      <c r="Z159" s="107"/>
      <c r="AA159" s="107"/>
      <c r="AB159" s="108">
        <f>+Z159*'1. Standard_Cost'!$B$23+AA159*'1. Standard_Cost'!$C$23</f>
        <v>0</v>
      </c>
      <c r="AC159" s="109"/>
      <c r="AD159" s="110"/>
      <c r="AE159" s="108">
        <f>SUM(AD159,AC159,AB159,Y159,U159,T159,S159,R159)*'1. Standard_Cost'!$B$31</f>
        <v>0</v>
      </c>
      <c r="AF159" s="108">
        <f t="shared" si="144"/>
        <v>0</v>
      </c>
      <c r="AG159" s="107"/>
      <c r="AH159" s="107"/>
      <c r="AI159" s="107"/>
      <c r="AJ159" s="111"/>
      <c r="AK159" s="111"/>
      <c r="AL159" s="111"/>
      <c r="AM159" s="108">
        <f>AG159*'1. Standard_Cost'!$B$27+'Incremental_Cost Year 7'!AH159*'1. Standard_Cost'!$C$27+'Incremental_Cost Year 7'!AI159*'1. Standard_Cost'!$D$27+'Incremental_Cost Year 7'!AJ159+'Incremental_Cost Year 7'!AL159+AK159</f>
        <v>0</v>
      </c>
      <c r="AN159" s="108">
        <f>AM159*'1. Standard_Cost'!$C$31</f>
        <v>0</v>
      </c>
      <c r="AO159" s="125" t="s">
        <v>380</v>
      </c>
      <c r="AQ159" s="14">
        <f t="shared" si="145"/>
        <v>0</v>
      </c>
      <c r="AR159" s="14">
        <f t="shared" si="146"/>
        <v>0</v>
      </c>
      <c r="AS159" s="14">
        <f t="shared" si="147"/>
        <v>0</v>
      </c>
      <c r="AT159" s="14">
        <f t="shared" si="149"/>
        <v>0</v>
      </c>
      <c r="AU159" s="15"/>
      <c r="AV159" s="15"/>
      <c r="AW159" s="15"/>
      <c r="AX159" s="15"/>
      <c r="AY159" s="15"/>
      <c r="AZ159" s="15"/>
      <c r="BA159" s="15"/>
      <c r="BB159" s="16">
        <f t="shared" si="148"/>
        <v>0</v>
      </c>
    </row>
    <row r="160" spans="1:54" ht="15.6" outlineLevel="2">
      <c r="A160" s="98"/>
      <c r="B160" s="102"/>
      <c r="C160" s="23"/>
      <c r="D160" s="269"/>
      <c r="E160" s="271"/>
      <c r="F160" s="250"/>
      <c r="G160" s="177"/>
      <c r="H160" s="272"/>
      <c r="I160" s="104"/>
      <c r="J160" s="105"/>
      <c r="K160" s="105"/>
      <c r="L160" s="106" t="str">
        <f>IF(I160&lt;&gt;0,((VLOOKUP(I160,'1. Standard_Cost'!$B$4:$D$11,2)+VLOOKUP(I160,'1. Standard_Cost'!$B$4:$D$11,3))*J160*K160),"0")</f>
        <v>0</v>
      </c>
      <c r="M160" s="106">
        <f>L160*'1. Standard_Cost'!$F$4</f>
        <v>0</v>
      </c>
      <c r="N160" s="107"/>
      <c r="O160" s="107"/>
      <c r="P160" s="107"/>
      <c r="Q160" s="107"/>
      <c r="R160" s="108">
        <f>'1. Standard_Cost'!$B$15*N160*P160</f>
        <v>0</v>
      </c>
      <c r="S160" s="108">
        <f>N160*O160*P160*'1. Standard_Cost'!$C$15</f>
        <v>0</v>
      </c>
      <c r="T160" s="108">
        <f>N160*P160*Q160*'1. Standard_Cost'!$D$15</f>
        <v>0</v>
      </c>
      <c r="U160" s="108">
        <f>N160*O160*'1. Standard_Cost'!$E$15</f>
        <v>0</v>
      </c>
      <c r="V160" s="107"/>
      <c r="W160" s="107"/>
      <c r="X160" s="107"/>
      <c r="Y160" s="108">
        <f>+V160*((X160*'1. Standard_Cost'!$B$19)+(W160*X160*'1. Standard_Cost'!$C$19))</f>
        <v>0</v>
      </c>
      <c r="Z160" s="107"/>
      <c r="AA160" s="107"/>
      <c r="AB160" s="108">
        <f>+Z160*'1. Standard_Cost'!$B$23+AA160*'1. Standard_Cost'!$C$23</f>
        <v>0</v>
      </c>
      <c r="AC160" s="109"/>
      <c r="AD160" s="110"/>
      <c r="AE160" s="108">
        <f>SUM(AD160,AC160,AB160,Y160,U160,T160,S160,R160)*'1. Standard_Cost'!$B$31</f>
        <v>0</v>
      </c>
      <c r="AF160" s="108">
        <f t="shared" si="144"/>
        <v>0</v>
      </c>
      <c r="AG160" s="107"/>
      <c r="AH160" s="107"/>
      <c r="AI160" s="107"/>
      <c r="AJ160" s="111"/>
      <c r="AK160" s="111"/>
      <c r="AL160" s="111"/>
      <c r="AM160" s="108">
        <f>AG160*'1. Standard_Cost'!$B$27+'Incremental_Cost Year 7'!AH160*'1. Standard_Cost'!$C$27+'Incremental_Cost Year 7'!AI160*'1. Standard_Cost'!$D$27+'Incremental_Cost Year 7'!AJ160+'Incremental_Cost Year 7'!AL160+AK160</f>
        <v>0</v>
      </c>
      <c r="AN160" s="108">
        <f>AM160*'1. Standard_Cost'!$C$31</f>
        <v>0</v>
      </c>
      <c r="AO160" s="125" t="s">
        <v>381</v>
      </c>
      <c r="AQ160" s="14">
        <f t="shared" si="145"/>
        <v>0</v>
      </c>
      <c r="AR160" s="14">
        <f t="shared" si="146"/>
        <v>0</v>
      </c>
      <c r="AS160" s="14">
        <f t="shared" si="147"/>
        <v>0</v>
      </c>
      <c r="AT160" s="14">
        <f t="shared" si="149"/>
        <v>0</v>
      </c>
      <c r="AU160" s="15"/>
      <c r="AV160" s="15"/>
      <c r="AW160" s="15"/>
      <c r="AX160" s="15"/>
      <c r="AY160" s="15"/>
      <c r="AZ160" s="15"/>
      <c r="BA160" s="15"/>
      <c r="BB160" s="16">
        <f t="shared" si="148"/>
        <v>0</v>
      </c>
    </row>
    <row r="161" spans="1:54" ht="15.6" outlineLevel="2">
      <c r="A161" s="98"/>
      <c r="B161" s="102"/>
      <c r="C161" s="23"/>
      <c r="D161" s="269"/>
      <c r="E161" s="271"/>
      <c r="F161" s="250"/>
      <c r="G161" s="255"/>
      <c r="H161" s="272"/>
      <c r="I161" s="104"/>
      <c r="J161" s="105"/>
      <c r="K161" s="105"/>
      <c r="L161" s="106" t="str">
        <f>IF(I161&lt;&gt;0,((VLOOKUP(I161,'1. Standard_Cost'!$B$4:$D$11,2)+VLOOKUP(I161,'1. Standard_Cost'!$B$4:$D$11,3))*J161*K161),"0")</f>
        <v>0</v>
      </c>
      <c r="M161" s="106">
        <f>L161*'1. Standard_Cost'!$F$4</f>
        <v>0</v>
      </c>
      <c r="N161" s="107"/>
      <c r="O161" s="107"/>
      <c r="P161" s="107"/>
      <c r="Q161" s="107"/>
      <c r="R161" s="108">
        <f>'1. Standard_Cost'!$B$15*N161*P161</f>
        <v>0</v>
      </c>
      <c r="S161" s="108">
        <f>N161*O161*P161*'1. Standard_Cost'!$C$15</f>
        <v>0</v>
      </c>
      <c r="T161" s="108">
        <f>N161*P161*Q161*'1. Standard_Cost'!$D$15</f>
        <v>0</v>
      </c>
      <c r="U161" s="108">
        <f>N161*O161*'1. Standard_Cost'!$E$15</f>
        <v>0</v>
      </c>
      <c r="V161" s="107"/>
      <c r="W161" s="107"/>
      <c r="X161" s="107"/>
      <c r="Y161" s="108">
        <f>+V161*((X161*'1. Standard_Cost'!$B$19)+(W161*X161*'1. Standard_Cost'!$C$19))</f>
        <v>0</v>
      </c>
      <c r="Z161" s="107"/>
      <c r="AA161" s="107"/>
      <c r="AB161" s="108">
        <f>+Z161*'1. Standard_Cost'!$B$23+AA161*'1. Standard_Cost'!$C$23</f>
        <v>0</v>
      </c>
      <c r="AC161" s="109"/>
      <c r="AD161" s="110"/>
      <c r="AE161" s="108">
        <f>SUM(AD161,AC161,AB161,Y161,U161,T161,S161,R161)*'1. Standard_Cost'!$B$31</f>
        <v>0</v>
      </c>
      <c r="AF161" s="108">
        <f t="shared" si="144"/>
        <v>0</v>
      </c>
      <c r="AG161" s="107"/>
      <c r="AH161" s="107"/>
      <c r="AI161" s="107"/>
      <c r="AJ161" s="111"/>
      <c r="AK161" s="111"/>
      <c r="AL161" s="111"/>
      <c r="AM161" s="108">
        <f>AG161*'1. Standard_Cost'!$B$27+'Incremental_Cost Year 7'!AH161*'1. Standard_Cost'!$C$27+'Incremental_Cost Year 7'!AI161*'1. Standard_Cost'!$D$27+'Incremental_Cost Year 7'!AJ161+'Incremental_Cost Year 7'!AL161+AK161</f>
        <v>0</v>
      </c>
      <c r="AN161" s="108">
        <f>AM161*'1. Standard_Cost'!$C$31</f>
        <v>0</v>
      </c>
      <c r="AO161" s="125" t="s">
        <v>277</v>
      </c>
      <c r="AQ161" s="14">
        <f t="shared" si="145"/>
        <v>0</v>
      </c>
      <c r="AR161" s="14">
        <f t="shared" si="146"/>
        <v>0</v>
      </c>
      <c r="AS161" s="14">
        <f t="shared" si="147"/>
        <v>0</v>
      </c>
      <c r="AT161" s="14">
        <f t="shared" si="149"/>
        <v>0</v>
      </c>
      <c r="AU161" s="15"/>
      <c r="AV161" s="15"/>
      <c r="AW161" s="15"/>
      <c r="AX161" s="15"/>
      <c r="AY161" s="15"/>
      <c r="AZ161" s="15"/>
      <c r="BA161" s="15"/>
      <c r="BB161" s="16">
        <f t="shared" si="148"/>
        <v>0</v>
      </c>
    </row>
    <row r="162" spans="1:54" ht="15.6" outlineLevel="2">
      <c r="A162" s="98"/>
      <c r="B162" s="102"/>
      <c r="C162" s="23"/>
      <c r="D162" s="251"/>
      <c r="E162" s="251"/>
      <c r="F162" s="251"/>
      <c r="G162" s="250"/>
      <c r="H162" s="272"/>
      <c r="I162" s="104"/>
      <c r="J162" s="105"/>
      <c r="K162" s="105"/>
      <c r="L162" s="106" t="str">
        <f>IF(I162&lt;&gt;0,((VLOOKUP(I162,'1. Standard_Cost'!$B$4:$D$11,2)+VLOOKUP(I162,'1. Standard_Cost'!$B$4:$D$11,3))*J162*K162),"0")</f>
        <v>0</v>
      </c>
      <c r="M162" s="106">
        <f>L162*'1. Standard_Cost'!$F$4</f>
        <v>0</v>
      </c>
      <c r="N162" s="107"/>
      <c r="O162" s="107"/>
      <c r="P162" s="107"/>
      <c r="Q162" s="107"/>
      <c r="R162" s="108">
        <f>'1. Standard_Cost'!$B$15*N162*P162</f>
        <v>0</v>
      </c>
      <c r="S162" s="108">
        <f>N162*O162*P162*'1. Standard_Cost'!$C$15</f>
        <v>0</v>
      </c>
      <c r="T162" s="108">
        <f>N162*P162*Q162*'1. Standard_Cost'!$D$15</f>
        <v>0</v>
      </c>
      <c r="U162" s="108">
        <f>N162*O162*'1. Standard_Cost'!$E$15</f>
        <v>0</v>
      </c>
      <c r="V162" s="107"/>
      <c r="W162" s="107"/>
      <c r="X162" s="107"/>
      <c r="Y162" s="108">
        <f>+V162*((X162*'1. Standard_Cost'!$B$19)+(W162*X162*'1. Standard_Cost'!$C$19))</f>
        <v>0</v>
      </c>
      <c r="Z162" s="107"/>
      <c r="AA162" s="107"/>
      <c r="AB162" s="108">
        <f>+Z162*'1. Standard_Cost'!$B$23+AA162*'1. Standard_Cost'!$C$23</f>
        <v>0</v>
      </c>
      <c r="AC162" s="109"/>
      <c r="AD162" s="110"/>
      <c r="AE162" s="108">
        <f>SUM(AD162,AC162,AB162,Y162,U162,T162,S162,R162)*'1. Standard_Cost'!$B$31</f>
        <v>0</v>
      </c>
      <c r="AF162" s="108">
        <f t="shared" si="144"/>
        <v>0</v>
      </c>
      <c r="AG162" s="107"/>
      <c r="AH162" s="107"/>
      <c r="AI162" s="107"/>
      <c r="AJ162" s="111"/>
      <c r="AK162" s="111"/>
      <c r="AL162" s="111"/>
      <c r="AM162" s="108">
        <f>AG162*'1. Standard_Cost'!$B$27+'Incremental_Cost Year 7'!AH162*'1. Standard_Cost'!$C$27+'Incremental_Cost Year 7'!AI162*'1. Standard_Cost'!$D$27+'Incremental_Cost Year 7'!AJ162+'Incremental_Cost Year 7'!AL162+AK162</f>
        <v>0</v>
      </c>
      <c r="AN162" s="108">
        <f>AM162*'1. Standard_Cost'!$C$31</f>
        <v>0</v>
      </c>
      <c r="AO162" s="125" t="s">
        <v>382</v>
      </c>
      <c r="AQ162" s="14">
        <f t="shared" si="145"/>
        <v>0</v>
      </c>
      <c r="AR162" s="14">
        <f t="shared" si="146"/>
        <v>0</v>
      </c>
      <c r="AS162" s="14">
        <f t="shared" si="147"/>
        <v>0</v>
      </c>
      <c r="AT162" s="14">
        <f t="shared" si="149"/>
        <v>0</v>
      </c>
      <c r="AU162" s="15"/>
      <c r="AV162" s="15"/>
      <c r="AW162" s="15"/>
      <c r="AX162" s="15"/>
      <c r="AY162" s="15"/>
      <c r="AZ162" s="15"/>
      <c r="BA162" s="15"/>
      <c r="BB162" s="16">
        <f t="shared" si="148"/>
        <v>0</v>
      </c>
    </row>
    <row r="163" spans="1:54" ht="32.25" customHeight="1" outlineLevel="2">
      <c r="A163" s="98"/>
      <c r="B163" s="102"/>
      <c r="C163" s="23"/>
      <c r="D163" s="251"/>
      <c r="E163" s="251"/>
      <c r="F163" s="251"/>
      <c r="G163" s="250"/>
      <c r="H163" s="272"/>
      <c r="I163" s="104"/>
      <c r="J163" s="105"/>
      <c r="K163" s="105"/>
      <c r="L163" s="106" t="str">
        <f>IF(I163&lt;&gt;0,((VLOOKUP(I163,'1. Standard_Cost'!$B$4:$D$11,2)+VLOOKUP(I163,'1. Standard_Cost'!$B$4:$D$11,3))*J163*K163),"0")</f>
        <v>0</v>
      </c>
      <c r="M163" s="106">
        <f>L163*'1. Standard_Cost'!$F$4</f>
        <v>0</v>
      </c>
      <c r="N163" s="107"/>
      <c r="O163" s="107"/>
      <c r="P163" s="107"/>
      <c r="Q163" s="107"/>
      <c r="R163" s="108">
        <f>'1. Standard_Cost'!$B$15*N163*P163</f>
        <v>0</v>
      </c>
      <c r="S163" s="108">
        <f>N163*O163*P163*'1. Standard_Cost'!$C$15</f>
        <v>0</v>
      </c>
      <c r="T163" s="108">
        <f>N163*P163*Q163*'1. Standard_Cost'!$D$15</f>
        <v>0</v>
      </c>
      <c r="U163" s="108">
        <f>N163*O163*'1. Standard_Cost'!$E$15</f>
        <v>0</v>
      </c>
      <c r="V163" s="107"/>
      <c r="W163" s="107"/>
      <c r="X163" s="107"/>
      <c r="Y163" s="108">
        <f>+V163*((X163*'1. Standard_Cost'!$B$19)+(W163*X163*'1. Standard_Cost'!$C$19))</f>
        <v>0</v>
      </c>
      <c r="Z163" s="107"/>
      <c r="AA163" s="107"/>
      <c r="AB163" s="108">
        <f>+Z163*'1. Standard_Cost'!$B$23+AA163*'1. Standard_Cost'!$C$23</f>
        <v>0</v>
      </c>
      <c r="AC163" s="109"/>
      <c r="AD163" s="110"/>
      <c r="AE163" s="108">
        <f>SUM(AD163,AC163,AB163,Y163,U163,T163,S163,R163)*'1. Standard_Cost'!$B$31</f>
        <v>0</v>
      </c>
      <c r="AF163" s="108">
        <f t="shared" si="144"/>
        <v>0</v>
      </c>
      <c r="AG163" s="107"/>
      <c r="AH163" s="107"/>
      <c r="AI163" s="107"/>
      <c r="AJ163" s="111"/>
      <c r="AK163" s="111"/>
      <c r="AL163" s="111"/>
      <c r="AM163" s="108">
        <f>AG163*'1. Standard_Cost'!$B$27+'Incremental_Cost Year 7'!AH163*'1. Standard_Cost'!$C$27+'Incremental_Cost Year 7'!AI163*'1. Standard_Cost'!$D$27+'Incremental_Cost Year 7'!AJ163+'Incremental_Cost Year 7'!AL163+AK163</f>
        <v>0</v>
      </c>
      <c r="AN163" s="108">
        <f>AM163*'1. Standard_Cost'!$C$31</f>
        <v>0</v>
      </c>
      <c r="AO163" s="125" t="s">
        <v>383</v>
      </c>
      <c r="AQ163" s="14">
        <f t="shared" si="145"/>
        <v>0</v>
      </c>
      <c r="AR163" s="14">
        <f t="shared" si="146"/>
        <v>0</v>
      </c>
      <c r="AS163" s="14">
        <f t="shared" si="147"/>
        <v>0</v>
      </c>
      <c r="AT163" s="14">
        <f t="shared" si="149"/>
        <v>0</v>
      </c>
      <c r="AU163" s="15"/>
      <c r="AV163" s="15"/>
      <c r="AW163" s="15"/>
      <c r="AX163" s="15"/>
      <c r="AY163" s="15"/>
      <c r="AZ163" s="15"/>
      <c r="BA163" s="15"/>
      <c r="BB163" s="16">
        <f t="shared" si="148"/>
        <v>0</v>
      </c>
    </row>
    <row r="164" spans="1:54" ht="45" customHeight="1" outlineLevel="2">
      <c r="A164" s="98"/>
      <c r="B164" s="102"/>
      <c r="C164" s="23"/>
      <c r="D164" s="251"/>
      <c r="E164" s="251"/>
      <c r="F164" s="251"/>
      <c r="G164" s="250"/>
      <c r="H164" s="272"/>
      <c r="I164" s="104"/>
      <c r="J164" s="105"/>
      <c r="K164" s="105"/>
      <c r="L164" s="106" t="str">
        <f>IF(I164&lt;&gt;0,((VLOOKUP(I164,'1. Standard_Cost'!$B$4:$D$11,2)+VLOOKUP(I164,'1. Standard_Cost'!$B$4:$D$11,3))*J164*K164),"0")</f>
        <v>0</v>
      </c>
      <c r="M164" s="106">
        <f>L164*'1. Standard_Cost'!$F$4</f>
        <v>0</v>
      </c>
      <c r="N164" s="107"/>
      <c r="O164" s="107"/>
      <c r="P164" s="107"/>
      <c r="Q164" s="107"/>
      <c r="R164" s="108">
        <f>'1. Standard_Cost'!$B$15*N164*P164</f>
        <v>0</v>
      </c>
      <c r="S164" s="108">
        <f>N164*O164*P164*'1. Standard_Cost'!$C$15</f>
        <v>0</v>
      </c>
      <c r="T164" s="108">
        <f>N164*P164*Q164*'1. Standard_Cost'!$D$15</f>
        <v>0</v>
      </c>
      <c r="U164" s="108">
        <f>N164*O164*'1. Standard_Cost'!$E$15</f>
        <v>0</v>
      </c>
      <c r="V164" s="107"/>
      <c r="W164" s="107"/>
      <c r="X164" s="107"/>
      <c r="Y164" s="108">
        <f>+V164*((X164*'1. Standard_Cost'!$B$19)+(W164*X164*'1. Standard_Cost'!$C$19))</f>
        <v>0</v>
      </c>
      <c r="Z164" s="107"/>
      <c r="AA164" s="107"/>
      <c r="AB164" s="108">
        <f>+Z164*'1. Standard_Cost'!$B$23+AA164*'1. Standard_Cost'!$C$23</f>
        <v>0</v>
      </c>
      <c r="AC164" s="109"/>
      <c r="AD164" s="110"/>
      <c r="AE164" s="108">
        <f>SUM(AD164,AC164,AB164,Y164,U164,T164,S164,R164)*'1. Standard_Cost'!$B$31</f>
        <v>0</v>
      </c>
      <c r="AF164" s="108">
        <f t="shared" si="144"/>
        <v>0</v>
      </c>
      <c r="AG164" s="107"/>
      <c r="AH164" s="107"/>
      <c r="AI164" s="107"/>
      <c r="AJ164" s="111"/>
      <c r="AK164" s="111"/>
      <c r="AL164" s="111"/>
      <c r="AM164" s="108">
        <f>AG164*'1. Standard_Cost'!$B$27+'Incremental_Cost Year 7'!AH164*'1. Standard_Cost'!$C$27+'Incremental_Cost Year 7'!AI164*'1. Standard_Cost'!$D$27+'Incremental_Cost Year 7'!AJ164+'Incremental_Cost Year 7'!AL164+AK164</f>
        <v>0</v>
      </c>
      <c r="AN164" s="108">
        <f>AM164*'1. Standard_Cost'!$C$31</f>
        <v>0</v>
      </c>
      <c r="AO164" s="125" t="s">
        <v>384</v>
      </c>
      <c r="AQ164" s="14">
        <f t="shared" si="145"/>
        <v>0</v>
      </c>
      <c r="AR164" s="14">
        <f t="shared" si="146"/>
        <v>0</v>
      </c>
      <c r="AS164" s="14">
        <f t="shared" si="147"/>
        <v>0</v>
      </c>
      <c r="AT164" s="14">
        <f t="shared" si="149"/>
        <v>0</v>
      </c>
      <c r="AU164" s="15"/>
      <c r="AV164" s="15"/>
      <c r="AW164" s="15"/>
      <c r="AX164" s="15"/>
      <c r="AY164" s="15"/>
      <c r="AZ164" s="15"/>
      <c r="BA164" s="15"/>
      <c r="BB164" s="16">
        <f t="shared" si="148"/>
        <v>0</v>
      </c>
    </row>
    <row r="165" spans="1:54" ht="41.4" outlineLevel="2">
      <c r="A165" s="98"/>
      <c r="B165" s="102"/>
      <c r="C165" s="23"/>
      <c r="D165" s="251"/>
      <c r="E165" s="251"/>
      <c r="F165" s="251"/>
      <c r="G165" s="250"/>
      <c r="H165" s="272"/>
      <c r="I165" s="104"/>
      <c r="J165" s="105"/>
      <c r="K165" s="105"/>
      <c r="L165" s="106" t="str">
        <f>IF(I165&lt;&gt;0,((VLOOKUP(I165,'1. Standard_Cost'!$B$4:$D$11,2)+VLOOKUP(I165,'1. Standard_Cost'!$B$4:$D$11,3))*J165*K165),"0")</f>
        <v>0</v>
      </c>
      <c r="M165" s="106">
        <f>L165*'1. Standard_Cost'!$F$4</f>
        <v>0</v>
      </c>
      <c r="N165" s="107"/>
      <c r="O165" s="107"/>
      <c r="P165" s="107"/>
      <c r="Q165" s="107"/>
      <c r="R165" s="108">
        <f>'1. Standard_Cost'!$B$15*N165*P165</f>
        <v>0</v>
      </c>
      <c r="S165" s="108">
        <f>N165*O165*P165*'1. Standard_Cost'!$C$15</f>
        <v>0</v>
      </c>
      <c r="T165" s="108">
        <f>N165*P165*Q165*'1. Standard_Cost'!$D$15</f>
        <v>0</v>
      </c>
      <c r="U165" s="108">
        <f>N165*O165*'1. Standard_Cost'!$E$15</f>
        <v>0</v>
      </c>
      <c r="V165" s="107"/>
      <c r="W165" s="107"/>
      <c r="X165" s="107"/>
      <c r="Y165" s="108">
        <f>+V165*((X165*'1. Standard_Cost'!$B$19)+(W165*X165*'1. Standard_Cost'!$C$19))</f>
        <v>0</v>
      </c>
      <c r="Z165" s="107"/>
      <c r="AA165" s="107"/>
      <c r="AB165" s="108">
        <f>+Z165*'1. Standard_Cost'!$B$23+AA165*'1. Standard_Cost'!$C$23</f>
        <v>0</v>
      </c>
      <c r="AC165" s="109"/>
      <c r="AD165" s="110"/>
      <c r="AE165" s="108">
        <f>SUM(AD165,AC165,AB165,Y165,U165,T165,S165,R165)*'1. Standard_Cost'!$B$31</f>
        <v>0</v>
      </c>
      <c r="AF165" s="108">
        <f t="shared" si="144"/>
        <v>0</v>
      </c>
      <c r="AG165" s="107"/>
      <c r="AH165" s="107"/>
      <c r="AI165" s="107"/>
      <c r="AJ165" s="111"/>
      <c r="AK165" s="111"/>
      <c r="AL165" s="111"/>
      <c r="AM165" s="108">
        <f>AG165*'1. Standard_Cost'!$B$27+'Incremental_Cost Year 7'!AH165*'1. Standard_Cost'!$C$27+'Incremental_Cost Year 7'!AI165*'1. Standard_Cost'!$D$27+'Incremental_Cost Year 7'!AJ165+'Incremental_Cost Year 7'!AL165+AK165</f>
        <v>0</v>
      </c>
      <c r="AN165" s="108">
        <f>AM165*'1. Standard_Cost'!$C$31</f>
        <v>0</v>
      </c>
      <c r="AO165" s="125" t="s">
        <v>385</v>
      </c>
      <c r="AQ165" s="14">
        <f t="shared" si="145"/>
        <v>0</v>
      </c>
      <c r="AR165" s="14">
        <f t="shared" si="146"/>
        <v>0</v>
      </c>
      <c r="AS165" s="14">
        <f t="shared" si="147"/>
        <v>0</v>
      </c>
      <c r="AT165" s="14">
        <f t="shared" si="149"/>
        <v>0</v>
      </c>
      <c r="AU165" s="15"/>
      <c r="AV165" s="15"/>
      <c r="AW165" s="15"/>
      <c r="AX165" s="15"/>
      <c r="AY165" s="15"/>
      <c r="AZ165" s="15"/>
      <c r="BA165" s="15"/>
      <c r="BB165" s="16">
        <f t="shared" si="148"/>
        <v>0</v>
      </c>
    </row>
    <row r="166" spans="1:54" ht="161.4" customHeight="1" outlineLevel="2">
      <c r="A166" s="98"/>
      <c r="B166" s="102"/>
      <c r="C166" s="23"/>
      <c r="D166" s="251"/>
      <c r="E166" s="251"/>
      <c r="F166" s="161"/>
      <c r="G166" s="161"/>
      <c r="H166" s="166"/>
      <c r="I166" s="104"/>
      <c r="J166" s="105"/>
      <c r="K166" s="105"/>
      <c r="L166" s="106" t="str">
        <f>IF(I166&lt;&gt;0,((VLOOKUP(I166,'1. Standard_Cost'!$B$4:$D$11,2)+VLOOKUP(I166,'1. Standard_Cost'!$B$4:$D$11,3))*J166*K166),"0")</f>
        <v>0</v>
      </c>
      <c r="M166" s="106">
        <f>L166*'1. Standard_Cost'!$F$4</f>
        <v>0</v>
      </c>
      <c r="N166" s="107"/>
      <c r="O166" s="107"/>
      <c r="P166" s="107"/>
      <c r="Q166" s="107"/>
      <c r="R166" s="108">
        <f>'[1]1. Standard_Cost'!$B$15*N166*P166</f>
        <v>0</v>
      </c>
      <c r="S166" s="108">
        <f>N166*O166*P166*'[1]1. Standard_Cost'!$C$15</f>
        <v>0</v>
      </c>
      <c r="T166" s="108">
        <f>N166*P166*Q166*'[1]1. Standard_Cost'!$D$15</f>
        <v>0</v>
      </c>
      <c r="U166" s="108">
        <f>N166*O166*'[1]1. Standard_Cost'!$E$15</f>
        <v>0</v>
      </c>
      <c r="V166" s="107"/>
      <c r="W166" s="107"/>
      <c r="X166" s="107"/>
      <c r="Y166" s="108">
        <f>+V166*((X166*'[1]1. Standard_Cost'!$B$19)+(W166*X166*'[1]1. Standard_Cost'!$C$19))</f>
        <v>0</v>
      </c>
      <c r="Z166" s="107"/>
      <c r="AA166" s="107"/>
      <c r="AB166" s="108">
        <f>+Z166*'[1]1. Standard_Cost'!$B$23+AA166*'[1]1. Standard_Cost'!$C$23</f>
        <v>0</v>
      </c>
      <c r="AC166" s="109"/>
      <c r="AD166" s="110"/>
      <c r="AE166" s="108">
        <f>SUM(AD166,AC166,AB166,Y166,U166,T166,S166,R166)*'[1]1. Standard_Cost'!$B$31</f>
        <v>0</v>
      </c>
      <c r="AF166" s="108">
        <f t="shared" si="144"/>
        <v>0</v>
      </c>
      <c r="AG166" s="107"/>
      <c r="AH166" s="107"/>
      <c r="AI166" s="107"/>
      <c r="AJ166" s="111"/>
      <c r="AK166" s="111"/>
      <c r="AL166" s="111"/>
      <c r="AM166" s="108">
        <f>AG166*'[1]1. Standard_Cost'!$B$27+'[1]Incremental_Cost Year 7'!AH166*'[1]1. Standard_Cost'!$C$27+'[1]Incremental_Cost Year 7'!AI166*'[1]1. Standard_Cost'!$D$27+'[1]Incremental_Cost Year 7'!AJ166+'[1]Incremental_Cost Year 7'!AL166+AK166</f>
        <v>0</v>
      </c>
      <c r="AN166" s="108">
        <f>AM166*'[1]1. Standard_Cost'!$C$31</f>
        <v>0</v>
      </c>
      <c r="AO166" s="163" t="s">
        <v>509</v>
      </c>
      <c r="AQ166" s="14">
        <f t="shared" si="145"/>
        <v>0</v>
      </c>
      <c r="AR166" s="14">
        <f t="shared" si="146"/>
        <v>0</v>
      </c>
      <c r="AS166" s="14">
        <f t="shared" si="147"/>
        <v>0</v>
      </c>
      <c r="AT166" s="14">
        <f t="shared" si="149"/>
        <v>0</v>
      </c>
      <c r="AU166" s="15"/>
      <c r="AV166" s="15"/>
      <c r="AW166" s="15"/>
      <c r="AX166" s="15"/>
      <c r="AY166" s="15"/>
      <c r="AZ166" s="15"/>
      <c r="BA166" s="15"/>
      <c r="BB166" s="16">
        <f t="shared" si="148"/>
        <v>0</v>
      </c>
    </row>
    <row r="167" spans="1:54" ht="32.25" customHeight="1" outlineLevel="2">
      <c r="A167" s="98"/>
      <c r="B167" s="102"/>
      <c r="C167" s="23"/>
      <c r="D167" s="251"/>
      <c r="E167" s="251"/>
      <c r="F167" s="251"/>
      <c r="G167" s="250"/>
      <c r="H167" s="272"/>
      <c r="I167" s="104"/>
      <c r="J167" s="105"/>
      <c r="K167" s="105"/>
      <c r="L167" s="106" t="str">
        <f>IF(I167&lt;&gt;0,((VLOOKUP(I167,'1. Standard_Cost'!$B$4:$D$11,2)+VLOOKUP(I167,'1. Standard_Cost'!$B$4:$D$11,3))*J167*K167),"0")</f>
        <v>0</v>
      </c>
      <c r="M167" s="106">
        <f>L167*'1. Standard_Cost'!$F$4</f>
        <v>0</v>
      </c>
      <c r="N167" s="107"/>
      <c r="O167" s="107"/>
      <c r="P167" s="107"/>
      <c r="Q167" s="107"/>
      <c r="R167" s="108">
        <f>'1. Standard_Cost'!$B$15*N167*P167</f>
        <v>0</v>
      </c>
      <c r="S167" s="108">
        <f>N167*O167*P167*'1. Standard_Cost'!$C$15</f>
        <v>0</v>
      </c>
      <c r="T167" s="108">
        <f>N167*P167*Q167*'1. Standard_Cost'!$D$15</f>
        <v>0</v>
      </c>
      <c r="U167" s="108">
        <f>N167*O167*'1. Standard_Cost'!$E$15</f>
        <v>0</v>
      </c>
      <c r="V167" s="107"/>
      <c r="W167" s="107"/>
      <c r="X167" s="107"/>
      <c r="Y167" s="108">
        <f>+V167*((X167*'1. Standard_Cost'!$B$19)+(W167*X167*'1. Standard_Cost'!$C$19))</f>
        <v>0</v>
      </c>
      <c r="Z167" s="107"/>
      <c r="AA167" s="107"/>
      <c r="AB167" s="108">
        <f>+Z167*'1. Standard_Cost'!$B$23+AA167*'1. Standard_Cost'!$C$23</f>
        <v>0</v>
      </c>
      <c r="AC167" s="109"/>
      <c r="AD167" s="110"/>
      <c r="AE167" s="108">
        <f>SUM(AD167,AC167,AB167,Y167,U167,T167,S167,R167)*'1. Standard_Cost'!$B$31</f>
        <v>0</v>
      </c>
      <c r="AF167" s="108">
        <f t="shared" si="144"/>
        <v>0</v>
      </c>
      <c r="AG167" s="107"/>
      <c r="AH167" s="107"/>
      <c r="AI167" s="107"/>
      <c r="AJ167" s="111"/>
      <c r="AK167" s="111"/>
      <c r="AL167" s="111"/>
      <c r="AM167" s="108">
        <f>AG167*'1. Standard_Cost'!$B$27+'Incremental_Cost Year 7'!AH167*'1. Standard_Cost'!$C$27+'Incremental_Cost Year 7'!AI167*'1. Standard_Cost'!$D$27+'Incremental_Cost Year 7'!AJ167+'Incremental_Cost Year 7'!AL167+AK167</f>
        <v>0</v>
      </c>
      <c r="AN167" s="108">
        <f>AM167*'1. Standard_Cost'!$C$31</f>
        <v>0</v>
      </c>
      <c r="AO167" s="137" t="s">
        <v>386</v>
      </c>
      <c r="AQ167" s="14">
        <f t="shared" si="145"/>
        <v>0</v>
      </c>
      <c r="AR167" s="14">
        <f t="shared" si="146"/>
        <v>0</v>
      </c>
      <c r="AS167" s="14">
        <f t="shared" si="147"/>
        <v>0</v>
      </c>
      <c r="AT167" s="14">
        <f t="shared" si="149"/>
        <v>0</v>
      </c>
      <c r="AU167" s="15"/>
      <c r="AV167" s="15"/>
      <c r="AW167" s="15"/>
      <c r="AX167" s="15"/>
      <c r="AY167" s="15"/>
      <c r="AZ167" s="15"/>
      <c r="BA167" s="15"/>
      <c r="BB167" s="16">
        <f t="shared" si="148"/>
        <v>0</v>
      </c>
    </row>
    <row r="168" spans="1:54" ht="27.6" outlineLevel="1">
      <c r="A168" s="98"/>
      <c r="B168" s="102"/>
      <c r="C168" s="23"/>
      <c r="D168" s="56" t="s">
        <v>47</v>
      </c>
      <c r="E168" s="56" t="s">
        <v>234</v>
      </c>
      <c r="F168" s="253">
        <v>2021</v>
      </c>
      <c r="G168" s="254">
        <v>2026</v>
      </c>
      <c r="H168" s="279" t="s">
        <v>189</v>
      </c>
      <c r="I168" s="112"/>
      <c r="J168" s="112"/>
      <c r="K168" s="112"/>
      <c r="L168" s="113">
        <f>SUM(L144:L167)</f>
        <v>0</v>
      </c>
      <c r="M168" s="113">
        <f>SUM(M144:M167)</f>
        <v>0</v>
      </c>
      <c r="N168" s="112"/>
      <c r="O168" s="112"/>
      <c r="P168" s="112"/>
      <c r="Q168" s="112"/>
      <c r="R168" s="113">
        <f t="shared" ref="R168:U168" si="150">SUM(R144:R167)</f>
        <v>0</v>
      </c>
      <c r="S168" s="113">
        <f t="shared" si="150"/>
        <v>0</v>
      </c>
      <c r="T168" s="113">
        <f t="shared" si="150"/>
        <v>0</v>
      </c>
      <c r="U168" s="113">
        <f t="shared" si="150"/>
        <v>0</v>
      </c>
      <c r="V168" s="112"/>
      <c r="W168" s="112"/>
      <c r="X168" s="112"/>
      <c r="Y168" s="113">
        <f>SUM(Y144:Y167)</f>
        <v>0</v>
      </c>
      <c r="Z168" s="113"/>
      <c r="AA168" s="112"/>
      <c r="AB168" s="113">
        <f t="shared" ref="AB168:AF168" si="151">SUM(AB144:AB167)</f>
        <v>0</v>
      </c>
      <c r="AC168" s="113">
        <f t="shared" si="151"/>
        <v>0</v>
      </c>
      <c r="AD168" s="113">
        <f t="shared" si="151"/>
        <v>0</v>
      </c>
      <c r="AE168" s="113">
        <f t="shared" si="151"/>
        <v>0</v>
      </c>
      <c r="AF168" s="113">
        <f t="shared" si="151"/>
        <v>0</v>
      </c>
      <c r="AG168" s="112"/>
      <c r="AH168" s="112"/>
      <c r="AI168" s="112"/>
      <c r="AJ168" s="113">
        <f t="shared" ref="AJ168:AN168" si="152">SUM(AJ144:AJ167)</f>
        <v>0</v>
      </c>
      <c r="AK168" s="113">
        <f t="shared" si="152"/>
        <v>0</v>
      </c>
      <c r="AL168" s="113">
        <f t="shared" si="152"/>
        <v>0</v>
      </c>
      <c r="AM168" s="113">
        <f t="shared" si="152"/>
        <v>0</v>
      </c>
      <c r="AN168" s="113">
        <f t="shared" si="152"/>
        <v>0</v>
      </c>
      <c r="AO168" s="131"/>
      <c r="AP168" s="17"/>
      <c r="AQ168" s="113">
        <f t="shared" ref="AQ168:BB168" si="153">SUM(AQ144:AQ167)</f>
        <v>0</v>
      </c>
      <c r="AR168" s="113">
        <f t="shared" si="153"/>
        <v>0</v>
      </c>
      <c r="AS168" s="113">
        <f t="shared" si="153"/>
        <v>0</v>
      </c>
      <c r="AT168" s="113">
        <f t="shared" si="153"/>
        <v>0</v>
      </c>
      <c r="AU168" s="113">
        <f t="shared" si="153"/>
        <v>0</v>
      </c>
      <c r="AV168" s="113">
        <f t="shared" si="153"/>
        <v>0</v>
      </c>
      <c r="AW168" s="113">
        <f t="shared" si="153"/>
        <v>0</v>
      </c>
      <c r="AX168" s="113">
        <f t="shared" si="153"/>
        <v>0</v>
      </c>
      <c r="AY168" s="113">
        <f t="shared" si="153"/>
        <v>0</v>
      </c>
      <c r="AZ168" s="113">
        <f t="shared" si="153"/>
        <v>0</v>
      </c>
      <c r="BA168" s="113">
        <f t="shared" si="153"/>
        <v>0</v>
      </c>
      <c r="BB168" s="113">
        <f t="shared" si="153"/>
        <v>0</v>
      </c>
    </row>
    <row r="169" spans="1:54" ht="15.6" outlineLevel="2">
      <c r="A169" s="98"/>
      <c r="B169" s="102"/>
      <c r="C169" s="23"/>
      <c r="D169" s="257"/>
      <c r="E169" s="123"/>
      <c r="F169" s="249"/>
      <c r="G169" s="283"/>
      <c r="H169" s="272"/>
      <c r="I169" s="104"/>
      <c r="J169" s="105"/>
      <c r="K169" s="105"/>
      <c r="L169" s="106" t="str">
        <f>IF(I169&lt;&gt;0,((VLOOKUP(I169,'1. Standard_Cost'!$B$4:$D$11,2)+VLOOKUP(I169,'1. Standard_Cost'!$B$4:$D$11,3))*J169*K169),"0")</f>
        <v>0</v>
      </c>
      <c r="M169" s="106">
        <f>L169*'1. Standard_Cost'!$F$4</f>
        <v>0</v>
      </c>
      <c r="N169" s="107"/>
      <c r="O169" s="107"/>
      <c r="P169" s="107"/>
      <c r="Q169" s="107"/>
      <c r="R169" s="108">
        <f>'1. Standard_Cost'!$B$15*N169*P169</f>
        <v>0</v>
      </c>
      <c r="S169" s="108">
        <f>N169*O169*P169*'1. Standard_Cost'!$C$15</f>
        <v>0</v>
      </c>
      <c r="T169" s="108">
        <f>N169*P169*Q169*'1. Standard_Cost'!$D$15</f>
        <v>0</v>
      </c>
      <c r="U169" s="108">
        <f>N169*O169*'1. Standard_Cost'!$E$15</f>
        <v>0</v>
      </c>
      <c r="V169" s="107"/>
      <c r="W169" s="107"/>
      <c r="X169" s="107"/>
      <c r="Y169" s="108">
        <f>+V169*((X169*'1. Standard_Cost'!$B$19)+(W169*X169*'1. Standard_Cost'!$C$19))</f>
        <v>0</v>
      </c>
      <c r="Z169" s="107"/>
      <c r="AA169" s="107"/>
      <c r="AB169" s="108">
        <f>+Z169*'1. Standard_Cost'!$B$23+AA169*'1. Standard_Cost'!$C$23</f>
        <v>0</v>
      </c>
      <c r="AC169" s="109"/>
      <c r="AD169" s="110"/>
      <c r="AE169" s="108">
        <f>SUM(AD169,AC169,AB169,Y169,U169,T169,S169,R169)*'1. Standard_Cost'!$B$31</f>
        <v>0</v>
      </c>
      <c r="AF169" s="108">
        <f t="shared" ref="AF169:AF177" si="154">SUM(AE169,AD169,AC169,AB169,Y169,U169,T169,S169,R169)</f>
        <v>0</v>
      </c>
      <c r="AG169" s="107"/>
      <c r="AH169" s="107"/>
      <c r="AI169" s="107"/>
      <c r="AJ169" s="111"/>
      <c r="AK169" s="111"/>
      <c r="AL169" s="111"/>
      <c r="AM169" s="108">
        <f>AG169*'1. Standard_Cost'!$B$27+'Incremental_Cost Year 7'!AH169*'1. Standard_Cost'!$C$27+'Incremental_Cost Year 7'!AI169*'1. Standard_Cost'!$D$27+'Incremental_Cost Year 7'!AJ169+'Incremental_Cost Year 7'!AL169+AK169</f>
        <v>0</v>
      </c>
      <c r="AN169" s="108">
        <f>AM169*'1. Standard_Cost'!$C$31</f>
        <v>0</v>
      </c>
      <c r="AO169" s="125" t="s">
        <v>387</v>
      </c>
      <c r="AQ169" s="14">
        <f t="shared" ref="AQ169:AQ177" si="155">L169+M169</f>
        <v>0</v>
      </c>
      <c r="AR169" s="14">
        <f t="shared" ref="AR169:AR177" si="156">AF169</f>
        <v>0</v>
      </c>
      <c r="AS169" s="14">
        <f t="shared" ref="AS169:AS177" si="157">AM169+AN169</f>
        <v>0</v>
      </c>
      <c r="AT169" s="14">
        <f>SUM(AQ169,AR169,AS169)</f>
        <v>0</v>
      </c>
      <c r="AU169" s="15"/>
      <c r="AV169" s="15"/>
      <c r="AW169" s="15"/>
      <c r="AX169" s="15"/>
      <c r="AY169" s="15"/>
      <c r="AZ169" s="15"/>
      <c r="BA169" s="15"/>
      <c r="BB169" s="16">
        <f t="shared" ref="BB169:BB177" si="158">SUM(AU169:BA169)-AT169</f>
        <v>0</v>
      </c>
    </row>
    <row r="170" spans="1:54" ht="15.6" outlineLevel="2">
      <c r="A170" s="98"/>
      <c r="B170" s="102"/>
      <c r="C170" s="23"/>
      <c r="D170" s="269"/>
      <c r="E170" s="271"/>
      <c r="F170" s="250"/>
      <c r="G170" s="255"/>
      <c r="H170" s="272"/>
      <c r="I170" s="104"/>
      <c r="J170" s="105"/>
      <c r="K170" s="105"/>
      <c r="L170" s="106" t="str">
        <f>IF(I170&lt;&gt;0,((VLOOKUP(I170,'1. Standard_Cost'!$B$4:$D$11,2)+VLOOKUP(I170,'1. Standard_Cost'!$B$4:$D$11,3))*J170*K170),"0")</f>
        <v>0</v>
      </c>
      <c r="M170" s="106">
        <f>L170*'1. Standard_Cost'!$F$4</f>
        <v>0</v>
      </c>
      <c r="N170" s="107"/>
      <c r="O170" s="107"/>
      <c r="P170" s="107"/>
      <c r="Q170" s="107"/>
      <c r="R170" s="108">
        <f>'1. Standard_Cost'!$B$15*N170*P170</f>
        <v>0</v>
      </c>
      <c r="S170" s="108">
        <f>N170*O170*P170*'1. Standard_Cost'!$C$15</f>
        <v>0</v>
      </c>
      <c r="T170" s="108">
        <f>N170*P170*Q170*'1. Standard_Cost'!$D$15</f>
        <v>0</v>
      </c>
      <c r="U170" s="108">
        <f>N170*O170*'1. Standard_Cost'!$E$15</f>
        <v>0</v>
      </c>
      <c r="V170" s="107"/>
      <c r="W170" s="107"/>
      <c r="X170" s="107"/>
      <c r="Y170" s="108">
        <f>+V170*((X170*'1. Standard_Cost'!$B$19)+(W170*X170*'1. Standard_Cost'!$C$19))</f>
        <v>0</v>
      </c>
      <c r="Z170" s="107"/>
      <c r="AA170" s="107"/>
      <c r="AB170" s="108">
        <f>+Z170*'1. Standard_Cost'!$B$23+AA170*'1. Standard_Cost'!$C$23</f>
        <v>0</v>
      </c>
      <c r="AC170" s="109"/>
      <c r="AD170" s="110"/>
      <c r="AE170" s="108">
        <f>SUM(AD170,AC170,AB170,Y170,U170,T170,S170,R170)*'1. Standard_Cost'!$B$31</f>
        <v>0</v>
      </c>
      <c r="AF170" s="108">
        <f t="shared" si="154"/>
        <v>0</v>
      </c>
      <c r="AG170" s="107"/>
      <c r="AH170" s="107"/>
      <c r="AI170" s="107"/>
      <c r="AJ170" s="111"/>
      <c r="AK170" s="111"/>
      <c r="AL170" s="111"/>
      <c r="AM170" s="108">
        <f>AG170*'1. Standard_Cost'!$B$27+'Incremental_Cost Year 7'!AH170*'1. Standard_Cost'!$C$27+'Incremental_Cost Year 7'!AI170*'1. Standard_Cost'!$D$27+'Incremental_Cost Year 7'!AJ170+'Incremental_Cost Year 7'!AL170+AK170</f>
        <v>0</v>
      </c>
      <c r="AN170" s="108">
        <f>AM170*'1. Standard_Cost'!$C$31</f>
        <v>0</v>
      </c>
      <c r="AO170" s="125" t="s">
        <v>388</v>
      </c>
      <c r="AQ170" s="14">
        <f t="shared" si="155"/>
        <v>0</v>
      </c>
      <c r="AR170" s="14">
        <f t="shared" si="156"/>
        <v>0</v>
      </c>
      <c r="AS170" s="14">
        <f t="shared" si="157"/>
        <v>0</v>
      </c>
      <c r="AT170" s="14">
        <f t="shared" ref="AT170:AT177" si="159">SUM(AQ170,AR170,AS170)</f>
        <v>0</v>
      </c>
      <c r="AU170" s="15"/>
      <c r="AV170" s="15"/>
      <c r="AW170" s="15"/>
      <c r="AX170" s="15"/>
      <c r="AY170" s="15"/>
      <c r="AZ170" s="15"/>
      <c r="BA170" s="15"/>
      <c r="BB170" s="16">
        <f t="shared" si="158"/>
        <v>0</v>
      </c>
    </row>
    <row r="171" spans="1:54" ht="27.6" outlineLevel="2">
      <c r="A171" s="98"/>
      <c r="B171" s="102"/>
      <c r="C171" s="23"/>
      <c r="D171" s="269"/>
      <c r="E171" s="271"/>
      <c r="F171" s="250"/>
      <c r="G171" s="255"/>
      <c r="H171" s="272"/>
      <c r="I171" s="104"/>
      <c r="J171" s="105"/>
      <c r="K171" s="105"/>
      <c r="L171" s="106" t="str">
        <f>IF(I171&lt;&gt;0,((VLOOKUP(I171,'1. Standard_Cost'!$B$4:$D$11,2)+VLOOKUP(I171,'1. Standard_Cost'!$B$4:$D$11,3))*J171*K171),"0")</f>
        <v>0</v>
      </c>
      <c r="M171" s="106">
        <f>L171*'1. Standard_Cost'!$F$4</f>
        <v>0</v>
      </c>
      <c r="N171" s="107"/>
      <c r="O171" s="107"/>
      <c r="P171" s="107"/>
      <c r="Q171" s="107"/>
      <c r="R171" s="108">
        <f>'1. Standard_Cost'!$B$15*N171*P171</f>
        <v>0</v>
      </c>
      <c r="S171" s="108">
        <f>N171*O171*P171*'1. Standard_Cost'!$C$15</f>
        <v>0</v>
      </c>
      <c r="T171" s="108">
        <f>N171*P171*Q171*'1. Standard_Cost'!$D$15</f>
        <v>0</v>
      </c>
      <c r="U171" s="108">
        <f>N171*O171*'1. Standard_Cost'!$E$15</f>
        <v>0</v>
      </c>
      <c r="V171" s="107"/>
      <c r="W171" s="107"/>
      <c r="X171" s="107"/>
      <c r="Y171" s="108">
        <f>+V171*((X171*'1. Standard_Cost'!$B$19)+(W171*X171*'1. Standard_Cost'!$C$19))</f>
        <v>0</v>
      </c>
      <c r="Z171" s="107"/>
      <c r="AA171" s="107"/>
      <c r="AB171" s="108">
        <f>+Z171*'1. Standard_Cost'!$B$23+AA171*'1. Standard_Cost'!$C$23</f>
        <v>0</v>
      </c>
      <c r="AC171" s="109"/>
      <c r="AD171" s="110"/>
      <c r="AE171" s="108">
        <f>SUM(AD171,AC171,AB171,Y171,U171,T171,S171,R171)*'1. Standard_Cost'!$B$31</f>
        <v>0</v>
      </c>
      <c r="AF171" s="108">
        <f t="shared" si="154"/>
        <v>0</v>
      </c>
      <c r="AG171" s="107"/>
      <c r="AH171" s="107"/>
      <c r="AI171" s="107"/>
      <c r="AJ171" s="111"/>
      <c r="AK171" s="111"/>
      <c r="AL171" s="111"/>
      <c r="AM171" s="108">
        <f>AG171*'1. Standard_Cost'!$B$27+'Incremental_Cost Year 7'!AH171*'1. Standard_Cost'!$C$27+'Incremental_Cost Year 7'!AI171*'1. Standard_Cost'!$D$27+'Incremental_Cost Year 7'!AJ171+'Incremental_Cost Year 7'!AL171+AK171</f>
        <v>0</v>
      </c>
      <c r="AN171" s="108">
        <f>AM171*'1. Standard_Cost'!$C$31</f>
        <v>0</v>
      </c>
      <c r="AO171" s="125" t="s">
        <v>389</v>
      </c>
      <c r="AQ171" s="14">
        <f t="shared" si="155"/>
        <v>0</v>
      </c>
      <c r="AR171" s="14">
        <f t="shared" si="156"/>
        <v>0</v>
      </c>
      <c r="AS171" s="14">
        <f t="shared" si="157"/>
        <v>0</v>
      </c>
      <c r="AT171" s="14">
        <f t="shared" si="159"/>
        <v>0</v>
      </c>
      <c r="AU171" s="15"/>
      <c r="AV171" s="15"/>
      <c r="AW171" s="15"/>
      <c r="AX171" s="15"/>
      <c r="AY171" s="15"/>
      <c r="AZ171" s="15"/>
      <c r="BA171" s="15"/>
      <c r="BB171" s="16">
        <f t="shared" si="158"/>
        <v>0</v>
      </c>
    </row>
    <row r="172" spans="1:54" ht="15.6" outlineLevel="2">
      <c r="A172" s="98"/>
      <c r="B172" s="102"/>
      <c r="C172" s="23"/>
      <c r="D172" s="269"/>
      <c r="E172" s="271"/>
      <c r="F172" s="250"/>
      <c r="G172" s="255"/>
      <c r="H172" s="272"/>
      <c r="I172" s="104"/>
      <c r="J172" s="105"/>
      <c r="K172" s="105"/>
      <c r="L172" s="106" t="str">
        <f>IF(I172&lt;&gt;0,((VLOOKUP(I172,'1. Standard_Cost'!$B$4:$D$11,2)+VLOOKUP(I172,'1. Standard_Cost'!$B$4:$D$11,3))*J172*K172),"0")</f>
        <v>0</v>
      </c>
      <c r="M172" s="106">
        <f>L172*'1. Standard_Cost'!$F$4</f>
        <v>0</v>
      </c>
      <c r="N172" s="107"/>
      <c r="O172" s="107"/>
      <c r="P172" s="107"/>
      <c r="Q172" s="107"/>
      <c r="R172" s="108">
        <f>'1. Standard_Cost'!$B$15*N172*P172</f>
        <v>0</v>
      </c>
      <c r="S172" s="108">
        <f>N172*O172*P172*'1. Standard_Cost'!$C$15</f>
        <v>0</v>
      </c>
      <c r="T172" s="108">
        <f>N172*P172*Q172*'1. Standard_Cost'!$D$15</f>
        <v>0</v>
      </c>
      <c r="U172" s="108">
        <f>N172*O172*'1. Standard_Cost'!$E$15</f>
        <v>0</v>
      </c>
      <c r="V172" s="107"/>
      <c r="W172" s="107"/>
      <c r="X172" s="107"/>
      <c r="Y172" s="108">
        <f>+V172*((X172*'1. Standard_Cost'!$B$19)+(W172*X172*'1. Standard_Cost'!$C$19))</f>
        <v>0</v>
      </c>
      <c r="Z172" s="107"/>
      <c r="AA172" s="107"/>
      <c r="AB172" s="108">
        <f>+Z172*'1. Standard_Cost'!$B$23+AA172*'1. Standard_Cost'!$C$23</f>
        <v>0</v>
      </c>
      <c r="AC172" s="109"/>
      <c r="AD172" s="110"/>
      <c r="AE172" s="108">
        <f>SUM(AD172,AC172,AB172,Y172,U172,T172,S172,R172)*'1. Standard_Cost'!$B$31</f>
        <v>0</v>
      </c>
      <c r="AF172" s="108">
        <f t="shared" si="154"/>
        <v>0</v>
      </c>
      <c r="AG172" s="107"/>
      <c r="AH172" s="107"/>
      <c r="AI172" s="107"/>
      <c r="AJ172" s="111"/>
      <c r="AK172" s="111"/>
      <c r="AL172" s="111"/>
      <c r="AM172" s="108">
        <f>AG172*'1. Standard_Cost'!$B$27+'Incremental_Cost Year 7'!AH172*'1. Standard_Cost'!$C$27+'Incremental_Cost Year 7'!AI172*'1. Standard_Cost'!$D$27+'Incremental_Cost Year 7'!AJ172+'Incremental_Cost Year 7'!AL172+AK172</f>
        <v>0</v>
      </c>
      <c r="AN172" s="108">
        <f>AM172*'1. Standard_Cost'!$C$31</f>
        <v>0</v>
      </c>
      <c r="AO172" s="125" t="s">
        <v>390</v>
      </c>
      <c r="AQ172" s="14">
        <f t="shared" si="155"/>
        <v>0</v>
      </c>
      <c r="AR172" s="14">
        <f t="shared" si="156"/>
        <v>0</v>
      </c>
      <c r="AS172" s="14">
        <f t="shared" si="157"/>
        <v>0</v>
      </c>
      <c r="AT172" s="14">
        <f t="shared" si="159"/>
        <v>0</v>
      </c>
      <c r="AU172" s="15"/>
      <c r="AV172" s="15"/>
      <c r="AW172" s="15"/>
      <c r="AX172" s="15"/>
      <c r="AY172" s="15"/>
      <c r="AZ172" s="15"/>
      <c r="BA172" s="15"/>
      <c r="BB172" s="16">
        <f t="shared" si="158"/>
        <v>0</v>
      </c>
    </row>
    <row r="173" spans="1:54" ht="15.6" outlineLevel="2">
      <c r="A173" s="98"/>
      <c r="B173" s="102"/>
      <c r="C173" s="23"/>
      <c r="D173" s="269"/>
      <c r="E173" s="271"/>
      <c r="F173" s="250"/>
      <c r="G173" s="255"/>
      <c r="H173" s="272"/>
      <c r="I173" s="104"/>
      <c r="J173" s="105"/>
      <c r="K173" s="105"/>
      <c r="L173" s="106" t="str">
        <f>IF(I173&lt;&gt;0,((VLOOKUP(I173,'1. Standard_Cost'!$B$4:$D$11,2)+VLOOKUP(I173,'1. Standard_Cost'!$B$4:$D$11,3))*J173*K173),"0")</f>
        <v>0</v>
      </c>
      <c r="M173" s="106">
        <f>L173*'1. Standard_Cost'!$F$4</f>
        <v>0</v>
      </c>
      <c r="N173" s="107"/>
      <c r="O173" s="107"/>
      <c r="P173" s="107"/>
      <c r="Q173" s="107"/>
      <c r="R173" s="108">
        <f>'1. Standard_Cost'!$B$15*N173*P173</f>
        <v>0</v>
      </c>
      <c r="S173" s="108">
        <f>N173*O173*P173*'1. Standard_Cost'!$C$15</f>
        <v>0</v>
      </c>
      <c r="T173" s="108">
        <f>N173*P173*Q173*'1. Standard_Cost'!$D$15</f>
        <v>0</v>
      </c>
      <c r="U173" s="108">
        <f>N173*O173*'1. Standard_Cost'!$E$15</f>
        <v>0</v>
      </c>
      <c r="V173" s="107"/>
      <c r="W173" s="107"/>
      <c r="X173" s="107"/>
      <c r="Y173" s="108">
        <f>+V173*((X173*'1. Standard_Cost'!$B$19)+(W173*X173*'1. Standard_Cost'!$C$19))</f>
        <v>0</v>
      </c>
      <c r="Z173" s="107"/>
      <c r="AA173" s="107"/>
      <c r="AB173" s="108">
        <f>+Z173*'1. Standard_Cost'!$B$23+AA173*'1. Standard_Cost'!$C$23</f>
        <v>0</v>
      </c>
      <c r="AC173" s="109"/>
      <c r="AD173" s="110"/>
      <c r="AE173" s="108">
        <f>SUM(AD173,AC173,AB173,Y173,U173,T173,S173,R173)*'1. Standard_Cost'!$B$31</f>
        <v>0</v>
      </c>
      <c r="AF173" s="108">
        <f t="shared" si="154"/>
        <v>0</v>
      </c>
      <c r="AG173" s="107"/>
      <c r="AH173" s="107"/>
      <c r="AI173" s="107"/>
      <c r="AJ173" s="111"/>
      <c r="AK173" s="111"/>
      <c r="AL173" s="111"/>
      <c r="AM173" s="108">
        <f>AG173*'1. Standard_Cost'!$B$27+'Incremental_Cost Year 7'!AH173*'1. Standard_Cost'!$C$27+'Incremental_Cost Year 7'!AI173*'1. Standard_Cost'!$D$27+'Incremental_Cost Year 7'!AJ173+'Incremental_Cost Year 7'!AL173+AK173</f>
        <v>0</v>
      </c>
      <c r="AN173" s="108">
        <f>AM173*'1. Standard_Cost'!$C$31</f>
        <v>0</v>
      </c>
      <c r="AO173" s="125" t="s">
        <v>391</v>
      </c>
      <c r="AQ173" s="14">
        <f t="shared" si="155"/>
        <v>0</v>
      </c>
      <c r="AR173" s="14">
        <f t="shared" si="156"/>
        <v>0</v>
      </c>
      <c r="AS173" s="14">
        <f t="shared" si="157"/>
        <v>0</v>
      </c>
      <c r="AT173" s="14">
        <f t="shared" si="159"/>
        <v>0</v>
      </c>
      <c r="AU173" s="15"/>
      <c r="AV173" s="15"/>
      <c r="AW173" s="15"/>
      <c r="AX173" s="15"/>
      <c r="AY173" s="15"/>
      <c r="AZ173" s="15"/>
      <c r="BA173" s="15"/>
      <c r="BB173" s="16">
        <f t="shared" si="158"/>
        <v>0</v>
      </c>
    </row>
    <row r="174" spans="1:54" ht="15.6" outlineLevel="2">
      <c r="A174" s="98"/>
      <c r="B174" s="102"/>
      <c r="C174" s="23"/>
      <c r="D174" s="269"/>
      <c r="E174" s="271"/>
      <c r="F174" s="250"/>
      <c r="G174" s="255"/>
      <c r="H174" s="272"/>
      <c r="I174" s="104"/>
      <c r="J174" s="105"/>
      <c r="K174" s="105"/>
      <c r="L174" s="106" t="str">
        <f>IF(I174&lt;&gt;0,((VLOOKUP(I174,'1. Standard_Cost'!$B$4:$D$11,2)+VLOOKUP(I174,'1. Standard_Cost'!$B$4:$D$11,3))*J174*K174),"0")</f>
        <v>0</v>
      </c>
      <c r="M174" s="106">
        <f>L174*'1. Standard_Cost'!$F$4</f>
        <v>0</v>
      </c>
      <c r="N174" s="107"/>
      <c r="O174" s="107"/>
      <c r="P174" s="107"/>
      <c r="Q174" s="107"/>
      <c r="R174" s="108">
        <f>'1. Standard_Cost'!$B$15*N174*P174</f>
        <v>0</v>
      </c>
      <c r="S174" s="108">
        <f>N174*O174*P174*'1. Standard_Cost'!$C$15</f>
        <v>0</v>
      </c>
      <c r="T174" s="108">
        <f>N174*P174*Q174*'1. Standard_Cost'!$D$15</f>
        <v>0</v>
      </c>
      <c r="U174" s="108">
        <f>N174*O174*'1. Standard_Cost'!$E$15</f>
        <v>0</v>
      </c>
      <c r="V174" s="107"/>
      <c r="W174" s="107"/>
      <c r="X174" s="107"/>
      <c r="Y174" s="108">
        <f>+V174*((X174*'1. Standard_Cost'!$B$19)+(W174*X174*'1. Standard_Cost'!$C$19))</f>
        <v>0</v>
      </c>
      <c r="Z174" s="107"/>
      <c r="AA174" s="107"/>
      <c r="AB174" s="108">
        <f>+Z174*'1. Standard_Cost'!$B$23+AA174*'1. Standard_Cost'!$C$23</f>
        <v>0</v>
      </c>
      <c r="AC174" s="109"/>
      <c r="AD174" s="110"/>
      <c r="AE174" s="108">
        <f>SUM(AD174,AC174,AB174,Y174,U174,T174,S174,R174)*'1. Standard_Cost'!$B$31</f>
        <v>0</v>
      </c>
      <c r="AF174" s="108">
        <f t="shared" si="154"/>
        <v>0</v>
      </c>
      <c r="AG174" s="107"/>
      <c r="AH174" s="107"/>
      <c r="AI174" s="107"/>
      <c r="AJ174" s="111"/>
      <c r="AK174" s="111"/>
      <c r="AL174" s="111"/>
      <c r="AM174" s="108">
        <f>AG174*'1. Standard_Cost'!$B$27+'Incremental_Cost Year 7'!AH174*'1. Standard_Cost'!$C$27+'Incremental_Cost Year 7'!AI174*'1. Standard_Cost'!$D$27+'Incremental_Cost Year 7'!AJ174+'Incremental_Cost Year 7'!AL174+AK174</f>
        <v>0</v>
      </c>
      <c r="AN174" s="108">
        <f>AM174*'1. Standard_Cost'!$C$31</f>
        <v>0</v>
      </c>
      <c r="AO174" s="125" t="s">
        <v>392</v>
      </c>
      <c r="AQ174" s="14">
        <f t="shared" si="155"/>
        <v>0</v>
      </c>
      <c r="AR174" s="14">
        <f t="shared" si="156"/>
        <v>0</v>
      </c>
      <c r="AS174" s="14">
        <f t="shared" si="157"/>
        <v>0</v>
      </c>
      <c r="AT174" s="14">
        <f t="shared" si="159"/>
        <v>0</v>
      </c>
      <c r="AU174" s="15"/>
      <c r="AV174" s="15"/>
      <c r="AW174" s="15"/>
      <c r="AX174" s="15"/>
      <c r="AY174" s="15"/>
      <c r="AZ174" s="15"/>
      <c r="BA174" s="15"/>
      <c r="BB174" s="16">
        <f t="shared" si="158"/>
        <v>0</v>
      </c>
    </row>
    <row r="175" spans="1:54" ht="27.6" outlineLevel="2">
      <c r="A175" s="98"/>
      <c r="B175" s="102"/>
      <c r="C175" s="23"/>
      <c r="D175" s="269"/>
      <c r="E175" s="271"/>
      <c r="F175" s="250"/>
      <c r="G175" s="255"/>
      <c r="H175" s="272"/>
      <c r="I175" s="104"/>
      <c r="J175" s="105"/>
      <c r="K175" s="105"/>
      <c r="L175" s="106" t="str">
        <f>IF(I175&lt;&gt;0,((VLOOKUP(I175,'1. Standard_Cost'!$B$4:$D$11,2)+VLOOKUP(I175,'1. Standard_Cost'!$B$4:$D$11,3))*J175*K175),"0")</f>
        <v>0</v>
      </c>
      <c r="M175" s="106">
        <f>L175*'1. Standard_Cost'!$F$4</f>
        <v>0</v>
      </c>
      <c r="N175" s="107"/>
      <c r="O175" s="107"/>
      <c r="P175" s="107"/>
      <c r="Q175" s="107"/>
      <c r="R175" s="108">
        <f>'1. Standard_Cost'!$B$15*N175*P175</f>
        <v>0</v>
      </c>
      <c r="S175" s="108">
        <f>N175*O175*P175*'1. Standard_Cost'!$C$15</f>
        <v>0</v>
      </c>
      <c r="T175" s="108">
        <f>N175*P175*Q175*'1. Standard_Cost'!$D$15</f>
        <v>0</v>
      </c>
      <c r="U175" s="108">
        <f>N175*O175*'1. Standard_Cost'!$E$15</f>
        <v>0</v>
      </c>
      <c r="V175" s="107"/>
      <c r="W175" s="107"/>
      <c r="X175" s="107"/>
      <c r="Y175" s="108">
        <f>+V175*((X175*'1. Standard_Cost'!$B$19)+(W175*X175*'1. Standard_Cost'!$C$19))</f>
        <v>0</v>
      </c>
      <c r="Z175" s="107"/>
      <c r="AA175" s="107"/>
      <c r="AB175" s="108">
        <f>+Z175*'1. Standard_Cost'!$B$23+AA175*'1. Standard_Cost'!$C$23</f>
        <v>0</v>
      </c>
      <c r="AC175" s="109"/>
      <c r="AD175" s="110"/>
      <c r="AE175" s="108">
        <f>SUM(AD175,AC175,AB175,Y175,U175,T175,S175,R175)*'1. Standard_Cost'!$B$31</f>
        <v>0</v>
      </c>
      <c r="AF175" s="108">
        <f t="shared" si="154"/>
        <v>0</v>
      </c>
      <c r="AG175" s="107"/>
      <c r="AH175" s="107"/>
      <c r="AI175" s="107"/>
      <c r="AJ175" s="111"/>
      <c r="AK175" s="111"/>
      <c r="AL175" s="111"/>
      <c r="AM175" s="108">
        <f>AG175*'1. Standard_Cost'!$B$27+'Incremental_Cost Year 7'!AH175*'1. Standard_Cost'!$C$27+'Incremental_Cost Year 7'!AI175*'1. Standard_Cost'!$D$27+'Incremental_Cost Year 7'!AJ175+'Incremental_Cost Year 7'!AL175+AK175</f>
        <v>0</v>
      </c>
      <c r="AN175" s="108">
        <f>AM175*'1. Standard_Cost'!$C$31</f>
        <v>0</v>
      </c>
      <c r="AO175" s="125" t="s">
        <v>393</v>
      </c>
      <c r="AQ175" s="14">
        <f t="shared" si="155"/>
        <v>0</v>
      </c>
      <c r="AR175" s="14">
        <f t="shared" si="156"/>
        <v>0</v>
      </c>
      <c r="AS175" s="14">
        <f t="shared" si="157"/>
        <v>0</v>
      </c>
      <c r="AT175" s="14">
        <f t="shared" si="159"/>
        <v>0</v>
      </c>
      <c r="AU175" s="15"/>
      <c r="AV175" s="15"/>
      <c r="AW175" s="15"/>
      <c r="AX175" s="15"/>
      <c r="AY175" s="15"/>
      <c r="AZ175" s="15"/>
      <c r="BA175" s="15"/>
      <c r="BB175" s="16">
        <f t="shared" si="158"/>
        <v>0</v>
      </c>
    </row>
    <row r="176" spans="1:54" ht="25.2" customHeight="1" outlineLevel="2">
      <c r="A176" s="98"/>
      <c r="B176" s="102"/>
      <c r="C176" s="23"/>
      <c r="D176" s="269"/>
      <c r="E176" s="271"/>
      <c r="F176" s="271"/>
      <c r="G176" s="167"/>
      <c r="H176" s="272"/>
      <c r="I176" s="104"/>
      <c r="J176" s="105"/>
      <c r="K176" s="105"/>
      <c r="L176" s="106" t="str">
        <f>IF(I176&lt;&gt;0,((VLOOKUP(I176,'[1]1. Standard_Cost'!$B$4:$D$11,2)+VLOOKUP(I176,'[1]1. Standard_Cost'!$B$4:$D$11,3))*J176*K176),"0")</f>
        <v>0</v>
      </c>
      <c r="M176" s="106">
        <f>L176*'[1]1. Standard_Cost'!$F$4</f>
        <v>0</v>
      </c>
      <c r="N176" s="107"/>
      <c r="O176" s="107"/>
      <c r="P176" s="107"/>
      <c r="Q176" s="107"/>
      <c r="R176" s="108">
        <f>'[1]1. Standard_Cost'!$B$15*N176*P176</f>
        <v>0</v>
      </c>
      <c r="S176" s="108">
        <f>N176*O176*P176*'[1]1. Standard_Cost'!$C$15</f>
        <v>0</v>
      </c>
      <c r="T176" s="108">
        <f>N176*P176*Q176*'[1]1. Standard_Cost'!$D$15</f>
        <v>0</v>
      </c>
      <c r="U176" s="108">
        <f>N176*O176*'[1]1. Standard_Cost'!$E$15</f>
        <v>0</v>
      </c>
      <c r="V176" s="107"/>
      <c r="W176" s="107"/>
      <c r="X176" s="107"/>
      <c r="Y176" s="108">
        <f>+V176*((X176*'[1]1. Standard_Cost'!$B$19)+(W176*X176*'[1]1. Standard_Cost'!$C$19))</f>
        <v>0</v>
      </c>
      <c r="Z176" s="107"/>
      <c r="AA176" s="107"/>
      <c r="AB176" s="108">
        <f>+Z176*'[1]1. Standard_Cost'!$B$23+AA176*'[1]1. Standard_Cost'!$C$23</f>
        <v>0</v>
      </c>
      <c r="AC176" s="109"/>
      <c r="AD176" s="110"/>
      <c r="AE176" s="108">
        <f>SUM(AD176,AC176,AB176,Y176,U176,T176,S176,R176)*'[1]1. Standard_Cost'!$B$31</f>
        <v>0</v>
      </c>
      <c r="AF176" s="108">
        <f t="shared" si="154"/>
        <v>0</v>
      </c>
      <c r="AG176" s="107"/>
      <c r="AH176" s="107"/>
      <c r="AI176" s="107"/>
      <c r="AJ176" s="111"/>
      <c r="AK176" s="111"/>
      <c r="AL176" s="111"/>
      <c r="AM176" s="108">
        <f>AG176*'[1]1. Standard_Cost'!$B$27+'[1]Incremental_Cost Year 7'!AH176*'[1]1. Standard_Cost'!$C$27+'[1]Incremental_Cost Year 7'!AI176*'[1]1. Standard_Cost'!$D$27+'[1]Incremental_Cost Year 7'!AJ176+'[1]Incremental_Cost Year 7'!AL176+AK176</f>
        <v>0</v>
      </c>
      <c r="AN176" s="108">
        <f>AM176*'[1]1. Standard_Cost'!$C$31</f>
        <v>0</v>
      </c>
      <c r="AO176" s="125" t="s">
        <v>393</v>
      </c>
      <c r="AQ176" s="14">
        <f t="shared" si="155"/>
        <v>0</v>
      </c>
      <c r="AR176" s="14">
        <f t="shared" si="156"/>
        <v>0</v>
      </c>
      <c r="AS176" s="14">
        <f t="shared" si="157"/>
        <v>0</v>
      </c>
      <c r="AT176" s="14">
        <f t="shared" si="159"/>
        <v>0</v>
      </c>
      <c r="AU176" s="15"/>
      <c r="AV176" s="15"/>
      <c r="AW176" s="15"/>
      <c r="AX176" s="15"/>
      <c r="AY176" s="15"/>
      <c r="AZ176" s="15"/>
      <c r="BA176" s="15"/>
      <c r="BB176" s="16">
        <f t="shared" si="158"/>
        <v>0</v>
      </c>
    </row>
    <row r="177" spans="1:54" ht="27.6" outlineLevel="2">
      <c r="A177" s="98"/>
      <c r="B177" s="102"/>
      <c r="C177" s="23"/>
      <c r="D177" s="269"/>
      <c r="E177" s="271"/>
      <c r="F177" s="250"/>
      <c r="G177" s="255"/>
      <c r="H177" s="272"/>
      <c r="I177" s="104"/>
      <c r="J177" s="105"/>
      <c r="K177" s="105"/>
      <c r="L177" s="106" t="str">
        <f>IF(I177&lt;&gt;0,((VLOOKUP(I177,'1. Standard_Cost'!$B$4:$D$11,2)+VLOOKUP(I177,'1. Standard_Cost'!$B$4:$D$11,3))*J177*K177),"0")</f>
        <v>0</v>
      </c>
      <c r="M177" s="106">
        <f>L177*'1. Standard_Cost'!$F$4</f>
        <v>0</v>
      </c>
      <c r="N177" s="107"/>
      <c r="O177" s="107"/>
      <c r="P177" s="107"/>
      <c r="Q177" s="107"/>
      <c r="R177" s="108">
        <f>'1. Standard_Cost'!$B$15*N177*P177</f>
        <v>0</v>
      </c>
      <c r="S177" s="108">
        <f>N177*O177*P177*'1. Standard_Cost'!$C$15</f>
        <v>0</v>
      </c>
      <c r="T177" s="108">
        <f>N177*P177*Q177*'1. Standard_Cost'!$D$15</f>
        <v>0</v>
      </c>
      <c r="U177" s="108">
        <f>N177*O177*'1. Standard_Cost'!$E$15</f>
        <v>0</v>
      </c>
      <c r="V177" s="107"/>
      <c r="W177" s="107"/>
      <c r="X177" s="107"/>
      <c r="Y177" s="108">
        <f>+V177*((X177*'1. Standard_Cost'!$B$19)+(W177*X177*'1. Standard_Cost'!$C$19))</f>
        <v>0</v>
      </c>
      <c r="Z177" s="107"/>
      <c r="AA177" s="107"/>
      <c r="AB177" s="108">
        <f>+Z177*'1. Standard_Cost'!$B$23+AA177*'1. Standard_Cost'!$C$23</f>
        <v>0</v>
      </c>
      <c r="AC177" s="109"/>
      <c r="AD177" s="110"/>
      <c r="AE177" s="108">
        <f>SUM(AD177,AC177,AB177,Y177,U177,T177,S177,R177)*'1. Standard_Cost'!$B$31</f>
        <v>0</v>
      </c>
      <c r="AF177" s="108">
        <f t="shared" si="154"/>
        <v>0</v>
      </c>
      <c r="AG177" s="107"/>
      <c r="AH177" s="107"/>
      <c r="AI177" s="107"/>
      <c r="AJ177" s="111"/>
      <c r="AK177" s="111"/>
      <c r="AL177" s="111"/>
      <c r="AM177" s="108">
        <f>AG177*'1. Standard_Cost'!$B$27+'Incremental_Cost Year 7'!AH177*'1. Standard_Cost'!$C$27+'Incremental_Cost Year 7'!AI177*'1. Standard_Cost'!$D$27+'Incremental_Cost Year 7'!AJ177+'Incremental_Cost Year 7'!AL177+AK177</f>
        <v>0</v>
      </c>
      <c r="AN177" s="108">
        <f>AM177*'1. Standard_Cost'!$C$31</f>
        <v>0</v>
      </c>
      <c r="AO177" s="125" t="s">
        <v>394</v>
      </c>
      <c r="AQ177" s="14">
        <f t="shared" si="155"/>
        <v>0</v>
      </c>
      <c r="AR177" s="14">
        <f t="shared" si="156"/>
        <v>0</v>
      </c>
      <c r="AS177" s="14">
        <f t="shared" si="157"/>
        <v>0</v>
      </c>
      <c r="AT177" s="14">
        <f t="shared" si="159"/>
        <v>0</v>
      </c>
      <c r="AU177" s="15"/>
      <c r="AV177" s="15"/>
      <c r="AW177" s="15"/>
      <c r="AX177" s="15"/>
      <c r="AY177" s="15"/>
      <c r="AZ177" s="15"/>
      <c r="BA177" s="15"/>
      <c r="BB177" s="16">
        <f t="shared" si="158"/>
        <v>0</v>
      </c>
    </row>
    <row r="178" spans="1:54" ht="27.6" outlineLevel="1">
      <c r="A178" s="98"/>
      <c r="B178" s="102"/>
      <c r="C178" s="23"/>
      <c r="D178" s="56" t="s">
        <v>47</v>
      </c>
      <c r="E178" s="56" t="s">
        <v>239</v>
      </c>
      <c r="F178" s="253">
        <v>2021</v>
      </c>
      <c r="G178" s="254">
        <v>2026</v>
      </c>
      <c r="H178" s="279" t="s">
        <v>240</v>
      </c>
      <c r="I178" s="112"/>
      <c r="J178" s="112"/>
      <c r="K178" s="112"/>
      <c r="L178" s="113">
        <f>SUM(L169:L177)</f>
        <v>0</v>
      </c>
      <c r="M178" s="113">
        <f>SUM(M169:M177)</f>
        <v>0</v>
      </c>
      <c r="N178" s="112"/>
      <c r="O178" s="112"/>
      <c r="P178" s="112"/>
      <c r="Q178" s="112"/>
      <c r="R178" s="113">
        <f>SUM(R169:R177)</f>
        <v>0</v>
      </c>
      <c r="S178" s="113">
        <f>SUM(S169:S177)</f>
        <v>0</v>
      </c>
      <c r="T178" s="113">
        <f>SUM(T169:T177)</f>
        <v>0</v>
      </c>
      <c r="U178" s="113">
        <f>SUM(U169:U177)</f>
        <v>0</v>
      </c>
      <c r="V178" s="112"/>
      <c r="W178" s="112"/>
      <c r="X178" s="112"/>
      <c r="Y178" s="113">
        <f>SUM(Y169:Y177)</f>
        <v>0</v>
      </c>
      <c r="Z178" s="113"/>
      <c r="AA178" s="112"/>
      <c r="AB178" s="113">
        <f>SUM(AB169:AB177)</f>
        <v>0</v>
      </c>
      <c r="AC178" s="113">
        <f>SUM(AC169:AC177)</f>
        <v>0</v>
      </c>
      <c r="AD178" s="113">
        <f>SUM(AD169:AD177)</f>
        <v>0</v>
      </c>
      <c r="AE178" s="113">
        <f>SUM(AE169:AE177)</f>
        <v>0</v>
      </c>
      <c r="AF178" s="113">
        <f>SUM(AF169:AF177)</f>
        <v>0</v>
      </c>
      <c r="AG178" s="112"/>
      <c r="AH178" s="112"/>
      <c r="AI178" s="112"/>
      <c r="AJ178" s="113">
        <f>SUM(AJ169:AJ177)</f>
        <v>0</v>
      </c>
      <c r="AK178" s="113">
        <f>SUM(AK169:AK177)</f>
        <v>0</v>
      </c>
      <c r="AL178" s="113">
        <f>SUM(AL169:AL177)</f>
        <v>0</v>
      </c>
      <c r="AM178" s="113">
        <f>SUM(AM169:AM177)</f>
        <v>0</v>
      </c>
      <c r="AN178" s="113">
        <f>SUM(AN169:AN177)</f>
        <v>0</v>
      </c>
      <c r="AO178" s="131"/>
      <c r="AP178" s="17"/>
      <c r="AQ178" s="113">
        <f t="shared" ref="AQ178:BB178" si="160">SUM(AQ169:AQ177)</f>
        <v>0</v>
      </c>
      <c r="AR178" s="113">
        <f t="shared" si="160"/>
        <v>0</v>
      </c>
      <c r="AS178" s="113">
        <f t="shared" si="160"/>
        <v>0</v>
      </c>
      <c r="AT178" s="113">
        <f t="shared" si="160"/>
        <v>0</v>
      </c>
      <c r="AU178" s="113">
        <f t="shared" si="160"/>
        <v>0</v>
      </c>
      <c r="AV178" s="113">
        <f t="shared" si="160"/>
        <v>0</v>
      </c>
      <c r="AW178" s="113">
        <f t="shared" si="160"/>
        <v>0</v>
      </c>
      <c r="AX178" s="113">
        <f t="shared" si="160"/>
        <v>0</v>
      </c>
      <c r="AY178" s="113">
        <f t="shared" si="160"/>
        <v>0</v>
      </c>
      <c r="AZ178" s="113">
        <f t="shared" si="160"/>
        <v>0</v>
      </c>
      <c r="BA178" s="113">
        <f t="shared" si="160"/>
        <v>0</v>
      </c>
      <c r="BB178" s="113">
        <f t="shared" si="160"/>
        <v>0</v>
      </c>
    </row>
    <row r="179" spans="1:54" s="24" customFormat="1" ht="13.8" customHeight="1">
      <c r="A179" s="114"/>
      <c r="B179" s="115"/>
      <c r="C179" s="314" t="s">
        <v>241</v>
      </c>
      <c r="D179" s="314"/>
      <c r="E179" s="315"/>
      <c r="F179" s="246"/>
      <c r="G179" s="246"/>
      <c r="H179" s="278" t="s">
        <v>242</v>
      </c>
      <c r="I179" s="116"/>
      <c r="J179" s="116"/>
      <c r="K179" s="116"/>
      <c r="L179" s="117">
        <f>SUM(L201)</f>
        <v>0</v>
      </c>
      <c r="M179" s="117">
        <f>SUM(M201)</f>
        <v>0</v>
      </c>
      <c r="N179" s="116"/>
      <c r="O179" s="116"/>
      <c r="P179" s="116"/>
      <c r="Q179" s="116"/>
      <c r="R179" s="117">
        <f t="shared" ref="R179:U179" si="161">SUM(R201)</f>
        <v>0</v>
      </c>
      <c r="S179" s="117">
        <f t="shared" si="161"/>
        <v>0</v>
      </c>
      <c r="T179" s="117">
        <f t="shared" si="161"/>
        <v>0</v>
      </c>
      <c r="U179" s="117">
        <f t="shared" si="161"/>
        <v>0</v>
      </c>
      <c r="V179" s="116"/>
      <c r="W179" s="116"/>
      <c r="X179" s="116"/>
      <c r="Y179" s="117">
        <f>SUM(Y201)</f>
        <v>0</v>
      </c>
      <c r="Z179" s="117"/>
      <c r="AA179" s="117"/>
      <c r="AB179" s="117">
        <f t="shared" ref="AB179:AF179" si="162">SUM(AB201)</f>
        <v>0</v>
      </c>
      <c r="AC179" s="117">
        <f t="shared" si="162"/>
        <v>0</v>
      </c>
      <c r="AD179" s="117">
        <f t="shared" si="162"/>
        <v>0</v>
      </c>
      <c r="AE179" s="117">
        <f t="shared" si="162"/>
        <v>0</v>
      </c>
      <c r="AF179" s="117">
        <f t="shared" si="162"/>
        <v>0</v>
      </c>
      <c r="AG179" s="116"/>
      <c r="AH179" s="116"/>
      <c r="AI179" s="116"/>
      <c r="AJ179" s="117">
        <f t="shared" ref="AJ179:AN179" si="163">SUM(AJ201)</f>
        <v>0</v>
      </c>
      <c r="AK179" s="117">
        <f t="shared" si="163"/>
        <v>0</v>
      </c>
      <c r="AL179" s="117">
        <f t="shared" si="163"/>
        <v>0</v>
      </c>
      <c r="AM179" s="117">
        <f t="shared" si="163"/>
        <v>0</v>
      </c>
      <c r="AN179" s="117">
        <f t="shared" si="163"/>
        <v>0</v>
      </c>
      <c r="AO179" s="132"/>
      <c r="AP179" s="25"/>
      <c r="AQ179" s="117">
        <f t="shared" ref="AQ179:BB179" si="164">SUM(AQ201)</f>
        <v>0</v>
      </c>
      <c r="AR179" s="117">
        <f t="shared" si="164"/>
        <v>0</v>
      </c>
      <c r="AS179" s="117">
        <f t="shared" si="164"/>
        <v>0</v>
      </c>
      <c r="AT179" s="117">
        <f t="shared" si="164"/>
        <v>0</v>
      </c>
      <c r="AU179" s="117">
        <f t="shared" si="164"/>
        <v>0</v>
      </c>
      <c r="AV179" s="117">
        <f t="shared" si="164"/>
        <v>0</v>
      </c>
      <c r="AW179" s="117">
        <f t="shared" si="164"/>
        <v>0</v>
      </c>
      <c r="AX179" s="117">
        <f t="shared" si="164"/>
        <v>0</v>
      </c>
      <c r="AY179" s="117">
        <f t="shared" si="164"/>
        <v>0</v>
      </c>
      <c r="AZ179" s="117">
        <f t="shared" si="164"/>
        <v>0</v>
      </c>
      <c r="BA179" s="117">
        <f t="shared" si="164"/>
        <v>0</v>
      </c>
      <c r="BB179" s="117">
        <f t="shared" si="164"/>
        <v>0</v>
      </c>
    </row>
    <row r="180" spans="1:54" ht="15.6" outlineLevel="2">
      <c r="A180" s="98"/>
      <c r="B180" s="102"/>
      <c r="C180" s="23"/>
      <c r="D180" s="257"/>
      <c r="E180" s="123"/>
      <c r="F180" s="249"/>
      <c r="G180" s="283"/>
      <c r="H180" s="272"/>
      <c r="I180" s="104"/>
      <c r="J180" s="105"/>
      <c r="K180" s="105"/>
      <c r="L180" s="106" t="str">
        <f>IF(I180&lt;&gt;0,((VLOOKUP(I180,'1. Standard_Cost'!$B$4:$D$11,2)+VLOOKUP(I180,'1. Standard_Cost'!$B$4:$D$11,3))*J180*K180),"0")</f>
        <v>0</v>
      </c>
      <c r="M180" s="106">
        <f>L180*'1. Standard_Cost'!$F$4</f>
        <v>0</v>
      </c>
      <c r="N180" s="107"/>
      <c r="O180" s="107"/>
      <c r="P180" s="107"/>
      <c r="Q180" s="107"/>
      <c r="R180" s="108">
        <f>'1. Standard_Cost'!$B$15*N180*P180</f>
        <v>0</v>
      </c>
      <c r="S180" s="108">
        <f>N180*O180*P180*'1. Standard_Cost'!$C$15</f>
        <v>0</v>
      </c>
      <c r="T180" s="108">
        <f>N180*P180*Q180*'1. Standard_Cost'!$D$15</f>
        <v>0</v>
      </c>
      <c r="U180" s="108">
        <f>N180*O180*'1. Standard_Cost'!$E$15</f>
        <v>0</v>
      </c>
      <c r="V180" s="107"/>
      <c r="W180" s="107"/>
      <c r="X180" s="107"/>
      <c r="Y180" s="108">
        <f>+V180*((X180*'1. Standard_Cost'!$B$19)+(W180*X180*'1. Standard_Cost'!$C$19))</f>
        <v>0</v>
      </c>
      <c r="Z180" s="107"/>
      <c r="AA180" s="107"/>
      <c r="AB180" s="108">
        <f>+Z180*'1. Standard_Cost'!$B$23+AA180*'1. Standard_Cost'!$C$23</f>
        <v>0</v>
      </c>
      <c r="AC180" s="109"/>
      <c r="AD180" s="110"/>
      <c r="AE180" s="108">
        <f>SUM(AD180,AC180,AB180,Y180,U180,T180,S180,R180)*'1. Standard_Cost'!$B$31</f>
        <v>0</v>
      </c>
      <c r="AF180" s="108">
        <f t="shared" ref="AF180:AF200" si="165">SUM(AE180,AD180,AC180,AB180,Y180,U180,T180,S180,R180)</f>
        <v>0</v>
      </c>
      <c r="AG180" s="107"/>
      <c r="AH180" s="107"/>
      <c r="AI180" s="107"/>
      <c r="AJ180" s="111"/>
      <c r="AK180" s="111"/>
      <c r="AL180" s="111"/>
      <c r="AM180" s="108">
        <f>AG180*'1. Standard_Cost'!$B$27+'Incremental_Cost Year 7'!AH180*'1. Standard_Cost'!$C$27+'Incremental_Cost Year 7'!AI180*'1. Standard_Cost'!$D$27+'Incremental_Cost Year 7'!AJ180+'Incremental_Cost Year 7'!AL180+AK180</f>
        <v>0</v>
      </c>
      <c r="AN180" s="108">
        <f>AM180*'1. Standard_Cost'!$C$31</f>
        <v>0</v>
      </c>
      <c r="AO180" s="125" t="s">
        <v>395</v>
      </c>
      <c r="AQ180" s="14">
        <f t="shared" ref="AQ180:AQ200" si="166">L180+M180</f>
        <v>0</v>
      </c>
      <c r="AR180" s="14">
        <f t="shared" ref="AR180:AR200" si="167">AF180</f>
        <v>0</v>
      </c>
      <c r="AS180" s="14">
        <f t="shared" ref="AS180:AS200" si="168">AM180+AN180</f>
        <v>0</v>
      </c>
      <c r="AT180" s="14">
        <f>SUM(AQ180,AR180,AS180)</f>
        <v>0</v>
      </c>
      <c r="AU180" s="15"/>
      <c r="AV180" s="15"/>
      <c r="AW180" s="15"/>
      <c r="AX180" s="15"/>
      <c r="AY180" s="15"/>
      <c r="AZ180" s="15"/>
      <c r="BA180" s="15"/>
      <c r="BB180" s="16">
        <f t="shared" ref="BB180:BB200" si="169">SUM(AU180:BA180)-AT180</f>
        <v>0</v>
      </c>
    </row>
    <row r="181" spans="1:54" ht="187.2" customHeight="1" outlineLevel="2">
      <c r="A181" s="98"/>
      <c r="B181" s="102"/>
      <c r="C181" s="23"/>
      <c r="D181" s="269"/>
      <c r="E181" s="271"/>
      <c r="F181" s="250"/>
      <c r="G181" s="255"/>
      <c r="H181" s="272"/>
      <c r="I181" s="104"/>
      <c r="J181" s="105"/>
      <c r="K181" s="105"/>
      <c r="L181" s="106" t="str">
        <f>IF(I181&lt;&gt;0,((VLOOKUP(I181,'1. Standard_Cost'!$B$4:$D$11,2)+VLOOKUP(I181,'1. Standard_Cost'!$B$4:$D$11,3))*J181*K181),"0")</f>
        <v>0</v>
      </c>
      <c r="M181" s="106">
        <f>L181*'1. Standard_Cost'!$F$4</f>
        <v>0</v>
      </c>
      <c r="N181" s="107"/>
      <c r="O181" s="107"/>
      <c r="P181" s="107"/>
      <c r="Q181" s="107"/>
      <c r="R181" s="108">
        <f>'1. Standard_Cost'!$B$15*N181*P181</f>
        <v>0</v>
      </c>
      <c r="S181" s="108">
        <f>N181*O181*P181*'1. Standard_Cost'!$C$15</f>
        <v>0</v>
      </c>
      <c r="T181" s="108">
        <f>N181*P181*Q181*'1. Standard_Cost'!$D$15</f>
        <v>0</v>
      </c>
      <c r="U181" s="108">
        <f>N181*O181*'1. Standard_Cost'!$E$15</f>
        <v>0</v>
      </c>
      <c r="V181" s="107"/>
      <c r="W181" s="107"/>
      <c r="X181" s="107"/>
      <c r="Y181" s="108">
        <f>+V181*((X181*'1. Standard_Cost'!$B$19)+(W181*X181*'1. Standard_Cost'!$C$19))</f>
        <v>0</v>
      </c>
      <c r="Z181" s="107"/>
      <c r="AA181" s="107"/>
      <c r="AB181" s="108">
        <f>+Z181*'1. Standard_Cost'!$B$23+AA181*'1. Standard_Cost'!$C$23</f>
        <v>0</v>
      </c>
      <c r="AC181" s="109"/>
      <c r="AD181" s="110"/>
      <c r="AE181" s="108">
        <f>SUM(AD181,AC181,AB181,Y181,U181,T181,S181,R181)*'1. Standard_Cost'!$B$31</f>
        <v>0</v>
      </c>
      <c r="AF181" s="108">
        <f t="shared" si="165"/>
        <v>0</v>
      </c>
      <c r="AG181" s="107"/>
      <c r="AH181" s="107"/>
      <c r="AI181" s="107"/>
      <c r="AJ181" s="111"/>
      <c r="AK181" s="111"/>
      <c r="AL181" s="111"/>
      <c r="AM181" s="108">
        <f>AG181*'1. Standard_Cost'!$B$27+'Incremental_Cost Year 7'!AH181*'1. Standard_Cost'!$C$27+'Incremental_Cost Year 7'!AI181*'1. Standard_Cost'!$D$27+'Incremental_Cost Year 7'!AJ181+'Incremental_Cost Year 7'!AL181+AK181</f>
        <v>0</v>
      </c>
      <c r="AN181" s="108">
        <f>AM181*'1. Standard_Cost'!$C$31</f>
        <v>0</v>
      </c>
      <c r="AO181" s="125" t="s">
        <v>396</v>
      </c>
      <c r="AQ181" s="14">
        <f t="shared" si="166"/>
        <v>0</v>
      </c>
      <c r="AR181" s="14">
        <f t="shared" si="167"/>
        <v>0</v>
      </c>
      <c r="AS181" s="14">
        <f t="shared" si="168"/>
        <v>0</v>
      </c>
      <c r="AT181" s="14">
        <f t="shared" ref="AT181:AT200" si="170">SUM(AQ181,AR181,AS181)</f>
        <v>0</v>
      </c>
      <c r="AU181" s="15"/>
      <c r="AV181" s="15"/>
      <c r="AW181" s="15"/>
      <c r="AX181" s="15"/>
      <c r="AY181" s="15"/>
      <c r="AZ181" s="15"/>
      <c r="BA181" s="15"/>
      <c r="BB181" s="16">
        <f t="shared" si="169"/>
        <v>0</v>
      </c>
    </row>
    <row r="182" spans="1:54" ht="15.6" outlineLevel="2">
      <c r="A182" s="98"/>
      <c r="B182" s="102"/>
      <c r="C182" s="23"/>
      <c r="D182" s="269"/>
      <c r="E182" s="271"/>
      <c r="F182" s="250"/>
      <c r="G182" s="255"/>
      <c r="H182" s="272"/>
      <c r="I182" s="104"/>
      <c r="J182" s="105"/>
      <c r="K182" s="105"/>
      <c r="L182" s="106" t="str">
        <f>IF(I182&lt;&gt;0,((VLOOKUP(I182,'1. Standard_Cost'!$B$4:$D$11,2)+VLOOKUP(I182,'1. Standard_Cost'!$B$4:$D$11,3))*J182*K182),"0")</f>
        <v>0</v>
      </c>
      <c r="M182" s="106">
        <f>L182*'1. Standard_Cost'!$F$4</f>
        <v>0</v>
      </c>
      <c r="N182" s="107"/>
      <c r="O182" s="107"/>
      <c r="P182" s="107"/>
      <c r="Q182" s="107"/>
      <c r="R182" s="108">
        <f>'1. Standard_Cost'!$B$15*N182*P182</f>
        <v>0</v>
      </c>
      <c r="S182" s="108">
        <f>N182*O182*P182*'1. Standard_Cost'!$C$15</f>
        <v>0</v>
      </c>
      <c r="T182" s="108">
        <f>N182*P182*Q182*'1. Standard_Cost'!$D$15</f>
        <v>0</v>
      </c>
      <c r="U182" s="108">
        <f>N182*O182*'1. Standard_Cost'!$E$15</f>
        <v>0</v>
      </c>
      <c r="V182" s="107"/>
      <c r="W182" s="107"/>
      <c r="X182" s="107"/>
      <c r="Y182" s="108">
        <f>+V182*((X182*'1. Standard_Cost'!$B$19)+(W182*X182*'1. Standard_Cost'!$C$19))</f>
        <v>0</v>
      </c>
      <c r="Z182" s="107"/>
      <c r="AA182" s="107"/>
      <c r="AB182" s="108">
        <f>+Z182*'1. Standard_Cost'!$B$23+AA182*'1. Standard_Cost'!$C$23</f>
        <v>0</v>
      </c>
      <c r="AC182" s="109"/>
      <c r="AD182" s="110"/>
      <c r="AE182" s="108">
        <f>SUM(AD182,AC182,AB182,Y182,U182,T182,S182,R182)*'1. Standard_Cost'!$B$31</f>
        <v>0</v>
      </c>
      <c r="AF182" s="108">
        <f t="shared" si="165"/>
        <v>0</v>
      </c>
      <c r="AG182" s="107"/>
      <c r="AH182" s="107"/>
      <c r="AI182" s="107"/>
      <c r="AJ182" s="111"/>
      <c r="AK182" s="111"/>
      <c r="AL182" s="111"/>
      <c r="AM182" s="108">
        <f>AG182*'1. Standard_Cost'!$B$27+'Incremental_Cost Year 7'!AH182*'1. Standard_Cost'!$C$27+'Incremental_Cost Year 7'!AI182*'1. Standard_Cost'!$D$27+'Incremental_Cost Year 7'!AJ182+'Incremental_Cost Year 7'!AL182+AK182</f>
        <v>0</v>
      </c>
      <c r="AN182" s="108">
        <f>AM182*'1. Standard_Cost'!$C$31</f>
        <v>0</v>
      </c>
      <c r="AO182" s="125" t="s">
        <v>397</v>
      </c>
      <c r="AQ182" s="14">
        <f t="shared" si="166"/>
        <v>0</v>
      </c>
      <c r="AR182" s="14">
        <f t="shared" si="167"/>
        <v>0</v>
      </c>
      <c r="AS182" s="14">
        <f t="shared" si="168"/>
        <v>0</v>
      </c>
      <c r="AT182" s="14">
        <f t="shared" si="170"/>
        <v>0</v>
      </c>
      <c r="AU182" s="15"/>
      <c r="AV182" s="15"/>
      <c r="AW182" s="15"/>
      <c r="AX182" s="15"/>
      <c r="AY182" s="15"/>
      <c r="AZ182" s="15"/>
      <c r="BA182" s="15"/>
      <c r="BB182" s="16">
        <f t="shared" si="169"/>
        <v>0</v>
      </c>
    </row>
    <row r="183" spans="1:54" ht="15.6" outlineLevel="2">
      <c r="A183" s="98"/>
      <c r="B183" s="102"/>
      <c r="C183" s="23"/>
      <c r="D183" s="269"/>
      <c r="E183" s="271"/>
      <c r="F183" s="250"/>
      <c r="G183" s="255"/>
      <c r="H183" s="272"/>
      <c r="I183" s="104"/>
      <c r="J183" s="105"/>
      <c r="K183" s="105"/>
      <c r="L183" s="106" t="str">
        <f>IF(I183&lt;&gt;0,((VLOOKUP(I183,'1. Standard_Cost'!$B$4:$D$11,2)+VLOOKUP(I183,'1. Standard_Cost'!$B$4:$D$11,3))*J183*K183),"0")</f>
        <v>0</v>
      </c>
      <c r="M183" s="106">
        <f>L183*'1. Standard_Cost'!$F$4</f>
        <v>0</v>
      </c>
      <c r="N183" s="107"/>
      <c r="O183" s="107"/>
      <c r="P183" s="107"/>
      <c r="Q183" s="107"/>
      <c r="R183" s="108">
        <f>'1. Standard_Cost'!$B$15*N183*P183</f>
        <v>0</v>
      </c>
      <c r="S183" s="108">
        <f>N183*O183*P183*'1. Standard_Cost'!$C$15</f>
        <v>0</v>
      </c>
      <c r="T183" s="108">
        <f>N183*P183*Q183*'1. Standard_Cost'!$D$15</f>
        <v>0</v>
      </c>
      <c r="U183" s="108">
        <f>N183*O183*'1. Standard_Cost'!$E$15</f>
        <v>0</v>
      </c>
      <c r="V183" s="107"/>
      <c r="W183" s="107"/>
      <c r="X183" s="107"/>
      <c r="Y183" s="108">
        <f>+V183*((X183*'1. Standard_Cost'!$B$19)+(W183*X183*'1. Standard_Cost'!$C$19))</f>
        <v>0</v>
      </c>
      <c r="Z183" s="107"/>
      <c r="AA183" s="107"/>
      <c r="AB183" s="108">
        <f>+Z183*'1. Standard_Cost'!$B$23+AA183*'1. Standard_Cost'!$C$23</f>
        <v>0</v>
      </c>
      <c r="AC183" s="109"/>
      <c r="AD183" s="110"/>
      <c r="AE183" s="108">
        <f>SUM(AD183,AC183,AB183,Y183,U183,T183,S183,R183)*'1. Standard_Cost'!$B$31</f>
        <v>0</v>
      </c>
      <c r="AF183" s="108">
        <f t="shared" si="165"/>
        <v>0</v>
      </c>
      <c r="AG183" s="107"/>
      <c r="AH183" s="107"/>
      <c r="AI183" s="107"/>
      <c r="AJ183" s="111"/>
      <c r="AK183" s="111"/>
      <c r="AL183" s="111"/>
      <c r="AM183" s="108">
        <f>AG183*'1. Standard_Cost'!$B$27+'Incremental_Cost Year 7'!AH183*'1. Standard_Cost'!$C$27+'Incremental_Cost Year 7'!AI183*'1. Standard_Cost'!$D$27+'Incremental_Cost Year 7'!AJ183+'Incremental_Cost Year 7'!AL183+AK183</f>
        <v>0</v>
      </c>
      <c r="AN183" s="108">
        <f>AM183*'1. Standard_Cost'!$C$31</f>
        <v>0</v>
      </c>
      <c r="AO183" s="125" t="s">
        <v>398</v>
      </c>
      <c r="AQ183" s="14">
        <f t="shared" si="166"/>
        <v>0</v>
      </c>
      <c r="AR183" s="14">
        <f t="shared" si="167"/>
        <v>0</v>
      </c>
      <c r="AS183" s="14">
        <f t="shared" si="168"/>
        <v>0</v>
      </c>
      <c r="AT183" s="14">
        <f t="shared" si="170"/>
        <v>0</v>
      </c>
      <c r="AU183" s="15"/>
      <c r="AV183" s="15"/>
      <c r="AW183" s="15"/>
      <c r="AX183" s="15"/>
      <c r="AY183" s="15"/>
      <c r="AZ183" s="15"/>
      <c r="BA183" s="15"/>
      <c r="BB183" s="16">
        <f t="shared" si="169"/>
        <v>0</v>
      </c>
    </row>
    <row r="184" spans="1:54" ht="15.6" outlineLevel="2">
      <c r="A184" s="98"/>
      <c r="B184" s="102"/>
      <c r="C184" s="23"/>
      <c r="D184" s="269"/>
      <c r="E184" s="271"/>
      <c r="F184" s="250"/>
      <c r="G184" s="255"/>
      <c r="H184" s="272"/>
      <c r="I184" s="104"/>
      <c r="J184" s="105"/>
      <c r="K184" s="105"/>
      <c r="L184" s="106" t="str">
        <f>IF(I184&lt;&gt;0,((VLOOKUP(I184,'1. Standard_Cost'!$B$4:$D$11,2)+VLOOKUP(I184,'1. Standard_Cost'!$B$4:$D$11,3))*J184*K184),"0")</f>
        <v>0</v>
      </c>
      <c r="M184" s="106">
        <f>L184*'1. Standard_Cost'!$F$4</f>
        <v>0</v>
      </c>
      <c r="N184" s="107"/>
      <c r="O184" s="107"/>
      <c r="P184" s="107"/>
      <c r="Q184" s="107"/>
      <c r="R184" s="108">
        <f>'1. Standard_Cost'!$B$15*N184*P184</f>
        <v>0</v>
      </c>
      <c r="S184" s="108">
        <f>N184*O184*P184*'1. Standard_Cost'!$C$15</f>
        <v>0</v>
      </c>
      <c r="T184" s="108">
        <f>N184*P184*Q184*'1. Standard_Cost'!$D$15</f>
        <v>0</v>
      </c>
      <c r="U184" s="108">
        <f>N184*O184*'1. Standard_Cost'!$E$15</f>
        <v>0</v>
      </c>
      <c r="V184" s="107"/>
      <c r="W184" s="107"/>
      <c r="X184" s="107"/>
      <c r="Y184" s="108">
        <f>+V184*((X184*'1. Standard_Cost'!$B$19)+(W184*X184*'1. Standard_Cost'!$C$19))</f>
        <v>0</v>
      </c>
      <c r="Z184" s="107"/>
      <c r="AA184" s="107"/>
      <c r="AB184" s="108">
        <f>+Z184*'1. Standard_Cost'!$B$23+AA184*'1. Standard_Cost'!$C$23</f>
        <v>0</v>
      </c>
      <c r="AC184" s="109"/>
      <c r="AD184" s="110"/>
      <c r="AE184" s="108">
        <f>SUM(AD184,AC184,AB184,Y184,U184,T184,S184,R184)*'1. Standard_Cost'!$B$31</f>
        <v>0</v>
      </c>
      <c r="AF184" s="108">
        <f t="shared" si="165"/>
        <v>0</v>
      </c>
      <c r="AG184" s="107"/>
      <c r="AH184" s="107"/>
      <c r="AI184" s="107"/>
      <c r="AJ184" s="111"/>
      <c r="AK184" s="111"/>
      <c r="AL184" s="111"/>
      <c r="AM184" s="108">
        <f>AG184*'1. Standard_Cost'!$B$27+'Incremental_Cost Year 7'!AH184*'1. Standard_Cost'!$C$27+'Incremental_Cost Year 7'!AI184*'1. Standard_Cost'!$D$27+'Incremental_Cost Year 7'!AJ184+'Incremental_Cost Year 7'!AL184+AK184</f>
        <v>0</v>
      </c>
      <c r="AN184" s="108">
        <f>AM184*'1. Standard_Cost'!$C$31</f>
        <v>0</v>
      </c>
      <c r="AO184" s="125" t="s">
        <v>399</v>
      </c>
      <c r="AQ184" s="14">
        <f t="shared" si="166"/>
        <v>0</v>
      </c>
      <c r="AR184" s="14">
        <f t="shared" si="167"/>
        <v>0</v>
      </c>
      <c r="AS184" s="14">
        <f t="shared" si="168"/>
        <v>0</v>
      </c>
      <c r="AT184" s="14">
        <f t="shared" si="170"/>
        <v>0</v>
      </c>
      <c r="AU184" s="15"/>
      <c r="AV184" s="15"/>
      <c r="AW184" s="15"/>
      <c r="AX184" s="15"/>
      <c r="AY184" s="15"/>
      <c r="AZ184" s="15"/>
      <c r="BA184" s="15"/>
      <c r="BB184" s="16">
        <f t="shared" si="169"/>
        <v>0</v>
      </c>
    </row>
    <row r="185" spans="1:54" ht="15.6" outlineLevel="2">
      <c r="A185" s="98"/>
      <c r="B185" s="102"/>
      <c r="C185" s="23"/>
      <c r="D185" s="269"/>
      <c r="E185" s="271"/>
      <c r="F185" s="250"/>
      <c r="G185" s="255"/>
      <c r="H185" s="272"/>
      <c r="I185" s="104"/>
      <c r="J185" s="105"/>
      <c r="K185" s="105"/>
      <c r="L185" s="106" t="str">
        <f>IF(I185&lt;&gt;0,((VLOOKUP(I185,'1. Standard_Cost'!$B$4:$D$11,2)+VLOOKUP(I185,'1. Standard_Cost'!$B$4:$D$11,3))*J185*K185),"0")</f>
        <v>0</v>
      </c>
      <c r="M185" s="106">
        <f>L185*'1. Standard_Cost'!$F$4</f>
        <v>0</v>
      </c>
      <c r="N185" s="107"/>
      <c r="O185" s="107"/>
      <c r="P185" s="107"/>
      <c r="Q185" s="107"/>
      <c r="R185" s="108">
        <f>'1. Standard_Cost'!$B$15*N185*P185</f>
        <v>0</v>
      </c>
      <c r="S185" s="108">
        <f>N185*O185*P185*'1. Standard_Cost'!$C$15</f>
        <v>0</v>
      </c>
      <c r="T185" s="108">
        <f>N185*P185*Q185*'1. Standard_Cost'!$D$15</f>
        <v>0</v>
      </c>
      <c r="U185" s="108">
        <f>N185*O185*'1. Standard_Cost'!$E$15</f>
        <v>0</v>
      </c>
      <c r="V185" s="107"/>
      <c r="W185" s="107"/>
      <c r="X185" s="107"/>
      <c r="Y185" s="108">
        <f>+V185*((X185*'1. Standard_Cost'!$B$19)+(W185*X185*'1. Standard_Cost'!$C$19))</f>
        <v>0</v>
      </c>
      <c r="Z185" s="107"/>
      <c r="AA185" s="107"/>
      <c r="AB185" s="108">
        <f>+Z185*'1. Standard_Cost'!$B$23+AA185*'1. Standard_Cost'!$C$23</f>
        <v>0</v>
      </c>
      <c r="AC185" s="109"/>
      <c r="AD185" s="110"/>
      <c r="AE185" s="108">
        <f>SUM(AD185,AC185,AB185,Y185,U185,T185,S185,R185)*'1. Standard_Cost'!$B$31</f>
        <v>0</v>
      </c>
      <c r="AF185" s="108">
        <f t="shared" si="165"/>
        <v>0</v>
      </c>
      <c r="AG185" s="107"/>
      <c r="AH185" s="107"/>
      <c r="AI185" s="107"/>
      <c r="AJ185" s="111"/>
      <c r="AK185" s="111"/>
      <c r="AL185" s="111"/>
      <c r="AM185" s="108">
        <f>AG185*'1. Standard_Cost'!$B$27+'Incremental_Cost Year 7'!AH185*'1. Standard_Cost'!$C$27+'Incremental_Cost Year 7'!AI185*'1. Standard_Cost'!$D$27+'Incremental_Cost Year 7'!AJ185+'Incremental_Cost Year 7'!AL185+AK185</f>
        <v>0</v>
      </c>
      <c r="AN185" s="108">
        <f>AM185*'1. Standard_Cost'!$C$31</f>
        <v>0</v>
      </c>
      <c r="AO185" s="125" t="s">
        <v>400</v>
      </c>
      <c r="AQ185" s="14">
        <f t="shared" si="166"/>
        <v>0</v>
      </c>
      <c r="AR185" s="14">
        <f t="shared" si="167"/>
        <v>0</v>
      </c>
      <c r="AS185" s="14">
        <f t="shared" si="168"/>
        <v>0</v>
      </c>
      <c r="AT185" s="14">
        <f t="shared" si="170"/>
        <v>0</v>
      </c>
      <c r="AU185" s="15"/>
      <c r="AV185" s="15"/>
      <c r="AW185" s="15"/>
      <c r="AX185" s="15"/>
      <c r="AY185" s="15"/>
      <c r="AZ185" s="15"/>
      <c r="BA185" s="15"/>
      <c r="BB185" s="16">
        <f t="shared" si="169"/>
        <v>0</v>
      </c>
    </row>
    <row r="186" spans="1:54" ht="15.6" outlineLevel="2">
      <c r="A186" s="98"/>
      <c r="B186" s="102"/>
      <c r="C186" s="23"/>
      <c r="D186" s="269"/>
      <c r="E186" s="271"/>
      <c r="F186" s="250"/>
      <c r="G186" s="255"/>
      <c r="H186" s="272"/>
      <c r="I186" s="104"/>
      <c r="J186" s="105"/>
      <c r="K186" s="105"/>
      <c r="L186" s="106" t="str">
        <f>IF(I186&lt;&gt;0,((VLOOKUP(I186,'1. Standard_Cost'!$B$4:$D$11,2)+VLOOKUP(I186,'1. Standard_Cost'!$B$4:$D$11,3))*J186*K186),"0")</f>
        <v>0</v>
      </c>
      <c r="M186" s="106">
        <f>L186*'1. Standard_Cost'!$F$4</f>
        <v>0</v>
      </c>
      <c r="N186" s="107"/>
      <c r="O186" s="107"/>
      <c r="P186" s="107"/>
      <c r="Q186" s="107"/>
      <c r="R186" s="108">
        <f>'1. Standard_Cost'!$B$15*N186*P186</f>
        <v>0</v>
      </c>
      <c r="S186" s="108">
        <f>N186*O186*P186*'1. Standard_Cost'!$C$15</f>
        <v>0</v>
      </c>
      <c r="T186" s="108">
        <f>N186*P186*Q186*'1. Standard_Cost'!$D$15</f>
        <v>0</v>
      </c>
      <c r="U186" s="108">
        <f>N186*O186*'1. Standard_Cost'!$E$15</f>
        <v>0</v>
      </c>
      <c r="V186" s="107"/>
      <c r="W186" s="107"/>
      <c r="X186" s="107"/>
      <c r="Y186" s="108">
        <f>+V186*((X186*'1. Standard_Cost'!$B$19)+(W186*X186*'1. Standard_Cost'!$C$19))</f>
        <v>0</v>
      </c>
      <c r="Z186" s="107"/>
      <c r="AA186" s="107"/>
      <c r="AB186" s="108">
        <f>+Z186*'1. Standard_Cost'!$B$23+AA186*'1. Standard_Cost'!$C$23</f>
        <v>0</v>
      </c>
      <c r="AC186" s="109"/>
      <c r="AD186" s="110"/>
      <c r="AE186" s="108">
        <f>SUM(AD186,AC186,AB186,Y186,U186,T186,S186,R186)*'1. Standard_Cost'!$B$31</f>
        <v>0</v>
      </c>
      <c r="AF186" s="108">
        <f t="shared" si="165"/>
        <v>0</v>
      </c>
      <c r="AG186" s="107"/>
      <c r="AH186" s="107"/>
      <c r="AI186" s="107"/>
      <c r="AJ186" s="111"/>
      <c r="AK186" s="111"/>
      <c r="AL186" s="111"/>
      <c r="AM186" s="108">
        <f>AG186*'1. Standard_Cost'!$B$27+'Incremental_Cost Year 7'!AH186*'1. Standard_Cost'!$C$27+'Incremental_Cost Year 7'!AI186*'1. Standard_Cost'!$D$27+'Incremental_Cost Year 7'!AJ186+'Incremental_Cost Year 7'!AL186+AK186</f>
        <v>0</v>
      </c>
      <c r="AN186" s="108">
        <f>AM186*'1. Standard_Cost'!$C$31</f>
        <v>0</v>
      </c>
      <c r="AO186" s="125" t="s">
        <v>401</v>
      </c>
      <c r="AQ186" s="14">
        <f t="shared" si="166"/>
        <v>0</v>
      </c>
      <c r="AR186" s="14">
        <f t="shared" si="167"/>
        <v>0</v>
      </c>
      <c r="AS186" s="14">
        <f t="shared" si="168"/>
        <v>0</v>
      </c>
      <c r="AT186" s="14">
        <f t="shared" si="170"/>
        <v>0</v>
      </c>
      <c r="AU186" s="15"/>
      <c r="AV186" s="15"/>
      <c r="AW186" s="15"/>
      <c r="AX186" s="15"/>
      <c r="AY186" s="15"/>
      <c r="AZ186" s="15"/>
      <c r="BA186" s="15"/>
      <c r="BB186" s="16">
        <f t="shared" si="169"/>
        <v>0</v>
      </c>
    </row>
    <row r="187" spans="1:54" ht="15.6" outlineLevel="2">
      <c r="A187" s="98"/>
      <c r="B187" s="102"/>
      <c r="C187" s="23"/>
      <c r="D187" s="269"/>
      <c r="E187" s="271"/>
      <c r="F187" s="250"/>
      <c r="G187" s="255"/>
      <c r="H187" s="272"/>
      <c r="I187" s="104"/>
      <c r="J187" s="105"/>
      <c r="K187" s="105"/>
      <c r="L187" s="106" t="str">
        <f>IF(I187&lt;&gt;0,((VLOOKUP(I187,'1. Standard_Cost'!$B$4:$D$11,2)+VLOOKUP(I187,'1. Standard_Cost'!$B$4:$D$11,3))*J187*K187),"0")</f>
        <v>0</v>
      </c>
      <c r="M187" s="106">
        <f>L187*'1. Standard_Cost'!$F$4</f>
        <v>0</v>
      </c>
      <c r="N187" s="107"/>
      <c r="O187" s="107"/>
      <c r="P187" s="107"/>
      <c r="Q187" s="107"/>
      <c r="R187" s="108">
        <f>'1. Standard_Cost'!$B$15*N187*P187</f>
        <v>0</v>
      </c>
      <c r="S187" s="108">
        <f>N187*O187*P187*'1. Standard_Cost'!$C$15</f>
        <v>0</v>
      </c>
      <c r="T187" s="108">
        <f>N187*P187*Q187*'1. Standard_Cost'!$D$15</f>
        <v>0</v>
      </c>
      <c r="U187" s="108">
        <f>N187*O187*'1. Standard_Cost'!$E$15</f>
        <v>0</v>
      </c>
      <c r="V187" s="107"/>
      <c r="W187" s="107"/>
      <c r="X187" s="107"/>
      <c r="Y187" s="108">
        <f>+V187*((X187*'1. Standard_Cost'!$B$19)+(W187*X187*'1. Standard_Cost'!$C$19))</f>
        <v>0</v>
      </c>
      <c r="Z187" s="107"/>
      <c r="AA187" s="107"/>
      <c r="AB187" s="108">
        <f>+Z187*'1. Standard_Cost'!$B$23+AA187*'1. Standard_Cost'!$C$23</f>
        <v>0</v>
      </c>
      <c r="AC187" s="109"/>
      <c r="AD187" s="110"/>
      <c r="AE187" s="108">
        <f>SUM(AD187,AC187,AB187,Y187,U187,T187,S187,R187)*'1. Standard_Cost'!$B$31</f>
        <v>0</v>
      </c>
      <c r="AF187" s="108">
        <f t="shared" si="165"/>
        <v>0</v>
      </c>
      <c r="AG187" s="107"/>
      <c r="AH187" s="107"/>
      <c r="AI187" s="107"/>
      <c r="AJ187" s="111"/>
      <c r="AK187" s="111"/>
      <c r="AL187" s="111"/>
      <c r="AM187" s="108">
        <f>AG187*'1. Standard_Cost'!$B$27+'Incremental_Cost Year 7'!AH187*'1. Standard_Cost'!$C$27+'Incremental_Cost Year 7'!AI187*'1. Standard_Cost'!$D$27+'Incremental_Cost Year 7'!AJ187+'Incremental_Cost Year 7'!AL187+AK187</f>
        <v>0</v>
      </c>
      <c r="AN187" s="108">
        <f>AM187*'1. Standard_Cost'!$C$31</f>
        <v>0</v>
      </c>
      <c r="AO187" s="125" t="s">
        <v>402</v>
      </c>
      <c r="AQ187" s="14">
        <f t="shared" si="166"/>
        <v>0</v>
      </c>
      <c r="AR187" s="14">
        <f t="shared" si="167"/>
        <v>0</v>
      </c>
      <c r="AS187" s="14">
        <f t="shared" si="168"/>
        <v>0</v>
      </c>
      <c r="AT187" s="14">
        <f t="shared" si="170"/>
        <v>0</v>
      </c>
      <c r="AU187" s="15"/>
      <c r="AV187" s="15"/>
      <c r="AW187" s="15"/>
      <c r="AX187" s="15"/>
      <c r="AY187" s="15"/>
      <c r="AZ187" s="15"/>
      <c r="BA187" s="15"/>
      <c r="BB187" s="16">
        <f t="shared" si="169"/>
        <v>0</v>
      </c>
    </row>
    <row r="188" spans="1:54" ht="15.6" outlineLevel="2">
      <c r="A188" s="98"/>
      <c r="B188" s="102"/>
      <c r="C188" s="23"/>
      <c r="D188" s="269"/>
      <c r="E188" s="271"/>
      <c r="F188" s="250"/>
      <c r="G188" s="177"/>
      <c r="H188" s="272"/>
      <c r="I188" s="104"/>
      <c r="J188" s="105"/>
      <c r="K188" s="105"/>
      <c r="L188" s="106" t="str">
        <f>IF(I188&lt;&gt;0,((VLOOKUP(I188,'1. Standard_Cost'!$B$4:$D$11,2)+VLOOKUP(I188,'1. Standard_Cost'!$B$4:$D$11,3))*J188*K188),"0")</f>
        <v>0</v>
      </c>
      <c r="M188" s="106">
        <f>L188*'1. Standard_Cost'!$F$4</f>
        <v>0</v>
      </c>
      <c r="N188" s="107"/>
      <c r="O188" s="107"/>
      <c r="P188" s="107"/>
      <c r="Q188" s="107"/>
      <c r="R188" s="108">
        <f>'1. Standard_Cost'!$B$15*N188*P188</f>
        <v>0</v>
      </c>
      <c r="S188" s="108">
        <f>N188*O188*P188*'1. Standard_Cost'!$C$15</f>
        <v>0</v>
      </c>
      <c r="T188" s="108">
        <f>N188*P188*Q188*'1. Standard_Cost'!$D$15</f>
        <v>0</v>
      </c>
      <c r="U188" s="108">
        <f>N188*O188*'1. Standard_Cost'!$E$15</f>
        <v>0</v>
      </c>
      <c r="V188" s="107"/>
      <c r="W188" s="107"/>
      <c r="X188" s="107"/>
      <c r="Y188" s="108">
        <f>+V188*((X188*'1. Standard_Cost'!$B$19)+(W188*X188*'1. Standard_Cost'!$C$19))</f>
        <v>0</v>
      </c>
      <c r="Z188" s="107"/>
      <c r="AA188" s="107"/>
      <c r="AB188" s="108">
        <f>+Z188*'1. Standard_Cost'!$B$23+AA188*'1. Standard_Cost'!$C$23</f>
        <v>0</v>
      </c>
      <c r="AC188" s="109"/>
      <c r="AD188" s="110"/>
      <c r="AE188" s="108">
        <f>SUM(AD188,AC188,AB188,Y188,U188,T188,S188,R188)*'1. Standard_Cost'!$B$31</f>
        <v>0</v>
      </c>
      <c r="AF188" s="108">
        <f t="shared" si="165"/>
        <v>0</v>
      </c>
      <c r="AG188" s="107"/>
      <c r="AH188" s="107"/>
      <c r="AI188" s="107"/>
      <c r="AJ188" s="111"/>
      <c r="AK188" s="111"/>
      <c r="AL188" s="111"/>
      <c r="AM188" s="108">
        <f>AG188*'1. Standard_Cost'!$B$27+'Incremental_Cost Year 7'!AH188*'1. Standard_Cost'!$C$27+'Incremental_Cost Year 7'!AI188*'1. Standard_Cost'!$D$27+'Incremental_Cost Year 7'!AJ188+'Incremental_Cost Year 7'!AL188+AK188</f>
        <v>0</v>
      </c>
      <c r="AN188" s="108">
        <f>AM188*'1. Standard_Cost'!$C$31</f>
        <v>0</v>
      </c>
      <c r="AO188" s="125" t="s">
        <v>335</v>
      </c>
      <c r="AQ188" s="14">
        <f t="shared" si="166"/>
        <v>0</v>
      </c>
      <c r="AR188" s="14">
        <f t="shared" si="167"/>
        <v>0</v>
      </c>
      <c r="AS188" s="14">
        <f t="shared" si="168"/>
        <v>0</v>
      </c>
      <c r="AT188" s="14">
        <f t="shared" si="170"/>
        <v>0</v>
      </c>
      <c r="AU188" s="15"/>
      <c r="AV188" s="15"/>
      <c r="AW188" s="15"/>
      <c r="AX188" s="15"/>
      <c r="AY188" s="15"/>
      <c r="AZ188" s="15"/>
      <c r="BA188" s="15"/>
      <c r="BB188" s="16">
        <f t="shared" si="169"/>
        <v>0</v>
      </c>
    </row>
    <row r="189" spans="1:54" ht="15.6" outlineLevel="2">
      <c r="A189" s="98"/>
      <c r="B189" s="102"/>
      <c r="C189" s="23"/>
      <c r="D189" s="269"/>
      <c r="E189" s="271"/>
      <c r="F189" s="250"/>
      <c r="G189" s="177"/>
      <c r="H189" s="272"/>
      <c r="I189" s="104"/>
      <c r="J189" s="105"/>
      <c r="K189" s="105"/>
      <c r="L189" s="106" t="str">
        <f>IF(I189&lt;&gt;0,((VLOOKUP(I189,'1. Standard_Cost'!$B$4:$D$11,2)+VLOOKUP(I189,'1. Standard_Cost'!$B$4:$D$11,3))*J189*K189),"0")</f>
        <v>0</v>
      </c>
      <c r="M189" s="106">
        <f>L189*'1. Standard_Cost'!$F$4</f>
        <v>0</v>
      </c>
      <c r="N189" s="107"/>
      <c r="O189" s="107"/>
      <c r="P189" s="107"/>
      <c r="Q189" s="107"/>
      <c r="R189" s="108">
        <f>'1. Standard_Cost'!$B$15*N189*P189</f>
        <v>0</v>
      </c>
      <c r="S189" s="108">
        <f>N189*O189*P189*'1. Standard_Cost'!$C$15</f>
        <v>0</v>
      </c>
      <c r="T189" s="108">
        <f>N189*P189*Q189*'1. Standard_Cost'!$D$15</f>
        <v>0</v>
      </c>
      <c r="U189" s="108">
        <f>N189*O189*'1. Standard_Cost'!$E$15</f>
        <v>0</v>
      </c>
      <c r="V189" s="107"/>
      <c r="W189" s="107"/>
      <c r="X189" s="107"/>
      <c r="Y189" s="108">
        <f>+V189*((X189*'1. Standard_Cost'!$B$19)+(W189*X189*'1. Standard_Cost'!$C$19))</f>
        <v>0</v>
      </c>
      <c r="Z189" s="107"/>
      <c r="AA189" s="107"/>
      <c r="AB189" s="108">
        <f>+Z189*'1. Standard_Cost'!$B$23+AA189*'1. Standard_Cost'!$C$23</f>
        <v>0</v>
      </c>
      <c r="AC189" s="109"/>
      <c r="AD189" s="110"/>
      <c r="AE189" s="108">
        <f>SUM(AD189,AC189,AB189,Y189,U189,T189,S189,R189)*'1. Standard_Cost'!$B$31</f>
        <v>0</v>
      </c>
      <c r="AF189" s="108">
        <f t="shared" si="165"/>
        <v>0</v>
      </c>
      <c r="AG189" s="107"/>
      <c r="AH189" s="107"/>
      <c r="AI189" s="107"/>
      <c r="AJ189" s="111"/>
      <c r="AK189" s="111"/>
      <c r="AL189" s="111"/>
      <c r="AM189" s="108">
        <f>AG189*'1. Standard_Cost'!$B$27+'Incremental_Cost Year 7'!AH189*'1. Standard_Cost'!$C$27+'Incremental_Cost Year 7'!AI189*'1. Standard_Cost'!$D$27+'Incremental_Cost Year 7'!AJ189+'Incremental_Cost Year 7'!AL189+AK189</f>
        <v>0</v>
      </c>
      <c r="AN189" s="108">
        <f>AM189*'1. Standard_Cost'!$C$31</f>
        <v>0</v>
      </c>
      <c r="AO189" s="125" t="s">
        <v>403</v>
      </c>
      <c r="AQ189" s="14">
        <f t="shared" si="166"/>
        <v>0</v>
      </c>
      <c r="AR189" s="14">
        <f t="shared" si="167"/>
        <v>0</v>
      </c>
      <c r="AS189" s="14">
        <f t="shared" si="168"/>
        <v>0</v>
      </c>
      <c r="AT189" s="14">
        <f t="shared" si="170"/>
        <v>0</v>
      </c>
      <c r="AU189" s="15"/>
      <c r="AV189" s="15"/>
      <c r="AW189" s="15"/>
      <c r="AX189" s="15"/>
      <c r="AY189" s="15"/>
      <c r="AZ189" s="15"/>
      <c r="BA189" s="15"/>
      <c r="BB189" s="16">
        <f t="shared" si="169"/>
        <v>0</v>
      </c>
    </row>
    <row r="190" spans="1:54" ht="27.6" outlineLevel="2">
      <c r="A190" s="98"/>
      <c r="B190" s="102"/>
      <c r="C190" s="23"/>
      <c r="D190" s="269"/>
      <c r="E190" s="271"/>
      <c r="F190" s="250"/>
      <c r="G190" s="255"/>
      <c r="H190" s="272"/>
      <c r="I190" s="104"/>
      <c r="J190" s="105"/>
      <c r="K190" s="105"/>
      <c r="L190" s="106" t="str">
        <f>IF(I190&lt;&gt;0,((VLOOKUP(I190,'1. Standard_Cost'!$B$4:$D$11,2)+VLOOKUP(I190,'1. Standard_Cost'!$B$4:$D$11,3))*J190*K190),"0")</f>
        <v>0</v>
      </c>
      <c r="M190" s="106">
        <f>L190*'1. Standard_Cost'!$F$4</f>
        <v>0</v>
      </c>
      <c r="N190" s="107"/>
      <c r="O190" s="107"/>
      <c r="P190" s="107"/>
      <c r="Q190" s="107"/>
      <c r="R190" s="108">
        <f>'1. Standard_Cost'!$B$15*N190*P190</f>
        <v>0</v>
      </c>
      <c r="S190" s="108">
        <f>N190*O190*P190*'1. Standard_Cost'!$C$15</f>
        <v>0</v>
      </c>
      <c r="T190" s="108">
        <f>N190*P190*Q190*'1. Standard_Cost'!$D$15</f>
        <v>0</v>
      </c>
      <c r="U190" s="108">
        <f>N190*O190*'1. Standard_Cost'!$E$15</f>
        <v>0</v>
      </c>
      <c r="V190" s="107"/>
      <c r="W190" s="107"/>
      <c r="X190" s="107"/>
      <c r="Y190" s="108">
        <f>+V190*((X190*'1. Standard_Cost'!$B$19)+(W190*X190*'1. Standard_Cost'!$C$19))</f>
        <v>0</v>
      </c>
      <c r="Z190" s="107"/>
      <c r="AA190" s="107"/>
      <c r="AB190" s="108">
        <f>+Z190*'1. Standard_Cost'!$B$23+AA190*'1. Standard_Cost'!$C$23</f>
        <v>0</v>
      </c>
      <c r="AC190" s="109"/>
      <c r="AD190" s="110"/>
      <c r="AE190" s="108">
        <f>SUM(AD190,AC190,AB190,Y190,U190,T190,S190,R190)*'1. Standard_Cost'!$B$31</f>
        <v>0</v>
      </c>
      <c r="AF190" s="108">
        <f t="shared" si="165"/>
        <v>0</v>
      </c>
      <c r="AG190" s="107"/>
      <c r="AH190" s="107"/>
      <c r="AI190" s="107"/>
      <c r="AJ190" s="111"/>
      <c r="AK190" s="111"/>
      <c r="AL190" s="111"/>
      <c r="AM190" s="108">
        <f>AG190*'1. Standard_Cost'!$B$27+'Incremental_Cost Year 7'!AH190*'1. Standard_Cost'!$C$27+'Incremental_Cost Year 7'!AI190*'1. Standard_Cost'!$D$27+'Incremental_Cost Year 7'!AJ190+'Incremental_Cost Year 7'!AL190+AK190</f>
        <v>0</v>
      </c>
      <c r="AN190" s="108">
        <f>AM190*'1. Standard_Cost'!$C$31</f>
        <v>0</v>
      </c>
      <c r="AO190" s="125" t="s">
        <v>404</v>
      </c>
      <c r="AQ190" s="14">
        <f t="shared" si="166"/>
        <v>0</v>
      </c>
      <c r="AR190" s="14">
        <f t="shared" si="167"/>
        <v>0</v>
      </c>
      <c r="AS190" s="14">
        <f t="shared" si="168"/>
        <v>0</v>
      </c>
      <c r="AT190" s="14">
        <f t="shared" si="170"/>
        <v>0</v>
      </c>
      <c r="AU190" s="15"/>
      <c r="AV190" s="15"/>
      <c r="AW190" s="15"/>
      <c r="AX190" s="15"/>
      <c r="AY190" s="15"/>
      <c r="AZ190" s="15"/>
      <c r="BA190" s="15"/>
      <c r="BB190" s="16">
        <f t="shared" si="169"/>
        <v>0</v>
      </c>
    </row>
    <row r="191" spans="1:54" ht="27.6" outlineLevel="2">
      <c r="A191" s="98"/>
      <c r="B191" s="102"/>
      <c r="C191" s="23"/>
      <c r="D191" s="269"/>
      <c r="E191" s="271"/>
      <c r="F191" s="250"/>
      <c r="G191" s="255"/>
      <c r="H191" s="272"/>
      <c r="I191" s="104"/>
      <c r="J191" s="105"/>
      <c r="K191" s="105"/>
      <c r="L191" s="106" t="str">
        <f>IF(I191&lt;&gt;0,((VLOOKUP(I191,'1. Standard_Cost'!$B$4:$D$11,2)+VLOOKUP(I191,'1. Standard_Cost'!$B$4:$D$11,3))*J191*K191),"0")</f>
        <v>0</v>
      </c>
      <c r="M191" s="106">
        <f>L191*'1. Standard_Cost'!$F$4</f>
        <v>0</v>
      </c>
      <c r="N191" s="107"/>
      <c r="O191" s="107"/>
      <c r="P191" s="107"/>
      <c r="Q191" s="107"/>
      <c r="R191" s="108">
        <f>'1. Standard_Cost'!$B$15*N191*P191</f>
        <v>0</v>
      </c>
      <c r="S191" s="108">
        <f>N191*O191*P191*'1. Standard_Cost'!$C$15</f>
        <v>0</v>
      </c>
      <c r="T191" s="108">
        <f>N191*P191*Q191*'1. Standard_Cost'!$D$15</f>
        <v>0</v>
      </c>
      <c r="U191" s="108">
        <f>N191*O191*'1. Standard_Cost'!$E$15</f>
        <v>0</v>
      </c>
      <c r="V191" s="107"/>
      <c r="W191" s="107"/>
      <c r="X191" s="107"/>
      <c r="Y191" s="108">
        <f>+V191*((X191*'1. Standard_Cost'!$B$19)+(W191*X191*'1. Standard_Cost'!$C$19))</f>
        <v>0</v>
      </c>
      <c r="Z191" s="107"/>
      <c r="AA191" s="107"/>
      <c r="AB191" s="108">
        <f>+Z191*'1. Standard_Cost'!$B$23+AA191*'1. Standard_Cost'!$C$23</f>
        <v>0</v>
      </c>
      <c r="AC191" s="109"/>
      <c r="AD191" s="110"/>
      <c r="AE191" s="108">
        <f>SUM(AD191,AC191,AB191,Y191,U191,T191,S191,R191)*'1. Standard_Cost'!$B$31</f>
        <v>0</v>
      </c>
      <c r="AF191" s="108">
        <f t="shared" si="165"/>
        <v>0</v>
      </c>
      <c r="AG191" s="107"/>
      <c r="AH191" s="107"/>
      <c r="AI191" s="107"/>
      <c r="AJ191" s="111"/>
      <c r="AK191" s="111"/>
      <c r="AL191" s="111"/>
      <c r="AM191" s="108">
        <f>AG191*'1. Standard_Cost'!$B$27+'Incremental_Cost Year 7'!AH191*'1. Standard_Cost'!$C$27+'Incremental_Cost Year 7'!AI191*'1. Standard_Cost'!$D$27+'Incremental_Cost Year 7'!AJ191+'Incremental_Cost Year 7'!AL191+AK191</f>
        <v>0</v>
      </c>
      <c r="AN191" s="108">
        <f>AM191*'1. Standard_Cost'!$C$31</f>
        <v>0</v>
      </c>
      <c r="AO191" s="125" t="s">
        <v>405</v>
      </c>
      <c r="AQ191" s="14">
        <f t="shared" si="166"/>
        <v>0</v>
      </c>
      <c r="AR191" s="14">
        <f t="shared" si="167"/>
        <v>0</v>
      </c>
      <c r="AS191" s="14">
        <f t="shared" si="168"/>
        <v>0</v>
      </c>
      <c r="AT191" s="14">
        <f t="shared" si="170"/>
        <v>0</v>
      </c>
      <c r="AU191" s="15"/>
      <c r="AV191" s="15"/>
      <c r="AW191" s="15"/>
      <c r="AX191" s="15"/>
      <c r="AY191" s="15"/>
      <c r="AZ191" s="15"/>
      <c r="BA191" s="15"/>
      <c r="BB191" s="16">
        <f t="shared" si="169"/>
        <v>0</v>
      </c>
    </row>
    <row r="192" spans="1:54" ht="15.6" outlineLevel="2">
      <c r="A192" s="98"/>
      <c r="B192" s="102"/>
      <c r="C192" s="23"/>
      <c r="D192" s="269"/>
      <c r="E192" s="271"/>
      <c r="F192" s="250"/>
      <c r="G192" s="255"/>
      <c r="H192" s="272"/>
      <c r="I192" s="104"/>
      <c r="J192" s="105"/>
      <c r="K192" s="105"/>
      <c r="L192" s="106" t="str">
        <f>IF(I192&lt;&gt;0,((VLOOKUP(I192,'1. Standard_Cost'!$B$4:$D$11,2)+VLOOKUP(I192,'1. Standard_Cost'!$B$4:$D$11,3))*J192*K192),"0")</f>
        <v>0</v>
      </c>
      <c r="M192" s="106">
        <f>L192*'1. Standard_Cost'!$F$4</f>
        <v>0</v>
      </c>
      <c r="N192" s="107"/>
      <c r="O192" s="107"/>
      <c r="P192" s="107"/>
      <c r="Q192" s="107"/>
      <c r="R192" s="108">
        <f>'1. Standard_Cost'!$B$15*N192*P192</f>
        <v>0</v>
      </c>
      <c r="S192" s="108">
        <f>N192*O192*P192*'1. Standard_Cost'!$C$15</f>
        <v>0</v>
      </c>
      <c r="T192" s="108">
        <f>N192*P192*Q192*'1. Standard_Cost'!$D$15</f>
        <v>0</v>
      </c>
      <c r="U192" s="108">
        <f>N192*O192*'1. Standard_Cost'!$E$15</f>
        <v>0</v>
      </c>
      <c r="V192" s="107"/>
      <c r="W192" s="107"/>
      <c r="X192" s="107"/>
      <c r="Y192" s="108">
        <f>+V192*((X192*'1. Standard_Cost'!$B$19)+(W192*X192*'1. Standard_Cost'!$C$19))</f>
        <v>0</v>
      </c>
      <c r="Z192" s="107"/>
      <c r="AA192" s="107"/>
      <c r="AB192" s="108">
        <f>+Z192*'1. Standard_Cost'!$B$23+AA192*'1. Standard_Cost'!$C$23</f>
        <v>0</v>
      </c>
      <c r="AC192" s="109"/>
      <c r="AD192" s="110"/>
      <c r="AE192" s="108">
        <f>SUM(AD192,AC192,AB192,Y192,U192,T192,S192,R192)*'1. Standard_Cost'!$B$31</f>
        <v>0</v>
      </c>
      <c r="AF192" s="108">
        <f t="shared" si="165"/>
        <v>0</v>
      </c>
      <c r="AG192" s="107"/>
      <c r="AH192" s="107"/>
      <c r="AI192" s="107"/>
      <c r="AJ192" s="111"/>
      <c r="AK192" s="111"/>
      <c r="AL192" s="111"/>
      <c r="AM192" s="108">
        <f>AG192*'1. Standard_Cost'!$B$27+'Incremental_Cost Year 7'!AH192*'1. Standard_Cost'!$C$27+'Incremental_Cost Year 7'!AI192*'1. Standard_Cost'!$D$27+'Incremental_Cost Year 7'!AJ192+'Incremental_Cost Year 7'!AL192+AK192</f>
        <v>0</v>
      </c>
      <c r="AN192" s="108">
        <f>AM192*'1. Standard_Cost'!$C$31</f>
        <v>0</v>
      </c>
      <c r="AO192" s="125" t="s">
        <v>406</v>
      </c>
      <c r="AQ192" s="14">
        <f t="shared" si="166"/>
        <v>0</v>
      </c>
      <c r="AR192" s="14">
        <f t="shared" si="167"/>
        <v>0</v>
      </c>
      <c r="AS192" s="14">
        <f t="shared" si="168"/>
        <v>0</v>
      </c>
      <c r="AT192" s="14">
        <f t="shared" si="170"/>
        <v>0</v>
      </c>
      <c r="AU192" s="15"/>
      <c r="AV192" s="15"/>
      <c r="AW192" s="15"/>
      <c r="AX192" s="15"/>
      <c r="AY192" s="15"/>
      <c r="AZ192" s="15"/>
      <c r="BA192" s="15"/>
      <c r="BB192" s="16">
        <f t="shared" si="169"/>
        <v>0</v>
      </c>
    </row>
    <row r="193" spans="1:54" ht="15.6" outlineLevel="2">
      <c r="A193" s="98"/>
      <c r="B193" s="102"/>
      <c r="C193" s="23"/>
      <c r="D193" s="269"/>
      <c r="E193" s="271"/>
      <c r="F193" s="250"/>
      <c r="G193" s="255"/>
      <c r="H193" s="272"/>
      <c r="I193" s="104"/>
      <c r="J193" s="105"/>
      <c r="K193" s="105"/>
      <c r="L193" s="106" t="str">
        <f>IF(I193&lt;&gt;0,((VLOOKUP(I193,'1. Standard_Cost'!$B$4:$D$11,2)+VLOOKUP(I193,'1. Standard_Cost'!$B$4:$D$11,3))*J193*K193),"0")</f>
        <v>0</v>
      </c>
      <c r="M193" s="106">
        <f>L193*'1. Standard_Cost'!$F$4</f>
        <v>0</v>
      </c>
      <c r="N193" s="107"/>
      <c r="O193" s="107"/>
      <c r="P193" s="107"/>
      <c r="Q193" s="107"/>
      <c r="R193" s="108">
        <f>'1. Standard_Cost'!$B$15*N193*P193</f>
        <v>0</v>
      </c>
      <c r="S193" s="108">
        <f>N193*O193*P193*'1. Standard_Cost'!$C$15</f>
        <v>0</v>
      </c>
      <c r="T193" s="108">
        <f>N193*P193*Q193*'1. Standard_Cost'!$D$15</f>
        <v>0</v>
      </c>
      <c r="U193" s="108">
        <f>N193*O193*'1. Standard_Cost'!$E$15</f>
        <v>0</v>
      </c>
      <c r="V193" s="107"/>
      <c r="W193" s="107"/>
      <c r="X193" s="107"/>
      <c r="Y193" s="108">
        <f>+V193*((X193*'1. Standard_Cost'!$B$19)+(W193*X193*'1. Standard_Cost'!$C$19))</f>
        <v>0</v>
      </c>
      <c r="Z193" s="107"/>
      <c r="AA193" s="107"/>
      <c r="AB193" s="108">
        <f>+Z193*'1. Standard_Cost'!$B$23+AA193*'1. Standard_Cost'!$C$23</f>
        <v>0</v>
      </c>
      <c r="AC193" s="109"/>
      <c r="AD193" s="110"/>
      <c r="AE193" s="108">
        <f>SUM(AD193,AC193,AB193,Y193,U193,T193,S193,R193)*'1. Standard_Cost'!$B$31</f>
        <v>0</v>
      </c>
      <c r="AF193" s="108">
        <f t="shared" si="165"/>
        <v>0</v>
      </c>
      <c r="AG193" s="107"/>
      <c r="AH193" s="107"/>
      <c r="AI193" s="107"/>
      <c r="AJ193" s="111"/>
      <c r="AK193" s="111"/>
      <c r="AL193" s="111"/>
      <c r="AM193" s="108">
        <f>AG193*'1. Standard_Cost'!$B$27+'Incremental_Cost Year 7'!AH193*'1. Standard_Cost'!$C$27+'Incremental_Cost Year 7'!AI193*'1. Standard_Cost'!$D$27+'Incremental_Cost Year 7'!AJ193+'Incremental_Cost Year 7'!AL193+AK193</f>
        <v>0</v>
      </c>
      <c r="AN193" s="108">
        <f>AM193*'1. Standard_Cost'!$C$31</f>
        <v>0</v>
      </c>
      <c r="AO193" s="125" t="s">
        <v>407</v>
      </c>
      <c r="AQ193" s="14">
        <f t="shared" si="166"/>
        <v>0</v>
      </c>
      <c r="AR193" s="14">
        <f t="shared" si="167"/>
        <v>0</v>
      </c>
      <c r="AS193" s="14">
        <f t="shared" si="168"/>
        <v>0</v>
      </c>
      <c r="AT193" s="14">
        <f t="shared" si="170"/>
        <v>0</v>
      </c>
      <c r="AU193" s="15"/>
      <c r="AV193" s="15"/>
      <c r="AW193" s="15"/>
      <c r="AX193" s="15"/>
      <c r="AY193" s="15"/>
      <c r="AZ193" s="15"/>
      <c r="BA193" s="15"/>
      <c r="BB193" s="16">
        <f t="shared" si="169"/>
        <v>0</v>
      </c>
    </row>
    <row r="194" spans="1:54" ht="36" customHeight="1" outlineLevel="2">
      <c r="A194" s="98"/>
      <c r="B194" s="102"/>
      <c r="C194" s="23"/>
      <c r="D194" s="251"/>
      <c r="E194" s="251"/>
      <c r="F194" s="251"/>
      <c r="G194" s="250"/>
      <c r="H194" s="272"/>
      <c r="I194" s="104"/>
      <c r="J194" s="105"/>
      <c r="K194" s="105"/>
      <c r="L194" s="106" t="str">
        <f>IF(I194&lt;&gt;0,((VLOOKUP(I194,'1. Standard_Cost'!$B$4:$D$11,2)+VLOOKUP(I194,'1. Standard_Cost'!$B$4:$D$11,3))*J194*K194),"0")</f>
        <v>0</v>
      </c>
      <c r="M194" s="106">
        <f>L194*'1. Standard_Cost'!$F$4</f>
        <v>0</v>
      </c>
      <c r="N194" s="107"/>
      <c r="O194" s="107"/>
      <c r="P194" s="107"/>
      <c r="Q194" s="107"/>
      <c r="R194" s="108">
        <f>'1. Standard_Cost'!$B$15*N194*P194</f>
        <v>0</v>
      </c>
      <c r="S194" s="108">
        <f>N194*O194*P194*'1. Standard_Cost'!$C$15</f>
        <v>0</v>
      </c>
      <c r="T194" s="108">
        <f>N194*P194*Q194*'1. Standard_Cost'!$D$15</f>
        <v>0</v>
      </c>
      <c r="U194" s="108">
        <f>N194*O194*'1. Standard_Cost'!$E$15</f>
        <v>0</v>
      </c>
      <c r="V194" s="107"/>
      <c r="W194" s="107"/>
      <c r="X194" s="107"/>
      <c r="Y194" s="108">
        <f>+V194*((X194*'1. Standard_Cost'!$B$19)+(W194*X194*'1. Standard_Cost'!$C$19))</f>
        <v>0</v>
      </c>
      <c r="Z194" s="107"/>
      <c r="AA194" s="107"/>
      <c r="AB194" s="108">
        <f>+Z194*'1. Standard_Cost'!$B$23+AA194*'1. Standard_Cost'!$C$23</f>
        <v>0</v>
      </c>
      <c r="AC194" s="109"/>
      <c r="AD194" s="110"/>
      <c r="AE194" s="108">
        <f>SUM(AD194,AC194,AB194,Y194,U194,T194,S194,R194)*'1. Standard_Cost'!$B$31</f>
        <v>0</v>
      </c>
      <c r="AF194" s="108">
        <f t="shared" si="165"/>
        <v>0</v>
      </c>
      <c r="AG194" s="107"/>
      <c r="AH194" s="107"/>
      <c r="AI194" s="107"/>
      <c r="AJ194" s="111"/>
      <c r="AK194" s="111"/>
      <c r="AL194" s="111"/>
      <c r="AM194" s="108">
        <f>AG194*'1. Standard_Cost'!$B$27+'Incremental_Cost Year 7'!AH194*'1. Standard_Cost'!$C$27+'Incremental_Cost Year 7'!AI194*'1. Standard_Cost'!$D$27+'Incremental_Cost Year 7'!AJ194+'Incremental_Cost Year 7'!AL194+AK194</f>
        <v>0</v>
      </c>
      <c r="AN194" s="108">
        <f>AM194*'1. Standard_Cost'!$C$31</f>
        <v>0</v>
      </c>
      <c r="AO194" s="125" t="s">
        <v>408</v>
      </c>
      <c r="AQ194" s="14">
        <f t="shared" si="166"/>
        <v>0</v>
      </c>
      <c r="AR194" s="14">
        <f t="shared" si="167"/>
        <v>0</v>
      </c>
      <c r="AS194" s="14">
        <f t="shared" si="168"/>
        <v>0</v>
      </c>
      <c r="AT194" s="14">
        <f t="shared" si="170"/>
        <v>0</v>
      </c>
      <c r="AU194" s="15"/>
      <c r="AV194" s="15"/>
      <c r="AW194" s="15"/>
      <c r="AX194" s="15"/>
      <c r="AY194" s="15"/>
      <c r="AZ194" s="15"/>
      <c r="BA194" s="15"/>
      <c r="BB194" s="16">
        <f t="shared" si="169"/>
        <v>0</v>
      </c>
    </row>
    <row r="195" spans="1:54" ht="28.95" customHeight="1" outlineLevel="2">
      <c r="A195" s="98"/>
      <c r="B195" s="102"/>
      <c r="C195" s="23"/>
      <c r="D195" s="251"/>
      <c r="E195" s="251"/>
      <c r="F195" s="269"/>
      <c r="G195" s="271"/>
      <c r="H195" s="272"/>
      <c r="I195" s="104"/>
      <c r="J195" s="105"/>
      <c r="K195" s="105"/>
      <c r="L195" s="106" t="str">
        <f>IF(I195&lt;&gt;0,((VLOOKUP(I195,'[1]1. Standard_Cost'!$B$4:$D$11,2)+VLOOKUP(I195,'[1]1. Standard_Cost'!$B$4:$D$11,3))*J195*K195),"0")</f>
        <v>0</v>
      </c>
      <c r="M195" s="106">
        <f>L195*'[1]1. Standard_Cost'!$F$4</f>
        <v>0</v>
      </c>
      <c r="N195" s="107"/>
      <c r="O195" s="107"/>
      <c r="P195" s="107"/>
      <c r="Q195" s="107"/>
      <c r="R195" s="108">
        <f>'[1]1. Standard_Cost'!$B$15*N195*P195</f>
        <v>0</v>
      </c>
      <c r="S195" s="108">
        <f>N195*O195*P195*'[1]1. Standard_Cost'!$C$15</f>
        <v>0</v>
      </c>
      <c r="T195" s="108">
        <f>N195*P195*Q195*'[1]1. Standard_Cost'!$D$15</f>
        <v>0</v>
      </c>
      <c r="U195" s="108">
        <f>N195*O195*'[1]1. Standard_Cost'!$E$15</f>
        <v>0</v>
      </c>
      <c r="V195" s="107"/>
      <c r="W195" s="107"/>
      <c r="X195" s="107"/>
      <c r="Y195" s="108">
        <f>+V195*((X195*'[1]1. Standard_Cost'!$B$19)+(W195*X195*'[1]1. Standard_Cost'!$C$19))</f>
        <v>0</v>
      </c>
      <c r="Z195" s="107"/>
      <c r="AA195" s="107"/>
      <c r="AB195" s="108">
        <f>+Z195*'[1]1. Standard_Cost'!$B$23+AA195*'[1]1. Standard_Cost'!$C$23</f>
        <v>0</v>
      </c>
      <c r="AC195" s="109"/>
      <c r="AD195" s="110"/>
      <c r="AE195" s="108">
        <f>SUM(AD195,AC195,AB195,Y195,U195,T195,S195,R195)*'[1]1. Standard_Cost'!$B$31</f>
        <v>0</v>
      </c>
      <c r="AF195" s="108">
        <f t="shared" si="165"/>
        <v>0</v>
      </c>
      <c r="AG195" s="107"/>
      <c r="AH195" s="107"/>
      <c r="AI195" s="107"/>
      <c r="AJ195" s="111"/>
      <c r="AK195" s="111"/>
      <c r="AL195" s="111"/>
      <c r="AM195" s="108">
        <f>AG195*'[1]1. Standard_Cost'!$B$27+'[1]Incremental_Cost Year 7'!AH195*'[1]1. Standard_Cost'!$C$27+'[1]Incremental_Cost Year 7'!AI195*'[1]1. Standard_Cost'!$D$27+'[1]Incremental_Cost Year 7'!AJ195+'[1]Incremental_Cost Year 7'!AL195+AK195</f>
        <v>0</v>
      </c>
      <c r="AN195" s="108">
        <f>AM195*'[1]1. Standard_Cost'!$C$31</f>
        <v>0</v>
      </c>
      <c r="AO195" s="125" t="s">
        <v>408</v>
      </c>
      <c r="AQ195" s="14">
        <f t="shared" si="166"/>
        <v>0</v>
      </c>
      <c r="AR195" s="14">
        <f t="shared" si="167"/>
        <v>0</v>
      </c>
      <c r="AS195" s="14">
        <f t="shared" si="168"/>
        <v>0</v>
      </c>
      <c r="AT195" s="14">
        <f t="shared" si="170"/>
        <v>0</v>
      </c>
      <c r="AU195" s="15"/>
      <c r="AV195" s="15"/>
      <c r="AW195" s="15"/>
      <c r="AX195" s="15"/>
      <c r="AY195" s="15"/>
      <c r="AZ195" s="15"/>
      <c r="BA195" s="15"/>
      <c r="BB195" s="16">
        <f t="shared" si="169"/>
        <v>0</v>
      </c>
    </row>
    <row r="196" spans="1:54" ht="32.25" customHeight="1" outlineLevel="2">
      <c r="A196" s="98"/>
      <c r="B196" s="102"/>
      <c r="C196" s="23"/>
      <c r="D196" s="251"/>
      <c r="E196" s="251"/>
      <c r="F196" s="251"/>
      <c r="G196" s="250"/>
      <c r="H196" s="272"/>
      <c r="I196" s="104"/>
      <c r="J196" s="105"/>
      <c r="K196" s="105"/>
      <c r="L196" s="106" t="str">
        <f>IF(I196&lt;&gt;0,((VLOOKUP(I196,'1. Standard_Cost'!$B$4:$D$11,2)+VLOOKUP(I196,'1. Standard_Cost'!$B$4:$D$11,3))*J196*K196),"0")</f>
        <v>0</v>
      </c>
      <c r="M196" s="106">
        <f>L196*'1. Standard_Cost'!$F$4</f>
        <v>0</v>
      </c>
      <c r="N196" s="107"/>
      <c r="O196" s="107"/>
      <c r="P196" s="107"/>
      <c r="Q196" s="107"/>
      <c r="R196" s="108">
        <f>'1. Standard_Cost'!$B$15*N196*P196</f>
        <v>0</v>
      </c>
      <c r="S196" s="108">
        <f>N196*O196*P196*'1. Standard_Cost'!$C$15</f>
        <v>0</v>
      </c>
      <c r="T196" s="108">
        <f>N196*P196*Q196*'1. Standard_Cost'!$D$15</f>
        <v>0</v>
      </c>
      <c r="U196" s="108">
        <f>N196*O196*'1. Standard_Cost'!$E$15</f>
        <v>0</v>
      </c>
      <c r="V196" s="107"/>
      <c r="W196" s="107"/>
      <c r="X196" s="107"/>
      <c r="Y196" s="108">
        <f>+V196*((X196*'1. Standard_Cost'!$B$19)+(W196*X196*'1. Standard_Cost'!$C$19))</f>
        <v>0</v>
      </c>
      <c r="Z196" s="107"/>
      <c r="AA196" s="107"/>
      <c r="AB196" s="108">
        <f>+Z196*'1. Standard_Cost'!$B$23+AA196*'1. Standard_Cost'!$C$23</f>
        <v>0</v>
      </c>
      <c r="AC196" s="109"/>
      <c r="AD196" s="110"/>
      <c r="AE196" s="108">
        <f>SUM(AD196,AC196,AB196,Y196,U196,T196,S196,R196)*'1. Standard_Cost'!$B$31</f>
        <v>0</v>
      </c>
      <c r="AF196" s="108">
        <f t="shared" si="165"/>
        <v>0</v>
      </c>
      <c r="AG196" s="107"/>
      <c r="AH196" s="107"/>
      <c r="AI196" s="107"/>
      <c r="AJ196" s="111"/>
      <c r="AK196" s="111"/>
      <c r="AL196" s="111"/>
      <c r="AM196" s="108">
        <f>AG196*'1. Standard_Cost'!$B$27+'Incremental_Cost Year 7'!AH196*'1. Standard_Cost'!$C$27+'Incremental_Cost Year 7'!AI196*'1. Standard_Cost'!$D$27+'Incremental_Cost Year 7'!AJ196+'Incremental_Cost Year 7'!AL196+AK196</f>
        <v>0</v>
      </c>
      <c r="AN196" s="108">
        <f>AM196*'1. Standard_Cost'!$C$31</f>
        <v>0</v>
      </c>
      <c r="AO196" s="125" t="s">
        <v>409</v>
      </c>
      <c r="AQ196" s="14">
        <f t="shared" si="166"/>
        <v>0</v>
      </c>
      <c r="AR196" s="14">
        <f t="shared" si="167"/>
        <v>0</v>
      </c>
      <c r="AS196" s="14">
        <f t="shared" si="168"/>
        <v>0</v>
      </c>
      <c r="AT196" s="14">
        <f t="shared" si="170"/>
        <v>0</v>
      </c>
      <c r="AU196" s="15"/>
      <c r="AV196" s="15"/>
      <c r="AW196" s="15"/>
      <c r="AX196" s="15"/>
      <c r="AY196" s="15"/>
      <c r="AZ196" s="15"/>
      <c r="BA196" s="15"/>
      <c r="BB196" s="16">
        <f t="shared" si="169"/>
        <v>0</v>
      </c>
    </row>
    <row r="197" spans="1:54" ht="45" customHeight="1" outlineLevel="2">
      <c r="A197" s="98"/>
      <c r="B197" s="102"/>
      <c r="C197" s="23"/>
      <c r="D197" s="251"/>
      <c r="E197" s="251"/>
      <c r="F197" s="251"/>
      <c r="G197" s="250"/>
      <c r="H197" s="272"/>
      <c r="I197" s="104"/>
      <c r="J197" s="105"/>
      <c r="K197" s="105"/>
      <c r="L197" s="106" t="str">
        <f>IF(I197&lt;&gt;0,((VLOOKUP(I197,'1. Standard_Cost'!$B$4:$D$11,2)+VLOOKUP(I197,'1. Standard_Cost'!$B$4:$D$11,3))*J197*K197),"0")</f>
        <v>0</v>
      </c>
      <c r="M197" s="106">
        <f>L197*'1. Standard_Cost'!$F$4</f>
        <v>0</v>
      </c>
      <c r="N197" s="107"/>
      <c r="O197" s="107"/>
      <c r="P197" s="107"/>
      <c r="Q197" s="107"/>
      <c r="R197" s="108">
        <f>'1. Standard_Cost'!$B$15*N197*P197</f>
        <v>0</v>
      </c>
      <c r="S197" s="108">
        <f>N197*O197*P197*'1. Standard_Cost'!$C$15</f>
        <v>0</v>
      </c>
      <c r="T197" s="108">
        <f>N197*P197*Q197*'1. Standard_Cost'!$D$15</f>
        <v>0</v>
      </c>
      <c r="U197" s="108">
        <f>N197*O197*'1. Standard_Cost'!$E$15</f>
        <v>0</v>
      </c>
      <c r="V197" s="107"/>
      <c r="W197" s="107"/>
      <c r="X197" s="107"/>
      <c r="Y197" s="108">
        <f>+V197*((X197*'1. Standard_Cost'!$B$19)+(W197*X197*'1. Standard_Cost'!$C$19))</f>
        <v>0</v>
      </c>
      <c r="Z197" s="107"/>
      <c r="AA197" s="107"/>
      <c r="AB197" s="108">
        <f>+Z197*'1. Standard_Cost'!$B$23+AA197*'1. Standard_Cost'!$C$23</f>
        <v>0</v>
      </c>
      <c r="AC197" s="109"/>
      <c r="AD197" s="110"/>
      <c r="AE197" s="108">
        <f>SUM(AD197,AC197,AB197,Y197,U197,T197,S197,R197)*'1. Standard_Cost'!$B$31</f>
        <v>0</v>
      </c>
      <c r="AF197" s="108">
        <f t="shared" si="165"/>
        <v>0</v>
      </c>
      <c r="AG197" s="107"/>
      <c r="AH197" s="107"/>
      <c r="AI197" s="107"/>
      <c r="AJ197" s="111"/>
      <c r="AK197" s="111"/>
      <c r="AL197" s="111"/>
      <c r="AM197" s="108">
        <f>AG197*'1. Standard_Cost'!$B$27+'Incremental_Cost Year 7'!AH197*'1. Standard_Cost'!$C$27+'Incremental_Cost Year 7'!AI197*'1. Standard_Cost'!$D$27+'Incremental_Cost Year 7'!AJ197+'Incremental_Cost Year 7'!AL197+AK197</f>
        <v>0</v>
      </c>
      <c r="AN197" s="108">
        <f>AM197*'1. Standard_Cost'!$C$31</f>
        <v>0</v>
      </c>
      <c r="AO197" s="125" t="s">
        <v>410</v>
      </c>
      <c r="AQ197" s="14">
        <f t="shared" si="166"/>
        <v>0</v>
      </c>
      <c r="AR197" s="14">
        <f t="shared" si="167"/>
        <v>0</v>
      </c>
      <c r="AS197" s="14">
        <f t="shared" si="168"/>
        <v>0</v>
      </c>
      <c r="AT197" s="14">
        <f t="shared" si="170"/>
        <v>0</v>
      </c>
      <c r="AU197" s="15"/>
      <c r="AV197" s="15"/>
      <c r="AW197" s="15"/>
      <c r="AX197" s="15"/>
      <c r="AY197" s="15"/>
      <c r="AZ197" s="15"/>
      <c r="BA197" s="15"/>
      <c r="BB197" s="16">
        <f t="shared" si="169"/>
        <v>0</v>
      </c>
    </row>
    <row r="198" spans="1:54" ht="34.950000000000003" customHeight="1" outlineLevel="2">
      <c r="A198" s="98"/>
      <c r="B198" s="102"/>
      <c r="C198" s="23"/>
      <c r="D198" s="251"/>
      <c r="E198" s="251"/>
      <c r="F198" s="269"/>
      <c r="G198" s="271"/>
      <c r="H198" s="272"/>
      <c r="I198" s="104"/>
      <c r="J198" s="105"/>
      <c r="K198" s="105"/>
      <c r="L198" s="106" t="str">
        <f>IF(I198&lt;&gt;0,((VLOOKUP(I198,'[1]1. Standard_Cost'!$B$4:$D$11,2)+VLOOKUP(I198,'[1]1. Standard_Cost'!$B$4:$D$11,3))*J198*K198),"0")</f>
        <v>0</v>
      </c>
      <c r="M198" s="106">
        <f>L198*'[1]1. Standard_Cost'!$F$4</f>
        <v>0</v>
      </c>
      <c r="N198" s="107"/>
      <c r="O198" s="107"/>
      <c r="P198" s="107"/>
      <c r="Q198" s="107"/>
      <c r="R198" s="108">
        <f>'[1]1. Standard_Cost'!$B$15*N198*P198</f>
        <v>0</v>
      </c>
      <c r="S198" s="108">
        <f>N198*O198*P198*'[1]1. Standard_Cost'!$C$15</f>
        <v>0</v>
      </c>
      <c r="T198" s="108">
        <f>N198*P198*Q198*'[1]1. Standard_Cost'!$D$15</f>
        <v>0</v>
      </c>
      <c r="U198" s="108">
        <f>N198*O198*'[1]1. Standard_Cost'!$E$15</f>
        <v>0</v>
      </c>
      <c r="V198" s="107"/>
      <c r="W198" s="107"/>
      <c r="X198" s="107"/>
      <c r="Y198" s="108">
        <f>+V198*((X198*'[1]1. Standard_Cost'!$B$19)+(W198*X198*'[1]1. Standard_Cost'!$C$19))</f>
        <v>0</v>
      </c>
      <c r="Z198" s="107"/>
      <c r="AA198" s="107"/>
      <c r="AB198" s="108">
        <f>+Z198*'[1]1. Standard_Cost'!$B$23+AA198*'[1]1. Standard_Cost'!$C$23</f>
        <v>0</v>
      </c>
      <c r="AC198" s="109"/>
      <c r="AD198" s="110"/>
      <c r="AE198" s="108">
        <f>SUM(AD198,AC198,AB198,Y198,U198,T198,S198,R198)*'[1]1. Standard_Cost'!$B$31</f>
        <v>0</v>
      </c>
      <c r="AF198" s="108">
        <f t="shared" si="165"/>
        <v>0</v>
      </c>
      <c r="AG198" s="107"/>
      <c r="AH198" s="107"/>
      <c r="AI198" s="107"/>
      <c r="AJ198" s="111"/>
      <c r="AK198" s="111"/>
      <c r="AL198" s="111"/>
      <c r="AM198" s="108">
        <f>AG198*'[1]1. Standard_Cost'!$B$27+'[1]Incremental_Cost Year 7'!AH197*'[1]1. Standard_Cost'!$C$27+'[1]Incremental_Cost Year 7'!AI197*'[1]1. Standard_Cost'!$D$27+'[1]Incremental_Cost Year 7'!AJ197+'[1]Incremental_Cost Year 7'!AL197+AK198</f>
        <v>0</v>
      </c>
      <c r="AN198" s="108">
        <f>AM198*'[1]1. Standard_Cost'!$C$31</f>
        <v>0</v>
      </c>
      <c r="AO198" s="125" t="s">
        <v>410</v>
      </c>
      <c r="AQ198" s="14">
        <f t="shared" si="166"/>
        <v>0</v>
      </c>
      <c r="AR198" s="14">
        <f t="shared" si="167"/>
        <v>0</v>
      </c>
      <c r="AS198" s="14">
        <f t="shared" si="168"/>
        <v>0</v>
      </c>
      <c r="AT198" s="14">
        <f t="shared" si="170"/>
        <v>0</v>
      </c>
      <c r="AU198" s="15"/>
      <c r="AV198" s="15"/>
      <c r="AW198" s="15"/>
      <c r="AX198" s="15"/>
      <c r="AY198" s="15"/>
      <c r="AZ198" s="15"/>
      <c r="BA198" s="15"/>
      <c r="BB198" s="16">
        <f t="shared" si="169"/>
        <v>0</v>
      </c>
    </row>
    <row r="199" spans="1:54" ht="15.6" outlineLevel="2">
      <c r="A199" s="98"/>
      <c r="B199" s="102"/>
      <c r="C199" s="23"/>
      <c r="D199" s="251"/>
      <c r="E199" s="251"/>
      <c r="F199" s="251"/>
      <c r="G199" s="250"/>
      <c r="H199" s="272"/>
      <c r="I199" s="104"/>
      <c r="J199" s="105"/>
      <c r="K199" s="105"/>
      <c r="L199" s="106" t="str">
        <f>IF(I199&lt;&gt;0,((VLOOKUP(I199,'1. Standard_Cost'!$B$4:$D$11,2)+VLOOKUP(I199,'1. Standard_Cost'!$B$4:$D$11,3))*J199*K199),"0")</f>
        <v>0</v>
      </c>
      <c r="M199" s="106">
        <f>L199*'1. Standard_Cost'!$F$4</f>
        <v>0</v>
      </c>
      <c r="N199" s="107"/>
      <c r="O199" s="107"/>
      <c r="P199" s="107"/>
      <c r="Q199" s="107"/>
      <c r="R199" s="108">
        <f>'1. Standard_Cost'!$B$15*N199*P199</f>
        <v>0</v>
      </c>
      <c r="S199" s="108">
        <f>N199*O199*P199*'1. Standard_Cost'!$C$15</f>
        <v>0</v>
      </c>
      <c r="T199" s="108">
        <f>N199*P199*Q199*'1. Standard_Cost'!$D$15</f>
        <v>0</v>
      </c>
      <c r="U199" s="108">
        <f>N199*O199*'1. Standard_Cost'!$E$15</f>
        <v>0</v>
      </c>
      <c r="V199" s="107"/>
      <c r="W199" s="107"/>
      <c r="X199" s="107"/>
      <c r="Y199" s="108">
        <f>+V199*((X199*'1. Standard_Cost'!$B$19)+(W199*X199*'1. Standard_Cost'!$C$19))</f>
        <v>0</v>
      </c>
      <c r="Z199" s="107"/>
      <c r="AA199" s="107"/>
      <c r="AB199" s="108">
        <f>+Z199*'1. Standard_Cost'!$B$23+AA199*'1. Standard_Cost'!$C$23</f>
        <v>0</v>
      </c>
      <c r="AC199" s="109"/>
      <c r="AD199" s="110"/>
      <c r="AE199" s="108">
        <f>SUM(AD199,AC199,AB199,Y199,U199,T199,S199,R199)*'1. Standard_Cost'!$B$31</f>
        <v>0</v>
      </c>
      <c r="AF199" s="108">
        <f t="shared" si="165"/>
        <v>0</v>
      </c>
      <c r="AG199" s="107"/>
      <c r="AH199" s="107"/>
      <c r="AI199" s="107"/>
      <c r="AJ199" s="111"/>
      <c r="AK199" s="111"/>
      <c r="AL199" s="111"/>
      <c r="AM199" s="108">
        <f>AG199*'1. Standard_Cost'!$B$27+'Incremental_Cost Year 7'!AH199*'1. Standard_Cost'!$C$27+'Incremental_Cost Year 7'!AI199*'1. Standard_Cost'!$D$27+'Incremental_Cost Year 7'!AJ199+'Incremental_Cost Year 7'!AL199+AK199</f>
        <v>0</v>
      </c>
      <c r="AN199" s="108">
        <f>AM199*'1. Standard_Cost'!$C$31</f>
        <v>0</v>
      </c>
      <c r="AO199" s="125" t="s">
        <v>411</v>
      </c>
      <c r="AQ199" s="14">
        <f t="shared" si="166"/>
        <v>0</v>
      </c>
      <c r="AR199" s="14">
        <f t="shared" si="167"/>
        <v>0</v>
      </c>
      <c r="AS199" s="14">
        <f t="shared" si="168"/>
        <v>0</v>
      </c>
      <c r="AT199" s="14">
        <f t="shared" si="170"/>
        <v>0</v>
      </c>
      <c r="AU199" s="15"/>
      <c r="AV199" s="15"/>
      <c r="AW199" s="15"/>
      <c r="AX199" s="15"/>
      <c r="AY199" s="15"/>
      <c r="AZ199" s="15"/>
      <c r="BA199" s="15"/>
      <c r="BB199" s="16">
        <f t="shared" si="169"/>
        <v>0</v>
      </c>
    </row>
    <row r="200" spans="1:54" ht="32.25" customHeight="1" outlineLevel="2">
      <c r="A200" s="98"/>
      <c r="B200" s="102"/>
      <c r="C200" s="23"/>
      <c r="D200" s="251"/>
      <c r="E200" s="251"/>
      <c r="F200" s="172"/>
      <c r="G200" s="250"/>
      <c r="H200" s="272"/>
      <c r="I200" s="104"/>
      <c r="J200" s="105"/>
      <c r="K200" s="105"/>
      <c r="L200" s="106" t="str">
        <f>IF(I200&lt;&gt;0,((VLOOKUP(I200,'1. Standard_Cost'!$B$4:$D$11,2)+VLOOKUP(I200,'1. Standard_Cost'!$B$4:$D$11,3))*J200*K200),"0")</f>
        <v>0</v>
      </c>
      <c r="M200" s="106">
        <f>L200*'1. Standard_Cost'!$F$4</f>
        <v>0</v>
      </c>
      <c r="N200" s="107"/>
      <c r="O200" s="107"/>
      <c r="P200" s="107"/>
      <c r="Q200" s="107"/>
      <c r="R200" s="108">
        <f>'1. Standard_Cost'!$B$15*N200*P200</f>
        <v>0</v>
      </c>
      <c r="S200" s="108">
        <f>N200*O200*P200*'1. Standard_Cost'!$C$15</f>
        <v>0</v>
      </c>
      <c r="T200" s="108">
        <f>N200*P200*Q200*'1. Standard_Cost'!$D$15</f>
        <v>0</v>
      </c>
      <c r="U200" s="108">
        <f>N200*O200*'1. Standard_Cost'!$E$15</f>
        <v>0</v>
      </c>
      <c r="V200" s="107"/>
      <c r="W200" s="107"/>
      <c r="X200" s="107"/>
      <c r="Y200" s="108">
        <f>+V200*((X200*'1. Standard_Cost'!$B$19)+(W200*X200*'1. Standard_Cost'!$C$19))</f>
        <v>0</v>
      </c>
      <c r="Z200" s="107"/>
      <c r="AA200" s="107"/>
      <c r="AB200" s="108">
        <f>+Z200*'1. Standard_Cost'!$B$23+AA200*'1. Standard_Cost'!$C$23</f>
        <v>0</v>
      </c>
      <c r="AC200" s="109"/>
      <c r="AD200" s="110"/>
      <c r="AE200" s="108">
        <f>SUM(AD200,AC200,AB200,Y200,U200,T200,S200,R200)*'1. Standard_Cost'!$B$31</f>
        <v>0</v>
      </c>
      <c r="AF200" s="108">
        <f t="shared" si="165"/>
        <v>0</v>
      </c>
      <c r="AG200" s="107"/>
      <c r="AH200" s="107"/>
      <c r="AI200" s="107"/>
      <c r="AJ200" s="111"/>
      <c r="AK200" s="111"/>
      <c r="AL200" s="111"/>
      <c r="AM200" s="108">
        <f>AG200*'1. Standard_Cost'!$B$27+'Incremental_Cost Year 7'!AH200*'1. Standard_Cost'!$C$27+'Incremental_Cost Year 7'!AI200*'1. Standard_Cost'!$D$27+'Incremental_Cost Year 7'!AJ200+'Incremental_Cost Year 7'!AL200+AK200</f>
        <v>0</v>
      </c>
      <c r="AN200" s="108">
        <f>AM200*'1. Standard_Cost'!$C$31</f>
        <v>0</v>
      </c>
      <c r="AO200" s="137" t="s">
        <v>412</v>
      </c>
      <c r="AQ200" s="14">
        <f t="shared" si="166"/>
        <v>0</v>
      </c>
      <c r="AR200" s="14">
        <f t="shared" si="167"/>
        <v>0</v>
      </c>
      <c r="AS200" s="14">
        <f t="shared" si="168"/>
        <v>0</v>
      </c>
      <c r="AT200" s="14">
        <f t="shared" si="170"/>
        <v>0</v>
      </c>
      <c r="AU200" s="15"/>
      <c r="AV200" s="15"/>
      <c r="AW200" s="15"/>
      <c r="AX200" s="15"/>
      <c r="AY200" s="15"/>
      <c r="AZ200" s="15"/>
      <c r="BA200" s="15"/>
      <c r="BB200" s="16">
        <f t="shared" si="169"/>
        <v>0</v>
      </c>
    </row>
    <row r="201" spans="1:54" ht="27.6" outlineLevel="1">
      <c r="A201" s="98"/>
      <c r="B201" s="102"/>
      <c r="C201" s="23"/>
      <c r="D201" s="56" t="s">
        <v>47</v>
      </c>
      <c r="E201" s="56" t="s">
        <v>243</v>
      </c>
      <c r="F201" s="253"/>
      <c r="G201" s="254"/>
      <c r="H201" s="279" t="s">
        <v>244</v>
      </c>
      <c r="I201" s="112"/>
      <c r="J201" s="112"/>
      <c r="K201" s="112"/>
      <c r="L201" s="113">
        <f>SUM(L180:L200)</f>
        <v>0</v>
      </c>
      <c r="M201" s="113">
        <f>SUM(M180:M200)</f>
        <v>0</v>
      </c>
      <c r="N201" s="112"/>
      <c r="O201" s="112"/>
      <c r="P201" s="112"/>
      <c r="Q201" s="112"/>
      <c r="R201" s="113">
        <f>SUM(R180:R200)</f>
        <v>0</v>
      </c>
      <c r="S201" s="113">
        <f>SUM(S180:S200)</f>
        <v>0</v>
      </c>
      <c r="T201" s="113">
        <f>SUM(T180:T200)</f>
        <v>0</v>
      </c>
      <c r="U201" s="113">
        <f>SUM(U180:U200)</f>
        <v>0</v>
      </c>
      <c r="V201" s="112"/>
      <c r="W201" s="112"/>
      <c r="X201" s="112"/>
      <c r="Y201" s="113">
        <f>SUM(Y180:Y200)</f>
        <v>0</v>
      </c>
      <c r="Z201" s="113"/>
      <c r="AA201" s="112"/>
      <c r="AB201" s="113">
        <f>SUM(AB180:AB200)</f>
        <v>0</v>
      </c>
      <c r="AC201" s="113">
        <f>SUM(AC180:AC200)</f>
        <v>0</v>
      </c>
      <c r="AD201" s="113">
        <f>SUM(AD180:AD200)</f>
        <v>0</v>
      </c>
      <c r="AE201" s="113">
        <f>SUM(AE180:AE200)</f>
        <v>0</v>
      </c>
      <c r="AF201" s="113">
        <f>SUM(AF180:AF200)</f>
        <v>0</v>
      </c>
      <c r="AG201" s="112"/>
      <c r="AH201" s="112"/>
      <c r="AI201" s="112"/>
      <c r="AJ201" s="113">
        <f>SUM(AJ180:AJ200)</f>
        <v>0</v>
      </c>
      <c r="AK201" s="113">
        <f>SUM(AK180:AK200)</f>
        <v>0</v>
      </c>
      <c r="AL201" s="113">
        <f>SUM(AL180:AL200)</f>
        <v>0</v>
      </c>
      <c r="AM201" s="113">
        <f>SUM(AM180:AM200)</f>
        <v>0</v>
      </c>
      <c r="AN201" s="113">
        <f>SUM(AN180:AN200)</f>
        <v>0</v>
      </c>
      <c r="AO201" s="131"/>
      <c r="AP201" s="17"/>
      <c r="AQ201" s="113">
        <f t="shared" ref="AQ201:BB201" si="171">SUM(AQ180:AQ200)</f>
        <v>0</v>
      </c>
      <c r="AR201" s="113">
        <f t="shared" si="171"/>
        <v>0</v>
      </c>
      <c r="AS201" s="113">
        <f t="shared" si="171"/>
        <v>0</v>
      </c>
      <c r="AT201" s="113">
        <f t="shared" si="171"/>
        <v>0</v>
      </c>
      <c r="AU201" s="113">
        <f t="shared" si="171"/>
        <v>0</v>
      </c>
      <c r="AV201" s="113">
        <f t="shared" si="171"/>
        <v>0</v>
      </c>
      <c r="AW201" s="113">
        <f t="shared" si="171"/>
        <v>0</v>
      </c>
      <c r="AX201" s="113">
        <f t="shared" si="171"/>
        <v>0</v>
      </c>
      <c r="AY201" s="113">
        <f t="shared" si="171"/>
        <v>0</v>
      </c>
      <c r="AZ201" s="113">
        <f t="shared" si="171"/>
        <v>0</v>
      </c>
      <c r="BA201" s="113">
        <f t="shared" si="171"/>
        <v>0</v>
      </c>
      <c r="BB201" s="113">
        <f t="shared" si="171"/>
        <v>0</v>
      </c>
    </row>
    <row r="202" spans="1:54" s="24" customFormat="1" ht="13.8" customHeight="1">
      <c r="A202" s="114"/>
      <c r="B202" s="115"/>
      <c r="C202" s="314" t="s">
        <v>246</v>
      </c>
      <c r="D202" s="314"/>
      <c r="E202" s="315"/>
      <c r="F202" s="246"/>
      <c r="G202" s="246"/>
      <c r="H202" s="278" t="s">
        <v>245</v>
      </c>
      <c r="I202" s="116"/>
      <c r="J202" s="116"/>
      <c r="K202" s="116"/>
      <c r="L202" s="117">
        <f>SUM(L222)</f>
        <v>0</v>
      </c>
      <c r="M202" s="117">
        <f>SUM(M222)</f>
        <v>0</v>
      </c>
      <c r="N202" s="116"/>
      <c r="O202" s="116"/>
      <c r="P202" s="116"/>
      <c r="Q202" s="116"/>
      <c r="R202" s="117">
        <f t="shared" ref="R202:U202" si="172">SUM(R222)</f>
        <v>0</v>
      </c>
      <c r="S202" s="117">
        <f t="shared" si="172"/>
        <v>0</v>
      </c>
      <c r="T202" s="117">
        <f t="shared" si="172"/>
        <v>0</v>
      </c>
      <c r="U202" s="117">
        <f t="shared" si="172"/>
        <v>0</v>
      </c>
      <c r="V202" s="116"/>
      <c r="W202" s="116"/>
      <c r="X202" s="116"/>
      <c r="Y202" s="117">
        <f>SUM(Y222)</f>
        <v>0</v>
      </c>
      <c r="Z202" s="117"/>
      <c r="AA202" s="117"/>
      <c r="AB202" s="117">
        <f t="shared" ref="AB202:AF202" si="173">SUM(AB222)</f>
        <v>0</v>
      </c>
      <c r="AC202" s="117">
        <f t="shared" si="173"/>
        <v>0</v>
      </c>
      <c r="AD202" s="117">
        <f t="shared" si="173"/>
        <v>0</v>
      </c>
      <c r="AE202" s="117">
        <f t="shared" si="173"/>
        <v>0</v>
      </c>
      <c r="AF202" s="117">
        <f t="shared" si="173"/>
        <v>0</v>
      </c>
      <c r="AG202" s="116"/>
      <c r="AH202" s="116"/>
      <c r="AI202" s="116"/>
      <c r="AJ202" s="117">
        <f t="shared" ref="AJ202:AN202" si="174">SUM(AJ222)</f>
        <v>0</v>
      </c>
      <c r="AK202" s="117">
        <f t="shared" si="174"/>
        <v>0</v>
      </c>
      <c r="AL202" s="117">
        <f t="shared" si="174"/>
        <v>0</v>
      </c>
      <c r="AM202" s="117">
        <f t="shared" si="174"/>
        <v>0</v>
      </c>
      <c r="AN202" s="117">
        <f t="shared" si="174"/>
        <v>0</v>
      </c>
      <c r="AO202" s="132"/>
      <c r="AP202" s="25"/>
      <c r="AQ202" s="117">
        <f t="shared" ref="AQ202:BB202" si="175">SUM(AQ222)</f>
        <v>0</v>
      </c>
      <c r="AR202" s="117">
        <f t="shared" si="175"/>
        <v>0</v>
      </c>
      <c r="AS202" s="117">
        <f t="shared" si="175"/>
        <v>0</v>
      </c>
      <c r="AT202" s="117">
        <f t="shared" si="175"/>
        <v>0</v>
      </c>
      <c r="AU202" s="117">
        <f t="shared" si="175"/>
        <v>0</v>
      </c>
      <c r="AV202" s="117">
        <f t="shared" si="175"/>
        <v>0</v>
      </c>
      <c r="AW202" s="117">
        <f t="shared" si="175"/>
        <v>0</v>
      </c>
      <c r="AX202" s="117">
        <f t="shared" si="175"/>
        <v>0</v>
      </c>
      <c r="AY202" s="117">
        <f t="shared" si="175"/>
        <v>0</v>
      </c>
      <c r="AZ202" s="117">
        <f t="shared" si="175"/>
        <v>0</v>
      </c>
      <c r="BA202" s="117">
        <f t="shared" si="175"/>
        <v>0</v>
      </c>
      <c r="BB202" s="117">
        <f t="shared" si="175"/>
        <v>0</v>
      </c>
    </row>
    <row r="203" spans="1:54" ht="41.4" outlineLevel="2">
      <c r="A203" s="98"/>
      <c r="B203" s="102"/>
      <c r="C203" s="23"/>
      <c r="D203" s="257"/>
      <c r="E203" s="123"/>
      <c r="F203" s="249"/>
      <c r="G203" s="283"/>
      <c r="H203" s="272"/>
      <c r="I203" s="104"/>
      <c r="J203" s="105"/>
      <c r="K203" s="105"/>
      <c r="L203" s="106" t="str">
        <f>IF(I203&lt;&gt;0,((VLOOKUP(I203,'1. Standard_Cost'!$B$4:$D$11,2)+VLOOKUP(I203,'1. Standard_Cost'!$B$4:$D$11,3))*J203*K203),"0")</f>
        <v>0</v>
      </c>
      <c r="M203" s="106">
        <f>L203*'1. Standard_Cost'!$F$4</f>
        <v>0</v>
      </c>
      <c r="N203" s="107"/>
      <c r="O203" s="107"/>
      <c r="P203" s="107"/>
      <c r="Q203" s="107"/>
      <c r="R203" s="108">
        <f>'1. Standard_Cost'!$B$15*N203*P203</f>
        <v>0</v>
      </c>
      <c r="S203" s="108">
        <f>N203*O203*P203*'1. Standard_Cost'!$C$15</f>
        <v>0</v>
      </c>
      <c r="T203" s="108">
        <f>N203*P203*Q203*'1. Standard_Cost'!$D$15</f>
        <v>0</v>
      </c>
      <c r="U203" s="108">
        <f>N203*O203*'1. Standard_Cost'!$E$15</f>
        <v>0</v>
      </c>
      <c r="V203" s="107"/>
      <c r="W203" s="107"/>
      <c r="X203" s="107"/>
      <c r="Y203" s="108">
        <f>+V203*((X203*'1. Standard_Cost'!$B$19)+(W203*X203*'1. Standard_Cost'!$C$19))</f>
        <v>0</v>
      </c>
      <c r="Z203" s="107"/>
      <c r="AA203" s="107"/>
      <c r="AB203" s="108">
        <f>+Z203*'1. Standard_Cost'!$B$23+AA203*'1. Standard_Cost'!$C$23</f>
        <v>0</v>
      </c>
      <c r="AC203" s="109"/>
      <c r="AD203" s="110"/>
      <c r="AE203" s="108">
        <f>SUM(AD203,AC203,AB203,Y203,U203,T203,S203,R203)*'1. Standard_Cost'!$B$31</f>
        <v>0</v>
      </c>
      <c r="AF203" s="108">
        <f t="shared" ref="AF203:AF221" si="176">SUM(AE203,AD203,AC203,AB203,Y203,U203,T203,S203,R203)</f>
        <v>0</v>
      </c>
      <c r="AG203" s="107"/>
      <c r="AH203" s="107"/>
      <c r="AI203" s="107"/>
      <c r="AJ203" s="111"/>
      <c r="AK203" s="111"/>
      <c r="AL203" s="111"/>
      <c r="AM203" s="108">
        <f>AG203*'1. Standard_Cost'!$B$27+'Incremental_Cost Year 7'!AH203*'1. Standard_Cost'!$C$27+'Incremental_Cost Year 7'!AI203*'1. Standard_Cost'!$D$27+'Incremental_Cost Year 7'!AJ203+'Incremental_Cost Year 7'!AL203+AK203</f>
        <v>0</v>
      </c>
      <c r="AN203" s="108">
        <f>AM203*'1. Standard_Cost'!$C$31</f>
        <v>0</v>
      </c>
      <c r="AO203" s="125" t="s">
        <v>413</v>
      </c>
      <c r="AQ203" s="14">
        <f t="shared" ref="AQ203:AQ221" si="177">L203+M203</f>
        <v>0</v>
      </c>
      <c r="AR203" s="14">
        <f t="shared" ref="AR203:AR221" si="178">AF203</f>
        <v>0</v>
      </c>
      <c r="AS203" s="14">
        <f t="shared" ref="AS203:AS221" si="179">AM203+AN203</f>
        <v>0</v>
      </c>
      <c r="AT203" s="14">
        <f>SUM(AQ203,AR203,AS203)</f>
        <v>0</v>
      </c>
      <c r="AU203" s="15"/>
      <c r="AV203" s="15"/>
      <c r="AW203" s="15"/>
      <c r="AX203" s="15"/>
      <c r="AY203" s="15"/>
      <c r="AZ203" s="15"/>
      <c r="BA203" s="15"/>
      <c r="BB203" s="16">
        <f t="shared" ref="BB203:BB221" si="180">SUM(AU203:BA203)-AT203</f>
        <v>0</v>
      </c>
    </row>
    <row r="204" spans="1:54" ht="69" outlineLevel="2">
      <c r="A204" s="98"/>
      <c r="B204" s="102"/>
      <c r="C204" s="23"/>
      <c r="D204" s="269"/>
      <c r="E204" s="271"/>
      <c r="F204" s="250"/>
      <c r="G204" s="255"/>
      <c r="H204" s="272"/>
      <c r="I204" s="104"/>
      <c r="J204" s="105"/>
      <c r="K204" s="105"/>
      <c r="L204" s="106" t="str">
        <f>IF(I204&lt;&gt;0,((VLOOKUP(I204,'1. Standard_Cost'!$B$4:$D$11,2)+VLOOKUP(I204,'1. Standard_Cost'!$B$4:$D$11,3))*J204*K204),"0")</f>
        <v>0</v>
      </c>
      <c r="M204" s="106">
        <f>L204*'1. Standard_Cost'!$F$4</f>
        <v>0</v>
      </c>
      <c r="N204" s="107"/>
      <c r="O204" s="107"/>
      <c r="P204" s="107"/>
      <c r="Q204" s="107"/>
      <c r="R204" s="108">
        <f>'1. Standard_Cost'!$B$15*N204*P204</f>
        <v>0</v>
      </c>
      <c r="S204" s="108">
        <f>N204*O204*P204*'1. Standard_Cost'!$C$15</f>
        <v>0</v>
      </c>
      <c r="T204" s="108">
        <f>N204*P204*Q204*'1. Standard_Cost'!$D$15</f>
        <v>0</v>
      </c>
      <c r="U204" s="108">
        <f>N204*O204*'1. Standard_Cost'!$E$15</f>
        <v>0</v>
      </c>
      <c r="V204" s="107"/>
      <c r="W204" s="107"/>
      <c r="X204" s="107"/>
      <c r="Y204" s="108">
        <f>+V204*((X204*'1. Standard_Cost'!$B$19)+(W204*X204*'1. Standard_Cost'!$C$19))</f>
        <v>0</v>
      </c>
      <c r="Z204" s="107"/>
      <c r="AA204" s="107"/>
      <c r="AB204" s="108">
        <f>+Z204*'1. Standard_Cost'!$B$23+AA204*'1. Standard_Cost'!$C$23</f>
        <v>0</v>
      </c>
      <c r="AC204" s="109"/>
      <c r="AD204" s="110"/>
      <c r="AE204" s="108">
        <f>SUM(AD204,AC204,AB204,Y204,U204,T204,S204,R204)*'1. Standard_Cost'!$B$31</f>
        <v>0</v>
      </c>
      <c r="AF204" s="108">
        <f t="shared" si="176"/>
        <v>0</v>
      </c>
      <c r="AG204" s="107"/>
      <c r="AH204" s="107"/>
      <c r="AI204" s="107"/>
      <c r="AJ204" s="111"/>
      <c r="AK204" s="111"/>
      <c r="AL204" s="111"/>
      <c r="AM204" s="108">
        <f>AG204*'1. Standard_Cost'!$B$27+'Incremental_Cost Year 7'!AH204*'1. Standard_Cost'!$C$27+'Incremental_Cost Year 7'!AI204*'1. Standard_Cost'!$D$27+'Incremental_Cost Year 7'!AJ204+'Incremental_Cost Year 7'!AL204+AK204</f>
        <v>0</v>
      </c>
      <c r="AN204" s="108">
        <f>AM204*'1. Standard_Cost'!$C$31</f>
        <v>0</v>
      </c>
      <c r="AO204" s="125" t="s">
        <v>414</v>
      </c>
      <c r="AQ204" s="14">
        <f t="shared" si="177"/>
        <v>0</v>
      </c>
      <c r="AR204" s="14">
        <f t="shared" si="178"/>
        <v>0</v>
      </c>
      <c r="AS204" s="14">
        <f t="shared" si="179"/>
        <v>0</v>
      </c>
      <c r="AT204" s="14">
        <f t="shared" ref="AT204:AT221" si="181">SUM(AQ204,AR204,AS204)</f>
        <v>0</v>
      </c>
      <c r="AU204" s="15"/>
      <c r="AV204" s="15"/>
      <c r="AW204" s="15"/>
      <c r="AX204" s="15"/>
      <c r="AY204" s="15"/>
      <c r="AZ204" s="15"/>
      <c r="BA204" s="15"/>
      <c r="BB204" s="16">
        <f t="shared" si="180"/>
        <v>0</v>
      </c>
    </row>
    <row r="205" spans="1:54" ht="31.2" customHeight="1" outlineLevel="2">
      <c r="A205" s="98"/>
      <c r="B205" s="102"/>
      <c r="C205" s="23"/>
      <c r="D205" s="269"/>
      <c r="E205" s="271"/>
      <c r="F205" s="271"/>
      <c r="G205" s="167"/>
      <c r="H205" s="272"/>
      <c r="I205" s="104"/>
      <c r="J205" s="105"/>
      <c r="K205" s="105"/>
      <c r="L205" s="106" t="str">
        <f>IF(I205&lt;&gt;0,((VLOOKUP(I205,'[1]1. Standard_Cost'!$B$4:$D$11,2)+VLOOKUP(I205,'[1]1. Standard_Cost'!$B$4:$D$11,3))*J205*K205),"0")</f>
        <v>0</v>
      </c>
      <c r="M205" s="106">
        <f>L205*'[1]1. Standard_Cost'!$F$4</f>
        <v>0</v>
      </c>
      <c r="N205" s="107"/>
      <c r="O205" s="107"/>
      <c r="P205" s="107"/>
      <c r="Q205" s="107"/>
      <c r="R205" s="108">
        <f>'[1]1. Standard_Cost'!$B$15*N205*P205</f>
        <v>0</v>
      </c>
      <c r="S205" s="108">
        <f>N205*O205*P205*'[1]1. Standard_Cost'!$C$15</f>
        <v>0</v>
      </c>
      <c r="T205" s="108">
        <f>N205*P205*Q205*'[1]1. Standard_Cost'!$D$15</f>
        <v>0</v>
      </c>
      <c r="U205" s="108">
        <f>N205*O205*'[1]1. Standard_Cost'!$E$15</f>
        <v>0</v>
      </c>
      <c r="V205" s="107"/>
      <c r="W205" s="107"/>
      <c r="X205" s="107"/>
      <c r="Y205" s="108">
        <f>+V205*((X205*'[1]1. Standard_Cost'!$B$19)+(W205*X205*'[1]1. Standard_Cost'!$C$19))</f>
        <v>0</v>
      </c>
      <c r="Z205" s="107"/>
      <c r="AA205" s="107"/>
      <c r="AB205" s="108">
        <f>+Z205*'[1]1. Standard_Cost'!$B$23+AA205*'[1]1. Standard_Cost'!$C$23</f>
        <v>0</v>
      </c>
      <c r="AC205" s="109"/>
      <c r="AD205" s="110"/>
      <c r="AE205" s="108">
        <f>SUM(AD205,AC205,AB205,Y205,U205,T205,S205,R205)*'[1]1. Standard_Cost'!$B$31</f>
        <v>0</v>
      </c>
      <c r="AF205" s="108">
        <f t="shared" si="176"/>
        <v>0</v>
      </c>
      <c r="AG205" s="107"/>
      <c r="AH205" s="107"/>
      <c r="AI205" s="107"/>
      <c r="AJ205" s="111"/>
      <c r="AK205" s="111"/>
      <c r="AL205" s="111"/>
      <c r="AM205" s="108">
        <f>AG205*'[1]1. Standard_Cost'!$B$27+'[1]Incremental_Cost Year 7'!AH205*'[1]1. Standard_Cost'!$C$27+'[1]Incremental_Cost Year 7'!AI205*'[1]1. Standard_Cost'!$D$27+'[1]Incremental_Cost Year 7'!AJ205+'[1]Incremental_Cost Year 7'!AL205+AK205</f>
        <v>0</v>
      </c>
      <c r="AN205" s="108">
        <f>AM205*'[1]1. Standard_Cost'!$C$31</f>
        <v>0</v>
      </c>
      <c r="AO205" s="125"/>
      <c r="AQ205" s="14">
        <f t="shared" si="177"/>
        <v>0</v>
      </c>
      <c r="AR205" s="14">
        <f t="shared" si="178"/>
        <v>0</v>
      </c>
      <c r="AS205" s="14">
        <f t="shared" si="179"/>
        <v>0</v>
      </c>
      <c r="AT205" s="14">
        <f t="shared" si="181"/>
        <v>0</v>
      </c>
      <c r="AU205" s="15"/>
      <c r="AV205" s="15"/>
      <c r="AW205" s="15"/>
      <c r="AX205" s="15"/>
      <c r="AY205" s="15"/>
      <c r="AZ205" s="15"/>
      <c r="BA205" s="15"/>
      <c r="BB205" s="16">
        <f t="shared" si="180"/>
        <v>0</v>
      </c>
    </row>
    <row r="206" spans="1:54" ht="27.6" outlineLevel="2">
      <c r="A206" s="98"/>
      <c r="B206" s="102"/>
      <c r="C206" s="23"/>
      <c r="D206" s="269"/>
      <c r="E206" s="271"/>
      <c r="F206" s="250"/>
      <c r="G206" s="255"/>
      <c r="H206" s="272"/>
      <c r="I206" s="104"/>
      <c r="J206" s="105"/>
      <c r="K206" s="105"/>
      <c r="L206" s="106" t="str">
        <f>IF(I206&lt;&gt;0,((VLOOKUP(I206,'1. Standard_Cost'!$B$4:$D$11,2)+VLOOKUP(I206,'1. Standard_Cost'!$B$4:$D$11,3))*J206*K206),"0")</f>
        <v>0</v>
      </c>
      <c r="M206" s="106">
        <f>L206*'1. Standard_Cost'!$F$4</f>
        <v>0</v>
      </c>
      <c r="N206" s="107"/>
      <c r="O206" s="107"/>
      <c r="P206" s="107"/>
      <c r="Q206" s="107"/>
      <c r="R206" s="108">
        <f>'1. Standard_Cost'!$B$15*N206*P206</f>
        <v>0</v>
      </c>
      <c r="S206" s="108">
        <f>N206*O206*P206*'1. Standard_Cost'!$C$15</f>
        <v>0</v>
      </c>
      <c r="T206" s="108">
        <f>N206*P206*Q206*'1. Standard_Cost'!$D$15</f>
        <v>0</v>
      </c>
      <c r="U206" s="108">
        <f>N206*O206*'1. Standard_Cost'!$E$15</f>
        <v>0</v>
      </c>
      <c r="V206" s="107"/>
      <c r="W206" s="107"/>
      <c r="X206" s="107"/>
      <c r="Y206" s="108">
        <f>+V206*((X206*'1. Standard_Cost'!$B$19)+(W206*X206*'1. Standard_Cost'!$C$19))</f>
        <v>0</v>
      </c>
      <c r="Z206" s="107"/>
      <c r="AA206" s="107"/>
      <c r="AB206" s="108">
        <f>+Z206*'1. Standard_Cost'!$B$23+AA206*'1. Standard_Cost'!$C$23</f>
        <v>0</v>
      </c>
      <c r="AC206" s="109"/>
      <c r="AD206" s="110"/>
      <c r="AE206" s="108">
        <f>SUM(AD206,AC206,AB206,Y206,U206,T206,S206,R206)*'1. Standard_Cost'!$B$31</f>
        <v>0</v>
      </c>
      <c r="AF206" s="108">
        <f t="shared" si="176"/>
        <v>0</v>
      </c>
      <c r="AG206" s="107"/>
      <c r="AH206" s="107"/>
      <c r="AI206" s="107"/>
      <c r="AJ206" s="111"/>
      <c r="AK206" s="111"/>
      <c r="AL206" s="111"/>
      <c r="AM206" s="108">
        <f>AG206*'1. Standard_Cost'!$B$27+'Incremental_Cost Year 7'!AH206*'1. Standard_Cost'!$C$27+'Incremental_Cost Year 7'!AI206*'1. Standard_Cost'!$D$27+'Incremental_Cost Year 7'!AJ206+'Incremental_Cost Year 7'!AL206+AK206</f>
        <v>0</v>
      </c>
      <c r="AN206" s="108">
        <f>AM206*'1. Standard_Cost'!$C$31</f>
        <v>0</v>
      </c>
      <c r="AO206" s="125" t="s">
        <v>415</v>
      </c>
      <c r="AQ206" s="14">
        <f t="shared" si="177"/>
        <v>0</v>
      </c>
      <c r="AR206" s="14">
        <f t="shared" si="178"/>
        <v>0</v>
      </c>
      <c r="AS206" s="14">
        <f t="shared" si="179"/>
        <v>0</v>
      </c>
      <c r="AT206" s="14">
        <f t="shared" si="181"/>
        <v>0</v>
      </c>
      <c r="AU206" s="15"/>
      <c r="AV206" s="15"/>
      <c r="AW206" s="15"/>
      <c r="AX206" s="15"/>
      <c r="AY206" s="15"/>
      <c r="AZ206" s="15"/>
      <c r="BA206" s="15"/>
      <c r="BB206" s="16">
        <f t="shared" si="180"/>
        <v>0</v>
      </c>
    </row>
    <row r="207" spans="1:54" ht="36" customHeight="1" outlineLevel="2">
      <c r="A207" s="98"/>
      <c r="B207" s="102"/>
      <c r="C207" s="23"/>
      <c r="D207" s="269"/>
      <c r="E207" s="271"/>
      <c r="F207" s="250"/>
      <c r="G207" s="255"/>
      <c r="H207" s="272"/>
      <c r="I207" s="104"/>
      <c r="J207" s="105"/>
      <c r="K207" s="105"/>
      <c r="L207" s="106" t="str">
        <f>IF(I207&lt;&gt;0,((VLOOKUP(I207,'1. Standard_Cost'!$B$4:$D$11,2)+VLOOKUP(I207,'1. Standard_Cost'!$B$4:$D$11,3))*J207*K207),"0")</f>
        <v>0</v>
      </c>
      <c r="M207" s="106">
        <f>L207*'1. Standard_Cost'!$F$4</f>
        <v>0</v>
      </c>
      <c r="N207" s="107"/>
      <c r="O207" s="107"/>
      <c r="P207" s="107"/>
      <c r="Q207" s="107"/>
      <c r="R207" s="108">
        <f>'1. Standard_Cost'!$B$15*N207*P207</f>
        <v>0</v>
      </c>
      <c r="S207" s="108">
        <f>N207*O207*P207*'1. Standard_Cost'!$C$15</f>
        <v>0</v>
      </c>
      <c r="T207" s="108">
        <f>N207*P207*Q207*'1. Standard_Cost'!$D$15</f>
        <v>0</v>
      </c>
      <c r="U207" s="108">
        <f>N207*O207*'1. Standard_Cost'!$E$15</f>
        <v>0</v>
      </c>
      <c r="V207" s="107"/>
      <c r="W207" s="107"/>
      <c r="X207" s="107"/>
      <c r="Y207" s="108">
        <f>+V207*((X207*'1. Standard_Cost'!$B$19)+(W207*X207*'1. Standard_Cost'!$C$19))</f>
        <v>0</v>
      </c>
      <c r="Z207" s="107"/>
      <c r="AA207" s="107"/>
      <c r="AB207" s="108">
        <f>+Z207*'1. Standard_Cost'!$B$23+AA207*'1. Standard_Cost'!$C$23</f>
        <v>0</v>
      </c>
      <c r="AC207" s="109"/>
      <c r="AD207" s="110"/>
      <c r="AE207" s="108">
        <f>SUM(AD207,AC207,AB207,Y207,U207,T207,S207,R207)*'1. Standard_Cost'!$B$31</f>
        <v>0</v>
      </c>
      <c r="AF207" s="108">
        <f t="shared" si="176"/>
        <v>0</v>
      </c>
      <c r="AG207" s="107"/>
      <c r="AH207" s="107"/>
      <c r="AI207" s="107"/>
      <c r="AJ207" s="111"/>
      <c r="AK207" s="111"/>
      <c r="AL207" s="111"/>
      <c r="AM207" s="108">
        <f>AG207*'1. Standard_Cost'!$B$27+'Incremental_Cost Year 7'!AH207*'1. Standard_Cost'!$C$27+'Incremental_Cost Year 7'!AI207*'1. Standard_Cost'!$D$27+'Incremental_Cost Year 7'!AJ207+'Incremental_Cost Year 7'!AL207+AK207</f>
        <v>0</v>
      </c>
      <c r="AN207" s="108">
        <f>AM207*'1. Standard_Cost'!$C$31</f>
        <v>0</v>
      </c>
      <c r="AO207" s="125" t="s">
        <v>416</v>
      </c>
      <c r="AQ207" s="14">
        <f t="shared" si="177"/>
        <v>0</v>
      </c>
      <c r="AR207" s="14">
        <f t="shared" si="178"/>
        <v>0</v>
      </c>
      <c r="AS207" s="14">
        <f t="shared" si="179"/>
        <v>0</v>
      </c>
      <c r="AT207" s="14">
        <f t="shared" si="181"/>
        <v>0</v>
      </c>
      <c r="AU207" s="15"/>
      <c r="AV207" s="15"/>
      <c r="AW207" s="15"/>
      <c r="AX207" s="15"/>
      <c r="AY207" s="15"/>
      <c r="AZ207" s="15"/>
      <c r="BA207" s="15"/>
      <c r="BB207" s="16">
        <f t="shared" si="180"/>
        <v>0</v>
      </c>
    </row>
    <row r="208" spans="1:54" ht="27.6" outlineLevel="2">
      <c r="A208" s="98"/>
      <c r="B208" s="102"/>
      <c r="C208" s="23"/>
      <c r="D208" s="269"/>
      <c r="E208" s="271"/>
      <c r="F208" s="250"/>
      <c r="G208" s="255"/>
      <c r="H208" s="272"/>
      <c r="I208" s="104"/>
      <c r="J208" s="105"/>
      <c r="K208" s="105"/>
      <c r="L208" s="106" t="str">
        <f>IF(I208&lt;&gt;0,((VLOOKUP(I208,'1. Standard_Cost'!$B$4:$D$11,2)+VLOOKUP(I208,'1. Standard_Cost'!$B$4:$D$11,3))*J208*K208),"0")</f>
        <v>0</v>
      </c>
      <c r="M208" s="106">
        <f>L208*'1. Standard_Cost'!$F$4</f>
        <v>0</v>
      </c>
      <c r="N208" s="107"/>
      <c r="O208" s="107"/>
      <c r="P208" s="107"/>
      <c r="Q208" s="107"/>
      <c r="R208" s="108">
        <f>'1. Standard_Cost'!$B$15*N208*P208</f>
        <v>0</v>
      </c>
      <c r="S208" s="108">
        <f>N208*O208*P208*'1. Standard_Cost'!$C$15</f>
        <v>0</v>
      </c>
      <c r="T208" s="108">
        <f>N208*P208*Q208*'1. Standard_Cost'!$D$15</f>
        <v>0</v>
      </c>
      <c r="U208" s="108">
        <f>N208*O208*'1. Standard_Cost'!$E$15</f>
        <v>0</v>
      </c>
      <c r="V208" s="107"/>
      <c r="W208" s="107"/>
      <c r="X208" s="107"/>
      <c r="Y208" s="108">
        <f>+V208*((X208*'1. Standard_Cost'!$B$19)+(W208*X208*'1. Standard_Cost'!$C$19))</f>
        <v>0</v>
      </c>
      <c r="Z208" s="107"/>
      <c r="AA208" s="107"/>
      <c r="AB208" s="108">
        <f>+Z208*'1. Standard_Cost'!$B$23+AA208*'1. Standard_Cost'!$C$23</f>
        <v>0</v>
      </c>
      <c r="AC208" s="109"/>
      <c r="AD208" s="110"/>
      <c r="AE208" s="108">
        <f>SUM(AD208,AC208,AB208,Y208,U208,T208,S208,R208)*'1. Standard_Cost'!$B$31</f>
        <v>0</v>
      </c>
      <c r="AF208" s="108">
        <f t="shared" si="176"/>
        <v>0</v>
      </c>
      <c r="AG208" s="107"/>
      <c r="AH208" s="107"/>
      <c r="AI208" s="107"/>
      <c r="AJ208" s="111"/>
      <c r="AK208" s="111"/>
      <c r="AL208" s="111"/>
      <c r="AM208" s="108">
        <f>AG208*'1. Standard_Cost'!$B$27+'Incremental_Cost Year 7'!AH208*'1. Standard_Cost'!$C$27+'Incremental_Cost Year 7'!AI208*'1. Standard_Cost'!$D$27+'Incremental_Cost Year 7'!AJ208+'Incremental_Cost Year 7'!AL208+AK208</f>
        <v>0</v>
      </c>
      <c r="AN208" s="108">
        <f>AM208*'1. Standard_Cost'!$C$31</f>
        <v>0</v>
      </c>
      <c r="AO208" s="125" t="s">
        <v>417</v>
      </c>
      <c r="AQ208" s="14">
        <f t="shared" si="177"/>
        <v>0</v>
      </c>
      <c r="AR208" s="14">
        <f t="shared" si="178"/>
        <v>0</v>
      </c>
      <c r="AS208" s="14">
        <f t="shared" si="179"/>
        <v>0</v>
      </c>
      <c r="AT208" s="14">
        <f t="shared" si="181"/>
        <v>0</v>
      </c>
      <c r="AU208" s="15"/>
      <c r="AV208" s="15"/>
      <c r="AW208" s="15"/>
      <c r="AX208" s="15"/>
      <c r="AY208" s="15"/>
      <c r="AZ208" s="15"/>
      <c r="BA208" s="15"/>
      <c r="BB208" s="16">
        <f t="shared" si="180"/>
        <v>0</v>
      </c>
    </row>
    <row r="209" spans="1:54" ht="15.6" outlineLevel="2">
      <c r="A209" s="98"/>
      <c r="B209" s="102"/>
      <c r="C209" s="23"/>
      <c r="D209" s="269"/>
      <c r="E209" s="271"/>
      <c r="F209" s="271"/>
      <c r="G209" s="167"/>
      <c r="H209" s="272"/>
      <c r="I209" s="104"/>
      <c r="J209" s="105"/>
      <c r="K209" s="105"/>
      <c r="L209" s="106" t="str">
        <f>IF(I209&lt;&gt;0,((VLOOKUP(I209,'[1]1. Standard_Cost'!$B$4:$D$11,2)+VLOOKUP(I209,'[1]1. Standard_Cost'!$B$4:$D$11,3))*J209*K209),"0")</f>
        <v>0</v>
      </c>
      <c r="M209" s="106">
        <f>L209*'[1]1. Standard_Cost'!$F$4</f>
        <v>0</v>
      </c>
      <c r="N209" s="107"/>
      <c r="O209" s="107"/>
      <c r="P209" s="107"/>
      <c r="Q209" s="107"/>
      <c r="R209" s="108">
        <f>'[1]1. Standard_Cost'!$B$15*N209*P209</f>
        <v>0</v>
      </c>
      <c r="S209" s="108">
        <f>N209*O209*P209*'[1]1. Standard_Cost'!$C$15</f>
        <v>0</v>
      </c>
      <c r="T209" s="108">
        <f>N209*P209*Q209*'[1]1. Standard_Cost'!$D$15</f>
        <v>0</v>
      </c>
      <c r="U209" s="108">
        <f>N209*O209*'[1]1. Standard_Cost'!$E$15</f>
        <v>0</v>
      </c>
      <c r="V209" s="107"/>
      <c r="W209" s="107"/>
      <c r="X209" s="107"/>
      <c r="Y209" s="108">
        <f>+V209*((X209*'[1]1. Standard_Cost'!$B$19)+(W209*X209*'[1]1. Standard_Cost'!$C$19))</f>
        <v>0</v>
      </c>
      <c r="Z209" s="107"/>
      <c r="AA209" s="107"/>
      <c r="AB209" s="108">
        <f>+Z209*'[1]1. Standard_Cost'!$B$23+AA209*'[1]1. Standard_Cost'!$C$23</f>
        <v>0</v>
      </c>
      <c r="AC209" s="109"/>
      <c r="AD209" s="110"/>
      <c r="AE209" s="108">
        <f>SUM(AD209,AC209,AB209,Y209,U209,T209,S209,R209)*'[1]1. Standard_Cost'!$B$31</f>
        <v>0</v>
      </c>
      <c r="AF209" s="108">
        <f t="shared" si="176"/>
        <v>0</v>
      </c>
      <c r="AG209" s="107"/>
      <c r="AH209" s="107"/>
      <c r="AI209" s="107"/>
      <c r="AJ209" s="111"/>
      <c r="AK209" s="111"/>
      <c r="AL209" s="111"/>
      <c r="AM209" s="108">
        <f>AG209*'[1]1. Standard_Cost'!$B$27+'[1]Incremental_Cost Year 7'!AH209*'[1]1. Standard_Cost'!$C$27+'[1]Incremental_Cost Year 7'!AI209*'[1]1. Standard_Cost'!$D$27+'[1]Incremental_Cost Year 7'!AJ209+'[1]Incremental_Cost Year 7'!AL209+AK209</f>
        <v>0</v>
      </c>
      <c r="AN209" s="108">
        <f>AM209*'[1]1. Standard_Cost'!$C$31</f>
        <v>0</v>
      </c>
      <c r="AO209" s="125" t="s">
        <v>418</v>
      </c>
      <c r="AQ209" s="14">
        <f t="shared" si="177"/>
        <v>0</v>
      </c>
      <c r="AR209" s="14">
        <f t="shared" si="178"/>
        <v>0</v>
      </c>
      <c r="AS209" s="14">
        <f t="shared" si="179"/>
        <v>0</v>
      </c>
      <c r="AT209" s="14">
        <f t="shared" si="181"/>
        <v>0</v>
      </c>
      <c r="AU209" s="15"/>
      <c r="AV209" s="15"/>
      <c r="AW209" s="15"/>
      <c r="AX209" s="15"/>
      <c r="AY209" s="15"/>
      <c r="AZ209" s="15"/>
      <c r="BA209" s="15"/>
      <c r="BB209" s="16">
        <f t="shared" si="180"/>
        <v>0</v>
      </c>
    </row>
    <row r="210" spans="1:54" ht="15.6" outlineLevel="2">
      <c r="A210" s="98"/>
      <c r="B210" s="102"/>
      <c r="C210" s="23"/>
      <c r="D210" s="269"/>
      <c r="E210" s="271"/>
      <c r="F210" s="250"/>
      <c r="G210" s="255"/>
      <c r="H210" s="272"/>
      <c r="I210" s="104"/>
      <c r="J210" s="105"/>
      <c r="K210" s="105"/>
      <c r="L210" s="106" t="str">
        <f>IF(I210&lt;&gt;0,((VLOOKUP(I210,'1. Standard_Cost'!$B$4:$D$11,2)+VLOOKUP(I210,'1. Standard_Cost'!$B$4:$D$11,3))*J210*K210),"0")</f>
        <v>0</v>
      </c>
      <c r="M210" s="106">
        <f>L210*'1. Standard_Cost'!$F$4</f>
        <v>0</v>
      </c>
      <c r="N210" s="107"/>
      <c r="O210" s="107"/>
      <c r="P210" s="107"/>
      <c r="Q210" s="107"/>
      <c r="R210" s="108">
        <f>'1. Standard_Cost'!$B$15*N210*P210</f>
        <v>0</v>
      </c>
      <c r="S210" s="108">
        <f>N210*O210*P210*'1. Standard_Cost'!$C$15</f>
        <v>0</v>
      </c>
      <c r="T210" s="108">
        <f>N210*P210*Q210*'1. Standard_Cost'!$D$15</f>
        <v>0</v>
      </c>
      <c r="U210" s="108">
        <f>N210*O210*'1. Standard_Cost'!$E$15</f>
        <v>0</v>
      </c>
      <c r="V210" s="107"/>
      <c r="W210" s="107"/>
      <c r="X210" s="107"/>
      <c r="Y210" s="108">
        <f>+V210*((X210*'1. Standard_Cost'!$B$19)+(W210*X210*'1. Standard_Cost'!$C$19))</f>
        <v>0</v>
      </c>
      <c r="Z210" s="107"/>
      <c r="AA210" s="107"/>
      <c r="AB210" s="108">
        <f>+Z210*'1. Standard_Cost'!$B$23+AA210*'1. Standard_Cost'!$C$23</f>
        <v>0</v>
      </c>
      <c r="AC210" s="109"/>
      <c r="AD210" s="110"/>
      <c r="AE210" s="108">
        <f>SUM(AD210,AC210,AB210,Y210,U210,T210,S210,R210)*'1. Standard_Cost'!$B$31</f>
        <v>0</v>
      </c>
      <c r="AF210" s="108">
        <f t="shared" si="176"/>
        <v>0</v>
      </c>
      <c r="AG210" s="107"/>
      <c r="AH210" s="107"/>
      <c r="AI210" s="107"/>
      <c r="AJ210" s="111"/>
      <c r="AK210" s="111"/>
      <c r="AL210" s="111"/>
      <c r="AM210" s="108">
        <f>AG210*'1. Standard_Cost'!$B$27+'Incremental_Cost Year 7'!AH210*'1. Standard_Cost'!$C$27+'Incremental_Cost Year 7'!AI210*'1. Standard_Cost'!$D$27+'Incremental_Cost Year 7'!AJ210+'Incremental_Cost Year 7'!AL210+AK210</f>
        <v>0</v>
      </c>
      <c r="AN210" s="108">
        <f>AM210*'1. Standard_Cost'!$C$31</f>
        <v>0</v>
      </c>
      <c r="AO210" s="125" t="s">
        <v>418</v>
      </c>
      <c r="AQ210" s="14">
        <f t="shared" si="177"/>
        <v>0</v>
      </c>
      <c r="AR210" s="14">
        <f t="shared" si="178"/>
        <v>0</v>
      </c>
      <c r="AS210" s="14">
        <f t="shared" si="179"/>
        <v>0</v>
      </c>
      <c r="AT210" s="14">
        <f t="shared" si="181"/>
        <v>0</v>
      </c>
      <c r="AU210" s="15"/>
      <c r="AV210" s="15"/>
      <c r="AW210" s="15"/>
      <c r="AX210" s="15"/>
      <c r="AY210" s="15"/>
      <c r="AZ210" s="15"/>
      <c r="BA210" s="15"/>
      <c r="BB210" s="16">
        <f t="shared" si="180"/>
        <v>0</v>
      </c>
    </row>
    <row r="211" spans="1:54" ht="41.4" outlineLevel="2">
      <c r="A211" s="98"/>
      <c r="B211" s="102"/>
      <c r="C211" s="23"/>
      <c r="D211" s="269"/>
      <c r="E211" s="271"/>
      <c r="F211" s="250"/>
      <c r="G211" s="255"/>
      <c r="H211" s="272"/>
      <c r="I211" s="104"/>
      <c r="J211" s="105"/>
      <c r="K211" s="105"/>
      <c r="L211" s="106" t="str">
        <f>IF(I211&lt;&gt;0,((VLOOKUP(I211,'1. Standard_Cost'!$B$4:$D$11,2)+VLOOKUP(I211,'1. Standard_Cost'!$B$4:$D$11,3))*J211*K211),"0")</f>
        <v>0</v>
      </c>
      <c r="M211" s="106">
        <f>L211*'1. Standard_Cost'!$F$4</f>
        <v>0</v>
      </c>
      <c r="N211" s="107"/>
      <c r="O211" s="107"/>
      <c r="P211" s="107"/>
      <c r="Q211" s="107"/>
      <c r="R211" s="108">
        <f>'1. Standard_Cost'!$B$15*N211*P211</f>
        <v>0</v>
      </c>
      <c r="S211" s="108">
        <f>N211*O211*P211*'1. Standard_Cost'!$C$15</f>
        <v>0</v>
      </c>
      <c r="T211" s="108">
        <f>N211*P211*Q211*'1. Standard_Cost'!$D$15</f>
        <v>0</v>
      </c>
      <c r="U211" s="108">
        <f>N211*O211*'1. Standard_Cost'!$E$15</f>
        <v>0</v>
      </c>
      <c r="V211" s="107"/>
      <c r="W211" s="107"/>
      <c r="X211" s="107"/>
      <c r="Y211" s="108">
        <f>+V211*((X211*'1. Standard_Cost'!$B$19)+(W211*X211*'1. Standard_Cost'!$C$19))</f>
        <v>0</v>
      </c>
      <c r="Z211" s="107"/>
      <c r="AA211" s="107"/>
      <c r="AB211" s="108">
        <f>+Z211*'1. Standard_Cost'!$B$23+AA211*'1. Standard_Cost'!$C$23</f>
        <v>0</v>
      </c>
      <c r="AC211" s="109"/>
      <c r="AD211" s="110"/>
      <c r="AE211" s="108">
        <f>SUM(AD211,AC211,AB211,Y211,U211,T211,S211,R211)*'1. Standard_Cost'!$B$31</f>
        <v>0</v>
      </c>
      <c r="AF211" s="108">
        <f t="shared" si="176"/>
        <v>0</v>
      </c>
      <c r="AG211" s="107"/>
      <c r="AH211" s="107"/>
      <c r="AI211" s="107"/>
      <c r="AJ211" s="111"/>
      <c r="AK211" s="111"/>
      <c r="AL211" s="111"/>
      <c r="AM211" s="108">
        <f>AG211*'1. Standard_Cost'!$B$27+'Incremental_Cost Year 7'!AH211*'1. Standard_Cost'!$C$27+'Incremental_Cost Year 7'!AI211*'1. Standard_Cost'!$D$27+'Incremental_Cost Year 7'!AJ211+'Incremental_Cost Year 7'!AL211+AK211</f>
        <v>0</v>
      </c>
      <c r="AN211" s="108">
        <f>AM211*'1. Standard_Cost'!$C$31</f>
        <v>0</v>
      </c>
      <c r="AO211" s="125" t="s">
        <v>419</v>
      </c>
      <c r="AQ211" s="14">
        <f t="shared" si="177"/>
        <v>0</v>
      </c>
      <c r="AR211" s="14">
        <f t="shared" si="178"/>
        <v>0</v>
      </c>
      <c r="AS211" s="14">
        <f t="shared" si="179"/>
        <v>0</v>
      </c>
      <c r="AT211" s="14">
        <f t="shared" si="181"/>
        <v>0</v>
      </c>
      <c r="AU211" s="15"/>
      <c r="AV211" s="15"/>
      <c r="AW211" s="15"/>
      <c r="AX211" s="15"/>
      <c r="AY211" s="15"/>
      <c r="AZ211" s="15"/>
      <c r="BA211" s="15"/>
      <c r="BB211" s="16">
        <f t="shared" si="180"/>
        <v>0</v>
      </c>
    </row>
    <row r="212" spans="1:54" ht="15.6" outlineLevel="2">
      <c r="A212" s="98"/>
      <c r="B212" s="102"/>
      <c r="C212" s="23"/>
      <c r="D212" s="269"/>
      <c r="E212" s="271"/>
      <c r="F212" s="250"/>
      <c r="G212" s="255"/>
      <c r="H212" s="272"/>
      <c r="I212" s="104"/>
      <c r="J212" s="105"/>
      <c r="K212" s="105"/>
      <c r="L212" s="106" t="str">
        <f>IF(I212&lt;&gt;0,((VLOOKUP(I212,'1. Standard_Cost'!$B$4:$D$11,2)+VLOOKUP(I212,'1. Standard_Cost'!$B$4:$D$11,3))*J212*K212),"0")</f>
        <v>0</v>
      </c>
      <c r="M212" s="106">
        <f>L212*'1. Standard_Cost'!$F$4</f>
        <v>0</v>
      </c>
      <c r="N212" s="107"/>
      <c r="O212" s="107"/>
      <c r="P212" s="107"/>
      <c r="Q212" s="107"/>
      <c r="R212" s="108">
        <f>'1. Standard_Cost'!$B$15*N212*P212</f>
        <v>0</v>
      </c>
      <c r="S212" s="108">
        <f>N212*O212*P212*'1. Standard_Cost'!$C$15</f>
        <v>0</v>
      </c>
      <c r="T212" s="108">
        <f>N212*P212*Q212*'1. Standard_Cost'!$D$15</f>
        <v>0</v>
      </c>
      <c r="U212" s="108">
        <f>N212*O212*'1. Standard_Cost'!$E$15</f>
        <v>0</v>
      </c>
      <c r="V212" s="107"/>
      <c r="W212" s="107"/>
      <c r="X212" s="107"/>
      <c r="Y212" s="108">
        <f>+V212*((X212*'1. Standard_Cost'!$B$19)+(W212*X212*'1. Standard_Cost'!$C$19))</f>
        <v>0</v>
      </c>
      <c r="Z212" s="107"/>
      <c r="AA212" s="107"/>
      <c r="AB212" s="108">
        <f>+Z212*'1. Standard_Cost'!$B$23+AA212*'1. Standard_Cost'!$C$23</f>
        <v>0</v>
      </c>
      <c r="AC212" s="109"/>
      <c r="AD212" s="110"/>
      <c r="AE212" s="108">
        <f>SUM(AD212,AC212,AB212,Y212,U212,T212,S212,R212)*'1. Standard_Cost'!$B$31</f>
        <v>0</v>
      </c>
      <c r="AF212" s="108">
        <f t="shared" si="176"/>
        <v>0</v>
      </c>
      <c r="AG212" s="107"/>
      <c r="AH212" s="107"/>
      <c r="AI212" s="107"/>
      <c r="AJ212" s="111"/>
      <c r="AK212" s="111"/>
      <c r="AL212" s="111"/>
      <c r="AM212" s="108">
        <f>AG212*'1. Standard_Cost'!$B$27+'Incremental_Cost Year 7'!AH212*'1. Standard_Cost'!$C$27+'Incremental_Cost Year 7'!AI212*'1. Standard_Cost'!$D$27+'Incremental_Cost Year 7'!AJ212+'Incremental_Cost Year 7'!AL212+AK212</f>
        <v>0</v>
      </c>
      <c r="AN212" s="108">
        <f>AM212*'1. Standard_Cost'!$C$31</f>
        <v>0</v>
      </c>
      <c r="AO212" s="125" t="s">
        <v>300</v>
      </c>
      <c r="AQ212" s="14">
        <f t="shared" si="177"/>
        <v>0</v>
      </c>
      <c r="AR212" s="14">
        <f t="shared" si="178"/>
        <v>0</v>
      </c>
      <c r="AS212" s="14">
        <f t="shared" si="179"/>
        <v>0</v>
      </c>
      <c r="AT212" s="14">
        <f t="shared" si="181"/>
        <v>0</v>
      </c>
      <c r="AU212" s="15"/>
      <c r="AV212" s="15"/>
      <c r="AW212" s="15"/>
      <c r="AX212" s="15"/>
      <c r="AY212" s="15"/>
      <c r="AZ212" s="15"/>
      <c r="BA212" s="15"/>
      <c r="BB212" s="16">
        <f t="shared" si="180"/>
        <v>0</v>
      </c>
    </row>
    <row r="213" spans="1:54" ht="15.6" outlineLevel="2">
      <c r="A213" s="98"/>
      <c r="B213" s="102"/>
      <c r="C213" s="23"/>
      <c r="D213" s="269"/>
      <c r="E213" s="271"/>
      <c r="F213" s="250"/>
      <c r="G213" s="255"/>
      <c r="H213" s="272"/>
      <c r="I213" s="104"/>
      <c r="J213" s="105"/>
      <c r="K213" s="105"/>
      <c r="L213" s="106" t="str">
        <f>IF(I213&lt;&gt;0,((VLOOKUP(I213,'1. Standard_Cost'!$B$4:$D$11,2)+VLOOKUP(I213,'1. Standard_Cost'!$B$4:$D$11,3))*J213*K213),"0")</f>
        <v>0</v>
      </c>
      <c r="M213" s="106">
        <f>L213*'1. Standard_Cost'!$F$4</f>
        <v>0</v>
      </c>
      <c r="N213" s="107"/>
      <c r="O213" s="107"/>
      <c r="P213" s="107"/>
      <c r="Q213" s="107"/>
      <c r="R213" s="108">
        <f>'1. Standard_Cost'!$B$15*N213*P213</f>
        <v>0</v>
      </c>
      <c r="S213" s="108">
        <f>N213*O213*P213*'1. Standard_Cost'!$C$15</f>
        <v>0</v>
      </c>
      <c r="T213" s="108">
        <f>N213*P213*Q213*'1. Standard_Cost'!$D$15</f>
        <v>0</v>
      </c>
      <c r="U213" s="108">
        <f>N213*O213*'1. Standard_Cost'!$E$15</f>
        <v>0</v>
      </c>
      <c r="V213" s="107"/>
      <c r="W213" s="107"/>
      <c r="X213" s="107"/>
      <c r="Y213" s="108">
        <f>+V213*((X213*'1. Standard_Cost'!$B$19)+(W213*X213*'1. Standard_Cost'!$C$19))</f>
        <v>0</v>
      </c>
      <c r="Z213" s="107"/>
      <c r="AA213" s="107"/>
      <c r="AB213" s="108">
        <f>+Z213*'1. Standard_Cost'!$B$23+AA213*'1. Standard_Cost'!$C$23</f>
        <v>0</v>
      </c>
      <c r="AC213" s="109"/>
      <c r="AD213" s="110"/>
      <c r="AE213" s="108">
        <f>SUM(AD213,AC213,AB213,Y213,U213,T213,S213,R213)*'1. Standard_Cost'!$B$31</f>
        <v>0</v>
      </c>
      <c r="AF213" s="108">
        <f t="shared" si="176"/>
        <v>0</v>
      </c>
      <c r="AG213" s="107"/>
      <c r="AH213" s="107"/>
      <c r="AI213" s="107"/>
      <c r="AJ213" s="111"/>
      <c r="AK213" s="111"/>
      <c r="AL213" s="111"/>
      <c r="AM213" s="108">
        <f>AG213*'1. Standard_Cost'!$B$27+'Incremental_Cost Year 7'!AH213*'1. Standard_Cost'!$C$27+'Incremental_Cost Year 7'!AI213*'1. Standard_Cost'!$D$27+'Incremental_Cost Year 7'!AJ213+'Incremental_Cost Year 7'!AL213+AK213</f>
        <v>0</v>
      </c>
      <c r="AN213" s="108">
        <f>AM213*'1. Standard_Cost'!$C$31</f>
        <v>0</v>
      </c>
      <c r="AO213" s="125" t="s">
        <v>420</v>
      </c>
      <c r="AQ213" s="14">
        <f t="shared" si="177"/>
        <v>0</v>
      </c>
      <c r="AR213" s="14">
        <f t="shared" si="178"/>
        <v>0</v>
      </c>
      <c r="AS213" s="14">
        <f t="shared" si="179"/>
        <v>0</v>
      </c>
      <c r="AT213" s="14">
        <f t="shared" si="181"/>
        <v>0</v>
      </c>
      <c r="AU213" s="15"/>
      <c r="AV213" s="15"/>
      <c r="AW213" s="15"/>
      <c r="AX213" s="15"/>
      <c r="AY213" s="15"/>
      <c r="AZ213" s="15"/>
      <c r="BA213" s="15"/>
      <c r="BB213" s="16">
        <f t="shared" si="180"/>
        <v>0</v>
      </c>
    </row>
    <row r="214" spans="1:54" ht="21" customHeight="1" outlineLevel="2">
      <c r="A214" s="98"/>
      <c r="B214" s="102"/>
      <c r="C214" s="23"/>
      <c r="D214" s="269"/>
      <c r="E214" s="271"/>
      <c r="F214" s="271"/>
      <c r="G214" s="167"/>
      <c r="H214" s="168"/>
      <c r="I214" s="104"/>
      <c r="J214" s="105"/>
      <c r="K214" s="105"/>
      <c r="L214" s="106" t="str">
        <f>IF(I214&lt;&gt;0,((VLOOKUP(I214,'[1]1. Standard_Cost'!$B$4:$D$11,2)+VLOOKUP(I214,'[1]1. Standard_Cost'!$B$4:$D$11,3))*J214*K214),"0")</f>
        <v>0</v>
      </c>
      <c r="M214" s="106">
        <f>L214*'[1]1. Standard_Cost'!$F$4</f>
        <v>0</v>
      </c>
      <c r="N214" s="107"/>
      <c r="O214" s="107"/>
      <c r="P214" s="107"/>
      <c r="Q214" s="107"/>
      <c r="R214" s="108">
        <f>'[1]1. Standard_Cost'!$B$15*N214*P214</f>
        <v>0</v>
      </c>
      <c r="S214" s="108">
        <f>N214*O214*P214*'[1]1. Standard_Cost'!$C$15</f>
        <v>0</v>
      </c>
      <c r="T214" s="108">
        <f>N214*P214*Q214*'[1]1. Standard_Cost'!$D$15</f>
        <v>0</v>
      </c>
      <c r="U214" s="108">
        <f>N214*O214*'[1]1. Standard_Cost'!$E$15</f>
        <v>0</v>
      </c>
      <c r="V214" s="107"/>
      <c r="W214" s="107"/>
      <c r="X214" s="107"/>
      <c r="Y214" s="108">
        <f>+V214*((X214*'[1]1. Standard_Cost'!$B$19)+(W214*X214*'[1]1. Standard_Cost'!$C$19))</f>
        <v>0</v>
      </c>
      <c r="Z214" s="107"/>
      <c r="AA214" s="107"/>
      <c r="AB214" s="108">
        <f>+Z214*'[1]1. Standard_Cost'!$B$23+AA214*'[1]1. Standard_Cost'!$C$23</f>
        <v>0</v>
      </c>
      <c r="AC214" s="109"/>
      <c r="AD214" s="110"/>
      <c r="AE214" s="108">
        <f>SUM(AD214,AC214,AB214,Y214,U214,T214,S214,R214)*'[1]1. Standard_Cost'!$B$31</f>
        <v>0</v>
      </c>
      <c r="AF214" s="108">
        <f t="shared" si="176"/>
        <v>0</v>
      </c>
      <c r="AG214" s="107"/>
      <c r="AH214" s="107"/>
      <c r="AI214" s="107"/>
      <c r="AJ214" s="111"/>
      <c r="AK214" s="111"/>
      <c r="AL214" s="111"/>
      <c r="AM214" s="108">
        <f>AG214*'[1]1. Standard_Cost'!$B$27+'[1]Incremental_Cost Year 7'!AH214*'[1]1. Standard_Cost'!$C$27+'[1]Incremental_Cost Year 7'!AI214*'[1]1. Standard_Cost'!$D$27+'[1]Incremental_Cost Year 7'!AJ214+'[1]Incremental_Cost Year 7'!AL214+AK214</f>
        <v>0</v>
      </c>
      <c r="AN214" s="108">
        <f>AM214*'[1]1. Standard_Cost'!$C$31</f>
        <v>0</v>
      </c>
      <c r="AO214" s="125" t="s">
        <v>421</v>
      </c>
      <c r="AQ214" s="14">
        <f t="shared" si="177"/>
        <v>0</v>
      </c>
      <c r="AR214" s="14">
        <f t="shared" si="178"/>
        <v>0</v>
      </c>
      <c r="AS214" s="14">
        <f t="shared" si="179"/>
        <v>0</v>
      </c>
      <c r="AT214" s="14">
        <f t="shared" si="181"/>
        <v>0</v>
      </c>
      <c r="AU214" s="15"/>
      <c r="AV214" s="15"/>
      <c r="AW214" s="15"/>
      <c r="AX214" s="15"/>
      <c r="AY214" s="15"/>
      <c r="AZ214" s="15"/>
      <c r="BA214" s="15"/>
      <c r="BB214" s="16">
        <f t="shared" si="180"/>
        <v>0</v>
      </c>
    </row>
    <row r="215" spans="1:54" ht="15.6" outlineLevel="2">
      <c r="A215" s="98"/>
      <c r="B215" s="102"/>
      <c r="C215" s="23"/>
      <c r="D215" s="269"/>
      <c r="E215" s="271"/>
      <c r="F215" s="250"/>
      <c r="G215" s="255"/>
      <c r="H215" s="272"/>
      <c r="I215" s="104"/>
      <c r="J215" s="105"/>
      <c r="K215" s="105"/>
      <c r="L215" s="106" t="str">
        <f>IF(I215&lt;&gt;0,((VLOOKUP(I215,'1. Standard_Cost'!$B$4:$D$11,2)+VLOOKUP(I215,'1. Standard_Cost'!$B$4:$D$11,3))*J215*K215),"0")</f>
        <v>0</v>
      </c>
      <c r="M215" s="106">
        <f>L215*'1. Standard_Cost'!$F$4</f>
        <v>0</v>
      </c>
      <c r="N215" s="107"/>
      <c r="O215" s="107"/>
      <c r="P215" s="107"/>
      <c r="Q215" s="107"/>
      <c r="R215" s="108">
        <f>'1. Standard_Cost'!$B$15*N215*P215</f>
        <v>0</v>
      </c>
      <c r="S215" s="108">
        <f>N215*O215*P215*'1. Standard_Cost'!$C$15</f>
        <v>0</v>
      </c>
      <c r="T215" s="108">
        <f>N215*P215*Q215*'1. Standard_Cost'!$D$15</f>
        <v>0</v>
      </c>
      <c r="U215" s="108">
        <f>N215*O215*'1. Standard_Cost'!$E$15</f>
        <v>0</v>
      </c>
      <c r="V215" s="107"/>
      <c r="W215" s="107"/>
      <c r="X215" s="107"/>
      <c r="Y215" s="108">
        <f>+V215*((X215*'1. Standard_Cost'!$B$19)+(W215*X215*'1. Standard_Cost'!$C$19))</f>
        <v>0</v>
      </c>
      <c r="Z215" s="107"/>
      <c r="AA215" s="107"/>
      <c r="AB215" s="108">
        <f>+Z215*'1. Standard_Cost'!$B$23+AA215*'1. Standard_Cost'!$C$23</f>
        <v>0</v>
      </c>
      <c r="AC215" s="109"/>
      <c r="AD215" s="110"/>
      <c r="AE215" s="108">
        <f>SUM(AD215,AC215,AB215,Y215,U215,T215,S215,R215)*'1. Standard_Cost'!$B$31</f>
        <v>0</v>
      </c>
      <c r="AF215" s="108">
        <f t="shared" si="176"/>
        <v>0</v>
      </c>
      <c r="AG215" s="107"/>
      <c r="AH215" s="107"/>
      <c r="AI215" s="107"/>
      <c r="AJ215" s="111"/>
      <c r="AK215" s="111"/>
      <c r="AL215" s="111"/>
      <c r="AM215" s="108">
        <f>AG215*'1. Standard_Cost'!$B$27+'Incremental_Cost Year 7'!AH215*'1. Standard_Cost'!$C$27+'Incremental_Cost Year 7'!AI215*'1. Standard_Cost'!$D$27+'Incremental_Cost Year 7'!AJ215+'Incremental_Cost Year 7'!AL215+AK215</f>
        <v>0</v>
      </c>
      <c r="AN215" s="108">
        <f>AM215*'1. Standard_Cost'!$C$31</f>
        <v>0</v>
      </c>
      <c r="AO215" s="125" t="s">
        <v>421</v>
      </c>
      <c r="AQ215" s="14">
        <f t="shared" si="177"/>
        <v>0</v>
      </c>
      <c r="AR215" s="14">
        <f t="shared" si="178"/>
        <v>0</v>
      </c>
      <c r="AS215" s="14">
        <f t="shared" si="179"/>
        <v>0</v>
      </c>
      <c r="AT215" s="14">
        <f t="shared" si="181"/>
        <v>0</v>
      </c>
      <c r="AU215" s="15"/>
      <c r="AV215" s="15"/>
      <c r="AW215" s="15"/>
      <c r="AX215" s="15"/>
      <c r="AY215" s="15"/>
      <c r="AZ215" s="15"/>
      <c r="BA215" s="15"/>
      <c r="BB215" s="16">
        <f t="shared" si="180"/>
        <v>0</v>
      </c>
    </row>
    <row r="216" spans="1:54" ht="41.4" outlineLevel="2">
      <c r="A216" s="98"/>
      <c r="B216" s="102"/>
      <c r="C216" s="23"/>
      <c r="D216" s="269"/>
      <c r="E216" s="271"/>
      <c r="F216" s="250"/>
      <c r="G216" s="255"/>
      <c r="H216" s="272"/>
      <c r="I216" s="104"/>
      <c r="J216" s="105"/>
      <c r="K216" s="105"/>
      <c r="L216" s="106" t="str">
        <f>IF(I216&lt;&gt;0,((VLOOKUP(I216,'1. Standard_Cost'!$B$4:$D$11,2)+VLOOKUP(I216,'1. Standard_Cost'!$B$4:$D$11,3))*J216*K216),"0")</f>
        <v>0</v>
      </c>
      <c r="M216" s="106">
        <f>L216*'1. Standard_Cost'!$F$4</f>
        <v>0</v>
      </c>
      <c r="N216" s="107"/>
      <c r="O216" s="107"/>
      <c r="P216" s="107"/>
      <c r="Q216" s="107"/>
      <c r="R216" s="108">
        <f>'1. Standard_Cost'!$B$15*N216*P216</f>
        <v>0</v>
      </c>
      <c r="S216" s="108">
        <f>N216*O216*P216*'1. Standard_Cost'!$C$15</f>
        <v>0</v>
      </c>
      <c r="T216" s="108">
        <f>N216*P216*Q216*'1. Standard_Cost'!$D$15</f>
        <v>0</v>
      </c>
      <c r="U216" s="108">
        <f>N216*O216*'1. Standard_Cost'!$E$15</f>
        <v>0</v>
      </c>
      <c r="V216" s="107"/>
      <c r="W216" s="107"/>
      <c r="X216" s="107"/>
      <c r="Y216" s="108">
        <f>+V216*((X216*'1. Standard_Cost'!$B$19)+(W216*X216*'1. Standard_Cost'!$C$19))</f>
        <v>0</v>
      </c>
      <c r="Z216" s="107"/>
      <c r="AA216" s="107"/>
      <c r="AB216" s="108">
        <f>+Z216*'1. Standard_Cost'!$B$23+AA216*'1. Standard_Cost'!$C$23</f>
        <v>0</v>
      </c>
      <c r="AC216" s="109"/>
      <c r="AD216" s="110"/>
      <c r="AE216" s="108">
        <f>SUM(AD216,AC216,AB216,Y216,U216,T216,S216,R216)*'1. Standard_Cost'!$B$31</f>
        <v>0</v>
      </c>
      <c r="AF216" s="108">
        <f t="shared" si="176"/>
        <v>0</v>
      </c>
      <c r="AG216" s="107"/>
      <c r="AH216" s="107"/>
      <c r="AI216" s="107"/>
      <c r="AJ216" s="111"/>
      <c r="AK216" s="111"/>
      <c r="AL216" s="111"/>
      <c r="AM216" s="108">
        <f>AG216*'1. Standard_Cost'!$B$27+'Incremental_Cost Year 7'!AH216*'1. Standard_Cost'!$C$27+'Incremental_Cost Year 7'!AI216*'1. Standard_Cost'!$D$27+'Incremental_Cost Year 7'!AJ216+'Incremental_Cost Year 7'!AL216+AK216</f>
        <v>0</v>
      </c>
      <c r="AN216" s="108">
        <f>AM216*'1. Standard_Cost'!$C$31</f>
        <v>0</v>
      </c>
      <c r="AO216" s="125" t="s">
        <v>422</v>
      </c>
      <c r="AQ216" s="14">
        <f t="shared" si="177"/>
        <v>0</v>
      </c>
      <c r="AR216" s="14">
        <f t="shared" si="178"/>
        <v>0</v>
      </c>
      <c r="AS216" s="14">
        <f t="shared" si="179"/>
        <v>0</v>
      </c>
      <c r="AT216" s="14">
        <f t="shared" si="181"/>
        <v>0</v>
      </c>
      <c r="AU216" s="15"/>
      <c r="AV216" s="15"/>
      <c r="AW216" s="15"/>
      <c r="AX216" s="15"/>
      <c r="AY216" s="15"/>
      <c r="AZ216" s="15"/>
      <c r="BA216" s="15"/>
      <c r="BB216" s="16">
        <f t="shared" si="180"/>
        <v>0</v>
      </c>
    </row>
    <row r="217" spans="1:54" ht="15.6" outlineLevel="2">
      <c r="A217" s="98"/>
      <c r="B217" s="102"/>
      <c r="C217" s="23"/>
      <c r="D217" s="269"/>
      <c r="E217" s="271"/>
      <c r="F217" s="250"/>
      <c r="G217" s="255"/>
      <c r="H217" s="272"/>
      <c r="I217" s="104"/>
      <c r="J217" s="105"/>
      <c r="K217" s="105"/>
      <c r="L217" s="106" t="str">
        <f>IF(I217&lt;&gt;0,((VLOOKUP(I217,'1. Standard_Cost'!$B$4:$D$11,2)+VLOOKUP(I217,'1. Standard_Cost'!$B$4:$D$11,3))*J217*K217),"0")</f>
        <v>0</v>
      </c>
      <c r="M217" s="106">
        <f>L217*'1. Standard_Cost'!$F$4</f>
        <v>0</v>
      </c>
      <c r="N217" s="107"/>
      <c r="O217" s="107"/>
      <c r="P217" s="107"/>
      <c r="Q217" s="107"/>
      <c r="R217" s="108">
        <f>'1. Standard_Cost'!$B$15*N217*P217</f>
        <v>0</v>
      </c>
      <c r="S217" s="108">
        <f>N217*O217*P217*'1. Standard_Cost'!$C$15</f>
        <v>0</v>
      </c>
      <c r="T217" s="108">
        <f>N217*P217*Q217*'1. Standard_Cost'!$D$15</f>
        <v>0</v>
      </c>
      <c r="U217" s="108">
        <f>N217*O217*'1. Standard_Cost'!$E$15</f>
        <v>0</v>
      </c>
      <c r="V217" s="107"/>
      <c r="W217" s="107"/>
      <c r="X217" s="107"/>
      <c r="Y217" s="108">
        <f>+V217*((X217*'1. Standard_Cost'!$B$19)+(W217*X217*'1. Standard_Cost'!$C$19))</f>
        <v>0</v>
      </c>
      <c r="Z217" s="107"/>
      <c r="AA217" s="107"/>
      <c r="AB217" s="108">
        <f>+Z217*'1. Standard_Cost'!$B$23+AA217*'1. Standard_Cost'!$C$23</f>
        <v>0</v>
      </c>
      <c r="AC217" s="109"/>
      <c r="AD217" s="110"/>
      <c r="AE217" s="108">
        <f>SUM(AD217,AC217,AB217,Y217,U217,T217,S217,R217)*'1. Standard_Cost'!$B$31</f>
        <v>0</v>
      </c>
      <c r="AF217" s="108">
        <f t="shared" si="176"/>
        <v>0</v>
      </c>
      <c r="AG217" s="107"/>
      <c r="AH217" s="107"/>
      <c r="AI217" s="107"/>
      <c r="AJ217" s="111"/>
      <c r="AK217" s="111"/>
      <c r="AL217" s="111"/>
      <c r="AM217" s="108">
        <f>AG217*'1. Standard_Cost'!$B$27+'Incremental_Cost Year 7'!AH217*'1. Standard_Cost'!$C$27+'Incremental_Cost Year 7'!AI217*'1. Standard_Cost'!$D$27+'Incremental_Cost Year 7'!AJ217+'Incremental_Cost Year 7'!AL217+AK217</f>
        <v>0</v>
      </c>
      <c r="AN217" s="108">
        <f>AM217*'1. Standard_Cost'!$C$31</f>
        <v>0</v>
      </c>
      <c r="AO217" s="125" t="s">
        <v>423</v>
      </c>
      <c r="AQ217" s="14">
        <f t="shared" si="177"/>
        <v>0</v>
      </c>
      <c r="AR217" s="14">
        <f t="shared" si="178"/>
        <v>0</v>
      </c>
      <c r="AS217" s="14">
        <f t="shared" si="179"/>
        <v>0</v>
      </c>
      <c r="AT217" s="14">
        <f t="shared" si="181"/>
        <v>0</v>
      </c>
      <c r="AU217" s="15"/>
      <c r="AV217" s="15"/>
      <c r="AW217" s="15"/>
      <c r="AX217" s="15"/>
      <c r="AY217" s="15"/>
      <c r="AZ217" s="15"/>
      <c r="BA217" s="15"/>
      <c r="BB217" s="16">
        <f t="shared" si="180"/>
        <v>0</v>
      </c>
    </row>
    <row r="218" spans="1:54" ht="55.2" outlineLevel="2">
      <c r="A218" s="98"/>
      <c r="B218" s="102"/>
      <c r="C218" s="23"/>
      <c r="D218" s="269"/>
      <c r="E218" s="271"/>
      <c r="F218" s="250"/>
      <c r="G218" s="255"/>
      <c r="H218" s="272"/>
      <c r="I218" s="104"/>
      <c r="J218" s="105"/>
      <c r="K218" s="105"/>
      <c r="L218" s="106" t="str">
        <f>IF(I218&lt;&gt;0,((VLOOKUP(I218,'1. Standard_Cost'!$B$4:$D$11,2)+VLOOKUP(I218,'1. Standard_Cost'!$B$4:$D$11,3))*J218*K218),"0")</f>
        <v>0</v>
      </c>
      <c r="M218" s="106">
        <f>L218*'1. Standard_Cost'!$F$4</f>
        <v>0</v>
      </c>
      <c r="N218" s="107"/>
      <c r="O218" s="107"/>
      <c r="P218" s="107"/>
      <c r="Q218" s="107"/>
      <c r="R218" s="108">
        <f>'1. Standard_Cost'!$B$15*N218*P218</f>
        <v>0</v>
      </c>
      <c r="S218" s="108">
        <f>N218*O218*P218*'1. Standard_Cost'!$C$15</f>
        <v>0</v>
      </c>
      <c r="T218" s="108">
        <f>N218*P218*Q218*'1. Standard_Cost'!$D$15</f>
        <v>0</v>
      </c>
      <c r="U218" s="108">
        <f>N218*O218*'1. Standard_Cost'!$E$15</f>
        <v>0</v>
      </c>
      <c r="V218" s="107"/>
      <c r="W218" s="107"/>
      <c r="X218" s="107"/>
      <c r="Y218" s="108">
        <f>+V218*((X218*'1. Standard_Cost'!$B$19)+(W218*X218*'1. Standard_Cost'!$C$19))</f>
        <v>0</v>
      </c>
      <c r="Z218" s="107"/>
      <c r="AA218" s="107"/>
      <c r="AB218" s="108">
        <f>+Z218*'1. Standard_Cost'!$B$23+AA218*'1. Standard_Cost'!$C$23</f>
        <v>0</v>
      </c>
      <c r="AC218" s="109"/>
      <c r="AD218" s="110"/>
      <c r="AE218" s="108">
        <f>SUM(AD218,AC218,AB218,Y218,U218,T218,S218,R218)*'1. Standard_Cost'!$B$31</f>
        <v>0</v>
      </c>
      <c r="AF218" s="108">
        <f t="shared" si="176"/>
        <v>0</v>
      </c>
      <c r="AG218" s="107"/>
      <c r="AH218" s="107"/>
      <c r="AI218" s="107"/>
      <c r="AJ218" s="111"/>
      <c r="AK218" s="111"/>
      <c r="AL218" s="111"/>
      <c r="AM218" s="108">
        <f>AG218*'1. Standard_Cost'!$B$27+'Incremental_Cost Year 7'!AH218*'1. Standard_Cost'!$C$27+'Incremental_Cost Year 7'!AI218*'1. Standard_Cost'!$D$27+'Incremental_Cost Year 7'!AJ218+'Incremental_Cost Year 7'!AL218+AK218</f>
        <v>0</v>
      </c>
      <c r="AN218" s="108">
        <f>AM218*'1. Standard_Cost'!$C$31</f>
        <v>0</v>
      </c>
      <c r="AO218" s="125" t="s">
        <v>424</v>
      </c>
      <c r="AQ218" s="14">
        <f t="shared" si="177"/>
        <v>0</v>
      </c>
      <c r="AR218" s="14">
        <f t="shared" si="178"/>
        <v>0</v>
      </c>
      <c r="AS218" s="14">
        <f t="shared" si="179"/>
        <v>0</v>
      </c>
      <c r="AT218" s="14">
        <f t="shared" si="181"/>
        <v>0</v>
      </c>
      <c r="AU218" s="15"/>
      <c r="AV218" s="15"/>
      <c r="AW218" s="15"/>
      <c r="AX218" s="15"/>
      <c r="AY218" s="15"/>
      <c r="AZ218" s="15"/>
      <c r="BA218" s="15"/>
      <c r="BB218" s="16">
        <f t="shared" si="180"/>
        <v>0</v>
      </c>
    </row>
    <row r="219" spans="1:54" ht="36" customHeight="1" outlineLevel="2">
      <c r="A219" s="98"/>
      <c r="B219" s="102"/>
      <c r="C219" s="23"/>
      <c r="D219" s="251"/>
      <c r="E219" s="251"/>
      <c r="F219" s="251"/>
      <c r="G219" s="250"/>
      <c r="H219" s="272"/>
      <c r="I219" s="104"/>
      <c r="J219" s="105"/>
      <c r="K219" s="105"/>
      <c r="L219" s="106" t="str">
        <f>IF(I219&lt;&gt;0,((VLOOKUP(I219,'1. Standard_Cost'!$B$4:$D$11,2)+VLOOKUP(I219,'1. Standard_Cost'!$B$4:$D$11,3))*J219*K219),"0")</f>
        <v>0</v>
      </c>
      <c r="M219" s="106">
        <f>L219*'1. Standard_Cost'!$F$4</f>
        <v>0</v>
      </c>
      <c r="N219" s="107"/>
      <c r="O219" s="107"/>
      <c r="P219" s="107"/>
      <c r="Q219" s="107"/>
      <c r="R219" s="108">
        <f>'1. Standard_Cost'!$B$15*N219*P219</f>
        <v>0</v>
      </c>
      <c r="S219" s="108">
        <f>N219*O219*P219*'1. Standard_Cost'!$C$15</f>
        <v>0</v>
      </c>
      <c r="T219" s="108">
        <f>N219*P219*Q219*'1. Standard_Cost'!$D$15</f>
        <v>0</v>
      </c>
      <c r="U219" s="108">
        <f>N219*O219*'1. Standard_Cost'!$E$15</f>
        <v>0</v>
      </c>
      <c r="V219" s="107"/>
      <c r="W219" s="107"/>
      <c r="X219" s="107"/>
      <c r="Y219" s="108">
        <f>+V219*((X219*'1. Standard_Cost'!$B$19)+(W219*X219*'1. Standard_Cost'!$C$19))</f>
        <v>0</v>
      </c>
      <c r="Z219" s="107"/>
      <c r="AA219" s="107"/>
      <c r="AB219" s="108">
        <f>+Z219*'1. Standard_Cost'!$B$23+AA219*'1. Standard_Cost'!$C$23</f>
        <v>0</v>
      </c>
      <c r="AC219" s="109"/>
      <c r="AD219" s="110"/>
      <c r="AE219" s="108">
        <f>SUM(AD219,AC219,AB219,Y219,U219,T219,S219,R219)*'1. Standard_Cost'!$B$31</f>
        <v>0</v>
      </c>
      <c r="AF219" s="108">
        <f t="shared" si="176"/>
        <v>0</v>
      </c>
      <c r="AG219" s="107"/>
      <c r="AH219" s="107"/>
      <c r="AI219" s="107"/>
      <c r="AJ219" s="111"/>
      <c r="AK219" s="111"/>
      <c r="AL219" s="111"/>
      <c r="AM219" s="108">
        <f>AG219*'1. Standard_Cost'!$B$27+'Incremental_Cost Year 7'!AH219*'1. Standard_Cost'!$C$27+'Incremental_Cost Year 7'!AI219*'1. Standard_Cost'!$D$27+'Incremental_Cost Year 7'!AJ219+'Incremental_Cost Year 7'!AL219+AK219</f>
        <v>0</v>
      </c>
      <c r="AN219" s="108">
        <f>AM219*'1. Standard_Cost'!$C$31</f>
        <v>0</v>
      </c>
      <c r="AO219" s="125" t="s">
        <v>425</v>
      </c>
      <c r="AQ219" s="14">
        <f t="shared" si="177"/>
        <v>0</v>
      </c>
      <c r="AR219" s="14">
        <f t="shared" si="178"/>
        <v>0</v>
      </c>
      <c r="AS219" s="14">
        <f t="shared" si="179"/>
        <v>0</v>
      </c>
      <c r="AT219" s="14">
        <f t="shared" si="181"/>
        <v>0</v>
      </c>
      <c r="AU219" s="15"/>
      <c r="AV219" s="15"/>
      <c r="AW219" s="15"/>
      <c r="AX219" s="15"/>
      <c r="AY219" s="15"/>
      <c r="AZ219" s="15"/>
      <c r="BA219" s="15"/>
      <c r="BB219" s="16">
        <f t="shared" si="180"/>
        <v>0</v>
      </c>
    </row>
    <row r="220" spans="1:54" ht="32.25" customHeight="1" outlineLevel="2">
      <c r="A220" s="98"/>
      <c r="B220" s="102"/>
      <c r="C220" s="23"/>
      <c r="D220" s="251"/>
      <c r="E220" s="251"/>
      <c r="F220" s="251"/>
      <c r="G220" s="250"/>
      <c r="H220" s="272"/>
      <c r="I220" s="104"/>
      <c r="J220" s="105"/>
      <c r="K220" s="105"/>
      <c r="L220" s="106" t="str">
        <f>IF(I220&lt;&gt;0,((VLOOKUP(I220,'1. Standard_Cost'!$B$4:$D$11,2)+VLOOKUP(I220,'1. Standard_Cost'!$B$4:$D$11,3))*J220*K220),"0")</f>
        <v>0</v>
      </c>
      <c r="M220" s="106">
        <f>L220*'1. Standard_Cost'!$F$4</f>
        <v>0</v>
      </c>
      <c r="N220" s="107"/>
      <c r="O220" s="107"/>
      <c r="P220" s="107"/>
      <c r="Q220" s="107"/>
      <c r="R220" s="108">
        <f>'1. Standard_Cost'!$B$15*N220*P220</f>
        <v>0</v>
      </c>
      <c r="S220" s="108">
        <f>N220*O220*P220*'1. Standard_Cost'!$C$15</f>
        <v>0</v>
      </c>
      <c r="T220" s="108">
        <f>N220*P220*Q220*'1. Standard_Cost'!$D$15</f>
        <v>0</v>
      </c>
      <c r="U220" s="108">
        <f>N220*O220*'1. Standard_Cost'!$E$15</f>
        <v>0</v>
      </c>
      <c r="V220" s="107"/>
      <c r="W220" s="107"/>
      <c r="X220" s="107"/>
      <c r="Y220" s="108">
        <f>+V220*((X220*'1. Standard_Cost'!$B$19)+(W220*X220*'1. Standard_Cost'!$C$19))</f>
        <v>0</v>
      </c>
      <c r="Z220" s="107"/>
      <c r="AA220" s="107"/>
      <c r="AB220" s="108">
        <f>+Z220*'1. Standard_Cost'!$B$23+AA220*'1. Standard_Cost'!$C$23</f>
        <v>0</v>
      </c>
      <c r="AC220" s="109"/>
      <c r="AD220" s="110"/>
      <c r="AE220" s="108">
        <f>SUM(AD220,AC220,AB220,Y220,U220,T220,S220,R220)*'1. Standard_Cost'!$B$31</f>
        <v>0</v>
      </c>
      <c r="AF220" s="108">
        <f t="shared" si="176"/>
        <v>0</v>
      </c>
      <c r="AG220" s="107"/>
      <c r="AH220" s="107"/>
      <c r="AI220" s="107"/>
      <c r="AJ220" s="111"/>
      <c r="AK220" s="111"/>
      <c r="AL220" s="111"/>
      <c r="AM220" s="108">
        <f>AG220*'1. Standard_Cost'!$B$27+'Incremental_Cost Year 7'!AH220*'1. Standard_Cost'!$C$27+'Incremental_Cost Year 7'!AI220*'1. Standard_Cost'!$D$27+'Incremental_Cost Year 7'!AJ220+'Incremental_Cost Year 7'!AL220+AK220</f>
        <v>0</v>
      </c>
      <c r="AN220" s="108">
        <f>AM220*'1. Standard_Cost'!$C$31</f>
        <v>0</v>
      </c>
      <c r="AO220" s="125" t="s">
        <v>426</v>
      </c>
      <c r="AQ220" s="14">
        <f t="shared" si="177"/>
        <v>0</v>
      </c>
      <c r="AR220" s="14">
        <f t="shared" si="178"/>
        <v>0</v>
      </c>
      <c r="AS220" s="14">
        <f t="shared" si="179"/>
        <v>0</v>
      </c>
      <c r="AT220" s="14">
        <f t="shared" si="181"/>
        <v>0</v>
      </c>
      <c r="AU220" s="15"/>
      <c r="AV220" s="15"/>
      <c r="AW220" s="15"/>
      <c r="AX220" s="15"/>
      <c r="AY220" s="15"/>
      <c r="AZ220" s="15"/>
      <c r="BA220" s="15"/>
      <c r="BB220" s="16">
        <f t="shared" si="180"/>
        <v>0</v>
      </c>
    </row>
    <row r="221" spans="1:54" ht="45" customHeight="1" outlineLevel="2">
      <c r="A221" s="98"/>
      <c r="B221" s="102"/>
      <c r="C221" s="23"/>
      <c r="D221" s="251"/>
      <c r="E221" s="251"/>
      <c r="F221" s="251"/>
      <c r="G221" s="250"/>
      <c r="H221" s="272"/>
      <c r="I221" s="104"/>
      <c r="J221" s="105"/>
      <c r="K221" s="105"/>
      <c r="L221" s="106" t="str">
        <f>IF(I221&lt;&gt;0,((VLOOKUP(I221,'1. Standard_Cost'!$B$4:$D$11,2)+VLOOKUP(I221,'1. Standard_Cost'!$B$4:$D$11,3))*J221*K221),"0")</f>
        <v>0</v>
      </c>
      <c r="M221" s="106">
        <f>L221*'1. Standard_Cost'!$F$4</f>
        <v>0</v>
      </c>
      <c r="N221" s="107"/>
      <c r="O221" s="107"/>
      <c r="P221" s="107"/>
      <c r="Q221" s="107"/>
      <c r="R221" s="108">
        <f>'1. Standard_Cost'!$B$15*N221*P221</f>
        <v>0</v>
      </c>
      <c r="S221" s="108">
        <f>N221*O221*P221*'1. Standard_Cost'!$C$15</f>
        <v>0</v>
      </c>
      <c r="T221" s="108">
        <f>N221*P221*Q221*'1. Standard_Cost'!$D$15</f>
        <v>0</v>
      </c>
      <c r="U221" s="108">
        <f>N221*O221*'1. Standard_Cost'!$E$15</f>
        <v>0</v>
      </c>
      <c r="V221" s="107"/>
      <c r="W221" s="107"/>
      <c r="X221" s="107"/>
      <c r="Y221" s="108">
        <f>+V221*((X221*'1. Standard_Cost'!$B$19)+(W221*X221*'1. Standard_Cost'!$C$19))</f>
        <v>0</v>
      </c>
      <c r="Z221" s="107"/>
      <c r="AA221" s="107"/>
      <c r="AB221" s="108">
        <f>+Z221*'1. Standard_Cost'!$B$23+AA221*'1. Standard_Cost'!$C$23</f>
        <v>0</v>
      </c>
      <c r="AC221" s="109"/>
      <c r="AD221" s="110"/>
      <c r="AE221" s="108">
        <f>SUM(AD221,AC221,AB221,Y221,U221,T221,S221,R221)*'1. Standard_Cost'!$B$31</f>
        <v>0</v>
      </c>
      <c r="AF221" s="108">
        <f t="shared" si="176"/>
        <v>0</v>
      </c>
      <c r="AG221" s="107"/>
      <c r="AH221" s="107"/>
      <c r="AI221" s="107"/>
      <c r="AJ221" s="111"/>
      <c r="AK221" s="111"/>
      <c r="AL221" s="111"/>
      <c r="AM221" s="108">
        <f>AG221*'1. Standard_Cost'!$B$27+'Incremental_Cost Year 7'!AH221*'1. Standard_Cost'!$C$27+'Incremental_Cost Year 7'!AI221*'1. Standard_Cost'!$D$27+'Incremental_Cost Year 7'!AJ221+'Incremental_Cost Year 7'!AL221+AK221</f>
        <v>0</v>
      </c>
      <c r="AN221" s="108">
        <f>AM221*'1. Standard_Cost'!$C$31</f>
        <v>0</v>
      </c>
      <c r="AO221" s="125" t="s">
        <v>427</v>
      </c>
      <c r="AQ221" s="14">
        <f t="shared" si="177"/>
        <v>0</v>
      </c>
      <c r="AR221" s="14">
        <f t="shared" si="178"/>
        <v>0</v>
      </c>
      <c r="AS221" s="14">
        <f t="shared" si="179"/>
        <v>0</v>
      </c>
      <c r="AT221" s="14">
        <f t="shared" si="181"/>
        <v>0</v>
      </c>
      <c r="AU221" s="15"/>
      <c r="AV221" s="15"/>
      <c r="AW221" s="15"/>
      <c r="AX221" s="15"/>
      <c r="AY221" s="15"/>
      <c r="AZ221" s="15"/>
      <c r="BA221" s="15"/>
      <c r="BB221" s="16">
        <f t="shared" si="180"/>
        <v>0</v>
      </c>
    </row>
    <row r="222" spans="1:54" ht="27.6" outlineLevel="1">
      <c r="A222" s="98"/>
      <c r="B222" s="102"/>
      <c r="C222" s="23"/>
      <c r="D222" s="56" t="s">
        <v>47</v>
      </c>
      <c r="E222" s="56" t="s">
        <v>247</v>
      </c>
      <c r="F222" s="253">
        <v>2021</v>
      </c>
      <c r="G222" s="254">
        <v>2026</v>
      </c>
      <c r="H222" s="279" t="s">
        <v>248</v>
      </c>
      <c r="I222" s="112"/>
      <c r="J222" s="112"/>
      <c r="K222" s="112"/>
      <c r="L222" s="113">
        <f>SUM(L203:L221)</f>
        <v>0</v>
      </c>
      <c r="M222" s="113">
        <f>SUM(M203:M221)</f>
        <v>0</v>
      </c>
      <c r="N222" s="112"/>
      <c r="O222" s="112"/>
      <c r="P222" s="112"/>
      <c r="Q222" s="112"/>
      <c r="R222" s="113">
        <f>SUM(R203:R221)</f>
        <v>0</v>
      </c>
      <c r="S222" s="113">
        <f>SUM(S203:S221)</f>
        <v>0</v>
      </c>
      <c r="T222" s="113">
        <f>SUM(T203:T221)</f>
        <v>0</v>
      </c>
      <c r="U222" s="113">
        <f>SUM(U203:U221)</f>
        <v>0</v>
      </c>
      <c r="V222" s="112"/>
      <c r="W222" s="112"/>
      <c r="X222" s="112"/>
      <c r="Y222" s="113">
        <f>SUM(Y203:Y221)</f>
        <v>0</v>
      </c>
      <c r="Z222" s="113"/>
      <c r="AA222" s="112"/>
      <c r="AB222" s="113">
        <f>SUM(AB203:AB221)</f>
        <v>0</v>
      </c>
      <c r="AC222" s="113">
        <f>SUM(AC203:AC221)</f>
        <v>0</v>
      </c>
      <c r="AD222" s="113">
        <f>SUM(AD203:AD221)</f>
        <v>0</v>
      </c>
      <c r="AE222" s="113">
        <f>SUM(AE203:AE221)</f>
        <v>0</v>
      </c>
      <c r="AF222" s="113">
        <f>SUM(AF203:AF221)</f>
        <v>0</v>
      </c>
      <c r="AG222" s="112"/>
      <c r="AH222" s="112"/>
      <c r="AI222" s="112"/>
      <c r="AJ222" s="113">
        <f>SUM(AJ203:AJ221)</f>
        <v>0</v>
      </c>
      <c r="AK222" s="113">
        <f>SUM(AK203:AK221)</f>
        <v>0</v>
      </c>
      <c r="AL222" s="113">
        <f>SUM(AL203:AL221)</f>
        <v>0</v>
      </c>
      <c r="AM222" s="113">
        <f>SUM(AM203:AM221)</f>
        <v>0</v>
      </c>
      <c r="AN222" s="113">
        <f>SUM(AN203:AN221)</f>
        <v>0</v>
      </c>
      <c r="AO222" s="131"/>
      <c r="AP222" s="17"/>
      <c r="AQ222" s="113">
        <f t="shared" ref="AQ222:BB222" si="182">SUM(AQ203:AQ221)</f>
        <v>0</v>
      </c>
      <c r="AR222" s="113">
        <f t="shared" si="182"/>
        <v>0</v>
      </c>
      <c r="AS222" s="113">
        <f t="shared" si="182"/>
        <v>0</v>
      </c>
      <c r="AT222" s="113">
        <f t="shared" si="182"/>
        <v>0</v>
      </c>
      <c r="AU222" s="113">
        <f t="shared" si="182"/>
        <v>0</v>
      </c>
      <c r="AV222" s="113">
        <f t="shared" si="182"/>
        <v>0</v>
      </c>
      <c r="AW222" s="113">
        <f t="shared" si="182"/>
        <v>0</v>
      </c>
      <c r="AX222" s="113">
        <f t="shared" si="182"/>
        <v>0</v>
      </c>
      <c r="AY222" s="113">
        <f t="shared" si="182"/>
        <v>0</v>
      </c>
      <c r="AZ222" s="113">
        <f t="shared" si="182"/>
        <v>0</v>
      </c>
      <c r="BA222" s="113">
        <f t="shared" si="182"/>
        <v>0</v>
      </c>
      <c r="BB222" s="113">
        <f t="shared" si="182"/>
        <v>0</v>
      </c>
    </row>
    <row r="223" spans="1:54" s="13" customFormat="1" ht="13.8" customHeight="1">
      <c r="A223" s="101"/>
      <c r="B223" s="316" t="s">
        <v>253</v>
      </c>
      <c r="C223" s="317"/>
      <c r="D223" s="317"/>
      <c r="E223" s="318"/>
      <c r="F223" s="241"/>
      <c r="G223" s="241"/>
      <c r="H223" s="241" t="s">
        <v>252</v>
      </c>
      <c r="I223" s="40"/>
      <c r="J223" s="40"/>
      <c r="K223" s="40"/>
      <c r="L223" s="41">
        <f>SUM(L224)</f>
        <v>0</v>
      </c>
      <c r="M223" s="41">
        <f>SUM(M224)</f>
        <v>0</v>
      </c>
      <c r="N223" s="40"/>
      <c r="O223" s="40"/>
      <c r="P223" s="40"/>
      <c r="Q223" s="40"/>
      <c r="R223" s="41">
        <f t="shared" ref="R223:U223" si="183">SUM(R224)</f>
        <v>0</v>
      </c>
      <c r="S223" s="41">
        <f t="shared" si="183"/>
        <v>0</v>
      </c>
      <c r="T223" s="41">
        <f t="shared" si="183"/>
        <v>0</v>
      </c>
      <c r="U223" s="41">
        <f t="shared" si="183"/>
        <v>0</v>
      </c>
      <c r="V223" s="40"/>
      <c r="W223" s="40"/>
      <c r="X223" s="40"/>
      <c r="Y223" s="41">
        <f t="shared" ref="Y223:Z223" si="184">SUM(Y224)</f>
        <v>0</v>
      </c>
      <c r="Z223" s="41">
        <f t="shared" si="184"/>
        <v>0</v>
      </c>
      <c r="AA223" s="40"/>
      <c r="AB223" s="41">
        <f t="shared" ref="AB223:AF223" si="185">SUM(AB224)</f>
        <v>0</v>
      </c>
      <c r="AC223" s="41">
        <f t="shared" si="185"/>
        <v>0</v>
      </c>
      <c r="AD223" s="41">
        <f t="shared" si="185"/>
        <v>0</v>
      </c>
      <c r="AE223" s="41">
        <f t="shared" si="185"/>
        <v>0</v>
      </c>
      <c r="AF223" s="41">
        <f t="shared" si="185"/>
        <v>0</v>
      </c>
      <c r="AG223" s="40"/>
      <c r="AH223" s="40"/>
      <c r="AI223" s="40"/>
      <c r="AJ223" s="41">
        <f t="shared" ref="AJ223:AN223" si="186">SUM(AJ224)</f>
        <v>0</v>
      </c>
      <c r="AK223" s="41">
        <f t="shared" si="186"/>
        <v>0</v>
      </c>
      <c r="AL223" s="41">
        <f t="shared" si="186"/>
        <v>0</v>
      </c>
      <c r="AM223" s="41">
        <f t="shared" si="186"/>
        <v>0</v>
      </c>
      <c r="AN223" s="41">
        <f t="shared" si="186"/>
        <v>0</v>
      </c>
      <c r="AO223" s="129"/>
      <c r="AQ223" s="41">
        <f t="shared" ref="AQ223:BB223" si="187">SUM(AQ224)</f>
        <v>0</v>
      </c>
      <c r="AR223" s="41">
        <f t="shared" si="187"/>
        <v>0</v>
      </c>
      <c r="AS223" s="41">
        <f t="shared" si="187"/>
        <v>0</v>
      </c>
      <c r="AT223" s="41">
        <f t="shared" si="187"/>
        <v>0</v>
      </c>
      <c r="AU223" s="41">
        <f t="shared" si="187"/>
        <v>0</v>
      </c>
      <c r="AV223" s="41">
        <f t="shared" si="187"/>
        <v>0</v>
      </c>
      <c r="AW223" s="41">
        <f t="shared" si="187"/>
        <v>0</v>
      </c>
      <c r="AX223" s="41">
        <f t="shared" si="187"/>
        <v>0</v>
      </c>
      <c r="AY223" s="41">
        <f t="shared" si="187"/>
        <v>0</v>
      </c>
      <c r="AZ223" s="41">
        <f t="shared" si="187"/>
        <v>0</v>
      </c>
      <c r="BA223" s="41">
        <f t="shared" si="187"/>
        <v>0</v>
      </c>
      <c r="BB223" s="41">
        <f t="shared" si="187"/>
        <v>0</v>
      </c>
    </row>
    <row r="224" spans="1:54" s="24" customFormat="1" ht="13.8" customHeight="1">
      <c r="A224" s="114"/>
      <c r="B224" s="115"/>
      <c r="C224" s="314" t="s">
        <v>254</v>
      </c>
      <c r="D224" s="314"/>
      <c r="E224" s="315"/>
      <c r="F224" s="246"/>
      <c r="G224" s="246"/>
      <c r="H224" s="278" t="s">
        <v>255</v>
      </c>
      <c r="I224" s="116"/>
      <c r="J224" s="116"/>
      <c r="K224" s="116"/>
      <c r="L224" s="117">
        <f>SUM(L232,L236,L242)</f>
        <v>0</v>
      </c>
      <c r="M224" s="117">
        <f>SUM(M232,M236,M242)</f>
        <v>0</v>
      </c>
      <c r="N224" s="116"/>
      <c r="O224" s="116"/>
      <c r="P224" s="116"/>
      <c r="Q224" s="116"/>
      <c r="R224" s="117">
        <f t="shared" ref="R224:U224" si="188">SUM(R232,R236,R242)</f>
        <v>0</v>
      </c>
      <c r="S224" s="117">
        <f t="shared" si="188"/>
        <v>0</v>
      </c>
      <c r="T224" s="117">
        <f t="shared" si="188"/>
        <v>0</v>
      </c>
      <c r="U224" s="117">
        <f t="shared" si="188"/>
        <v>0</v>
      </c>
      <c r="V224" s="116"/>
      <c r="W224" s="116"/>
      <c r="X224" s="116"/>
      <c r="Y224" s="117">
        <f>SUM(Y232,Y236,Y242)</f>
        <v>0</v>
      </c>
      <c r="Z224" s="116"/>
      <c r="AA224" s="116"/>
      <c r="AB224" s="117">
        <f t="shared" ref="AB224:AF224" si="189">SUM(AB232,AB236,AB242)</f>
        <v>0</v>
      </c>
      <c r="AC224" s="117">
        <f t="shared" si="189"/>
        <v>0</v>
      </c>
      <c r="AD224" s="117">
        <f t="shared" si="189"/>
        <v>0</v>
      </c>
      <c r="AE224" s="117">
        <f t="shared" si="189"/>
        <v>0</v>
      </c>
      <c r="AF224" s="117">
        <f t="shared" si="189"/>
        <v>0</v>
      </c>
      <c r="AG224" s="116"/>
      <c r="AH224" s="116"/>
      <c r="AI224" s="116"/>
      <c r="AJ224" s="117">
        <f t="shared" ref="AJ224:AN224" si="190">SUM(AJ232,AJ236,AJ242)</f>
        <v>0</v>
      </c>
      <c r="AK224" s="117">
        <f t="shared" si="190"/>
        <v>0</v>
      </c>
      <c r="AL224" s="117">
        <f t="shared" si="190"/>
        <v>0</v>
      </c>
      <c r="AM224" s="117">
        <f t="shared" si="190"/>
        <v>0</v>
      </c>
      <c r="AN224" s="117">
        <f t="shared" si="190"/>
        <v>0</v>
      </c>
      <c r="AO224" s="132"/>
      <c r="AP224" s="25"/>
      <c r="AQ224" s="117">
        <f t="shared" ref="AQ224:BB224" si="191">SUM(AQ232,AQ236,AQ242)</f>
        <v>0</v>
      </c>
      <c r="AR224" s="117">
        <f t="shared" si="191"/>
        <v>0</v>
      </c>
      <c r="AS224" s="117">
        <f t="shared" si="191"/>
        <v>0</v>
      </c>
      <c r="AT224" s="117">
        <f t="shared" si="191"/>
        <v>0</v>
      </c>
      <c r="AU224" s="117">
        <f t="shared" si="191"/>
        <v>0</v>
      </c>
      <c r="AV224" s="117">
        <f t="shared" si="191"/>
        <v>0</v>
      </c>
      <c r="AW224" s="117">
        <f t="shared" si="191"/>
        <v>0</v>
      </c>
      <c r="AX224" s="117">
        <f t="shared" si="191"/>
        <v>0</v>
      </c>
      <c r="AY224" s="117">
        <f t="shared" si="191"/>
        <v>0</v>
      </c>
      <c r="AZ224" s="117">
        <f t="shared" si="191"/>
        <v>0</v>
      </c>
      <c r="BA224" s="117">
        <f t="shared" si="191"/>
        <v>0</v>
      </c>
      <c r="BB224" s="117">
        <f t="shared" si="191"/>
        <v>0</v>
      </c>
    </row>
    <row r="225" spans="1:54" ht="15.6" outlineLevel="2">
      <c r="A225" s="98"/>
      <c r="B225" s="102"/>
      <c r="C225" s="23"/>
      <c r="D225" s="257"/>
      <c r="E225" s="257"/>
      <c r="F225" s="257"/>
      <c r="G225" s="257"/>
      <c r="H225" s="272"/>
      <c r="I225" s="104"/>
      <c r="J225" s="105"/>
      <c r="K225" s="105"/>
      <c r="L225" s="106" t="str">
        <f>IF(I225&lt;&gt;0,((VLOOKUP(I225,'1. Standard_Cost'!$B$4:$D$11,2)+VLOOKUP(I225,'1. Standard_Cost'!$B$4:$D$11,3))*J225*K225),"0")</f>
        <v>0</v>
      </c>
      <c r="M225" s="106">
        <f>L225*'1. Standard_Cost'!$F$4</f>
        <v>0</v>
      </c>
      <c r="N225" s="107"/>
      <c r="O225" s="107"/>
      <c r="P225" s="107"/>
      <c r="Q225" s="107"/>
      <c r="R225" s="108">
        <f>'1. Standard_Cost'!$B$15*N225*P225</f>
        <v>0</v>
      </c>
      <c r="S225" s="108">
        <f>N225*O225*P225*'1. Standard_Cost'!$C$15</f>
        <v>0</v>
      </c>
      <c r="T225" s="108">
        <f>N225*P225*Q225*'1. Standard_Cost'!$D$15</f>
        <v>0</v>
      </c>
      <c r="U225" s="108">
        <f>N225*O225*'1. Standard_Cost'!$E$15</f>
        <v>0</v>
      </c>
      <c r="V225" s="107"/>
      <c r="W225" s="107"/>
      <c r="X225" s="107"/>
      <c r="Y225" s="108">
        <f>+V225*((X225*'1. Standard_Cost'!$B$19)+(W225*X225*'1. Standard_Cost'!$C$19))</f>
        <v>0</v>
      </c>
      <c r="Z225" s="107"/>
      <c r="AA225" s="107"/>
      <c r="AB225" s="108">
        <f>+Z225*'1. Standard_Cost'!$B$23+AA225*'1. Standard_Cost'!$C$23</f>
        <v>0</v>
      </c>
      <c r="AC225" s="109"/>
      <c r="AD225" s="110"/>
      <c r="AE225" s="108">
        <f>SUM(AD225,AC225,AB225,Y225,U225,T225,S225,R225)*'1. Standard_Cost'!$B$31</f>
        <v>0</v>
      </c>
      <c r="AF225" s="108">
        <f t="shared" ref="AF225:AF231" si="192">SUM(AE225,AD225,AC225,AB225,Y225,U225,T225,S225,R225)</f>
        <v>0</v>
      </c>
      <c r="AG225" s="107"/>
      <c r="AH225" s="107"/>
      <c r="AI225" s="107"/>
      <c r="AJ225" s="111"/>
      <c r="AK225" s="111"/>
      <c r="AL225" s="111"/>
      <c r="AM225" s="108">
        <f>AG225*'1. Standard_Cost'!$B$27+'Incremental_Cost Year 7'!AH225*'1. Standard_Cost'!$C$27+'Incremental_Cost Year 7'!AI225*'1. Standard_Cost'!$D$27+'Incremental_Cost Year 7'!AJ225+'Incremental_Cost Year 7'!AL225+AK225</f>
        <v>0</v>
      </c>
      <c r="AN225" s="108">
        <f>AM225*'1. Standard_Cost'!$C$31</f>
        <v>0</v>
      </c>
      <c r="AO225" s="125" t="s">
        <v>428</v>
      </c>
      <c r="AQ225" s="14">
        <f t="shared" ref="AQ225:AQ231" si="193">L225+M225</f>
        <v>0</v>
      </c>
      <c r="AR225" s="14">
        <f t="shared" ref="AR225:AR231" si="194">AF225</f>
        <v>0</v>
      </c>
      <c r="AS225" s="14">
        <f t="shared" ref="AS225:AS231" si="195">AM225+AN225</f>
        <v>0</v>
      </c>
      <c r="AT225" s="14">
        <f>SUM(AQ225,AR225,AS225)</f>
        <v>0</v>
      </c>
      <c r="AU225" s="15"/>
      <c r="AV225" s="15"/>
      <c r="AW225" s="15"/>
      <c r="AX225" s="15"/>
      <c r="AY225" s="15"/>
      <c r="AZ225" s="15"/>
      <c r="BA225" s="15"/>
      <c r="BB225" s="16">
        <f t="shared" ref="BB225:BB231" si="196">SUM(AU225:BA225)-AT225</f>
        <v>0</v>
      </c>
    </row>
    <row r="226" spans="1:54" ht="41.4" outlineLevel="2">
      <c r="A226" s="98"/>
      <c r="B226" s="102"/>
      <c r="C226" s="23"/>
      <c r="D226" s="269"/>
      <c r="E226" s="269"/>
      <c r="F226" s="269"/>
      <c r="G226" s="269"/>
      <c r="H226" s="272"/>
      <c r="I226" s="104"/>
      <c r="J226" s="105"/>
      <c r="K226" s="105"/>
      <c r="L226" s="106" t="str">
        <f>IF(I226&lt;&gt;0,((VLOOKUP(I226,'1. Standard_Cost'!$B$4:$D$11,2)+VLOOKUP(I226,'1. Standard_Cost'!$B$4:$D$11,3))*J226*K226),"0")</f>
        <v>0</v>
      </c>
      <c r="M226" s="106">
        <f>L226*'1. Standard_Cost'!$F$4</f>
        <v>0</v>
      </c>
      <c r="N226" s="107"/>
      <c r="O226" s="107"/>
      <c r="P226" s="107"/>
      <c r="Q226" s="107"/>
      <c r="R226" s="108">
        <f>'1. Standard_Cost'!$B$15*N226*P226</f>
        <v>0</v>
      </c>
      <c r="S226" s="108">
        <f>N226*O226*P226*'1. Standard_Cost'!$C$15</f>
        <v>0</v>
      </c>
      <c r="T226" s="108">
        <f>N226*P226*Q226*'1. Standard_Cost'!$D$15</f>
        <v>0</v>
      </c>
      <c r="U226" s="108">
        <f>N226*O226*'1. Standard_Cost'!$E$15</f>
        <v>0</v>
      </c>
      <c r="V226" s="107"/>
      <c r="W226" s="107"/>
      <c r="X226" s="107"/>
      <c r="Y226" s="108">
        <f>+V226*((X226*'1. Standard_Cost'!$B$19)+(W226*X226*'1. Standard_Cost'!$C$19))</f>
        <v>0</v>
      </c>
      <c r="Z226" s="107"/>
      <c r="AA226" s="107"/>
      <c r="AB226" s="108">
        <f>+Z226*'1. Standard_Cost'!$B$23+AA226*'1. Standard_Cost'!$C$23</f>
        <v>0</v>
      </c>
      <c r="AC226" s="109"/>
      <c r="AD226" s="110"/>
      <c r="AE226" s="108">
        <f>SUM(AD226,AC226,AB226,Y226,U226,T226,S226,R226)*'1. Standard_Cost'!$B$31</f>
        <v>0</v>
      </c>
      <c r="AF226" s="108">
        <f t="shared" si="192"/>
        <v>0</v>
      </c>
      <c r="AG226" s="107"/>
      <c r="AH226" s="107"/>
      <c r="AI226" s="107"/>
      <c r="AJ226" s="111"/>
      <c r="AK226" s="111"/>
      <c r="AL226" s="111"/>
      <c r="AM226" s="108">
        <f>AG226*'1. Standard_Cost'!$B$27+'Incremental_Cost Year 7'!AH226*'1. Standard_Cost'!$C$27+'Incremental_Cost Year 7'!AI226*'1. Standard_Cost'!$D$27+'Incremental_Cost Year 7'!AJ226+'Incremental_Cost Year 7'!AL226+AK226</f>
        <v>0</v>
      </c>
      <c r="AN226" s="108">
        <f>AM226*'1. Standard_Cost'!$C$31</f>
        <v>0</v>
      </c>
      <c r="AO226" s="125" t="s">
        <v>429</v>
      </c>
      <c r="AQ226" s="14">
        <f t="shared" si="193"/>
        <v>0</v>
      </c>
      <c r="AR226" s="14">
        <f t="shared" si="194"/>
        <v>0</v>
      </c>
      <c r="AS226" s="14">
        <f t="shared" si="195"/>
        <v>0</v>
      </c>
      <c r="AT226" s="14">
        <f t="shared" ref="AT226:AT231" si="197">SUM(AQ226,AR226,AS226)</f>
        <v>0</v>
      </c>
      <c r="AU226" s="15"/>
      <c r="AV226" s="15"/>
      <c r="AW226" s="15"/>
      <c r="AX226" s="15"/>
      <c r="AY226" s="15"/>
      <c r="AZ226" s="15"/>
      <c r="BA226" s="15"/>
      <c r="BB226" s="16">
        <f t="shared" si="196"/>
        <v>0</v>
      </c>
    </row>
    <row r="227" spans="1:54" ht="27.6" outlineLevel="2">
      <c r="A227" s="98"/>
      <c r="B227" s="102"/>
      <c r="C227" s="23"/>
      <c r="D227" s="269"/>
      <c r="E227" s="269"/>
      <c r="F227" s="269"/>
      <c r="G227" s="269"/>
      <c r="H227" s="168"/>
      <c r="I227" s="104"/>
      <c r="J227" s="105"/>
      <c r="K227" s="105"/>
      <c r="L227" s="106" t="str">
        <f>IF(I227&lt;&gt;0,((VLOOKUP(I227,'[1]1. Standard_Cost'!$B$4:$D$11,2)+VLOOKUP(I227,'[1]1. Standard_Cost'!$B$4:$D$11,3))*J227*K227),"0")</f>
        <v>0</v>
      </c>
      <c r="M227" s="106">
        <f>L227*'[1]1. Standard_Cost'!$F$4</f>
        <v>0</v>
      </c>
      <c r="N227" s="107"/>
      <c r="O227" s="107"/>
      <c r="P227" s="107"/>
      <c r="Q227" s="107"/>
      <c r="R227" s="108">
        <f>'[1]1. Standard_Cost'!$B$15*N227*P227</f>
        <v>0</v>
      </c>
      <c r="S227" s="108">
        <f>N227*O227*P227*'[1]1. Standard_Cost'!$C$15</f>
        <v>0</v>
      </c>
      <c r="T227" s="108">
        <f>N227*P227*Q227*'[1]1. Standard_Cost'!$D$15</f>
        <v>0</v>
      </c>
      <c r="U227" s="108">
        <f>N227*O227*'[1]1. Standard_Cost'!$E$15</f>
        <v>0</v>
      </c>
      <c r="V227" s="107"/>
      <c r="W227" s="107"/>
      <c r="X227" s="107"/>
      <c r="Y227" s="108">
        <f>+V227*((X227*'[1]1. Standard_Cost'!$B$19)+(W227*X227*'[1]1. Standard_Cost'!$C$19))</f>
        <v>0</v>
      </c>
      <c r="Z227" s="107"/>
      <c r="AA227" s="107"/>
      <c r="AB227" s="108">
        <f>+Z227*'[1]1. Standard_Cost'!$B$23+AA227*'[1]1. Standard_Cost'!$C$23</f>
        <v>0</v>
      </c>
      <c r="AC227" s="109"/>
      <c r="AD227" s="110"/>
      <c r="AE227" s="108">
        <f>SUM(AD227,AC227,AB227,Y227,U227,T227,S227,R227)*'[1]1. Standard_Cost'!$B$31</f>
        <v>0</v>
      </c>
      <c r="AF227" s="108">
        <f t="shared" si="192"/>
        <v>0</v>
      </c>
      <c r="AG227" s="107"/>
      <c r="AH227" s="107"/>
      <c r="AI227" s="107"/>
      <c r="AJ227" s="111"/>
      <c r="AK227" s="111"/>
      <c r="AL227" s="111"/>
      <c r="AM227" s="108">
        <f>AG227*'[1]1. Standard_Cost'!$B$27+'[1]Incremental_Cost Year 7'!AH227*'[1]1. Standard_Cost'!$C$27+'[1]Incremental_Cost Year 7'!AI227*'[1]1. Standard_Cost'!$D$27+'[1]Incremental_Cost Year 7'!AJ227+'[1]Incremental_Cost Year 7'!AL227+AK227</f>
        <v>0</v>
      </c>
      <c r="AN227" s="108">
        <f>AM227*'[1]1. Standard_Cost'!$C$31</f>
        <v>0</v>
      </c>
      <c r="AO227" s="125" t="s">
        <v>430</v>
      </c>
      <c r="AQ227" s="14">
        <f t="shared" si="193"/>
        <v>0</v>
      </c>
      <c r="AR227" s="14">
        <f t="shared" si="194"/>
        <v>0</v>
      </c>
      <c r="AS227" s="14">
        <f t="shared" si="195"/>
        <v>0</v>
      </c>
      <c r="AT227" s="14">
        <f t="shared" si="197"/>
        <v>0</v>
      </c>
      <c r="AU227" s="15"/>
      <c r="AV227" s="15"/>
      <c r="AW227" s="15"/>
      <c r="AX227" s="15"/>
      <c r="AY227" s="15"/>
      <c r="AZ227" s="15"/>
      <c r="BA227" s="15"/>
      <c r="BB227" s="16">
        <f t="shared" si="196"/>
        <v>0</v>
      </c>
    </row>
    <row r="228" spans="1:54" ht="27.6" outlineLevel="2">
      <c r="A228" s="98"/>
      <c r="B228" s="102"/>
      <c r="C228" s="23"/>
      <c r="D228" s="269"/>
      <c r="E228" s="269"/>
      <c r="F228" s="269"/>
      <c r="G228" s="269"/>
      <c r="H228" s="272"/>
      <c r="I228" s="104"/>
      <c r="J228" s="105"/>
      <c r="K228" s="105"/>
      <c r="L228" s="106" t="str">
        <f>IF(I228&lt;&gt;0,((VLOOKUP(I228,'1. Standard_Cost'!$B$4:$D$11,2)+VLOOKUP(I228,'1. Standard_Cost'!$B$4:$D$11,3))*J228*K228),"0")</f>
        <v>0</v>
      </c>
      <c r="M228" s="106">
        <f>L228*'1. Standard_Cost'!$F$4</f>
        <v>0</v>
      </c>
      <c r="N228" s="107"/>
      <c r="O228" s="107"/>
      <c r="P228" s="107"/>
      <c r="Q228" s="107"/>
      <c r="R228" s="108">
        <f>'1. Standard_Cost'!$B$15*N228*P228</f>
        <v>0</v>
      </c>
      <c r="S228" s="108">
        <f>N228*O228*P228*'1. Standard_Cost'!$C$15</f>
        <v>0</v>
      </c>
      <c r="T228" s="108">
        <f>N228*P228*Q228*'1. Standard_Cost'!$D$15</f>
        <v>0</v>
      </c>
      <c r="U228" s="108">
        <f>N228*O228*'1. Standard_Cost'!$E$15</f>
        <v>0</v>
      </c>
      <c r="V228" s="107"/>
      <c r="W228" s="107"/>
      <c r="X228" s="107"/>
      <c r="Y228" s="108">
        <f>+V228*((X228*'1. Standard_Cost'!$B$19)+(W228*X228*'1. Standard_Cost'!$C$19))</f>
        <v>0</v>
      </c>
      <c r="Z228" s="107"/>
      <c r="AA228" s="107"/>
      <c r="AB228" s="108">
        <f>+Z228*'1. Standard_Cost'!$B$23+AA228*'1. Standard_Cost'!$C$23</f>
        <v>0</v>
      </c>
      <c r="AC228" s="109"/>
      <c r="AD228" s="110"/>
      <c r="AE228" s="108">
        <f>SUM(AD228,AC228,AB228,Y228,U228,T228,S228,R228)*'1. Standard_Cost'!$B$31</f>
        <v>0</v>
      </c>
      <c r="AF228" s="108">
        <f t="shared" si="192"/>
        <v>0</v>
      </c>
      <c r="AG228" s="107"/>
      <c r="AH228" s="107"/>
      <c r="AI228" s="107"/>
      <c r="AJ228" s="111"/>
      <c r="AK228" s="111"/>
      <c r="AL228" s="111"/>
      <c r="AM228" s="108">
        <f>AG228*'1. Standard_Cost'!$B$27+'Incremental_Cost Year 7'!AH228*'1. Standard_Cost'!$C$27+'Incremental_Cost Year 7'!AI228*'1. Standard_Cost'!$D$27+'Incremental_Cost Year 7'!AJ228+'Incremental_Cost Year 7'!AL228+AK228</f>
        <v>0</v>
      </c>
      <c r="AN228" s="108">
        <f>AM228*'1. Standard_Cost'!$C$31</f>
        <v>0</v>
      </c>
      <c r="AO228" s="125" t="s">
        <v>430</v>
      </c>
      <c r="AQ228" s="14">
        <f t="shared" si="193"/>
        <v>0</v>
      </c>
      <c r="AR228" s="14">
        <f t="shared" si="194"/>
        <v>0</v>
      </c>
      <c r="AS228" s="14">
        <f t="shared" si="195"/>
        <v>0</v>
      </c>
      <c r="AT228" s="14">
        <f t="shared" si="197"/>
        <v>0</v>
      </c>
      <c r="AU228" s="15"/>
      <c r="AV228" s="15"/>
      <c r="AW228" s="15"/>
      <c r="AX228" s="15"/>
      <c r="AY228" s="15"/>
      <c r="AZ228" s="15"/>
      <c r="BA228" s="15"/>
      <c r="BB228" s="16">
        <f t="shared" si="196"/>
        <v>0</v>
      </c>
    </row>
    <row r="229" spans="1:54" ht="15.6" outlineLevel="2">
      <c r="A229" s="98"/>
      <c r="B229" s="102"/>
      <c r="C229" s="23"/>
      <c r="D229" s="269"/>
      <c r="E229" s="269"/>
      <c r="F229" s="269"/>
      <c r="G229" s="269"/>
      <c r="H229" s="272"/>
      <c r="I229" s="104"/>
      <c r="J229" s="105"/>
      <c r="K229" s="105"/>
      <c r="L229" s="106" t="str">
        <f>IF(I229&lt;&gt;0,((VLOOKUP(I229,'1. Standard_Cost'!$B$4:$D$11,2)+VLOOKUP(I229,'1. Standard_Cost'!$B$4:$D$11,3))*J229*K229),"0")</f>
        <v>0</v>
      </c>
      <c r="M229" s="106">
        <f>L229*'1. Standard_Cost'!$F$4</f>
        <v>0</v>
      </c>
      <c r="N229" s="107"/>
      <c r="O229" s="107"/>
      <c r="P229" s="107"/>
      <c r="Q229" s="107"/>
      <c r="R229" s="108">
        <f>'1. Standard_Cost'!$B$15*N229*P229</f>
        <v>0</v>
      </c>
      <c r="S229" s="108">
        <f>N229*O229*P229*'1. Standard_Cost'!$C$15</f>
        <v>0</v>
      </c>
      <c r="T229" s="108">
        <f>N229*P229*Q229*'1. Standard_Cost'!$D$15</f>
        <v>0</v>
      </c>
      <c r="U229" s="108">
        <f>N229*O229*'1. Standard_Cost'!$E$15</f>
        <v>0</v>
      </c>
      <c r="V229" s="107"/>
      <c r="W229" s="107"/>
      <c r="X229" s="107"/>
      <c r="Y229" s="108">
        <f>+V229*((X229*'1. Standard_Cost'!$B$19)+(W229*X229*'1. Standard_Cost'!$C$19))</f>
        <v>0</v>
      </c>
      <c r="Z229" s="107"/>
      <c r="AA229" s="107"/>
      <c r="AB229" s="108">
        <f>+Z229*'1. Standard_Cost'!$B$23+AA229*'1. Standard_Cost'!$C$23</f>
        <v>0</v>
      </c>
      <c r="AC229" s="109"/>
      <c r="AD229" s="110"/>
      <c r="AE229" s="108">
        <f>SUM(AD229,AC229,AB229,Y229,U229,T229,S229,R229)*'1. Standard_Cost'!$B$31</f>
        <v>0</v>
      </c>
      <c r="AF229" s="108">
        <f t="shared" si="192"/>
        <v>0</v>
      </c>
      <c r="AG229" s="107"/>
      <c r="AH229" s="107"/>
      <c r="AI229" s="107"/>
      <c r="AJ229" s="111"/>
      <c r="AK229" s="111"/>
      <c r="AL229" s="111"/>
      <c r="AM229" s="108">
        <f>AG229*'1. Standard_Cost'!$B$27+'Incremental_Cost Year 7'!AH229*'1. Standard_Cost'!$C$27+'Incremental_Cost Year 7'!AI229*'1. Standard_Cost'!$D$27+'Incremental_Cost Year 7'!AJ229+'Incremental_Cost Year 7'!AL229+AK229</f>
        <v>0</v>
      </c>
      <c r="AN229" s="108">
        <f>AM229*'1. Standard_Cost'!$C$31</f>
        <v>0</v>
      </c>
      <c r="AO229" s="125" t="s">
        <v>431</v>
      </c>
      <c r="AQ229" s="14">
        <f t="shared" si="193"/>
        <v>0</v>
      </c>
      <c r="AR229" s="14">
        <f t="shared" si="194"/>
        <v>0</v>
      </c>
      <c r="AS229" s="14">
        <f t="shared" si="195"/>
        <v>0</v>
      </c>
      <c r="AT229" s="14">
        <f t="shared" si="197"/>
        <v>0</v>
      </c>
      <c r="AU229" s="15"/>
      <c r="AV229" s="15"/>
      <c r="AW229" s="15"/>
      <c r="AX229" s="15"/>
      <c r="AY229" s="15"/>
      <c r="AZ229" s="15"/>
      <c r="BA229" s="15"/>
      <c r="BB229" s="16">
        <f t="shared" si="196"/>
        <v>0</v>
      </c>
    </row>
    <row r="230" spans="1:54" ht="15.6" outlineLevel="2">
      <c r="A230" s="98"/>
      <c r="B230" s="102"/>
      <c r="C230" s="23"/>
      <c r="D230" s="269"/>
      <c r="E230" s="269"/>
      <c r="F230" s="269"/>
      <c r="G230" s="269"/>
      <c r="H230" s="272"/>
      <c r="I230" s="104"/>
      <c r="J230" s="105"/>
      <c r="K230" s="105"/>
      <c r="L230" s="106" t="str">
        <f>IF(I230&lt;&gt;0,((VLOOKUP(I230,'1. Standard_Cost'!$B$4:$D$11,2)+VLOOKUP(I230,'1. Standard_Cost'!$B$4:$D$11,3))*J230*K230),"0")</f>
        <v>0</v>
      </c>
      <c r="M230" s="106">
        <f>L230*'1. Standard_Cost'!$F$4</f>
        <v>0</v>
      </c>
      <c r="N230" s="107"/>
      <c r="O230" s="107"/>
      <c r="P230" s="107"/>
      <c r="Q230" s="107"/>
      <c r="R230" s="108">
        <f>'1. Standard_Cost'!$B$15*N230*P230</f>
        <v>0</v>
      </c>
      <c r="S230" s="108">
        <f>N230*O230*P230*'1. Standard_Cost'!$C$15</f>
        <v>0</v>
      </c>
      <c r="T230" s="108">
        <f>N230*P230*Q230*'1. Standard_Cost'!$D$15</f>
        <v>0</v>
      </c>
      <c r="U230" s="108">
        <f>N230*O230*'1. Standard_Cost'!$E$15</f>
        <v>0</v>
      </c>
      <c r="V230" s="107"/>
      <c r="W230" s="107"/>
      <c r="X230" s="107"/>
      <c r="Y230" s="108">
        <f>+V230*((X230*'1. Standard_Cost'!$B$19)+(W230*X230*'1. Standard_Cost'!$C$19))</f>
        <v>0</v>
      </c>
      <c r="Z230" s="107"/>
      <c r="AA230" s="107"/>
      <c r="AB230" s="108">
        <f>+Z230*'1. Standard_Cost'!$B$23+AA230*'1. Standard_Cost'!$C$23</f>
        <v>0</v>
      </c>
      <c r="AC230" s="109"/>
      <c r="AD230" s="110"/>
      <c r="AE230" s="108">
        <f>SUM(AD230,AC230,AB230,Y230,U230,T230,S230,R230)*'1. Standard_Cost'!$B$31</f>
        <v>0</v>
      </c>
      <c r="AF230" s="108">
        <f t="shared" si="192"/>
        <v>0</v>
      </c>
      <c r="AG230" s="107"/>
      <c r="AH230" s="107"/>
      <c r="AI230" s="107"/>
      <c r="AJ230" s="111"/>
      <c r="AK230" s="111"/>
      <c r="AL230" s="111"/>
      <c r="AM230" s="108">
        <f>AG230*'1. Standard_Cost'!$B$27+'Incremental_Cost Year 7'!AH230*'1. Standard_Cost'!$C$27+'Incremental_Cost Year 7'!AI230*'1. Standard_Cost'!$D$27+'Incremental_Cost Year 7'!AJ230+'Incremental_Cost Year 7'!AL230+AK230</f>
        <v>0</v>
      </c>
      <c r="AN230" s="108">
        <f>AM230*'1. Standard_Cost'!$C$31</f>
        <v>0</v>
      </c>
      <c r="AO230" s="125" t="s">
        <v>432</v>
      </c>
      <c r="AQ230" s="14">
        <f t="shared" si="193"/>
        <v>0</v>
      </c>
      <c r="AR230" s="14">
        <f t="shared" si="194"/>
        <v>0</v>
      </c>
      <c r="AS230" s="14">
        <f t="shared" si="195"/>
        <v>0</v>
      </c>
      <c r="AT230" s="14">
        <f t="shared" si="197"/>
        <v>0</v>
      </c>
      <c r="AU230" s="15"/>
      <c r="AV230" s="15"/>
      <c r="AW230" s="15"/>
      <c r="AX230" s="15"/>
      <c r="AY230" s="15"/>
      <c r="AZ230" s="15"/>
      <c r="BA230" s="15"/>
      <c r="BB230" s="16">
        <f t="shared" si="196"/>
        <v>0</v>
      </c>
    </row>
    <row r="231" spans="1:54" ht="15.6" outlineLevel="2">
      <c r="A231" s="98"/>
      <c r="B231" s="102"/>
      <c r="C231" s="23"/>
      <c r="D231" s="269"/>
      <c r="E231" s="269"/>
      <c r="F231" s="269"/>
      <c r="G231" s="269"/>
      <c r="H231" s="272"/>
      <c r="I231" s="104"/>
      <c r="J231" s="105"/>
      <c r="K231" s="105"/>
      <c r="L231" s="106" t="str">
        <f>IF(I231&lt;&gt;0,((VLOOKUP(I231,'1. Standard_Cost'!$B$4:$D$11,2)+VLOOKUP(I231,'1. Standard_Cost'!$B$4:$D$11,3))*J231*K231),"0")</f>
        <v>0</v>
      </c>
      <c r="M231" s="106">
        <f>L231*'1. Standard_Cost'!$F$4</f>
        <v>0</v>
      </c>
      <c r="N231" s="107"/>
      <c r="O231" s="107"/>
      <c r="P231" s="107"/>
      <c r="Q231" s="107"/>
      <c r="R231" s="108">
        <f>'1. Standard_Cost'!$B$15*N231*P231</f>
        <v>0</v>
      </c>
      <c r="S231" s="108">
        <f>N231*O231*P231*'1. Standard_Cost'!$C$15</f>
        <v>0</v>
      </c>
      <c r="T231" s="108">
        <f>N231*P231*Q231*'1. Standard_Cost'!$D$15</f>
        <v>0</v>
      </c>
      <c r="U231" s="108">
        <f>N231*O231*'1. Standard_Cost'!$E$15</f>
        <v>0</v>
      </c>
      <c r="V231" s="107"/>
      <c r="W231" s="107"/>
      <c r="X231" s="107"/>
      <c r="Y231" s="108">
        <f>+V231*((X231*'1. Standard_Cost'!$B$19)+(W231*X231*'1. Standard_Cost'!$C$19))</f>
        <v>0</v>
      </c>
      <c r="Z231" s="107"/>
      <c r="AA231" s="107"/>
      <c r="AB231" s="108">
        <f>+Z231*'1. Standard_Cost'!$B$23+AA231*'1. Standard_Cost'!$C$23</f>
        <v>0</v>
      </c>
      <c r="AC231" s="109"/>
      <c r="AD231" s="110"/>
      <c r="AE231" s="108">
        <f>SUM(AD231,AC231,AB231,Y231,U231,T231,S231,R231)*'1. Standard_Cost'!$B$31</f>
        <v>0</v>
      </c>
      <c r="AF231" s="108">
        <f t="shared" si="192"/>
        <v>0</v>
      </c>
      <c r="AG231" s="107"/>
      <c r="AH231" s="107"/>
      <c r="AI231" s="107"/>
      <c r="AJ231" s="111"/>
      <c r="AK231" s="111"/>
      <c r="AL231" s="111"/>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193"/>
        <v>0</v>
      </c>
      <c r="AR231" s="14">
        <f t="shared" si="194"/>
        <v>0</v>
      </c>
      <c r="AS231" s="14">
        <f t="shared" si="195"/>
        <v>0</v>
      </c>
      <c r="AT231" s="14">
        <f t="shared" si="197"/>
        <v>0</v>
      </c>
      <c r="AU231" s="15"/>
      <c r="AV231" s="15"/>
      <c r="AW231" s="15"/>
      <c r="AX231" s="15"/>
      <c r="AY231" s="15"/>
      <c r="AZ231" s="15"/>
      <c r="BA231" s="15"/>
      <c r="BB231" s="16">
        <f t="shared" si="196"/>
        <v>0</v>
      </c>
    </row>
    <row r="232" spans="1:54" ht="27.6" outlineLevel="1">
      <c r="A232" s="98"/>
      <c r="B232" s="102"/>
      <c r="C232" s="23"/>
      <c r="D232" s="56" t="s">
        <v>47</v>
      </c>
      <c r="E232" s="56" t="s">
        <v>259</v>
      </c>
      <c r="F232" s="253">
        <v>2021</v>
      </c>
      <c r="G232" s="254">
        <v>2026</v>
      </c>
      <c r="H232" s="277" t="s">
        <v>260</v>
      </c>
      <c r="I232" s="112"/>
      <c r="J232" s="112"/>
      <c r="K232" s="112"/>
      <c r="L232" s="113">
        <f>SUM(L225:L231)</f>
        <v>0</v>
      </c>
      <c r="M232" s="113">
        <f>SUM(M225:M231)</f>
        <v>0</v>
      </c>
      <c r="N232" s="112"/>
      <c r="O232" s="112"/>
      <c r="P232" s="112"/>
      <c r="Q232" s="112"/>
      <c r="R232" s="113">
        <f>SUM(R225:R231)</f>
        <v>0</v>
      </c>
      <c r="S232" s="113">
        <f>SUM(S225:S231)</f>
        <v>0</v>
      </c>
      <c r="T232" s="113">
        <f>SUM(T225:T231)</f>
        <v>0</v>
      </c>
      <c r="U232" s="113">
        <f>SUM(U225:U231)</f>
        <v>0</v>
      </c>
      <c r="V232" s="112"/>
      <c r="W232" s="112"/>
      <c r="X232" s="112"/>
      <c r="Y232" s="113">
        <f>SUM(Y225:Y231)</f>
        <v>0</v>
      </c>
      <c r="Z232" s="112"/>
      <c r="AA232" s="112"/>
      <c r="AB232" s="113">
        <f>SUM(AB225:AB231)</f>
        <v>0</v>
      </c>
      <c r="AC232" s="113">
        <f>SUM(AC225:AC231)</f>
        <v>0</v>
      </c>
      <c r="AD232" s="113">
        <f>SUM(AD225:AD231)</f>
        <v>0</v>
      </c>
      <c r="AE232" s="113">
        <f>SUM(AE225:AE231)</f>
        <v>0</v>
      </c>
      <c r="AF232" s="113">
        <f>SUM(AF225:AF231)</f>
        <v>0</v>
      </c>
      <c r="AG232" s="112"/>
      <c r="AH232" s="112"/>
      <c r="AI232" s="112"/>
      <c r="AJ232" s="113">
        <f>SUM(AJ225:AJ231)</f>
        <v>0</v>
      </c>
      <c r="AK232" s="113">
        <f>SUM(AK225:AK231)</f>
        <v>0</v>
      </c>
      <c r="AL232" s="113">
        <f>SUM(AL225:AL231)</f>
        <v>0</v>
      </c>
      <c r="AM232" s="113">
        <f>SUM(AM225:AM231)</f>
        <v>0</v>
      </c>
      <c r="AN232" s="113">
        <f>SUM(AN225:AN231)</f>
        <v>0</v>
      </c>
      <c r="AO232" s="131"/>
      <c r="AP232" s="17"/>
      <c r="AQ232" s="113">
        <f t="shared" ref="AQ232:BB232" si="198">SUM(AQ225:AQ231)</f>
        <v>0</v>
      </c>
      <c r="AR232" s="113">
        <f t="shared" si="198"/>
        <v>0</v>
      </c>
      <c r="AS232" s="113">
        <f t="shared" si="198"/>
        <v>0</v>
      </c>
      <c r="AT232" s="113">
        <f t="shared" si="198"/>
        <v>0</v>
      </c>
      <c r="AU232" s="113">
        <f t="shared" si="198"/>
        <v>0</v>
      </c>
      <c r="AV232" s="113">
        <f t="shared" si="198"/>
        <v>0</v>
      </c>
      <c r="AW232" s="113">
        <f t="shared" si="198"/>
        <v>0</v>
      </c>
      <c r="AX232" s="113">
        <f t="shared" si="198"/>
        <v>0</v>
      </c>
      <c r="AY232" s="113">
        <f t="shared" si="198"/>
        <v>0</v>
      </c>
      <c r="AZ232" s="113">
        <f t="shared" si="198"/>
        <v>0</v>
      </c>
      <c r="BA232" s="113">
        <f t="shared" si="198"/>
        <v>0</v>
      </c>
      <c r="BB232" s="113">
        <f t="shared" si="198"/>
        <v>0</v>
      </c>
    </row>
    <row r="233" spans="1:54" ht="55.2" outlineLevel="2">
      <c r="A233" s="98"/>
      <c r="B233" s="102"/>
      <c r="C233" s="23"/>
      <c r="D233" s="257"/>
      <c r="E233" s="257"/>
      <c r="F233" s="257"/>
      <c r="G233" s="257"/>
      <c r="H233" s="272"/>
      <c r="I233" s="104"/>
      <c r="J233" s="105"/>
      <c r="K233" s="105"/>
      <c r="L233" s="106" t="str">
        <f>IF(I233&lt;&gt;0,((VLOOKUP(I233,'1. Standard_Cost'!$B$4:$D$11,2)+VLOOKUP(I233,'1. Standard_Cost'!$B$4:$D$11,3))*J233*K233),"0")</f>
        <v>0</v>
      </c>
      <c r="M233" s="106">
        <f>L233*'1. Standard_Cost'!$F$4</f>
        <v>0</v>
      </c>
      <c r="N233" s="107"/>
      <c r="O233" s="107"/>
      <c r="P233" s="107"/>
      <c r="Q233" s="107"/>
      <c r="R233" s="108">
        <f>'1. Standard_Cost'!$B$15*N233*P233</f>
        <v>0</v>
      </c>
      <c r="S233" s="108">
        <f>N233*O233*P233*'1. Standard_Cost'!$C$15</f>
        <v>0</v>
      </c>
      <c r="T233" s="108">
        <f>N233*P233*Q233*'1. Standard_Cost'!$D$15</f>
        <v>0</v>
      </c>
      <c r="U233" s="108">
        <f>N233*O233*'1. Standard_Cost'!$E$15</f>
        <v>0</v>
      </c>
      <c r="V233" s="107"/>
      <c r="W233" s="107"/>
      <c r="X233" s="107"/>
      <c r="Y233" s="108">
        <f>+V233*((X233*'1. Standard_Cost'!$B$19)+(W233*X233*'1. Standard_Cost'!$C$19))</f>
        <v>0</v>
      </c>
      <c r="Z233" s="107"/>
      <c r="AA233" s="107"/>
      <c r="AB233" s="108">
        <f>+Z233*'1. Standard_Cost'!$B$23+AA233*'1. Standard_Cost'!$C$23</f>
        <v>0</v>
      </c>
      <c r="AC233" s="109"/>
      <c r="AD233" s="110"/>
      <c r="AE233" s="108">
        <f>SUM(AD233,AC233,AB233,Y233,U233,T233,S233,R233)*'1. Standard_Cost'!$B$31</f>
        <v>0</v>
      </c>
      <c r="AF233" s="108">
        <f t="shared" ref="AF233:AF235" si="199">SUM(AE233,AD233,AC233,AB233,Y233,U233,T233,S233,R233)</f>
        <v>0</v>
      </c>
      <c r="AG233" s="107"/>
      <c r="AH233" s="107"/>
      <c r="AI233" s="107"/>
      <c r="AJ233" s="111"/>
      <c r="AK233" s="111"/>
      <c r="AL233" s="111"/>
      <c r="AM233" s="108">
        <f>AG233*'1. Standard_Cost'!$B$27+'Incremental_Cost Year 7'!AH233*'1. Standard_Cost'!$C$27+'Incremental_Cost Year 7'!AI233*'1. Standard_Cost'!$D$27+'Incremental_Cost Year 7'!AJ233+'Incremental_Cost Year 7'!AL233+AK233</f>
        <v>0</v>
      </c>
      <c r="AN233" s="108">
        <f>AM233*'1. Standard_Cost'!$C$31</f>
        <v>0</v>
      </c>
      <c r="AO233" s="125" t="s">
        <v>434</v>
      </c>
      <c r="AQ233" s="14">
        <f t="shared" ref="AQ233:AQ235" si="200">L233+M233</f>
        <v>0</v>
      </c>
      <c r="AR233" s="14">
        <f t="shared" ref="AR233:AR235" si="201">AF233</f>
        <v>0</v>
      </c>
      <c r="AS233" s="14">
        <f t="shared" ref="AS233:AS235" si="202">AM233+AN233</f>
        <v>0</v>
      </c>
      <c r="AT233" s="14">
        <f>SUM(AQ233,AR233,AS233)</f>
        <v>0</v>
      </c>
      <c r="AU233" s="15"/>
      <c r="AV233" s="15"/>
      <c r="AW233" s="15"/>
      <c r="AX233" s="15"/>
      <c r="AY233" s="15"/>
      <c r="AZ233" s="15"/>
      <c r="BA233" s="15"/>
      <c r="BB233" s="16">
        <f t="shared" ref="BB233:BB235" si="203">SUM(AU233:BA233)-AT233</f>
        <v>0</v>
      </c>
    </row>
    <row r="234" spans="1:54" ht="15.6" outlineLevel="2">
      <c r="A234" s="98"/>
      <c r="B234" s="102"/>
      <c r="C234" s="23"/>
      <c r="D234" s="269"/>
      <c r="E234" s="269"/>
      <c r="F234" s="269"/>
      <c r="G234" s="269"/>
      <c r="H234" s="272"/>
      <c r="I234" s="104"/>
      <c r="J234" s="105"/>
      <c r="K234" s="105"/>
      <c r="L234" s="106" t="str">
        <f>IF(I234&lt;&gt;0,((VLOOKUP(I234,'1. Standard_Cost'!$B$4:$D$11,2)+VLOOKUP(I234,'1. Standard_Cost'!$B$4:$D$11,3))*J234*K234),"0")</f>
        <v>0</v>
      </c>
      <c r="M234" s="106">
        <f>L234*'1. Standard_Cost'!$F$4</f>
        <v>0</v>
      </c>
      <c r="N234" s="107"/>
      <c r="O234" s="107"/>
      <c r="P234" s="107"/>
      <c r="Q234" s="107"/>
      <c r="R234" s="108">
        <f>'1. Standard_Cost'!$B$15*N234*P234</f>
        <v>0</v>
      </c>
      <c r="S234" s="108">
        <f>N234*O234*P234*'1. Standard_Cost'!$C$15</f>
        <v>0</v>
      </c>
      <c r="T234" s="108">
        <f>N234*P234*Q234*'1. Standard_Cost'!$D$15</f>
        <v>0</v>
      </c>
      <c r="U234" s="108">
        <f>N234*O234*'1. Standard_Cost'!$E$15</f>
        <v>0</v>
      </c>
      <c r="V234" s="107"/>
      <c r="W234" s="107"/>
      <c r="X234" s="107"/>
      <c r="Y234" s="108">
        <f>+V234*((X234*'1. Standard_Cost'!$B$19)+(W234*X234*'1. Standard_Cost'!$C$19))</f>
        <v>0</v>
      </c>
      <c r="Z234" s="107"/>
      <c r="AA234" s="107"/>
      <c r="AB234" s="108">
        <f>+Z234*'1. Standard_Cost'!$B$23+AA234*'1. Standard_Cost'!$C$23</f>
        <v>0</v>
      </c>
      <c r="AC234" s="109"/>
      <c r="AD234" s="110"/>
      <c r="AE234" s="108">
        <f>SUM(AD234,AC234,AB234,Y234,U234,T234,S234,R234)*'1. Standard_Cost'!$B$31</f>
        <v>0</v>
      </c>
      <c r="AF234" s="108">
        <f t="shared" si="199"/>
        <v>0</v>
      </c>
      <c r="AG234" s="107"/>
      <c r="AH234" s="107"/>
      <c r="AI234" s="107"/>
      <c r="AJ234" s="111"/>
      <c r="AK234" s="111"/>
      <c r="AL234" s="111"/>
      <c r="AM234" s="108">
        <f>AG234*'1. Standard_Cost'!$B$27+'Incremental_Cost Year 7'!AH234*'1. Standard_Cost'!$C$27+'Incremental_Cost Year 7'!AI234*'1. Standard_Cost'!$D$27+'Incremental_Cost Year 7'!AJ234+'Incremental_Cost Year 7'!AL234+AK234</f>
        <v>0</v>
      </c>
      <c r="AN234" s="108">
        <f>AM234*'1. Standard_Cost'!$C$31</f>
        <v>0</v>
      </c>
      <c r="AO234" s="125" t="s">
        <v>435</v>
      </c>
      <c r="AQ234" s="14">
        <f t="shared" si="200"/>
        <v>0</v>
      </c>
      <c r="AR234" s="14">
        <f t="shared" si="201"/>
        <v>0</v>
      </c>
      <c r="AS234" s="14">
        <f t="shared" si="202"/>
        <v>0</v>
      </c>
      <c r="AT234" s="14">
        <f t="shared" ref="AT234:AT235" si="204">SUM(AQ234,AR234,AS234)</f>
        <v>0</v>
      </c>
      <c r="AU234" s="15"/>
      <c r="AV234" s="15"/>
      <c r="AW234" s="15"/>
      <c r="AX234" s="15"/>
      <c r="AY234" s="15"/>
      <c r="AZ234" s="15"/>
      <c r="BA234" s="15"/>
      <c r="BB234" s="16">
        <f t="shared" si="203"/>
        <v>0</v>
      </c>
    </row>
    <row r="235" spans="1:54" ht="15.6" outlineLevel="2">
      <c r="A235" s="98"/>
      <c r="B235" s="102"/>
      <c r="C235" s="23"/>
      <c r="D235" s="269"/>
      <c r="E235" s="269"/>
      <c r="F235" s="269"/>
      <c r="G235" s="174"/>
      <c r="H235" s="272"/>
      <c r="I235" s="104"/>
      <c r="J235" s="105"/>
      <c r="K235" s="105"/>
      <c r="L235" s="106" t="str">
        <f>IF(I235&lt;&gt;0,((VLOOKUP(I235,'1. Standard_Cost'!$B$4:$D$11,2)+VLOOKUP(I235,'1. Standard_Cost'!$B$4:$D$11,3))*J235*K235),"0")</f>
        <v>0</v>
      </c>
      <c r="M235" s="106">
        <f>L235*'1. Standard_Cost'!$F$4</f>
        <v>0</v>
      </c>
      <c r="N235" s="107"/>
      <c r="O235" s="107"/>
      <c r="P235" s="107"/>
      <c r="Q235" s="107"/>
      <c r="R235" s="108">
        <f>'1. Standard_Cost'!$B$15*N235*P235</f>
        <v>0</v>
      </c>
      <c r="S235" s="108">
        <f>N235*O235*P235*'1. Standard_Cost'!$C$15</f>
        <v>0</v>
      </c>
      <c r="T235" s="108">
        <f>N235*P235*Q235*'1. Standard_Cost'!$D$15</f>
        <v>0</v>
      </c>
      <c r="U235" s="108">
        <f>N235*O235*'1. Standard_Cost'!$E$15</f>
        <v>0</v>
      </c>
      <c r="V235" s="107"/>
      <c r="W235" s="107"/>
      <c r="X235" s="107"/>
      <c r="Y235" s="108">
        <f>+V235*((X235*'1. Standard_Cost'!$B$19)+(W235*X235*'1. Standard_Cost'!$C$19))</f>
        <v>0</v>
      </c>
      <c r="Z235" s="107"/>
      <c r="AA235" s="107"/>
      <c r="AB235" s="108">
        <f>+Z235*'1. Standard_Cost'!$B$23+AA235*'1. Standard_Cost'!$C$23</f>
        <v>0</v>
      </c>
      <c r="AC235" s="109"/>
      <c r="AD235" s="110"/>
      <c r="AE235" s="108">
        <f>SUM(AD235,AC235,AB235,Y235,U235,T235,S235,R235)*'1. Standard_Cost'!$B$31</f>
        <v>0</v>
      </c>
      <c r="AF235" s="108">
        <f t="shared" si="199"/>
        <v>0</v>
      </c>
      <c r="AG235" s="107"/>
      <c r="AH235" s="107"/>
      <c r="AI235" s="107"/>
      <c r="AJ235" s="111"/>
      <c r="AK235" s="111"/>
      <c r="AL235" s="111"/>
      <c r="AM235" s="108">
        <f>AG235*'1. Standard_Cost'!$B$27+'Incremental_Cost Year 7'!AH235*'1. Standard_Cost'!$C$27+'Incremental_Cost Year 7'!AI235*'1. Standard_Cost'!$D$27+'Incremental_Cost Year 7'!AJ235+'Incremental_Cost Year 7'!AL235+AK235</f>
        <v>0</v>
      </c>
      <c r="AN235" s="108">
        <f>AM235*'1. Standard_Cost'!$C$31</f>
        <v>0</v>
      </c>
      <c r="AO235" s="125" t="s">
        <v>436</v>
      </c>
      <c r="AQ235" s="14">
        <f t="shared" si="200"/>
        <v>0</v>
      </c>
      <c r="AR235" s="14">
        <f t="shared" si="201"/>
        <v>0</v>
      </c>
      <c r="AS235" s="14">
        <f t="shared" si="202"/>
        <v>0</v>
      </c>
      <c r="AT235" s="14">
        <f t="shared" si="204"/>
        <v>0</v>
      </c>
      <c r="AU235" s="15"/>
      <c r="AV235" s="15"/>
      <c r="AW235" s="15"/>
      <c r="AX235" s="15"/>
      <c r="AY235" s="15"/>
      <c r="AZ235" s="15"/>
      <c r="BA235" s="15"/>
      <c r="BB235" s="16">
        <f t="shared" si="203"/>
        <v>0</v>
      </c>
    </row>
    <row r="236" spans="1:54" ht="27.6" outlineLevel="1">
      <c r="A236" s="98"/>
      <c r="B236" s="102"/>
      <c r="C236" s="23"/>
      <c r="D236" s="56" t="s">
        <v>47</v>
      </c>
      <c r="E236" s="56" t="s">
        <v>261</v>
      </c>
      <c r="F236" s="253">
        <v>2021</v>
      </c>
      <c r="G236" s="254">
        <v>2026</v>
      </c>
      <c r="H236" s="277" t="s">
        <v>264</v>
      </c>
      <c r="I236" s="112"/>
      <c r="J236" s="112"/>
      <c r="K236" s="112"/>
      <c r="L236" s="113">
        <f>SUM(L233:L235)</f>
        <v>0</v>
      </c>
      <c r="M236" s="113">
        <f>SUM(M233:M235)</f>
        <v>0</v>
      </c>
      <c r="N236" s="112"/>
      <c r="O236" s="112"/>
      <c r="P236" s="112"/>
      <c r="Q236" s="112"/>
      <c r="R236" s="113">
        <f>SUM(R233:R235)</f>
        <v>0</v>
      </c>
      <c r="S236" s="113">
        <f>SUM(S233:S235)</f>
        <v>0</v>
      </c>
      <c r="T236" s="113">
        <f>SUM(T233:T235)</f>
        <v>0</v>
      </c>
      <c r="U236" s="113">
        <f>SUM(U233:U235)</f>
        <v>0</v>
      </c>
      <c r="V236" s="112"/>
      <c r="W236" s="112"/>
      <c r="X236" s="112"/>
      <c r="Y236" s="113">
        <f>SUM(Y233:Y235)</f>
        <v>0</v>
      </c>
      <c r="Z236" s="112"/>
      <c r="AA236" s="112"/>
      <c r="AB236" s="113">
        <f>SUM(AB233:AB235)</f>
        <v>0</v>
      </c>
      <c r="AC236" s="113">
        <f>SUM(AC233:AC235)</f>
        <v>0</v>
      </c>
      <c r="AD236" s="113">
        <f>SUM(AD233:AD235)</f>
        <v>0</v>
      </c>
      <c r="AE236" s="113">
        <f>SUM(AE233:AE235)</f>
        <v>0</v>
      </c>
      <c r="AF236" s="113">
        <f>SUM(AF233:AF235)</f>
        <v>0</v>
      </c>
      <c r="AG236" s="112"/>
      <c r="AH236" s="112"/>
      <c r="AI236" s="112"/>
      <c r="AJ236" s="113">
        <f>SUM(AJ233:AJ235)</f>
        <v>0</v>
      </c>
      <c r="AK236" s="113">
        <f>SUM(AK233:AK235)</f>
        <v>0</v>
      </c>
      <c r="AL236" s="113">
        <f>SUM(AL233:AL235)</f>
        <v>0</v>
      </c>
      <c r="AM236" s="113">
        <f>SUM(AM233:AM235)</f>
        <v>0</v>
      </c>
      <c r="AN236" s="113">
        <f>SUM(AN233:AN235)</f>
        <v>0</v>
      </c>
      <c r="AO236" s="131"/>
      <c r="AP236" s="17"/>
      <c r="AQ236" s="113">
        <f t="shared" ref="AQ236:BB236" si="205">SUM(AQ233:AQ235)</f>
        <v>0</v>
      </c>
      <c r="AR236" s="113">
        <f t="shared" si="205"/>
        <v>0</v>
      </c>
      <c r="AS236" s="113">
        <f t="shared" si="205"/>
        <v>0</v>
      </c>
      <c r="AT236" s="113">
        <f t="shared" si="205"/>
        <v>0</v>
      </c>
      <c r="AU236" s="113">
        <f t="shared" si="205"/>
        <v>0</v>
      </c>
      <c r="AV236" s="113">
        <f t="shared" si="205"/>
        <v>0</v>
      </c>
      <c r="AW236" s="113">
        <f t="shared" si="205"/>
        <v>0</v>
      </c>
      <c r="AX236" s="113">
        <f t="shared" si="205"/>
        <v>0</v>
      </c>
      <c r="AY236" s="113">
        <f t="shared" si="205"/>
        <v>0</v>
      </c>
      <c r="AZ236" s="113">
        <f t="shared" si="205"/>
        <v>0</v>
      </c>
      <c r="BA236" s="113">
        <f t="shared" si="205"/>
        <v>0</v>
      </c>
      <c r="BB236" s="113">
        <f t="shared" si="205"/>
        <v>0</v>
      </c>
    </row>
    <row r="237" spans="1:54" ht="15.6" outlineLevel="2">
      <c r="A237" s="98"/>
      <c r="B237" s="102"/>
      <c r="C237" s="23"/>
      <c r="D237" s="269"/>
      <c r="E237" s="269"/>
      <c r="F237" s="269"/>
      <c r="G237" s="269"/>
      <c r="H237" s="272"/>
      <c r="I237" s="104"/>
      <c r="J237" s="105"/>
      <c r="K237" s="105"/>
      <c r="L237" s="106" t="str">
        <f>IF(I237&lt;&gt;0,((VLOOKUP(I237,'1. Standard_Cost'!$B$4:$D$11,2)+VLOOKUP(I237,'1. Standard_Cost'!$B$4:$D$11,3))*J237*K237),"0")</f>
        <v>0</v>
      </c>
      <c r="M237" s="106">
        <f>L237*'1. Standard_Cost'!$F$4</f>
        <v>0</v>
      </c>
      <c r="N237" s="107"/>
      <c r="O237" s="107"/>
      <c r="P237" s="107"/>
      <c r="Q237" s="107"/>
      <c r="R237" s="108">
        <f>'1. Standard_Cost'!$B$15*N237*P237</f>
        <v>0</v>
      </c>
      <c r="S237" s="108">
        <f>N237*O237*P237*'1. Standard_Cost'!$C$15</f>
        <v>0</v>
      </c>
      <c r="T237" s="108">
        <f>N237*P237*Q237*'1. Standard_Cost'!$D$15</f>
        <v>0</v>
      </c>
      <c r="U237" s="108">
        <f>N237*O237*'1. Standard_Cost'!$E$15</f>
        <v>0</v>
      </c>
      <c r="V237" s="107"/>
      <c r="W237" s="107"/>
      <c r="X237" s="107"/>
      <c r="Y237" s="108">
        <f>+V237*((X237*'1. Standard_Cost'!$B$19)+(W237*X237*'1. Standard_Cost'!$C$19))</f>
        <v>0</v>
      </c>
      <c r="Z237" s="107"/>
      <c r="AA237" s="107"/>
      <c r="AB237" s="108">
        <f>+Z237*'1. Standard_Cost'!$B$23+AA237*'1. Standard_Cost'!$C$23</f>
        <v>0</v>
      </c>
      <c r="AC237" s="109"/>
      <c r="AD237" s="110"/>
      <c r="AE237" s="108">
        <f>SUM(AD237,AC237,AB237,Y237,U237,T237,S237,R237)*'1. Standard_Cost'!$B$31</f>
        <v>0</v>
      </c>
      <c r="AF237" s="108">
        <f t="shared" ref="AF237:AF241" si="206">SUM(AE237,AD237,AC237,AB237,Y237,U237,T237,S237,R237)</f>
        <v>0</v>
      </c>
      <c r="AG237" s="107"/>
      <c r="AH237" s="107"/>
      <c r="AI237" s="107"/>
      <c r="AJ237" s="111"/>
      <c r="AK237" s="111"/>
      <c r="AL237" s="111"/>
      <c r="AM237" s="108">
        <f>AG237*'1. Standard_Cost'!$B$27+'Incremental_Cost Year 7'!AH237*'1. Standard_Cost'!$C$27+'Incremental_Cost Year 7'!AI237*'1. Standard_Cost'!$D$27+'Incremental_Cost Year 7'!AJ237+'Incremental_Cost Year 7'!AL237+AK237</f>
        <v>0</v>
      </c>
      <c r="AN237" s="108">
        <f>AM237*'1. Standard_Cost'!$C$31</f>
        <v>0</v>
      </c>
      <c r="AO237" s="125" t="s">
        <v>437</v>
      </c>
      <c r="AQ237" s="14">
        <f t="shared" ref="AQ237:AQ241" si="207">L237+M237</f>
        <v>0</v>
      </c>
      <c r="AR237" s="14">
        <f t="shared" ref="AR237:AR241" si="208">AF237</f>
        <v>0</v>
      </c>
      <c r="AS237" s="14">
        <f t="shared" ref="AS237:AS241" si="209">AM237+AN237</f>
        <v>0</v>
      </c>
      <c r="AT237" s="14">
        <f>SUM(AQ237,AR237,AS237)</f>
        <v>0</v>
      </c>
      <c r="AU237" s="15"/>
      <c r="AV237" s="15"/>
      <c r="AW237" s="15"/>
      <c r="AX237" s="15"/>
      <c r="AY237" s="15"/>
      <c r="AZ237" s="15"/>
      <c r="BA237" s="15"/>
      <c r="BB237" s="16">
        <f t="shared" ref="BB237:BB241" si="210">SUM(AU237:BA237)-AT237</f>
        <v>0</v>
      </c>
    </row>
    <row r="238" spans="1:54" ht="15.6" outlineLevel="2">
      <c r="A238" s="98"/>
      <c r="B238" s="102"/>
      <c r="C238" s="23"/>
      <c r="D238" s="269"/>
      <c r="E238" s="269"/>
      <c r="F238" s="269"/>
      <c r="G238" s="269"/>
      <c r="H238" s="272"/>
      <c r="I238" s="104"/>
      <c r="J238" s="105"/>
      <c r="K238" s="105"/>
      <c r="L238" s="106" t="str">
        <f>IF(I238&lt;&gt;0,((VLOOKUP(I238,'1. Standard_Cost'!$B$4:$D$11,2)+VLOOKUP(I238,'1. Standard_Cost'!$B$4:$D$11,3))*J238*K238),"0")</f>
        <v>0</v>
      </c>
      <c r="M238" s="106">
        <f>L238*'1. Standard_Cost'!$F$4</f>
        <v>0</v>
      </c>
      <c r="N238" s="107"/>
      <c r="O238" s="107"/>
      <c r="P238" s="107"/>
      <c r="Q238" s="107"/>
      <c r="R238" s="108">
        <f>'1. Standard_Cost'!$B$15*N238*P238</f>
        <v>0</v>
      </c>
      <c r="S238" s="108">
        <f>N238*O238*P238*'1. Standard_Cost'!$C$15</f>
        <v>0</v>
      </c>
      <c r="T238" s="108">
        <f>N238*P238*Q238*'1. Standard_Cost'!$D$15</f>
        <v>0</v>
      </c>
      <c r="U238" s="108">
        <f>N238*O238*'1. Standard_Cost'!$E$15</f>
        <v>0</v>
      </c>
      <c r="V238" s="107"/>
      <c r="W238" s="107"/>
      <c r="X238" s="107"/>
      <c r="Y238" s="108">
        <f>+V238*((X238*'1. Standard_Cost'!$B$19)+(W238*X238*'1. Standard_Cost'!$C$19))</f>
        <v>0</v>
      </c>
      <c r="Z238" s="107"/>
      <c r="AA238" s="107"/>
      <c r="AB238" s="108">
        <f>+Z238*'1. Standard_Cost'!$B$23+AA238*'1. Standard_Cost'!$C$23</f>
        <v>0</v>
      </c>
      <c r="AC238" s="109"/>
      <c r="AD238" s="110"/>
      <c r="AE238" s="108">
        <f>SUM(AD238,AC238,AB238,Y238,U238,T238,S238,R238)*'1. Standard_Cost'!$B$31</f>
        <v>0</v>
      </c>
      <c r="AF238" s="108">
        <f t="shared" si="206"/>
        <v>0</v>
      </c>
      <c r="AG238" s="107"/>
      <c r="AH238" s="107"/>
      <c r="AI238" s="107"/>
      <c r="AJ238" s="111"/>
      <c r="AK238" s="111"/>
      <c r="AL238" s="111"/>
      <c r="AM238" s="108">
        <f>AG238*'1. Standard_Cost'!$B$27+'Incremental_Cost Year 7'!AH238*'1. Standard_Cost'!$C$27+'Incremental_Cost Year 7'!AI238*'1. Standard_Cost'!$D$27+'Incremental_Cost Year 7'!AJ238+'Incremental_Cost Year 7'!AL238+AK238</f>
        <v>0</v>
      </c>
      <c r="AN238" s="108">
        <f>AM238*'1. Standard_Cost'!$C$31</f>
        <v>0</v>
      </c>
      <c r="AO238" s="125" t="s">
        <v>438</v>
      </c>
      <c r="AQ238" s="14">
        <f t="shared" si="207"/>
        <v>0</v>
      </c>
      <c r="AR238" s="14">
        <f t="shared" si="208"/>
        <v>0</v>
      </c>
      <c r="AS238" s="14">
        <f t="shared" si="209"/>
        <v>0</v>
      </c>
      <c r="AT238" s="14">
        <f t="shared" ref="AT238:AT241" si="211">SUM(AQ238,AR238,AS238)</f>
        <v>0</v>
      </c>
      <c r="AU238" s="15"/>
      <c r="AV238" s="15"/>
      <c r="AW238" s="15"/>
      <c r="AX238" s="15"/>
      <c r="AY238" s="15"/>
      <c r="AZ238" s="15"/>
      <c r="BA238" s="15"/>
      <c r="BB238" s="16">
        <f t="shared" si="210"/>
        <v>0</v>
      </c>
    </row>
    <row r="239" spans="1:54" ht="15.6" outlineLevel="2">
      <c r="A239" s="98"/>
      <c r="B239" s="102"/>
      <c r="C239" s="23"/>
      <c r="D239" s="269"/>
      <c r="E239" s="269"/>
      <c r="F239" s="269"/>
      <c r="G239" s="269"/>
      <c r="H239" s="272"/>
      <c r="I239" s="104"/>
      <c r="J239" s="105"/>
      <c r="K239" s="105"/>
      <c r="L239" s="106" t="str">
        <f>IF(I239&lt;&gt;0,((VLOOKUP(I239,'1. Standard_Cost'!$B$4:$D$11,2)+VLOOKUP(I239,'1. Standard_Cost'!$B$4:$D$11,3))*J239*K239),"0")</f>
        <v>0</v>
      </c>
      <c r="M239" s="106">
        <f>L239*'1. Standard_Cost'!$F$4</f>
        <v>0</v>
      </c>
      <c r="N239" s="107"/>
      <c r="O239" s="107"/>
      <c r="P239" s="107"/>
      <c r="Q239" s="107"/>
      <c r="R239" s="108">
        <f>'1. Standard_Cost'!$B$15*N239*P239</f>
        <v>0</v>
      </c>
      <c r="S239" s="108">
        <f>N239*O239*P239*'1. Standard_Cost'!$C$15</f>
        <v>0</v>
      </c>
      <c r="T239" s="108">
        <f>N239*P239*Q239*'1. Standard_Cost'!$D$15</f>
        <v>0</v>
      </c>
      <c r="U239" s="108">
        <f>N239*O239*'1. Standard_Cost'!$E$15</f>
        <v>0</v>
      </c>
      <c r="V239" s="107"/>
      <c r="W239" s="107"/>
      <c r="X239" s="107"/>
      <c r="Y239" s="108">
        <f>+V239*((X239*'1. Standard_Cost'!$B$19)+(W239*X239*'1. Standard_Cost'!$C$19))</f>
        <v>0</v>
      </c>
      <c r="Z239" s="107"/>
      <c r="AA239" s="107"/>
      <c r="AB239" s="108">
        <f>+Z239*'1. Standard_Cost'!$B$23+AA239*'1. Standard_Cost'!$C$23</f>
        <v>0</v>
      </c>
      <c r="AC239" s="109"/>
      <c r="AD239" s="110"/>
      <c r="AE239" s="108">
        <f>SUM(AD239,AC239,AB239,Y239,U239,T239,S239,R239)*'1. Standard_Cost'!$B$31</f>
        <v>0</v>
      </c>
      <c r="AF239" s="108">
        <f t="shared" si="206"/>
        <v>0</v>
      </c>
      <c r="AG239" s="107"/>
      <c r="AH239" s="107"/>
      <c r="AI239" s="107"/>
      <c r="AJ239" s="111"/>
      <c r="AK239" s="111"/>
      <c r="AL239" s="111"/>
      <c r="AM239" s="108">
        <f>AG239*'1. Standard_Cost'!$B$27+'Incremental_Cost Year 7'!AH239*'1. Standard_Cost'!$C$27+'Incremental_Cost Year 7'!AI239*'1. Standard_Cost'!$D$27+'Incremental_Cost Year 7'!AJ239+'Incremental_Cost Year 7'!AL239+AK239</f>
        <v>0</v>
      </c>
      <c r="AN239" s="108">
        <f>AM239*'1. Standard_Cost'!$C$31</f>
        <v>0</v>
      </c>
      <c r="AO239" s="125" t="s">
        <v>439</v>
      </c>
      <c r="AQ239" s="14">
        <f t="shared" si="207"/>
        <v>0</v>
      </c>
      <c r="AR239" s="14">
        <f t="shared" si="208"/>
        <v>0</v>
      </c>
      <c r="AS239" s="14">
        <f t="shared" si="209"/>
        <v>0</v>
      </c>
      <c r="AT239" s="14">
        <f t="shared" si="211"/>
        <v>0</v>
      </c>
      <c r="AU239" s="15"/>
      <c r="AV239" s="15"/>
      <c r="AW239" s="15"/>
      <c r="AX239" s="15"/>
      <c r="AY239" s="15"/>
      <c r="AZ239" s="15"/>
      <c r="BA239" s="15"/>
      <c r="BB239" s="16">
        <f t="shared" si="210"/>
        <v>0</v>
      </c>
    </row>
    <row r="240" spans="1:54" ht="15.6" outlineLevel="2">
      <c r="A240" s="98"/>
      <c r="B240" s="102"/>
      <c r="C240" s="23"/>
      <c r="D240" s="269"/>
      <c r="E240" s="269"/>
      <c r="F240" s="269"/>
      <c r="G240" s="269"/>
      <c r="H240" s="272"/>
      <c r="I240" s="104"/>
      <c r="J240" s="105"/>
      <c r="K240" s="105"/>
      <c r="L240" s="106" t="str">
        <f>IF(I240&lt;&gt;0,((VLOOKUP(I240,'1. Standard_Cost'!$B$4:$D$11,2)+VLOOKUP(I240,'1. Standard_Cost'!$B$4:$D$11,3))*J240*K240),"0")</f>
        <v>0</v>
      </c>
      <c r="M240" s="106">
        <f>L240*'1. Standard_Cost'!$F$4</f>
        <v>0</v>
      </c>
      <c r="N240" s="107"/>
      <c r="O240" s="107"/>
      <c r="P240" s="107"/>
      <c r="Q240" s="107"/>
      <c r="R240" s="108">
        <f>'1. Standard_Cost'!$B$15*N240*P240</f>
        <v>0</v>
      </c>
      <c r="S240" s="108">
        <f>N240*O240*P240*'1. Standard_Cost'!$C$15</f>
        <v>0</v>
      </c>
      <c r="T240" s="108">
        <f>N240*P240*Q240*'1. Standard_Cost'!$D$15</f>
        <v>0</v>
      </c>
      <c r="U240" s="108">
        <f>N240*O240*'1. Standard_Cost'!$E$15</f>
        <v>0</v>
      </c>
      <c r="V240" s="107"/>
      <c r="W240" s="107"/>
      <c r="X240" s="107"/>
      <c r="Y240" s="108">
        <f>+V240*((X240*'1. Standard_Cost'!$B$19)+(W240*X240*'1. Standard_Cost'!$C$19))</f>
        <v>0</v>
      </c>
      <c r="Z240" s="107"/>
      <c r="AA240" s="107"/>
      <c r="AB240" s="108">
        <f>+Z240*'1. Standard_Cost'!$B$23+AA240*'1. Standard_Cost'!$C$23</f>
        <v>0</v>
      </c>
      <c r="AC240" s="109"/>
      <c r="AD240" s="110"/>
      <c r="AE240" s="108">
        <f>SUM(AD240,AC240,AB240,Y240,U240,T240,S240,R240)*'1. Standard_Cost'!$B$31</f>
        <v>0</v>
      </c>
      <c r="AF240" s="108">
        <f t="shared" si="206"/>
        <v>0</v>
      </c>
      <c r="AG240" s="107"/>
      <c r="AH240" s="107"/>
      <c r="AI240" s="107"/>
      <c r="AJ240" s="111"/>
      <c r="AK240" s="111"/>
      <c r="AL240" s="111"/>
      <c r="AM240" s="108">
        <f>AG240*'1. Standard_Cost'!$B$27+'Incremental_Cost Year 7'!AH240*'1. Standard_Cost'!$C$27+'Incremental_Cost Year 7'!AI240*'1. Standard_Cost'!$D$27+'Incremental_Cost Year 7'!AJ240+'Incremental_Cost Year 7'!AL240+AK240</f>
        <v>0</v>
      </c>
      <c r="AN240" s="108">
        <f>AM240*'1. Standard_Cost'!$C$31</f>
        <v>0</v>
      </c>
      <c r="AO240" s="125" t="s">
        <v>440</v>
      </c>
      <c r="AQ240" s="14">
        <f t="shared" si="207"/>
        <v>0</v>
      </c>
      <c r="AR240" s="14">
        <f t="shared" si="208"/>
        <v>0</v>
      </c>
      <c r="AS240" s="14">
        <f t="shared" si="209"/>
        <v>0</v>
      </c>
      <c r="AT240" s="14">
        <f t="shared" si="211"/>
        <v>0</v>
      </c>
      <c r="AU240" s="15"/>
      <c r="AV240" s="15"/>
      <c r="AW240" s="15"/>
      <c r="AX240" s="15"/>
      <c r="AY240" s="15"/>
      <c r="AZ240" s="15"/>
      <c r="BA240" s="15"/>
      <c r="BB240" s="16">
        <f t="shared" si="210"/>
        <v>0</v>
      </c>
    </row>
    <row r="241" spans="1:54" ht="15.6" outlineLevel="2">
      <c r="A241" s="98"/>
      <c r="B241" s="102"/>
      <c r="C241" s="23"/>
      <c r="D241" s="269"/>
      <c r="E241" s="269"/>
      <c r="F241" s="269"/>
      <c r="G241" s="269"/>
      <c r="H241" s="272"/>
      <c r="I241" s="104"/>
      <c r="J241" s="105"/>
      <c r="K241" s="105"/>
      <c r="L241" s="106" t="str">
        <f>IF(I241&lt;&gt;0,((VLOOKUP(I241,'1. Standard_Cost'!$B$4:$D$11,2)+VLOOKUP(I241,'1. Standard_Cost'!$B$4:$D$11,3))*J241*K241),"0")</f>
        <v>0</v>
      </c>
      <c r="M241" s="106">
        <f>L241*'1. Standard_Cost'!$F$4</f>
        <v>0</v>
      </c>
      <c r="N241" s="107"/>
      <c r="O241" s="107"/>
      <c r="P241" s="107"/>
      <c r="Q241" s="107"/>
      <c r="R241" s="108">
        <f>'1. Standard_Cost'!$B$15*N241*P241</f>
        <v>0</v>
      </c>
      <c r="S241" s="108">
        <f>N241*O241*P241*'1. Standard_Cost'!$C$15</f>
        <v>0</v>
      </c>
      <c r="T241" s="108">
        <f>N241*P241*Q241*'1. Standard_Cost'!$D$15</f>
        <v>0</v>
      </c>
      <c r="U241" s="108">
        <f>N241*O241*'1. Standard_Cost'!$E$15</f>
        <v>0</v>
      </c>
      <c r="V241" s="107"/>
      <c r="W241" s="107"/>
      <c r="X241" s="107"/>
      <c r="Y241" s="108">
        <f>+V241*((X241*'1. Standard_Cost'!$B$19)+(W241*X241*'1. Standard_Cost'!$C$19))</f>
        <v>0</v>
      </c>
      <c r="Z241" s="107"/>
      <c r="AA241" s="107"/>
      <c r="AB241" s="108">
        <f>+Z241*'1. Standard_Cost'!$B$23+AA241*'1. Standard_Cost'!$C$23</f>
        <v>0</v>
      </c>
      <c r="AC241" s="109"/>
      <c r="AD241" s="110"/>
      <c r="AE241" s="108">
        <f>SUM(AD241,AC241,AB241,Y241,U241,T241,S241,R241)*'1. Standard_Cost'!$B$31</f>
        <v>0</v>
      </c>
      <c r="AF241" s="108">
        <f t="shared" si="206"/>
        <v>0</v>
      </c>
      <c r="AG241" s="107"/>
      <c r="AH241" s="107"/>
      <c r="AI241" s="107"/>
      <c r="AJ241" s="111"/>
      <c r="AK241" s="111"/>
      <c r="AL241" s="111"/>
      <c r="AM241" s="108">
        <f>AG241*'1. Standard_Cost'!$B$27+'Incremental_Cost Year 7'!AH241*'1. Standard_Cost'!$C$27+'Incremental_Cost Year 7'!AI241*'1. Standard_Cost'!$D$27+'Incremental_Cost Year 7'!AJ241+'Incremental_Cost Year 7'!AL241+AK241</f>
        <v>0</v>
      </c>
      <c r="AN241" s="108">
        <f>AM241*'1. Standard_Cost'!$C$31</f>
        <v>0</v>
      </c>
      <c r="AO241" s="125" t="s">
        <v>441</v>
      </c>
      <c r="AQ241" s="14">
        <f t="shared" si="207"/>
        <v>0</v>
      </c>
      <c r="AR241" s="14">
        <f t="shared" si="208"/>
        <v>0</v>
      </c>
      <c r="AS241" s="14">
        <f t="shared" si="209"/>
        <v>0</v>
      </c>
      <c r="AT241" s="14">
        <f t="shared" si="211"/>
        <v>0</v>
      </c>
      <c r="AU241" s="15"/>
      <c r="AV241" s="15"/>
      <c r="AW241" s="15"/>
      <c r="AX241" s="15"/>
      <c r="AY241" s="15"/>
      <c r="AZ241" s="15"/>
      <c r="BA241" s="15"/>
      <c r="BB241" s="16">
        <f t="shared" si="210"/>
        <v>0</v>
      </c>
    </row>
    <row r="242" spans="1:54" ht="27.6" outlineLevel="1">
      <c r="A242" s="98"/>
      <c r="B242" s="102"/>
      <c r="C242" s="23"/>
      <c r="D242" s="56" t="s">
        <v>47</v>
      </c>
      <c r="E242" s="56" t="s">
        <v>265</v>
      </c>
      <c r="F242" s="253">
        <v>2021</v>
      </c>
      <c r="G242" s="254">
        <v>2026</v>
      </c>
      <c r="H242" s="277" t="s">
        <v>269</v>
      </c>
      <c r="I242" s="112"/>
      <c r="J242" s="112"/>
      <c r="K242" s="112"/>
      <c r="L242" s="113">
        <f>SUM(L237:L241)</f>
        <v>0</v>
      </c>
      <c r="M242" s="113">
        <f>SUM(M237:M241)</f>
        <v>0</v>
      </c>
      <c r="N242" s="112"/>
      <c r="O242" s="112"/>
      <c r="P242" s="112"/>
      <c r="Q242" s="112"/>
      <c r="R242" s="113">
        <f>SUM(R237:R241)</f>
        <v>0</v>
      </c>
      <c r="S242" s="113">
        <f>SUM(S237:S241)</f>
        <v>0</v>
      </c>
      <c r="T242" s="113">
        <f>SUM(T237:T241)</f>
        <v>0</v>
      </c>
      <c r="U242" s="113">
        <f>SUM(U237:U241)</f>
        <v>0</v>
      </c>
      <c r="V242" s="112"/>
      <c r="W242" s="112"/>
      <c r="X242" s="112"/>
      <c r="Y242" s="113">
        <f>SUM(Y237:Y241)</f>
        <v>0</v>
      </c>
      <c r="Z242" s="112"/>
      <c r="AA242" s="112"/>
      <c r="AB242" s="113">
        <f>SUM(AB237:AB241)</f>
        <v>0</v>
      </c>
      <c r="AC242" s="113">
        <f>SUM(AC237:AC241)</f>
        <v>0</v>
      </c>
      <c r="AD242" s="113">
        <f>SUM(AD237:AD241)</f>
        <v>0</v>
      </c>
      <c r="AE242" s="113">
        <f>SUM(AE237:AE241)</f>
        <v>0</v>
      </c>
      <c r="AF242" s="113">
        <f>SUM(AF237:AF241)</f>
        <v>0</v>
      </c>
      <c r="AG242" s="112"/>
      <c r="AH242" s="112"/>
      <c r="AI242" s="112"/>
      <c r="AJ242" s="113">
        <f>SUM(AJ237:AJ241)</f>
        <v>0</v>
      </c>
      <c r="AK242" s="113">
        <f>SUM(AK237:AK241)</f>
        <v>0</v>
      </c>
      <c r="AL242" s="113">
        <f>SUM(AL237:AL241)</f>
        <v>0</v>
      </c>
      <c r="AM242" s="113">
        <f>SUM(AM237:AM241)</f>
        <v>0</v>
      </c>
      <c r="AN242" s="113">
        <f>SUM(AN237:AN241)</f>
        <v>0</v>
      </c>
      <c r="AO242" s="131"/>
      <c r="AP242" s="17"/>
      <c r="AQ242" s="113">
        <f t="shared" ref="AQ242:BB242" si="212">SUM(AQ237:AQ241)</f>
        <v>0</v>
      </c>
      <c r="AR242" s="113">
        <f t="shared" si="212"/>
        <v>0</v>
      </c>
      <c r="AS242" s="113">
        <f t="shared" si="212"/>
        <v>0</v>
      </c>
      <c r="AT242" s="113">
        <f t="shared" si="212"/>
        <v>0</v>
      </c>
      <c r="AU242" s="113">
        <f t="shared" si="212"/>
        <v>0</v>
      </c>
      <c r="AV242" s="113">
        <f t="shared" si="212"/>
        <v>0</v>
      </c>
      <c r="AW242" s="113">
        <f t="shared" si="212"/>
        <v>0</v>
      </c>
      <c r="AX242" s="113">
        <f t="shared" si="212"/>
        <v>0</v>
      </c>
      <c r="AY242" s="113">
        <f t="shared" si="212"/>
        <v>0</v>
      </c>
      <c r="AZ242" s="113">
        <f t="shared" si="212"/>
        <v>0</v>
      </c>
      <c r="BA242" s="113">
        <f t="shared" si="212"/>
        <v>0</v>
      </c>
      <c r="BB242" s="113">
        <f t="shared" si="212"/>
        <v>0</v>
      </c>
    </row>
  </sheetData>
  <mergeCells count="17">
    <mergeCell ref="B223:E223"/>
    <mergeCell ref="C224:E224"/>
    <mergeCell ref="B31:E31"/>
    <mergeCell ref="C32:E32"/>
    <mergeCell ref="C40:E40"/>
    <mergeCell ref="B92:E92"/>
    <mergeCell ref="C93:E93"/>
    <mergeCell ref="C143:E143"/>
    <mergeCell ref="C179:E179"/>
    <mergeCell ref="C202:E202"/>
    <mergeCell ref="AQ2:BB2"/>
    <mergeCell ref="C80:E80"/>
    <mergeCell ref="B1:L1"/>
    <mergeCell ref="B2:E2"/>
    <mergeCell ref="B3:E3"/>
    <mergeCell ref="B5:E5"/>
    <mergeCell ref="C6:E6"/>
  </mergeCells>
  <conditionalFormatting sqref="BB243:BB286 BB288:BB291 BB293:BB302 BB305:BB308 BB33 BB81:BB82 BB94:BB100 BB7:BB10 BB26:BB29 BB24 BB36:BB38 BB85:BB90 BB16:BB20 BA17:BA18 BB60:BB78 BB183:BB185 BB144:BB146 BB154:BB160 BB162:BB167">
    <cfRule type="cellIs" dxfId="701" priority="173" operator="lessThan">
      <formula>0</formula>
    </cfRule>
    <cfRule type="cellIs" dxfId="700" priority="174" operator="lessThan">
      <formula>-105575</formula>
    </cfRule>
  </conditionalFormatting>
  <conditionalFormatting sqref="BB311:BB314 BB316:BB320">
    <cfRule type="cellIs" dxfId="699" priority="171" operator="lessThan">
      <formula>0</formula>
    </cfRule>
    <cfRule type="cellIs" dxfId="698" priority="172" operator="lessThan">
      <formula>-105575</formula>
    </cfRule>
  </conditionalFormatting>
  <conditionalFormatting sqref="BB321:BB325">
    <cfRule type="cellIs" dxfId="697" priority="169" operator="lessThan">
      <formula>0</formula>
    </cfRule>
    <cfRule type="cellIs" dxfId="696" priority="170" operator="lessThan">
      <formula>-105575</formula>
    </cfRule>
  </conditionalFormatting>
  <conditionalFormatting sqref="BB326:BB330">
    <cfRule type="cellIs" dxfId="695" priority="167" operator="lessThan">
      <formula>0</formula>
    </cfRule>
    <cfRule type="cellIs" dxfId="694" priority="168" operator="lessThan">
      <formula>-105575</formula>
    </cfRule>
  </conditionalFormatting>
  <conditionalFormatting sqref="BB332:BB335 BB337:BB341">
    <cfRule type="cellIs" dxfId="693" priority="165" operator="lessThan">
      <formula>0</formula>
    </cfRule>
    <cfRule type="cellIs" dxfId="692" priority="166" operator="lessThan">
      <formula>-105575</formula>
    </cfRule>
  </conditionalFormatting>
  <conditionalFormatting sqref="BB342:BB346">
    <cfRule type="cellIs" dxfId="691" priority="163" operator="lessThan">
      <formula>0</formula>
    </cfRule>
    <cfRule type="cellIs" dxfId="690" priority="164" operator="lessThan">
      <formula>-105575</formula>
    </cfRule>
  </conditionalFormatting>
  <conditionalFormatting sqref="BB347:BB351">
    <cfRule type="cellIs" dxfId="689" priority="161" operator="lessThan">
      <formula>0</formula>
    </cfRule>
    <cfRule type="cellIs" dxfId="688" priority="162" operator="lessThan">
      <formula>-105575</formula>
    </cfRule>
  </conditionalFormatting>
  <conditionalFormatting sqref="BB353:BB356 BB358:BB362">
    <cfRule type="cellIs" dxfId="687" priority="159" operator="lessThan">
      <formula>0</formula>
    </cfRule>
    <cfRule type="cellIs" dxfId="686" priority="160" operator="lessThan">
      <formula>-105575</formula>
    </cfRule>
  </conditionalFormatting>
  <conditionalFormatting sqref="BB363:BB367">
    <cfRule type="cellIs" dxfId="685" priority="157" operator="lessThan">
      <formula>0</formula>
    </cfRule>
    <cfRule type="cellIs" dxfId="684" priority="158" operator="lessThan">
      <formula>-105575</formula>
    </cfRule>
  </conditionalFormatting>
  <conditionalFormatting sqref="BB370:BB373 BB375:BB379">
    <cfRule type="cellIs" dxfId="683" priority="155" operator="lessThan">
      <formula>0</formula>
    </cfRule>
    <cfRule type="cellIs" dxfId="682" priority="156" operator="lessThan">
      <formula>-105575</formula>
    </cfRule>
  </conditionalFormatting>
  <conditionalFormatting sqref="BB381:BB384">
    <cfRule type="cellIs" dxfId="681" priority="153" operator="lessThan">
      <formula>0</formula>
    </cfRule>
    <cfRule type="cellIs" dxfId="680" priority="154" operator="lessThan">
      <formula>-105575</formula>
    </cfRule>
  </conditionalFormatting>
  <conditionalFormatting sqref="BB381:BB384 BB386:BB390">
    <cfRule type="cellIs" dxfId="679" priority="151" operator="lessThan">
      <formula>0</formula>
    </cfRule>
    <cfRule type="cellIs" dxfId="678" priority="152" operator="lessThan">
      <formula>-105575</formula>
    </cfRule>
  </conditionalFormatting>
  <conditionalFormatting sqref="BB391:BB395">
    <cfRule type="cellIs" dxfId="677" priority="149" operator="lessThan">
      <formula>0</formula>
    </cfRule>
    <cfRule type="cellIs" dxfId="676" priority="150" operator="lessThan">
      <formula>-105575</formula>
    </cfRule>
  </conditionalFormatting>
  <conditionalFormatting sqref="BB396:BB400">
    <cfRule type="cellIs" dxfId="675" priority="147" operator="lessThan">
      <formula>0</formula>
    </cfRule>
    <cfRule type="cellIs" dxfId="674" priority="148" operator="lessThan">
      <formula>-105575</formula>
    </cfRule>
  </conditionalFormatting>
  <conditionalFormatting sqref="BB401:BB405">
    <cfRule type="cellIs" dxfId="673" priority="145" operator="lessThan">
      <formula>0</formula>
    </cfRule>
    <cfRule type="cellIs" dxfId="672" priority="146" operator="lessThan">
      <formula>-105575</formula>
    </cfRule>
  </conditionalFormatting>
  <conditionalFormatting sqref="BB406:BB410">
    <cfRule type="cellIs" dxfId="671" priority="143" operator="lessThan">
      <formula>0</formula>
    </cfRule>
    <cfRule type="cellIs" dxfId="670" priority="144" operator="lessThan">
      <formula>-105575</formula>
    </cfRule>
  </conditionalFormatting>
  <conditionalFormatting sqref="BB412:BB415">
    <cfRule type="cellIs" dxfId="669" priority="141" operator="lessThan">
      <formula>0</formula>
    </cfRule>
    <cfRule type="cellIs" dxfId="668" priority="142" operator="lessThan">
      <formula>-105575</formula>
    </cfRule>
  </conditionalFormatting>
  <conditionalFormatting sqref="BB412:BB415">
    <cfRule type="cellIs" dxfId="667" priority="139" operator="lessThan">
      <formula>0</formula>
    </cfRule>
    <cfRule type="cellIs" dxfId="666" priority="140" operator="lessThan">
      <formula>-105575</formula>
    </cfRule>
  </conditionalFormatting>
  <conditionalFormatting sqref="BB418:BB421">
    <cfRule type="cellIs" dxfId="665" priority="137" operator="lessThan">
      <formula>0</formula>
    </cfRule>
    <cfRule type="cellIs" dxfId="664" priority="138" operator="lessThan">
      <formula>-105575</formula>
    </cfRule>
  </conditionalFormatting>
  <conditionalFormatting sqref="BB418:BB421 BB423:BB427">
    <cfRule type="cellIs" dxfId="663" priority="135" operator="lessThan">
      <formula>0</formula>
    </cfRule>
    <cfRule type="cellIs" dxfId="662" priority="136" operator="lessThan">
      <formula>-105575</formula>
    </cfRule>
  </conditionalFormatting>
  <conditionalFormatting sqref="BB428:BB432">
    <cfRule type="cellIs" dxfId="661" priority="133" operator="lessThan">
      <formula>0</formula>
    </cfRule>
    <cfRule type="cellIs" dxfId="660" priority="134" operator="lessThan">
      <formula>-105575</formula>
    </cfRule>
  </conditionalFormatting>
  <conditionalFormatting sqref="BB433:BB437">
    <cfRule type="cellIs" dxfId="659" priority="131" operator="lessThan">
      <formula>0</formula>
    </cfRule>
    <cfRule type="cellIs" dxfId="658" priority="132" operator="lessThan">
      <formula>-105575</formula>
    </cfRule>
  </conditionalFormatting>
  <conditionalFormatting sqref="BB439:BB442">
    <cfRule type="cellIs" dxfId="657" priority="129" operator="lessThan">
      <formula>0</formula>
    </cfRule>
    <cfRule type="cellIs" dxfId="656" priority="130" operator="lessThan">
      <formula>-105575</formula>
    </cfRule>
  </conditionalFormatting>
  <conditionalFormatting sqref="BB439:BB442 BB444:BB448">
    <cfRule type="cellIs" dxfId="655" priority="127" operator="lessThan">
      <formula>0</formula>
    </cfRule>
    <cfRule type="cellIs" dxfId="654" priority="128" operator="lessThan">
      <formula>-105575</formula>
    </cfRule>
  </conditionalFormatting>
  <conditionalFormatting sqref="BB449:BB453">
    <cfRule type="cellIs" dxfId="653" priority="125" operator="lessThan">
      <formula>0</formula>
    </cfRule>
    <cfRule type="cellIs" dxfId="652" priority="126" operator="lessThan">
      <formula>-105575</formula>
    </cfRule>
  </conditionalFormatting>
  <conditionalFormatting sqref="BB454:BB458">
    <cfRule type="cellIs" dxfId="651" priority="123" operator="lessThan">
      <formula>0</formula>
    </cfRule>
    <cfRule type="cellIs" dxfId="650" priority="124" operator="lessThan">
      <formula>-105575</formula>
    </cfRule>
  </conditionalFormatting>
  <conditionalFormatting sqref="BB460:BB463">
    <cfRule type="cellIs" dxfId="649" priority="121" operator="lessThan">
      <formula>0</formula>
    </cfRule>
    <cfRule type="cellIs" dxfId="648" priority="122" operator="lessThan">
      <formula>-105575</formula>
    </cfRule>
  </conditionalFormatting>
  <conditionalFormatting sqref="BB460:BB463 BB465:BB469">
    <cfRule type="cellIs" dxfId="647" priority="119" operator="lessThan">
      <formula>0</formula>
    </cfRule>
    <cfRule type="cellIs" dxfId="646" priority="120" operator="lessThan">
      <formula>-105575</formula>
    </cfRule>
  </conditionalFormatting>
  <conditionalFormatting sqref="BB470:BB474">
    <cfRule type="cellIs" dxfId="645" priority="117" operator="lessThan">
      <formula>0</formula>
    </cfRule>
    <cfRule type="cellIs" dxfId="644" priority="118" operator="lessThan">
      <formula>-105575</formula>
    </cfRule>
  </conditionalFormatting>
  <conditionalFormatting sqref="BB475:BB479">
    <cfRule type="cellIs" dxfId="643" priority="115" operator="lessThan">
      <formula>0</formula>
    </cfRule>
    <cfRule type="cellIs" dxfId="642" priority="116" operator="lessThan">
      <formula>-105575</formula>
    </cfRule>
  </conditionalFormatting>
  <conditionalFormatting sqref="BB481:BB484">
    <cfRule type="cellIs" dxfId="641" priority="113" operator="lessThan">
      <formula>0</formula>
    </cfRule>
    <cfRule type="cellIs" dxfId="640" priority="114" operator="lessThan">
      <formula>-105575</formula>
    </cfRule>
  </conditionalFormatting>
  <conditionalFormatting sqref="BB481:BB484 BB486:BB490">
    <cfRule type="cellIs" dxfId="639" priority="111" operator="lessThan">
      <formula>0</formula>
    </cfRule>
    <cfRule type="cellIs" dxfId="638" priority="112" operator="lessThan">
      <formula>-105575</formula>
    </cfRule>
  </conditionalFormatting>
  <conditionalFormatting sqref="BB491:BB495">
    <cfRule type="cellIs" dxfId="637" priority="109" operator="lessThan">
      <formula>0</formula>
    </cfRule>
    <cfRule type="cellIs" dxfId="636" priority="110" operator="lessThan">
      <formula>-105575</formula>
    </cfRule>
  </conditionalFormatting>
  <conditionalFormatting sqref="BB144:BB146 BB154:BB160 BB162:BB167">
    <cfRule type="cellIs" dxfId="635" priority="107" operator="lessThan">
      <formula>0</formula>
    </cfRule>
    <cfRule type="cellIs" dxfId="634" priority="108" operator="lessThan">
      <formula>-105575</formula>
    </cfRule>
  </conditionalFormatting>
  <conditionalFormatting sqref="BB163:BB164">
    <cfRule type="cellIs" dxfId="633" priority="105" operator="lessThan">
      <formula>0</formula>
    </cfRule>
    <cfRule type="cellIs" dxfId="632" priority="106" operator="lessThan">
      <formula>-105575</formula>
    </cfRule>
  </conditionalFormatting>
  <conditionalFormatting sqref="BB34:BB35">
    <cfRule type="cellIs" dxfId="631" priority="95" operator="lessThan">
      <formula>0</formula>
    </cfRule>
    <cfRule type="cellIs" dxfId="630" priority="96" operator="lessThan">
      <formula>-105575</formula>
    </cfRule>
  </conditionalFormatting>
  <conditionalFormatting sqref="BB41 BB56:BB58">
    <cfRule type="cellIs" dxfId="629" priority="93" operator="lessThan">
      <formula>0</formula>
    </cfRule>
    <cfRule type="cellIs" dxfId="628" priority="94" operator="lessThan">
      <formula>-105575</formula>
    </cfRule>
  </conditionalFormatting>
  <conditionalFormatting sqref="BB14">
    <cfRule type="cellIs" dxfId="627" priority="103" operator="lessThan">
      <formula>0</formula>
    </cfRule>
    <cfRule type="cellIs" dxfId="626" priority="104" operator="lessThan">
      <formula>-105575</formula>
    </cfRule>
  </conditionalFormatting>
  <conditionalFormatting sqref="BB11">
    <cfRule type="cellIs" dxfId="625" priority="101" operator="lessThan">
      <formula>0</formula>
    </cfRule>
    <cfRule type="cellIs" dxfId="624" priority="102" operator="lessThan">
      <formula>-105575</formula>
    </cfRule>
  </conditionalFormatting>
  <conditionalFormatting sqref="BB54:BB55">
    <cfRule type="cellIs" dxfId="623" priority="91" operator="lessThan">
      <formula>0</formula>
    </cfRule>
    <cfRule type="cellIs" dxfId="622" priority="92" operator="lessThan">
      <formula>-105575</formula>
    </cfRule>
  </conditionalFormatting>
  <conditionalFormatting sqref="BB21 BB23">
    <cfRule type="cellIs" dxfId="621" priority="99" operator="lessThan">
      <formula>0</formula>
    </cfRule>
    <cfRule type="cellIs" dxfId="620" priority="100" operator="lessThan">
      <formula>-105575</formula>
    </cfRule>
  </conditionalFormatting>
  <conditionalFormatting sqref="BB22">
    <cfRule type="cellIs" dxfId="619" priority="97" operator="lessThan">
      <formula>0</formula>
    </cfRule>
    <cfRule type="cellIs" dxfId="618" priority="98" operator="lessThan">
      <formula>-105575</formula>
    </cfRule>
  </conditionalFormatting>
  <conditionalFormatting sqref="BB52:BB53">
    <cfRule type="cellIs" dxfId="617" priority="89" operator="lessThan">
      <formula>0</formula>
    </cfRule>
    <cfRule type="cellIs" dxfId="616" priority="90" operator="lessThan">
      <formula>-105575</formula>
    </cfRule>
  </conditionalFormatting>
  <conditionalFormatting sqref="BB50:BB51">
    <cfRule type="cellIs" dxfId="615" priority="87" operator="lessThan">
      <formula>0</formula>
    </cfRule>
    <cfRule type="cellIs" dxfId="614" priority="88" operator="lessThan">
      <formula>-105575</formula>
    </cfRule>
  </conditionalFormatting>
  <conditionalFormatting sqref="BB49">
    <cfRule type="cellIs" dxfId="613" priority="85" operator="lessThan">
      <formula>0</formula>
    </cfRule>
    <cfRule type="cellIs" dxfId="612" priority="86" operator="lessThan">
      <formula>-105575</formula>
    </cfRule>
  </conditionalFormatting>
  <conditionalFormatting sqref="BB47:BB48">
    <cfRule type="cellIs" dxfId="611" priority="83" operator="lessThan">
      <formula>0</formula>
    </cfRule>
    <cfRule type="cellIs" dxfId="610" priority="84" operator="lessThan">
      <formula>-105575</formula>
    </cfRule>
  </conditionalFormatting>
  <conditionalFormatting sqref="BB45:BB46">
    <cfRule type="cellIs" dxfId="609" priority="81" operator="lessThan">
      <formula>0</formula>
    </cfRule>
    <cfRule type="cellIs" dxfId="608" priority="82" operator="lessThan">
      <formula>-105575</formula>
    </cfRule>
  </conditionalFormatting>
  <conditionalFormatting sqref="BB42 BB44">
    <cfRule type="cellIs" dxfId="607" priority="79" operator="lessThan">
      <formula>0</formula>
    </cfRule>
    <cfRule type="cellIs" dxfId="606" priority="80" operator="lessThan">
      <formula>-105575</formula>
    </cfRule>
  </conditionalFormatting>
  <conditionalFormatting sqref="BB43">
    <cfRule type="cellIs" dxfId="605" priority="77" operator="lessThan">
      <formula>0</formula>
    </cfRule>
    <cfRule type="cellIs" dxfId="604" priority="78" operator="lessThan">
      <formula>-105575</formula>
    </cfRule>
  </conditionalFormatting>
  <conditionalFormatting sqref="BB83:BB84">
    <cfRule type="cellIs" dxfId="603" priority="75" operator="lessThan">
      <formula>0</formula>
    </cfRule>
    <cfRule type="cellIs" dxfId="602" priority="76" operator="lessThan">
      <formula>-105575</formula>
    </cfRule>
  </conditionalFormatting>
  <conditionalFormatting sqref="BB102:BB106 BB111:BB112">
    <cfRule type="cellIs" dxfId="601" priority="73" operator="lessThan">
      <formula>0</formula>
    </cfRule>
    <cfRule type="cellIs" dxfId="600" priority="74" operator="lessThan">
      <formula>-105575</formula>
    </cfRule>
  </conditionalFormatting>
  <conditionalFormatting sqref="BB114 BB134:BB135 BB125:BB128">
    <cfRule type="cellIs" dxfId="599" priority="69" operator="lessThan">
      <formula>0</formula>
    </cfRule>
    <cfRule type="cellIs" dxfId="598" priority="70" operator="lessThan">
      <formula>-105575</formula>
    </cfRule>
  </conditionalFormatting>
  <conditionalFormatting sqref="BB107:BB110">
    <cfRule type="cellIs" dxfId="597" priority="71" operator="lessThan">
      <formula>0</formula>
    </cfRule>
    <cfRule type="cellIs" dxfId="596" priority="72" operator="lessThan">
      <formula>-105575</formula>
    </cfRule>
  </conditionalFormatting>
  <conditionalFormatting sqref="BB123:BB124 BB115:BB118">
    <cfRule type="cellIs" dxfId="595" priority="65" operator="lessThan">
      <formula>0</formula>
    </cfRule>
    <cfRule type="cellIs" dxfId="594" priority="66" operator="lessThan">
      <formula>-105575</formula>
    </cfRule>
  </conditionalFormatting>
  <conditionalFormatting sqref="BB129:BB133">
    <cfRule type="cellIs" dxfId="593" priority="67" operator="lessThan">
      <formula>0</formula>
    </cfRule>
    <cfRule type="cellIs" dxfId="592" priority="68" operator="lessThan">
      <formula>-105575</formula>
    </cfRule>
  </conditionalFormatting>
  <conditionalFormatting sqref="BB119:BB122">
    <cfRule type="cellIs" dxfId="591" priority="63" operator="lessThan">
      <formula>0</formula>
    </cfRule>
    <cfRule type="cellIs" dxfId="590" priority="64" operator="lessThan">
      <formula>-105575</formula>
    </cfRule>
  </conditionalFormatting>
  <conditionalFormatting sqref="BB137:BB138">
    <cfRule type="cellIs" dxfId="589" priority="61" operator="lessThan">
      <formula>0</formula>
    </cfRule>
    <cfRule type="cellIs" dxfId="588" priority="62" operator="lessThan">
      <formula>-105575</formula>
    </cfRule>
  </conditionalFormatting>
  <conditionalFormatting sqref="BB147:BB153">
    <cfRule type="cellIs" dxfId="587" priority="57" operator="lessThan">
      <formula>0</formula>
    </cfRule>
    <cfRule type="cellIs" dxfId="586" priority="58" operator="lessThan">
      <formula>-105575</formula>
    </cfRule>
  </conditionalFormatting>
  <conditionalFormatting sqref="BB140:BB141">
    <cfRule type="cellIs" dxfId="585" priority="59" operator="lessThan">
      <formula>0</formula>
    </cfRule>
    <cfRule type="cellIs" dxfId="584" priority="60" operator="lessThan">
      <formula>-105575</formula>
    </cfRule>
  </conditionalFormatting>
  <conditionalFormatting sqref="BB161">
    <cfRule type="cellIs" dxfId="583" priority="53" operator="lessThan">
      <formula>0</formula>
    </cfRule>
    <cfRule type="cellIs" dxfId="582" priority="54" operator="lessThan">
      <formula>-105575</formula>
    </cfRule>
  </conditionalFormatting>
  <conditionalFormatting sqref="BB147:BB153">
    <cfRule type="cellIs" dxfId="581" priority="55" operator="lessThan">
      <formula>0</formula>
    </cfRule>
    <cfRule type="cellIs" dxfId="580" priority="56" operator="lessThan">
      <formula>-105575</formula>
    </cfRule>
  </conditionalFormatting>
  <conditionalFormatting sqref="BB193:BB198">
    <cfRule type="cellIs" dxfId="579" priority="33" operator="lessThan">
      <formula>0</formula>
    </cfRule>
    <cfRule type="cellIs" dxfId="578" priority="34" operator="lessThan">
      <formula>-105575</formula>
    </cfRule>
  </conditionalFormatting>
  <conditionalFormatting sqref="BB161">
    <cfRule type="cellIs" dxfId="577" priority="51" operator="lessThan">
      <formula>0</formula>
    </cfRule>
    <cfRule type="cellIs" dxfId="576" priority="52" operator="lessThan">
      <formula>-105575</formula>
    </cfRule>
  </conditionalFormatting>
  <conditionalFormatting sqref="BB169 BB175:BB177">
    <cfRule type="cellIs" dxfId="575" priority="49" operator="lessThan">
      <formula>0</formula>
    </cfRule>
    <cfRule type="cellIs" dxfId="574" priority="50" operator="lessThan">
      <formula>-105575</formula>
    </cfRule>
  </conditionalFormatting>
  <conditionalFormatting sqref="BB169 BB175:BB177">
    <cfRule type="cellIs" dxfId="573" priority="47" operator="lessThan">
      <formula>0</formula>
    </cfRule>
    <cfRule type="cellIs" dxfId="572" priority="48" operator="lessThan">
      <formula>-105575</formula>
    </cfRule>
  </conditionalFormatting>
  <conditionalFormatting sqref="BB170:BB174">
    <cfRule type="cellIs" dxfId="571" priority="45" operator="lessThan">
      <formula>0</formula>
    </cfRule>
    <cfRule type="cellIs" dxfId="570" priority="46" operator="lessThan">
      <formula>-105575</formula>
    </cfRule>
  </conditionalFormatting>
  <conditionalFormatting sqref="BB182">
    <cfRule type="cellIs" dxfId="569" priority="29" operator="lessThan">
      <formula>0</formula>
    </cfRule>
    <cfRule type="cellIs" dxfId="568" priority="30" operator="lessThan">
      <formula>-105575</formula>
    </cfRule>
  </conditionalFormatting>
  <conditionalFormatting sqref="BB170:BB174">
    <cfRule type="cellIs" dxfId="567" priority="43" operator="lessThan">
      <formula>0</formula>
    </cfRule>
    <cfRule type="cellIs" dxfId="566" priority="44" operator="lessThan">
      <formula>-105575</formula>
    </cfRule>
  </conditionalFormatting>
  <conditionalFormatting sqref="BB193:BB198">
    <cfRule type="cellIs" dxfId="565" priority="31" operator="lessThan">
      <formula>0</formula>
    </cfRule>
    <cfRule type="cellIs" dxfId="564" priority="32" operator="lessThan">
      <formula>-105575</formula>
    </cfRule>
  </conditionalFormatting>
  <conditionalFormatting sqref="BB180 BB186:BB192 BB199:BB200">
    <cfRule type="cellIs" dxfId="563" priority="41" operator="lessThan">
      <formula>0</formula>
    </cfRule>
    <cfRule type="cellIs" dxfId="562" priority="42" operator="lessThan">
      <formula>-105575</formula>
    </cfRule>
  </conditionalFormatting>
  <conditionalFormatting sqref="BB180 BB186:BB192 BB199:BB200">
    <cfRule type="cellIs" dxfId="561" priority="39" operator="lessThan">
      <formula>0</formula>
    </cfRule>
    <cfRule type="cellIs" dxfId="560" priority="40" operator="lessThan">
      <formula>-105575</formula>
    </cfRule>
  </conditionalFormatting>
  <conditionalFormatting sqref="BB181">
    <cfRule type="cellIs" dxfId="559" priority="35" operator="lessThan">
      <formula>0</formula>
    </cfRule>
    <cfRule type="cellIs" dxfId="558" priority="36" operator="lessThan">
      <formula>-105575</formula>
    </cfRule>
  </conditionalFormatting>
  <conditionalFormatting sqref="BB181">
    <cfRule type="cellIs" dxfId="557" priority="37" operator="lessThan">
      <formula>0</formula>
    </cfRule>
    <cfRule type="cellIs" dxfId="556" priority="38" operator="lessThan">
      <formula>-105575</formula>
    </cfRule>
  </conditionalFormatting>
  <conditionalFormatting sqref="BB182">
    <cfRule type="cellIs" dxfId="555" priority="27" operator="lessThan">
      <formula>0</formula>
    </cfRule>
    <cfRule type="cellIs" dxfId="554" priority="28" operator="lessThan">
      <formula>-105575</formula>
    </cfRule>
  </conditionalFormatting>
  <conditionalFormatting sqref="BB218">
    <cfRule type="cellIs" dxfId="553" priority="15" operator="lessThan">
      <formula>0</formula>
    </cfRule>
    <cfRule type="cellIs" dxfId="552" priority="16" operator="lessThan">
      <formula>-105575</formula>
    </cfRule>
  </conditionalFormatting>
  <conditionalFormatting sqref="BB220:BB221">
    <cfRule type="cellIs" dxfId="551" priority="21" operator="lessThan">
      <formula>0</formula>
    </cfRule>
    <cfRule type="cellIs" dxfId="550" priority="22" operator="lessThan">
      <formula>-105575</formula>
    </cfRule>
  </conditionalFormatting>
  <conditionalFormatting sqref="BB218">
    <cfRule type="cellIs" dxfId="549" priority="13" operator="lessThan">
      <formula>0</formula>
    </cfRule>
    <cfRule type="cellIs" dxfId="548" priority="14" operator="lessThan">
      <formula>-105575</formula>
    </cfRule>
  </conditionalFormatting>
  <conditionalFormatting sqref="BB203 BB219:BB221 BB210:BB217">
    <cfRule type="cellIs" dxfId="547" priority="25" operator="lessThan">
      <formula>0</formula>
    </cfRule>
    <cfRule type="cellIs" dxfId="546" priority="26" operator="lessThan">
      <formula>-105575</formula>
    </cfRule>
  </conditionalFormatting>
  <conditionalFormatting sqref="BB203 BB219:BB221 BB210:BB217">
    <cfRule type="cellIs" dxfId="545" priority="23" operator="lessThan">
      <formula>0</formula>
    </cfRule>
    <cfRule type="cellIs" dxfId="544" priority="24" operator="lessThan">
      <formula>-105575</formula>
    </cfRule>
  </conditionalFormatting>
  <conditionalFormatting sqref="BB204:BB209">
    <cfRule type="cellIs" dxfId="543" priority="17" operator="lessThan">
      <formula>0</formula>
    </cfRule>
    <cfRule type="cellIs" dxfId="542" priority="18" operator="lessThan">
      <formula>-105575</formula>
    </cfRule>
  </conditionalFormatting>
  <conditionalFormatting sqref="BB204:BB209">
    <cfRule type="cellIs" dxfId="541" priority="19" operator="lessThan">
      <formula>0</formula>
    </cfRule>
    <cfRule type="cellIs" dxfId="540" priority="20" operator="lessThan">
      <formula>-105575</formula>
    </cfRule>
  </conditionalFormatting>
  <conditionalFormatting sqref="BB225:BB231">
    <cfRule type="cellIs" dxfId="539" priority="11" operator="lessThan">
      <formula>0</formula>
    </cfRule>
    <cfRule type="cellIs" dxfId="538" priority="12" operator="lessThan">
      <formula>-105575</formula>
    </cfRule>
  </conditionalFormatting>
  <conditionalFormatting sqref="BB233:BB235">
    <cfRule type="cellIs" dxfId="537" priority="9" operator="lessThan">
      <formula>0</formula>
    </cfRule>
    <cfRule type="cellIs" dxfId="536" priority="10" operator="lessThan">
      <formula>-105575</formula>
    </cfRule>
  </conditionalFormatting>
  <conditionalFormatting sqref="BB237">
    <cfRule type="cellIs" dxfId="535" priority="7" operator="lessThan">
      <formula>0</formula>
    </cfRule>
    <cfRule type="cellIs" dxfId="534" priority="8" operator="lessThan">
      <formula>-105575</formula>
    </cfRule>
  </conditionalFormatting>
  <conditionalFormatting sqref="BB238:BB241">
    <cfRule type="cellIs" dxfId="533" priority="5" operator="lessThan">
      <formula>0</formula>
    </cfRule>
    <cfRule type="cellIs" dxfId="532" priority="6" operator="lessThan">
      <formula>-105575</formula>
    </cfRule>
  </conditionalFormatting>
  <conditionalFormatting sqref="BB12">
    <cfRule type="cellIs" dxfId="531" priority="3" operator="lessThan">
      <formula>0</formula>
    </cfRule>
    <cfRule type="cellIs" dxfId="530" priority="4" operator="lessThan">
      <formula>-105575</formula>
    </cfRule>
  </conditionalFormatting>
  <conditionalFormatting sqref="BB13">
    <cfRule type="cellIs" dxfId="529" priority="1" operator="lessThan">
      <formula>0</formula>
    </cfRule>
    <cfRule type="cellIs" dxfId="528"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I26:I29 I16:I24 I7:I14</xm:sqref>
        </x14:dataValidation>
        <x14:dataValidation type="list" allowBlank="1" showInputMessage="1" showErrorMessage="1">
          <x14:formula1>
            <xm:f>'[2]1. Standard_Cost'!#REF!</xm:f>
          </x14:formula1>
          <xm:sqref>I33:I34 I36</xm:sqref>
        </x14:dataValidation>
      </x14:dataValidations>
    </ext>
  </extLst>
</worksheet>
</file>

<file path=xl/worksheets/sheet9.xml><?xml version="1.0" encoding="utf-8"?>
<worksheet xmlns="http://schemas.openxmlformats.org/spreadsheetml/2006/main" xmlns:r="http://schemas.openxmlformats.org/officeDocument/2006/relationships">
  <dimension ref="A1:BB242"/>
  <sheetViews>
    <sheetView zoomScale="90" zoomScaleNormal="90" workbookViewId="0">
      <pane xSplit="7" ySplit="4" topLeftCell="H5" activePane="bottomRight" state="frozen"/>
      <selection pane="topRight" activeCell="H1" sqref="H1"/>
      <selection pane="bottomLeft" activeCell="A5" sqref="A5"/>
      <selection pane="bottomRight" activeCell="H2" sqref="H1:H1048576"/>
    </sheetView>
  </sheetViews>
  <sheetFormatPr defaultColWidth="8.88671875" defaultRowHeight="13.8" outlineLevelRow="2" outlineLevelCol="2"/>
  <cols>
    <col min="1" max="1" width="4.109375" style="2" bestFit="1" customWidth="1"/>
    <col min="2" max="2" width="2.44140625" style="2" customWidth="1"/>
    <col min="3" max="3" width="2.44140625" style="235" customWidth="1"/>
    <col min="4" max="4" width="17" style="235" customWidth="1"/>
    <col min="5" max="5" width="56" style="124" bestFit="1" customWidth="1" outlineLevel="1"/>
    <col min="6" max="6" width="9.5546875" style="235" bestFit="1" customWidth="1" outlineLevel="1"/>
    <col min="7" max="7" width="11.6640625" style="235" bestFit="1" customWidth="1" outlineLevel="1"/>
    <col min="8" max="8" width="76.6640625" style="235" customWidth="1" outlineLevel="2"/>
    <col min="9" max="9" width="16.109375" style="229" customWidth="1" outlineLevel="2"/>
    <col min="10" max="10" width="7.5546875" style="229" customWidth="1" outlineLevel="2"/>
    <col min="11" max="11" width="8.33203125" style="229" customWidth="1" outlineLevel="2"/>
    <col min="12" max="12" width="15.6640625" style="5" customWidth="1" outlineLevel="1"/>
    <col min="13" max="13" width="16" style="5" customWidth="1" outlineLevel="1"/>
    <col min="14" max="14" width="10.5546875" style="229" customWidth="1" outlineLevel="2"/>
    <col min="15" max="15" width="11" style="229" customWidth="1" outlineLevel="2"/>
    <col min="16" max="16" width="13.33203125" style="229" customWidth="1" outlineLevel="2"/>
    <col min="17" max="17" width="14.109375" style="229" customWidth="1" outlineLevel="2"/>
    <col min="18" max="21" width="12.109375" style="5" customWidth="1" outlineLevel="2"/>
    <col min="22" max="22" width="6.109375" style="229" bestFit="1" customWidth="1" outlineLevel="2"/>
    <col min="23" max="23" width="6.44140625" style="229" bestFit="1" customWidth="1" outlineLevel="2"/>
    <col min="24" max="24" width="7.5546875" style="229" customWidth="1" outlineLevel="2"/>
    <col min="25" max="25" width="11.6640625" style="5" bestFit="1" customWidth="1" outlineLevel="1"/>
    <col min="26" max="27" width="8.109375" style="229" bestFit="1" customWidth="1" outlineLevel="2"/>
    <col min="28" max="28" width="14.44140625" style="5" customWidth="1" outlineLevel="1"/>
    <col min="29" max="29" width="14.44140625" style="229" customWidth="1" outlineLevel="1"/>
    <col min="30" max="30" width="12.88671875" style="229" customWidth="1" outlineLevel="2"/>
    <col min="31" max="31" width="16" style="5" bestFit="1" customWidth="1" outlineLevel="2"/>
    <col min="32" max="32" width="13.88671875" style="5" bestFit="1" customWidth="1" outlineLevel="1"/>
    <col min="33" max="33" width="7" style="229" bestFit="1" customWidth="1" outlineLevel="2"/>
    <col min="34" max="34" width="6.109375" style="229" bestFit="1" customWidth="1" outlineLevel="2"/>
    <col min="35" max="35" width="7.33203125" style="229" customWidth="1" outlineLevel="2"/>
    <col min="36" max="36" width="9" style="229" customWidth="1" outlineLevel="2"/>
    <col min="37" max="37" width="9" style="229" bestFit="1" customWidth="1" outlineLevel="2"/>
    <col min="38" max="38" width="8.109375" style="229" bestFit="1" customWidth="1" outlineLevel="2"/>
    <col min="39" max="39" width="15.33203125" style="5" customWidth="1" outlineLevel="1"/>
    <col min="40" max="40" width="11.109375" style="5" customWidth="1" outlineLevel="1"/>
    <col min="41" max="41" width="39.88671875" style="133" customWidth="1" outlineLevel="2"/>
    <col min="42" max="42" width="2.6640625" style="5" customWidth="1"/>
    <col min="43" max="43" width="16.6640625" style="5" customWidth="1"/>
    <col min="44" max="46" width="14.88671875" style="5" customWidth="1"/>
    <col min="47" max="53" width="15" style="228" customWidth="1"/>
    <col min="54" max="54" width="20.88671875" style="4" customWidth="1"/>
    <col min="55" max="16384" width="8.88671875" style="5"/>
  </cols>
  <sheetData>
    <row r="1" spans="1:54" s="2" customFormat="1">
      <c r="A1" s="98"/>
      <c r="B1" s="313" t="s">
        <v>170</v>
      </c>
      <c r="C1" s="313"/>
      <c r="D1" s="313"/>
      <c r="E1" s="313"/>
      <c r="F1" s="313"/>
      <c r="G1" s="313"/>
      <c r="H1" s="313"/>
      <c r="I1" s="313"/>
      <c r="J1" s="313"/>
      <c r="K1" s="313"/>
      <c r="L1" s="313"/>
      <c r="M1" s="99"/>
      <c r="N1" s="256"/>
      <c r="O1" s="256"/>
      <c r="P1" s="256"/>
      <c r="Q1" s="256"/>
      <c r="R1" s="98"/>
      <c r="S1" s="98"/>
      <c r="T1" s="98"/>
      <c r="U1" s="98"/>
      <c r="V1" s="256"/>
      <c r="W1" s="256"/>
      <c r="X1" s="256"/>
      <c r="Y1" s="98"/>
      <c r="Z1" s="256"/>
      <c r="AA1" s="256"/>
      <c r="AB1" s="98"/>
      <c r="AC1" s="256"/>
      <c r="AD1" s="256"/>
      <c r="AE1" s="98"/>
      <c r="AF1" s="98"/>
      <c r="AG1" s="256"/>
      <c r="AH1" s="256"/>
      <c r="AI1" s="256"/>
      <c r="AJ1" s="256"/>
      <c r="AK1" s="256"/>
      <c r="AL1" s="256"/>
      <c r="AM1" s="98"/>
      <c r="AN1" s="98"/>
      <c r="AO1" s="126"/>
      <c r="AU1" s="228"/>
      <c r="AV1" s="228"/>
      <c r="AW1" s="228"/>
      <c r="AX1" s="228"/>
      <c r="AY1" s="228"/>
      <c r="AZ1" s="228"/>
      <c r="BA1" s="228"/>
      <c r="BB1" s="4"/>
    </row>
    <row r="2" spans="1:54" ht="55.2" customHeight="1">
      <c r="A2" s="98" t="s">
        <v>58</v>
      </c>
      <c r="B2" s="329" t="s">
        <v>124</v>
      </c>
      <c r="C2" s="330"/>
      <c r="D2" s="330"/>
      <c r="E2" s="331"/>
      <c r="F2" s="300" t="s">
        <v>141</v>
      </c>
      <c r="G2" s="300" t="s">
        <v>142</v>
      </c>
      <c r="H2" s="273" t="s">
        <v>57</v>
      </c>
      <c r="I2" s="230" t="s">
        <v>0</v>
      </c>
      <c r="J2" s="230" t="s">
        <v>15</v>
      </c>
      <c r="K2" s="230" t="s">
        <v>16</v>
      </c>
      <c r="L2" s="8" t="s">
        <v>11</v>
      </c>
      <c r="M2" s="8" t="s">
        <v>85</v>
      </c>
      <c r="N2" s="230" t="s">
        <v>17</v>
      </c>
      <c r="O2" s="230" t="s">
        <v>7</v>
      </c>
      <c r="P2" s="230" t="s">
        <v>6</v>
      </c>
      <c r="Q2" s="230" t="s">
        <v>8</v>
      </c>
      <c r="R2" s="8" t="s">
        <v>60</v>
      </c>
      <c r="S2" s="8" t="s">
        <v>68</v>
      </c>
      <c r="T2" s="8" t="s">
        <v>67</v>
      </c>
      <c r="U2" s="8" t="s">
        <v>66</v>
      </c>
      <c r="V2" s="230" t="s">
        <v>18</v>
      </c>
      <c r="W2" s="230" t="s">
        <v>70</v>
      </c>
      <c r="X2" s="230" t="s">
        <v>6</v>
      </c>
      <c r="Y2" s="8" t="s">
        <v>74</v>
      </c>
      <c r="Z2" s="230" t="s">
        <v>10</v>
      </c>
      <c r="AA2" s="230" t="s">
        <v>9</v>
      </c>
      <c r="AB2" s="8" t="s">
        <v>73</v>
      </c>
      <c r="AC2" s="232" t="s">
        <v>19</v>
      </c>
      <c r="AD2" s="231" t="s">
        <v>82</v>
      </c>
      <c r="AE2" s="8" t="s">
        <v>24</v>
      </c>
      <c r="AF2" s="8" t="s">
        <v>83</v>
      </c>
      <c r="AG2" s="230" t="s">
        <v>21</v>
      </c>
      <c r="AH2" s="230" t="s">
        <v>22</v>
      </c>
      <c r="AI2" s="230" t="s">
        <v>23</v>
      </c>
      <c r="AJ2" s="230" t="s">
        <v>103</v>
      </c>
      <c r="AK2" s="230" t="s">
        <v>105</v>
      </c>
      <c r="AL2" s="230" t="s">
        <v>93</v>
      </c>
      <c r="AM2" s="8" t="s">
        <v>95</v>
      </c>
      <c r="AN2" s="8" t="s">
        <v>13</v>
      </c>
      <c r="AO2" s="127" t="s">
        <v>14</v>
      </c>
      <c r="AQ2" s="326" t="s">
        <v>172</v>
      </c>
      <c r="AR2" s="327"/>
      <c r="AS2" s="327"/>
      <c r="AT2" s="327"/>
      <c r="AU2" s="327"/>
      <c r="AV2" s="327"/>
      <c r="AW2" s="327"/>
      <c r="AX2" s="327"/>
      <c r="AY2" s="327"/>
      <c r="AZ2" s="327"/>
      <c r="BA2" s="327"/>
      <c r="BB2" s="328"/>
    </row>
    <row r="3" spans="1:54" s="10" customFormat="1" ht="69" customHeight="1">
      <c r="A3" s="6" t="s">
        <v>59</v>
      </c>
      <c r="B3" s="329" t="s">
        <v>125</v>
      </c>
      <c r="C3" s="330"/>
      <c r="D3" s="330"/>
      <c r="E3" s="331"/>
      <c r="F3" s="300" t="s">
        <v>143</v>
      </c>
      <c r="G3" s="300" t="s">
        <v>143</v>
      </c>
      <c r="H3" s="274" t="s">
        <v>46</v>
      </c>
      <c r="I3" s="230" t="s">
        <v>54</v>
      </c>
      <c r="J3" s="230" t="s">
        <v>55</v>
      </c>
      <c r="K3" s="230" t="s">
        <v>56</v>
      </c>
      <c r="L3" s="8" t="s">
        <v>121</v>
      </c>
      <c r="M3" s="8" t="s">
        <v>120</v>
      </c>
      <c r="N3" s="230" t="s">
        <v>76</v>
      </c>
      <c r="O3" s="230" t="s">
        <v>75</v>
      </c>
      <c r="P3" s="230" t="s">
        <v>77</v>
      </c>
      <c r="Q3" s="230" t="s">
        <v>78</v>
      </c>
      <c r="R3" s="8" t="s">
        <v>119</v>
      </c>
      <c r="S3" s="8" t="s">
        <v>118</v>
      </c>
      <c r="T3" s="8" t="s">
        <v>117</v>
      </c>
      <c r="U3" s="8" t="s">
        <v>116</v>
      </c>
      <c r="V3" s="230" t="s">
        <v>79</v>
      </c>
      <c r="W3" s="230" t="s">
        <v>80</v>
      </c>
      <c r="X3" s="230" t="s">
        <v>81</v>
      </c>
      <c r="Y3" s="8" t="s">
        <v>115</v>
      </c>
      <c r="Z3" s="230" t="s">
        <v>71</v>
      </c>
      <c r="AA3" s="230" t="s">
        <v>72</v>
      </c>
      <c r="AB3" s="8" t="s">
        <v>114</v>
      </c>
      <c r="AC3" s="232" t="s">
        <v>113</v>
      </c>
      <c r="AD3" s="231" t="s">
        <v>112</v>
      </c>
      <c r="AE3" s="8" t="s">
        <v>111</v>
      </c>
      <c r="AF3" s="8" t="s">
        <v>110</v>
      </c>
      <c r="AG3" s="230" t="s">
        <v>90</v>
      </c>
      <c r="AH3" s="230" t="s">
        <v>92</v>
      </c>
      <c r="AI3" s="230" t="s">
        <v>91</v>
      </c>
      <c r="AJ3" s="231" t="s">
        <v>104</v>
      </c>
      <c r="AK3" s="231" t="s">
        <v>106</v>
      </c>
      <c r="AL3" s="231" t="s">
        <v>100</v>
      </c>
      <c r="AM3" s="8" t="s">
        <v>108</v>
      </c>
      <c r="AN3" s="8" t="s">
        <v>109</v>
      </c>
      <c r="AO3" s="127" t="s">
        <v>99</v>
      </c>
      <c r="AQ3" s="11" t="s">
        <v>127</v>
      </c>
      <c r="AR3" s="11" t="s">
        <v>25</v>
      </c>
      <c r="AS3" s="11" t="s">
        <v>12</v>
      </c>
      <c r="AT3" s="11" t="s">
        <v>20</v>
      </c>
      <c r="AU3" s="233" t="s">
        <v>128</v>
      </c>
      <c r="AV3" s="233" t="s">
        <v>129</v>
      </c>
      <c r="AW3" s="233" t="s">
        <v>144</v>
      </c>
      <c r="AX3" s="233" t="s">
        <v>145</v>
      </c>
      <c r="AY3" s="233" t="s">
        <v>196</v>
      </c>
      <c r="AZ3" s="233" t="s">
        <v>195</v>
      </c>
      <c r="BA3" s="247" t="s">
        <v>132</v>
      </c>
      <c r="BB3" s="12" t="s">
        <v>26</v>
      </c>
    </row>
    <row r="4" spans="1:54" s="21" customFormat="1" ht="27.6">
      <c r="A4" s="100"/>
      <c r="B4" s="28"/>
      <c r="C4" s="29"/>
      <c r="D4" s="29"/>
      <c r="E4" s="238"/>
      <c r="F4" s="238" t="s">
        <v>139</v>
      </c>
      <c r="G4" s="238" t="s">
        <v>140</v>
      </c>
      <c r="H4" s="275" t="s">
        <v>123</v>
      </c>
      <c r="I4" s="236" t="s">
        <v>122</v>
      </c>
      <c r="J4" s="236">
        <v>2</v>
      </c>
      <c r="K4" s="236">
        <v>3</v>
      </c>
      <c r="L4" s="20" t="s">
        <v>84</v>
      </c>
      <c r="M4" s="20" t="s">
        <v>86</v>
      </c>
      <c r="N4" s="236">
        <v>6</v>
      </c>
      <c r="O4" s="236">
        <v>7</v>
      </c>
      <c r="P4" s="236">
        <v>8</v>
      </c>
      <c r="Q4" s="236">
        <v>9</v>
      </c>
      <c r="R4" s="20" t="s">
        <v>27</v>
      </c>
      <c r="S4" s="20" t="s">
        <v>28</v>
      </c>
      <c r="T4" s="20" t="s">
        <v>29</v>
      </c>
      <c r="U4" s="20" t="s">
        <v>30</v>
      </c>
      <c r="V4" s="236">
        <v>14</v>
      </c>
      <c r="W4" s="236">
        <v>15</v>
      </c>
      <c r="X4" s="236">
        <v>16</v>
      </c>
      <c r="Y4" s="20" t="s">
        <v>87</v>
      </c>
      <c r="Z4" s="236">
        <v>18</v>
      </c>
      <c r="AA4" s="236">
        <v>19</v>
      </c>
      <c r="AB4" s="20" t="s">
        <v>88</v>
      </c>
      <c r="AC4" s="236">
        <v>21</v>
      </c>
      <c r="AD4" s="236">
        <v>22</v>
      </c>
      <c r="AE4" s="20" t="s">
        <v>97</v>
      </c>
      <c r="AF4" s="20" t="s">
        <v>89</v>
      </c>
      <c r="AG4" s="236">
        <v>25</v>
      </c>
      <c r="AH4" s="236">
        <v>26</v>
      </c>
      <c r="AI4" s="236">
        <v>27</v>
      </c>
      <c r="AJ4" s="236">
        <v>28</v>
      </c>
      <c r="AK4" s="236">
        <v>29</v>
      </c>
      <c r="AL4" s="236">
        <v>30</v>
      </c>
      <c r="AM4" s="20" t="s">
        <v>98</v>
      </c>
      <c r="AN4" s="20" t="s">
        <v>107</v>
      </c>
      <c r="AO4" s="128"/>
      <c r="AQ4" s="20" t="s">
        <v>133</v>
      </c>
      <c r="AR4" s="20" t="s">
        <v>134</v>
      </c>
      <c r="AS4" s="20" t="s">
        <v>135</v>
      </c>
      <c r="AT4" s="20" t="s">
        <v>136</v>
      </c>
      <c r="AU4" s="237">
        <v>37</v>
      </c>
      <c r="AV4" s="237">
        <v>38</v>
      </c>
      <c r="AW4" s="237">
        <v>39</v>
      </c>
      <c r="AX4" s="237">
        <v>40</v>
      </c>
      <c r="AY4" s="237"/>
      <c r="AZ4" s="237">
        <v>41</v>
      </c>
      <c r="BA4" s="237">
        <v>42</v>
      </c>
      <c r="BB4" s="22" t="s">
        <v>157</v>
      </c>
    </row>
    <row r="5" spans="1:54" s="13" customFormat="1" ht="30" customHeight="1">
      <c r="A5" s="101"/>
      <c r="B5" s="316" t="s">
        <v>203</v>
      </c>
      <c r="C5" s="317"/>
      <c r="D5" s="317"/>
      <c r="E5" s="318"/>
      <c r="F5" s="241"/>
      <c r="G5" s="241"/>
      <c r="H5" s="241" t="s">
        <v>61</v>
      </c>
      <c r="I5" s="242"/>
      <c r="J5" s="242"/>
      <c r="K5" s="242"/>
      <c r="L5" s="41">
        <f>SUM(L6)</f>
        <v>0</v>
      </c>
      <c r="M5" s="41">
        <f>SUM(M6)</f>
        <v>0</v>
      </c>
      <c r="N5" s="242"/>
      <c r="O5" s="242"/>
      <c r="P5" s="242"/>
      <c r="Q5" s="242"/>
      <c r="R5" s="41">
        <f t="shared" ref="R5:U5" si="0">SUM(R6)</f>
        <v>0</v>
      </c>
      <c r="S5" s="41">
        <f t="shared" si="0"/>
        <v>0</v>
      </c>
      <c r="T5" s="41">
        <f t="shared" si="0"/>
        <v>0</v>
      </c>
      <c r="U5" s="41">
        <f t="shared" si="0"/>
        <v>0</v>
      </c>
      <c r="V5" s="242"/>
      <c r="W5" s="242"/>
      <c r="X5" s="242"/>
      <c r="Y5" s="41">
        <f t="shared" ref="Y5:AF5" si="1">SUM(Y6)</f>
        <v>0</v>
      </c>
      <c r="Z5" s="243">
        <f t="shared" ref="Z5:AA5" si="2">SUM(Z6)</f>
        <v>0</v>
      </c>
      <c r="AA5" s="243">
        <f t="shared" si="2"/>
        <v>0</v>
      </c>
      <c r="AB5" s="41">
        <f t="shared" si="1"/>
        <v>0</v>
      </c>
      <c r="AC5" s="243">
        <f t="shared" ref="AC5:AD5" si="3">SUM(AC6)</f>
        <v>0</v>
      </c>
      <c r="AD5" s="243">
        <f t="shared" si="3"/>
        <v>0</v>
      </c>
      <c r="AE5" s="41">
        <f t="shared" si="1"/>
        <v>0</v>
      </c>
      <c r="AF5" s="41">
        <f t="shared" si="1"/>
        <v>0</v>
      </c>
      <c r="AG5" s="242"/>
      <c r="AH5" s="242"/>
      <c r="AI5" s="242"/>
      <c r="AJ5" s="243">
        <f t="shared" ref="AJ5:AL5" si="4">SUM(AJ6)</f>
        <v>0</v>
      </c>
      <c r="AK5" s="243">
        <f t="shared" si="4"/>
        <v>0</v>
      </c>
      <c r="AL5" s="243">
        <f t="shared" si="4"/>
        <v>0</v>
      </c>
      <c r="AM5" s="41">
        <f t="shared" ref="AM5:AN5" si="5">SUM(AM6)</f>
        <v>0</v>
      </c>
      <c r="AN5" s="41">
        <f t="shared" si="5"/>
        <v>0</v>
      </c>
      <c r="AO5" s="129"/>
      <c r="AQ5" s="41">
        <f t="shared" ref="AQ5:BB5" si="6">SUM(AQ6)</f>
        <v>0</v>
      </c>
      <c r="AR5" s="41">
        <f t="shared" si="6"/>
        <v>0</v>
      </c>
      <c r="AS5" s="41">
        <f t="shared" si="6"/>
        <v>0</v>
      </c>
      <c r="AT5" s="41">
        <f t="shared" si="6"/>
        <v>0</v>
      </c>
      <c r="AU5" s="243">
        <f t="shared" ref="AU5:BA5" si="7">SUM(AU6)</f>
        <v>0</v>
      </c>
      <c r="AV5" s="243">
        <f t="shared" si="7"/>
        <v>0</v>
      </c>
      <c r="AW5" s="243">
        <f t="shared" si="7"/>
        <v>0</v>
      </c>
      <c r="AX5" s="243">
        <f t="shared" si="7"/>
        <v>0</v>
      </c>
      <c r="AY5" s="243">
        <f t="shared" si="7"/>
        <v>0</v>
      </c>
      <c r="AZ5" s="243">
        <f t="shared" si="7"/>
        <v>0</v>
      </c>
      <c r="BA5" s="243">
        <f t="shared" si="7"/>
        <v>0</v>
      </c>
      <c r="BB5" s="41">
        <f t="shared" si="6"/>
        <v>0</v>
      </c>
    </row>
    <row r="6" spans="1:54" s="13" customFormat="1" ht="13.8" customHeight="1">
      <c r="A6" s="101"/>
      <c r="B6" s="27"/>
      <c r="C6" s="324" t="s">
        <v>204</v>
      </c>
      <c r="D6" s="324"/>
      <c r="E6" s="325"/>
      <c r="F6" s="248"/>
      <c r="G6" s="298"/>
      <c r="H6" s="239" t="s">
        <v>62</v>
      </c>
      <c r="I6" s="240"/>
      <c r="J6" s="240"/>
      <c r="K6" s="240"/>
      <c r="L6" s="42">
        <f>SUM(L15+L17+L25+L30)</f>
        <v>0</v>
      </c>
      <c r="M6" s="42">
        <f>SUM(M15+M17+M25+M30)</f>
        <v>0</v>
      </c>
      <c r="N6" s="244"/>
      <c r="O6" s="245"/>
      <c r="P6" s="245"/>
      <c r="Q6" s="245"/>
      <c r="R6" s="42">
        <f t="shared" ref="R6:U6" si="8">SUM(R15+R17+R25+R30)</f>
        <v>0</v>
      </c>
      <c r="S6" s="42">
        <f t="shared" si="8"/>
        <v>0</v>
      </c>
      <c r="T6" s="42">
        <f t="shared" si="8"/>
        <v>0</v>
      </c>
      <c r="U6" s="42">
        <f t="shared" si="8"/>
        <v>0</v>
      </c>
      <c r="V6" s="244"/>
      <c r="W6" s="245"/>
      <c r="X6" s="245"/>
      <c r="Y6" s="42">
        <f t="shared" ref="Y6:AF6" si="9">SUM(Y15+Y17+Y25+Y30)</f>
        <v>0</v>
      </c>
      <c r="Z6" s="244">
        <f t="shared" ref="Z6:AA6" si="10">SUM(Z15+Z17+Z25+Z30)</f>
        <v>0</v>
      </c>
      <c r="AA6" s="244">
        <f t="shared" si="10"/>
        <v>0</v>
      </c>
      <c r="AB6" s="42">
        <f t="shared" si="9"/>
        <v>0</v>
      </c>
      <c r="AC6" s="244">
        <f t="shared" ref="AC6:AD6" si="11">SUM(AC15+AC17+AC25+AC30)</f>
        <v>0</v>
      </c>
      <c r="AD6" s="244">
        <f t="shared" si="11"/>
        <v>0</v>
      </c>
      <c r="AE6" s="42">
        <f t="shared" si="9"/>
        <v>0</v>
      </c>
      <c r="AF6" s="42">
        <f t="shared" si="9"/>
        <v>0</v>
      </c>
      <c r="AG6" s="245"/>
      <c r="AH6" s="245"/>
      <c r="AI6" s="245"/>
      <c r="AJ6" s="244">
        <f t="shared" ref="AJ6:AL6" si="12">SUM(AJ15+AJ17+AJ25+AJ30)</f>
        <v>0</v>
      </c>
      <c r="AK6" s="244">
        <f t="shared" si="12"/>
        <v>0</v>
      </c>
      <c r="AL6" s="244">
        <f t="shared" si="12"/>
        <v>0</v>
      </c>
      <c r="AM6" s="42">
        <f t="shared" ref="AM6:AN6" si="13">SUM(AM15+AM17+AM25+AM30)</f>
        <v>0</v>
      </c>
      <c r="AN6" s="42">
        <f t="shared" si="13"/>
        <v>0</v>
      </c>
      <c r="AO6" s="130"/>
      <c r="AQ6" s="42">
        <f t="shared" ref="AQ6:BB6" si="14">SUM(AQ15+AQ17+AQ25+AQ30)</f>
        <v>0</v>
      </c>
      <c r="AR6" s="42">
        <f t="shared" si="14"/>
        <v>0</v>
      </c>
      <c r="AS6" s="42">
        <f t="shared" si="14"/>
        <v>0</v>
      </c>
      <c r="AT6" s="42">
        <f t="shared" si="14"/>
        <v>0</v>
      </c>
      <c r="AU6" s="244">
        <f t="shared" ref="AU6:BA6" si="15">SUM(AU15+AU17+AU25+AU30)</f>
        <v>0</v>
      </c>
      <c r="AV6" s="244">
        <f t="shared" si="15"/>
        <v>0</v>
      </c>
      <c r="AW6" s="244">
        <f t="shared" si="15"/>
        <v>0</v>
      </c>
      <c r="AX6" s="244">
        <f t="shared" si="15"/>
        <v>0</v>
      </c>
      <c r="AY6" s="244">
        <f t="shared" si="15"/>
        <v>0</v>
      </c>
      <c r="AZ6" s="244">
        <f t="shared" si="15"/>
        <v>0</v>
      </c>
      <c r="BA6" s="244">
        <f t="shared" si="15"/>
        <v>0</v>
      </c>
      <c r="BB6" s="42">
        <f t="shared" si="14"/>
        <v>0</v>
      </c>
    </row>
    <row r="7" spans="1:54" ht="55.2" outlineLevel="2">
      <c r="A7" s="98"/>
      <c r="B7" s="102"/>
      <c r="C7" s="23"/>
      <c r="D7" s="257"/>
      <c r="E7" s="123"/>
      <c r="F7" s="270"/>
      <c r="G7" s="250"/>
      <c r="H7" s="272"/>
      <c r="I7" s="258"/>
      <c r="J7" s="259"/>
      <c r="K7" s="259"/>
      <c r="L7" s="106" t="str">
        <f>IF(I7&lt;&gt;0,((VLOOKUP(I7,'1. Standard_Cost'!$B$4:$D$11,2)+VLOOKUP(I7,'1. Standard_Cost'!$B$4:$D$11,3))*J7*K7),"0")</f>
        <v>0</v>
      </c>
      <c r="M7" s="106">
        <f>L7*'1. Standard_Cost'!$F$4</f>
        <v>0</v>
      </c>
      <c r="N7" s="260"/>
      <c r="O7" s="260"/>
      <c r="P7" s="260"/>
      <c r="Q7" s="260"/>
      <c r="R7" s="108">
        <f>'1. Standard_Cost'!$B$15*N7*P7</f>
        <v>0</v>
      </c>
      <c r="S7" s="108">
        <f>N7*O7*P7*'1. Standard_Cost'!$C$15</f>
        <v>0</v>
      </c>
      <c r="T7" s="108">
        <f>N7*P7*Q7*'1. Standard_Cost'!$D$15</f>
        <v>0</v>
      </c>
      <c r="U7" s="108">
        <f>N7*O7*'1. Standard_Cost'!$E$15</f>
        <v>0</v>
      </c>
      <c r="V7" s="260"/>
      <c r="W7" s="260"/>
      <c r="X7" s="260"/>
      <c r="Y7" s="108">
        <f>+V7*((X7*'1. Standard_Cost'!$B$19)+(W7*X7*'1. Standard_Cost'!$C$19))</f>
        <v>0</v>
      </c>
      <c r="Z7" s="260"/>
      <c r="AA7" s="260"/>
      <c r="AB7" s="108">
        <f>+Z7*'1. Standard_Cost'!$B$23+AA7*'1. Standard_Cost'!$C$23</f>
        <v>0</v>
      </c>
      <c r="AC7" s="261"/>
      <c r="AD7" s="262"/>
      <c r="AE7" s="108">
        <f>SUM(AD7,AC7,AB7,Y7,U7,T7,S7,R7)*'1. Standard_Cost'!$B$31</f>
        <v>0</v>
      </c>
      <c r="AF7" s="108">
        <f>SUM(AE7,AD7,AC7,AB7,Y7,U7,T7,S7,R7)</f>
        <v>0</v>
      </c>
      <c r="AG7" s="260"/>
      <c r="AH7" s="260"/>
      <c r="AI7" s="260"/>
      <c r="AJ7" s="263"/>
      <c r="AK7" s="263"/>
      <c r="AL7" s="263"/>
      <c r="AM7" s="108">
        <f>AG7*'1. Standard_Cost'!$B$27+'Incremental_Cost Year 8'!AH7*'1. Standard_Cost'!$C$27+'Incremental_Cost Year 8'!AI7*'1. Standard_Cost'!$D$27+'Incremental_Cost Year 8'!AJ7+'Incremental_Cost Year 8'!AL7+AK7</f>
        <v>0</v>
      </c>
      <c r="AN7" s="108">
        <f>AM7*'1. Standard_Cost'!$C$31</f>
        <v>0</v>
      </c>
      <c r="AO7" s="134" t="s">
        <v>270</v>
      </c>
      <c r="AQ7" s="14">
        <f>L7+M7</f>
        <v>0</v>
      </c>
      <c r="AR7" s="14">
        <f>AF7</f>
        <v>0</v>
      </c>
      <c r="AS7" s="14">
        <f>AM7+AN7</f>
        <v>0</v>
      </c>
      <c r="AT7" s="14">
        <f>SUM(AQ7,AR7,AS7)</f>
        <v>0</v>
      </c>
      <c r="AU7" s="234"/>
      <c r="AV7" s="234"/>
      <c r="AW7" s="234"/>
      <c r="AX7" s="234"/>
      <c r="AY7" s="234"/>
      <c r="AZ7" s="234"/>
      <c r="BA7" s="234"/>
      <c r="BB7" s="16">
        <f>SUM(AU7:BA7)-AT7</f>
        <v>0</v>
      </c>
    </row>
    <row r="8" spans="1:54" ht="13.5" customHeight="1" outlineLevel="2">
      <c r="A8" s="98"/>
      <c r="B8" s="102"/>
      <c r="C8" s="23"/>
      <c r="D8" s="269"/>
      <c r="E8" s="271"/>
      <c r="F8" s="270"/>
      <c r="G8" s="250"/>
      <c r="H8" s="272"/>
      <c r="I8" s="258"/>
      <c r="J8" s="259"/>
      <c r="K8" s="259"/>
      <c r="L8" s="106" t="str">
        <f>IF(I8&lt;&gt;0,((VLOOKUP(I8,'1. Standard_Cost'!$B$4:$D$11,2)+VLOOKUP(I8,'1. Standard_Cost'!$B$4:$D$11,3))*J8*K8),"0")</f>
        <v>0</v>
      </c>
      <c r="M8" s="106">
        <f>L8*'1. Standard_Cost'!$F$4</f>
        <v>0</v>
      </c>
      <c r="N8" s="260"/>
      <c r="O8" s="260"/>
      <c r="P8" s="260"/>
      <c r="Q8" s="260"/>
      <c r="R8" s="108">
        <f>'1. Standard_Cost'!$B$15*N8*P8</f>
        <v>0</v>
      </c>
      <c r="S8" s="108">
        <f>N8*O8*P8*'1. Standard_Cost'!$C$15</f>
        <v>0</v>
      </c>
      <c r="T8" s="108">
        <f>N8*P8*Q8*'1. Standard_Cost'!$D$15</f>
        <v>0</v>
      </c>
      <c r="U8" s="108">
        <f>N8*O8*'1. Standard_Cost'!$E$15</f>
        <v>0</v>
      </c>
      <c r="V8" s="260"/>
      <c r="W8" s="260"/>
      <c r="X8" s="260"/>
      <c r="Y8" s="108">
        <f>+V8*((X8*'1. Standard_Cost'!$B$19)+(W8*X8*'1. Standard_Cost'!$C$19))</f>
        <v>0</v>
      </c>
      <c r="Z8" s="260"/>
      <c r="AA8" s="260"/>
      <c r="AB8" s="108">
        <f>+Z8*'1. Standard_Cost'!$B$23+AA8*'1. Standard_Cost'!$C$23</f>
        <v>0</v>
      </c>
      <c r="AC8" s="261"/>
      <c r="AD8" s="262"/>
      <c r="AE8" s="108">
        <f>SUM(AD8,AC8,AB8,Y8,U8,T8,S8,R8)*'1. Standard_Cost'!$B$31</f>
        <v>0</v>
      </c>
      <c r="AF8" s="108">
        <f t="shared" ref="AF8:AF14" si="16">SUM(AE8,AD8,AC8,AB8,Y8,U8,T8,S8,R8)</f>
        <v>0</v>
      </c>
      <c r="AG8" s="260"/>
      <c r="AH8" s="260"/>
      <c r="AI8" s="260"/>
      <c r="AJ8" s="263"/>
      <c r="AK8" s="263"/>
      <c r="AL8" s="263"/>
      <c r="AM8" s="108">
        <f>AG8*'1. Standard_Cost'!$B$27+'Incremental_Cost Year 8'!AH8*'1. Standard_Cost'!$C$27+'Incremental_Cost Year 8'!AI8*'1. Standard_Cost'!$D$27+'Incremental_Cost Year 8'!AJ8+'Incremental_Cost Year 8'!AL8+AK8</f>
        <v>0</v>
      </c>
      <c r="AN8" s="108">
        <f>AM8*'1. Standard_Cost'!$C$31</f>
        <v>0</v>
      </c>
      <c r="AO8" s="125" t="s">
        <v>271</v>
      </c>
      <c r="AQ8" s="14">
        <f t="shared" ref="AQ8:AQ14" si="17">L8+M8</f>
        <v>0</v>
      </c>
      <c r="AR8" s="14">
        <f t="shared" ref="AR8:AR14" si="18">AF8</f>
        <v>0</v>
      </c>
      <c r="AS8" s="14">
        <f t="shared" ref="AS8:AS14" si="19">AM8+AN8</f>
        <v>0</v>
      </c>
      <c r="AT8" s="14">
        <f t="shared" ref="AT8:AT14" si="20">SUM(AQ8,AR8,AS8)</f>
        <v>0</v>
      </c>
      <c r="AU8" s="234"/>
      <c r="AV8" s="234"/>
      <c r="AW8" s="234"/>
      <c r="AX8" s="234"/>
      <c r="AY8" s="234"/>
      <c r="AZ8" s="234"/>
      <c r="BA8" s="234"/>
      <c r="BB8" s="16">
        <f t="shared" ref="BB8:BB14" si="21">SUM(AU8:BA8)-AT8</f>
        <v>0</v>
      </c>
    </row>
    <row r="9" spans="1:54" ht="27.6" outlineLevel="2">
      <c r="A9" s="98"/>
      <c r="B9" s="102"/>
      <c r="C9" s="23"/>
      <c r="D9" s="251"/>
      <c r="E9" s="250"/>
      <c r="F9" s="270"/>
      <c r="G9" s="250"/>
      <c r="H9" s="272"/>
      <c r="I9" s="258"/>
      <c r="J9" s="259"/>
      <c r="K9" s="259"/>
      <c r="L9" s="106" t="str">
        <f>IF(I9&lt;&gt;0,((VLOOKUP(I9,'1. Standard_Cost'!$B$4:$D$11,2)+VLOOKUP(I9,'1. Standard_Cost'!$B$4:$D$11,3))*J9*K9),"0")</f>
        <v>0</v>
      </c>
      <c r="M9" s="106">
        <f>L9*'1. Standard_Cost'!$F$4</f>
        <v>0</v>
      </c>
      <c r="N9" s="260"/>
      <c r="O9" s="260"/>
      <c r="P9" s="260"/>
      <c r="Q9" s="260"/>
      <c r="R9" s="108">
        <f>'1. Standard_Cost'!$B$15*N9*P9</f>
        <v>0</v>
      </c>
      <c r="S9" s="108">
        <f>N9*O9*P9*'1. Standard_Cost'!$C$15</f>
        <v>0</v>
      </c>
      <c r="T9" s="108">
        <f>N9*P9*Q9*'1. Standard_Cost'!$D$15</f>
        <v>0</v>
      </c>
      <c r="U9" s="108">
        <f>N9*O9*'1. Standard_Cost'!$E$15</f>
        <v>0</v>
      </c>
      <c r="V9" s="260"/>
      <c r="W9" s="260"/>
      <c r="X9" s="260"/>
      <c r="Y9" s="108">
        <f>+V9*((X9*'1. Standard_Cost'!$B$19)+(W9*X9*'1. Standard_Cost'!$C$19))</f>
        <v>0</v>
      </c>
      <c r="Z9" s="260"/>
      <c r="AA9" s="260"/>
      <c r="AB9" s="108">
        <f>+Z9*'1. Standard_Cost'!$B$23+AA9*'1. Standard_Cost'!$C$23</f>
        <v>0</v>
      </c>
      <c r="AC9" s="261"/>
      <c r="AD9" s="262"/>
      <c r="AE9" s="108">
        <f>SUM(AD9,AC9,AB9,Y9,U9,T9,S9,R9)*'1. Standard_Cost'!$B$31</f>
        <v>0</v>
      </c>
      <c r="AF9" s="108">
        <f t="shared" si="16"/>
        <v>0</v>
      </c>
      <c r="AG9" s="260"/>
      <c r="AH9" s="260"/>
      <c r="AI9" s="260"/>
      <c r="AJ9" s="263"/>
      <c r="AK9" s="263"/>
      <c r="AL9" s="263"/>
      <c r="AM9" s="108">
        <f>AG9*'1. Standard_Cost'!$B$27+'Incremental_Cost Year 8'!AH9*'1. Standard_Cost'!$C$27+'Incremental_Cost Year 8'!AI9*'1. Standard_Cost'!$D$27+'Incremental_Cost Year 8'!AJ9+'Incremental_Cost Year 8'!AL9+AK9</f>
        <v>0</v>
      </c>
      <c r="AN9" s="108">
        <f>AM9*'1. Standard_Cost'!$C$31</f>
        <v>0</v>
      </c>
      <c r="AO9" s="125" t="s">
        <v>272</v>
      </c>
      <c r="AQ9" s="14">
        <f t="shared" si="17"/>
        <v>0</v>
      </c>
      <c r="AR9" s="14">
        <f t="shared" si="18"/>
        <v>0</v>
      </c>
      <c r="AS9" s="14">
        <f t="shared" si="19"/>
        <v>0</v>
      </c>
      <c r="AT9" s="14">
        <f t="shared" si="20"/>
        <v>0</v>
      </c>
      <c r="AU9" s="234"/>
      <c r="AV9" s="234"/>
      <c r="AW9" s="234"/>
      <c r="AX9" s="234"/>
      <c r="AY9" s="234"/>
      <c r="AZ9" s="234"/>
      <c r="BA9" s="234"/>
      <c r="BB9" s="16">
        <f t="shared" si="21"/>
        <v>0</v>
      </c>
    </row>
    <row r="10" spans="1:54" ht="27.6" outlineLevel="2">
      <c r="A10" s="98"/>
      <c r="B10" s="102"/>
      <c r="C10" s="23"/>
      <c r="D10" s="251"/>
      <c r="E10" s="250"/>
      <c r="F10" s="270"/>
      <c r="G10" s="250"/>
      <c r="H10" s="272"/>
      <c r="I10" s="258"/>
      <c r="J10" s="259"/>
      <c r="K10" s="259"/>
      <c r="L10" s="106" t="str">
        <f>IF(I10&lt;&gt;0,((VLOOKUP(I10,'1. Standard_Cost'!$B$4:$D$11,2)+VLOOKUP(I10,'1. Standard_Cost'!$B$4:$D$11,3))*J10*K10),"0")</f>
        <v>0</v>
      </c>
      <c r="M10" s="106">
        <f>L10*'1. Standard_Cost'!$F$4</f>
        <v>0</v>
      </c>
      <c r="N10" s="260"/>
      <c r="O10" s="260"/>
      <c r="P10" s="260"/>
      <c r="Q10" s="260"/>
      <c r="R10" s="108">
        <f>'1. Standard_Cost'!$B$15*N10*P10</f>
        <v>0</v>
      </c>
      <c r="S10" s="108">
        <f>N10*O10*P10*'1. Standard_Cost'!$C$15</f>
        <v>0</v>
      </c>
      <c r="T10" s="108">
        <f>N10*P10*Q10*'1. Standard_Cost'!$D$15</f>
        <v>0</v>
      </c>
      <c r="U10" s="108">
        <f>N10*O10*'1. Standard_Cost'!$E$15</f>
        <v>0</v>
      </c>
      <c r="V10" s="260"/>
      <c r="W10" s="260"/>
      <c r="X10" s="260"/>
      <c r="Y10" s="108">
        <f>+V10*((X10*'1. Standard_Cost'!$B$19)+(W10*X10*'1. Standard_Cost'!$C$19))</f>
        <v>0</v>
      </c>
      <c r="Z10" s="260"/>
      <c r="AA10" s="260"/>
      <c r="AB10" s="108">
        <f>+Z10*'1. Standard_Cost'!$B$23+AA10*'1. Standard_Cost'!$C$23</f>
        <v>0</v>
      </c>
      <c r="AC10" s="261"/>
      <c r="AD10" s="262"/>
      <c r="AE10" s="108">
        <f>SUM(AD10,AC10,AB10,Y10,U10,T10,S10,R10)*'1. Standard_Cost'!$B$31</f>
        <v>0</v>
      </c>
      <c r="AF10" s="108">
        <f t="shared" si="16"/>
        <v>0</v>
      </c>
      <c r="AG10" s="260"/>
      <c r="AH10" s="260"/>
      <c r="AI10" s="260"/>
      <c r="AJ10" s="263"/>
      <c r="AK10" s="263"/>
      <c r="AL10" s="263"/>
      <c r="AM10" s="108">
        <f>AG10*'1. Standard_Cost'!$B$27+'Incremental_Cost Year 8'!AH10*'1. Standard_Cost'!$C$27+'Incremental_Cost Year 8'!AI10*'1. Standard_Cost'!$D$27+'Incremental_Cost Year 8'!AJ10+'Incremental_Cost Year 8'!AL10+AK10</f>
        <v>0</v>
      </c>
      <c r="AN10" s="108">
        <f>AM10*'1. Standard_Cost'!$C$31</f>
        <v>0</v>
      </c>
      <c r="AO10" s="134" t="s">
        <v>273</v>
      </c>
      <c r="AQ10" s="14">
        <f t="shared" si="17"/>
        <v>0</v>
      </c>
      <c r="AR10" s="14">
        <f t="shared" si="18"/>
        <v>0</v>
      </c>
      <c r="AS10" s="14">
        <f t="shared" si="19"/>
        <v>0</v>
      </c>
      <c r="AT10" s="14">
        <f t="shared" si="20"/>
        <v>0</v>
      </c>
      <c r="AU10" s="234"/>
      <c r="AV10" s="234"/>
      <c r="AW10" s="234"/>
      <c r="AX10" s="234"/>
      <c r="AY10" s="234"/>
      <c r="AZ10" s="234"/>
      <c r="BA10" s="234"/>
      <c r="BB10" s="16">
        <f t="shared" si="21"/>
        <v>0</v>
      </c>
    </row>
    <row r="11" spans="1:54" ht="69" outlineLevel="2">
      <c r="A11" s="98"/>
      <c r="B11" s="102"/>
      <c r="C11" s="23"/>
      <c r="D11" s="251"/>
      <c r="E11" s="250"/>
      <c r="F11" s="270"/>
      <c r="G11" s="250"/>
      <c r="H11" s="272"/>
      <c r="I11" s="258"/>
      <c r="J11" s="259"/>
      <c r="K11" s="259"/>
      <c r="L11" s="106" t="str">
        <f>IF(I11&lt;&gt;0,((VLOOKUP(I11,'1. Standard_Cost'!$B$4:$D$11,2)+VLOOKUP(I11,'1. Standard_Cost'!$B$4:$D$11,3))*J11*K11),"0")</f>
        <v>0</v>
      </c>
      <c r="M11" s="106">
        <f>L11*'1. Standard_Cost'!$F$4</f>
        <v>0</v>
      </c>
      <c r="N11" s="260"/>
      <c r="O11" s="260"/>
      <c r="P11" s="260"/>
      <c r="Q11" s="260"/>
      <c r="R11" s="108">
        <f>'1. Standard_Cost'!$B$15*N11*P11</f>
        <v>0</v>
      </c>
      <c r="S11" s="108">
        <f>N11*O11*P11*'1. Standard_Cost'!$C$15</f>
        <v>0</v>
      </c>
      <c r="T11" s="108">
        <f>N11*P11*Q11*'1. Standard_Cost'!$D$15</f>
        <v>0</v>
      </c>
      <c r="U11" s="108">
        <f>N11*O11*'1. Standard_Cost'!$E$15</f>
        <v>0</v>
      </c>
      <c r="V11" s="260"/>
      <c r="W11" s="260"/>
      <c r="X11" s="260"/>
      <c r="Y11" s="108">
        <f>+V11*((X11*'1. Standard_Cost'!$B$19)+(W11*X11*'1. Standard_Cost'!$C$19))</f>
        <v>0</v>
      </c>
      <c r="Z11" s="260"/>
      <c r="AA11" s="260"/>
      <c r="AB11" s="108">
        <f>+Z11*'1. Standard_Cost'!$B$23+AA11*'1. Standard_Cost'!$C$23</f>
        <v>0</v>
      </c>
      <c r="AC11" s="261"/>
      <c r="AD11" s="262"/>
      <c r="AE11" s="108">
        <f>SUM(AD11,AC11,AB11,Y11,U11,T11,S11,R11)*'1. Standard_Cost'!$B$31</f>
        <v>0</v>
      </c>
      <c r="AF11" s="108">
        <f t="shared" si="16"/>
        <v>0</v>
      </c>
      <c r="AG11" s="260"/>
      <c r="AH11" s="260"/>
      <c r="AI11" s="260"/>
      <c r="AJ11" s="263"/>
      <c r="AK11" s="263"/>
      <c r="AL11" s="263"/>
      <c r="AM11" s="108">
        <f>AG11*'1. Standard_Cost'!$B$27+'Incremental_Cost Year 8'!AH11*'1. Standard_Cost'!$C$27+'Incremental_Cost Year 8'!AI11*'1. Standard_Cost'!$D$27+'Incremental_Cost Year 8'!AJ11+'Incremental_Cost Year 8'!AL11+AK11</f>
        <v>0</v>
      </c>
      <c r="AN11" s="108">
        <f>AM11*'1. Standard_Cost'!$C$31</f>
        <v>0</v>
      </c>
      <c r="AO11" s="134" t="s">
        <v>275</v>
      </c>
      <c r="AQ11" s="14">
        <f t="shared" si="17"/>
        <v>0</v>
      </c>
      <c r="AR11" s="14">
        <f t="shared" si="18"/>
        <v>0</v>
      </c>
      <c r="AS11" s="14">
        <f t="shared" si="19"/>
        <v>0</v>
      </c>
      <c r="AT11" s="14">
        <f t="shared" si="20"/>
        <v>0</v>
      </c>
      <c r="AU11" s="234"/>
      <c r="AV11" s="234"/>
      <c r="AW11" s="234"/>
      <c r="AX11" s="234"/>
      <c r="AY11" s="234"/>
      <c r="AZ11" s="234"/>
      <c r="BA11" s="234"/>
      <c r="BB11" s="16">
        <f t="shared" si="21"/>
        <v>0</v>
      </c>
    </row>
    <row r="12" spans="1:54" ht="27.6" outlineLevel="2">
      <c r="A12" s="98"/>
      <c r="B12" s="102"/>
      <c r="C12" s="23"/>
      <c r="D12" s="251"/>
      <c r="E12" s="250"/>
      <c r="F12" s="270"/>
      <c r="G12" s="250"/>
      <c r="H12" s="272"/>
      <c r="I12" s="258"/>
      <c r="J12" s="259"/>
      <c r="K12" s="259"/>
      <c r="L12" s="106" t="str">
        <f>IF(I12&lt;&gt;0,((VLOOKUP(I12,'1. Standard_Cost'!$B$4:$D$11,2)+VLOOKUP(I12,'1. Standard_Cost'!$B$4:$D$11,3))*J12*K12),"0")</f>
        <v>0</v>
      </c>
      <c r="M12" s="106">
        <f>L12*'1. Standard_Cost'!$F$4</f>
        <v>0</v>
      </c>
      <c r="N12" s="260"/>
      <c r="O12" s="260"/>
      <c r="P12" s="260"/>
      <c r="Q12" s="260"/>
      <c r="R12" s="108">
        <f>'1. Standard_Cost'!$B$15*N12*P12</f>
        <v>0</v>
      </c>
      <c r="S12" s="108">
        <f>N12*O12*P12*'1. Standard_Cost'!$C$15</f>
        <v>0</v>
      </c>
      <c r="T12" s="108">
        <f>N12*P12*Q12*'1. Standard_Cost'!$D$15</f>
        <v>0</v>
      </c>
      <c r="U12" s="108">
        <f>N12*O12*'1. Standard_Cost'!$E$15</f>
        <v>0</v>
      </c>
      <c r="V12" s="260"/>
      <c r="W12" s="260"/>
      <c r="X12" s="260"/>
      <c r="Y12" s="108">
        <f>+V12*((X12*'1. Standard_Cost'!$B$19)+(W12*X12*'1. Standard_Cost'!$C$19))</f>
        <v>0</v>
      </c>
      <c r="Z12" s="260"/>
      <c r="AA12" s="260"/>
      <c r="AB12" s="108">
        <f>+Z12*'1. Standard_Cost'!$B$23+AA12*'1. Standard_Cost'!$C$23</f>
        <v>0</v>
      </c>
      <c r="AC12" s="261"/>
      <c r="AD12" s="262"/>
      <c r="AE12" s="108">
        <f>SUM(AD12,AC12,AB12,Y12,U12,T12,S12,R12)*'1. Standard_Cost'!$B$31</f>
        <v>0</v>
      </c>
      <c r="AF12" s="108">
        <f t="shared" si="16"/>
        <v>0</v>
      </c>
      <c r="AG12" s="260"/>
      <c r="AH12" s="260"/>
      <c r="AI12" s="260"/>
      <c r="AJ12" s="263"/>
      <c r="AK12" s="263"/>
      <c r="AL12" s="263"/>
      <c r="AM12" s="108">
        <f>AG12*'1. Standard_Cost'!$B$27+'Incremental_Cost Year 8'!AH12*'1. Standard_Cost'!$C$27+'Incremental_Cost Year 8'!AI12*'1. Standard_Cost'!$D$27+'Incremental_Cost Year 8'!AJ12+'Incremental_Cost Year 8'!AL12+AK12</f>
        <v>0</v>
      </c>
      <c r="AN12" s="108">
        <f>AM12*'1. Standard_Cost'!$C$31</f>
        <v>0</v>
      </c>
      <c r="AO12" s="134" t="s">
        <v>273</v>
      </c>
      <c r="AQ12" s="14">
        <f t="shared" si="17"/>
        <v>0</v>
      </c>
      <c r="AR12" s="14">
        <f t="shared" si="18"/>
        <v>0</v>
      </c>
      <c r="AS12" s="14">
        <f t="shared" si="19"/>
        <v>0</v>
      </c>
      <c r="AT12" s="14">
        <f t="shared" si="20"/>
        <v>0</v>
      </c>
      <c r="AU12" s="234"/>
      <c r="AV12" s="234"/>
      <c r="AW12" s="234"/>
      <c r="AX12" s="234"/>
      <c r="AY12" s="234"/>
      <c r="AZ12" s="234"/>
      <c r="BA12" s="234"/>
      <c r="BB12" s="16">
        <f t="shared" si="21"/>
        <v>0</v>
      </c>
    </row>
    <row r="13" spans="1:54" ht="69" outlineLevel="2">
      <c r="A13" s="98"/>
      <c r="B13" s="102"/>
      <c r="C13" s="23"/>
      <c r="D13" s="251"/>
      <c r="E13" s="250"/>
      <c r="F13" s="270"/>
      <c r="G13" s="250"/>
      <c r="H13" s="272"/>
      <c r="I13" s="258"/>
      <c r="J13" s="259"/>
      <c r="K13" s="259"/>
      <c r="L13" s="106" t="str">
        <f>IF(I13&lt;&gt;0,((VLOOKUP(I13,'1. Standard_Cost'!$B$4:$D$11,2)+VLOOKUP(I13,'1. Standard_Cost'!$B$4:$D$11,3))*J13*K13),"0")</f>
        <v>0</v>
      </c>
      <c r="M13" s="106">
        <f>L13*'1. Standard_Cost'!$F$4</f>
        <v>0</v>
      </c>
      <c r="N13" s="260"/>
      <c r="O13" s="260"/>
      <c r="P13" s="260"/>
      <c r="Q13" s="260"/>
      <c r="R13" s="108">
        <f>'1. Standard_Cost'!$B$15*N13*P13</f>
        <v>0</v>
      </c>
      <c r="S13" s="108">
        <f>N13*O13*P13*'1. Standard_Cost'!$C$15</f>
        <v>0</v>
      </c>
      <c r="T13" s="108">
        <f>N13*P13*Q13*'1. Standard_Cost'!$D$15</f>
        <v>0</v>
      </c>
      <c r="U13" s="108">
        <f>N13*O13*'1. Standard_Cost'!$E$15</f>
        <v>0</v>
      </c>
      <c r="V13" s="260"/>
      <c r="W13" s="260"/>
      <c r="X13" s="260"/>
      <c r="Y13" s="108">
        <f>+V13*((X13*'1. Standard_Cost'!$B$19)+(W13*X13*'1. Standard_Cost'!$C$19))</f>
        <v>0</v>
      </c>
      <c r="Z13" s="260"/>
      <c r="AA13" s="260"/>
      <c r="AB13" s="108">
        <f>+Z13*'1. Standard_Cost'!$B$23+AA13*'1. Standard_Cost'!$C$23</f>
        <v>0</v>
      </c>
      <c r="AC13" s="261"/>
      <c r="AD13" s="262"/>
      <c r="AE13" s="108">
        <f>SUM(AD13,AC13,AB13,Y13,U13,T13,S13,R13)*'1. Standard_Cost'!$B$31</f>
        <v>0</v>
      </c>
      <c r="AF13" s="108">
        <f t="shared" si="16"/>
        <v>0</v>
      </c>
      <c r="AG13" s="260"/>
      <c r="AH13" s="260"/>
      <c r="AI13" s="260"/>
      <c r="AJ13" s="263"/>
      <c r="AK13" s="263"/>
      <c r="AL13" s="263"/>
      <c r="AM13" s="108">
        <f>AG13*'1. Standard_Cost'!$B$27+'Incremental_Cost Year 8'!AH13*'1. Standard_Cost'!$C$27+'Incremental_Cost Year 8'!AI13*'1. Standard_Cost'!$D$27+'Incremental_Cost Year 8'!AJ13+'Incremental_Cost Year 8'!AL13+AK13</f>
        <v>0</v>
      </c>
      <c r="AN13" s="108">
        <f>AM13*'1. Standard_Cost'!$C$31</f>
        <v>0</v>
      </c>
      <c r="AO13" s="134" t="s">
        <v>275</v>
      </c>
      <c r="AQ13" s="14">
        <f t="shared" si="17"/>
        <v>0</v>
      </c>
      <c r="AR13" s="14">
        <f t="shared" si="18"/>
        <v>0</v>
      </c>
      <c r="AS13" s="14">
        <f t="shared" si="19"/>
        <v>0</v>
      </c>
      <c r="AT13" s="14">
        <f t="shared" si="20"/>
        <v>0</v>
      </c>
      <c r="AU13" s="234"/>
      <c r="AV13" s="234"/>
      <c r="AW13" s="234"/>
      <c r="AX13" s="234"/>
      <c r="AY13" s="234"/>
      <c r="AZ13" s="234"/>
      <c r="BA13" s="234"/>
      <c r="BB13" s="16">
        <f t="shared" si="21"/>
        <v>0</v>
      </c>
    </row>
    <row r="14" spans="1:54" ht="27.6" outlineLevel="2">
      <c r="A14" s="98"/>
      <c r="B14" s="102"/>
      <c r="C14" s="23"/>
      <c r="D14" s="251"/>
      <c r="E14" s="250"/>
      <c r="F14" s="270"/>
      <c r="G14" s="250"/>
      <c r="H14" s="272"/>
      <c r="I14" s="258"/>
      <c r="J14" s="259"/>
      <c r="K14" s="259"/>
      <c r="L14" s="106" t="str">
        <f>IF(I14&lt;&gt;0,((VLOOKUP(I14,'1. Standard_Cost'!$B$4:$D$11,2)+VLOOKUP(I14,'1. Standard_Cost'!$B$4:$D$11,3))*J14*K14),"0")</f>
        <v>0</v>
      </c>
      <c r="M14" s="106">
        <f>L14*'1. Standard_Cost'!$F$4</f>
        <v>0</v>
      </c>
      <c r="N14" s="260"/>
      <c r="O14" s="260"/>
      <c r="P14" s="260"/>
      <c r="Q14" s="260"/>
      <c r="R14" s="108">
        <f>'1. Standard_Cost'!$B$15*N14*P14</f>
        <v>0</v>
      </c>
      <c r="S14" s="108">
        <f>N14*O14*P14*'1. Standard_Cost'!$C$15</f>
        <v>0</v>
      </c>
      <c r="T14" s="108">
        <f>N14*P14*Q14*'1. Standard_Cost'!$D$15</f>
        <v>0</v>
      </c>
      <c r="U14" s="108">
        <f>N14*O14*'1. Standard_Cost'!$E$15</f>
        <v>0</v>
      </c>
      <c r="V14" s="260"/>
      <c r="W14" s="260"/>
      <c r="X14" s="260"/>
      <c r="Y14" s="108">
        <f>+V14*((X14*'1. Standard_Cost'!$B$19)+(W14*X14*'1. Standard_Cost'!$C$19))</f>
        <v>0</v>
      </c>
      <c r="Z14" s="260"/>
      <c r="AA14" s="260"/>
      <c r="AB14" s="108">
        <f>+Z14*'1. Standard_Cost'!$B$23+AA14*'1. Standard_Cost'!$C$23</f>
        <v>0</v>
      </c>
      <c r="AC14" s="261"/>
      <c r="AD14" s="262"/>
      <c r="AE14" s="108">
        <f>SUM(AD14,AC14,AB14,Y14,U14,T14,S14,R14)*'1. Standard_Cost'!$B$31</f>
        <v>0</v>
      </c>
      <c r="AF14" s="108">
        <f t="shared" si="16"/>
        <v>0</v>
      </c>
      <c r="AG14" s="260"/>
      <c r="AH14" s="260"/>
      <c r="AI14" s="260"/>
      <c r="AJ14" s="263"/>
      <c r="AK14" s="263"/>
      <c r="AL14" s="263"/>
      <c r="AM14" s="108">
        <f>AG14*'1. Standard_Cost'!$B$27+'Incremental_Cost Year 8'!AH14*'1. Standard_Cost'!$C$27+'Incremental_Cost Year 8'!AI14*'1. Standard_Cost'!$D$27+'Incremental_Cost Year 8'!AJ14+'Incremental_Cost Year 8'!AL14+AK14</f>
        <v>0</v>
      </c>
      <c r="AN14" s="108">
        <f>AM14*'1. Standard_Cost'!$C$31</f>
        <v>0</v>
      </c>
      <c r="AO14" s="134" t="s">
        <v>274</v>
      </c>
      <c r="AQ14" s="14">
        <f t="shared" si="17"/>
        <v>0</v>
      </c>
      <c r="AR14" s="14">
        <f t="shared" si="18"/>
        <v>0</v>
      </c>
      <c r="AS14" s="14">
        <f t="shared" si="19"/>
        <v>0</v>
      </c>
      <c r="AT14" s="14">
        <f t="shared" si="20"/>
        <v>0</v>
      </c>
      <c r="AU14" s="234"/>
      <c r="AV14" s="234"/>
      <c r="AW14" s="234"/>
      <c r="AX14" s="234"/>
      <c r="AY14" s="234"/>
      <c r="AZ14" s="234"/>
      <c r="BA14" s="234"/>
      <c r="BB14" s="16">
        <f t="shared" si="21"/>
        <v>0</v>
      </c>
    </row>
    <row r="15" spans="1:54" ht="41.4" outlineLevel="1">
      <c r="A15" s="98"/>
      <c r="B15" s="102"/>
      <c r="C15" s="23"/>
      <c r="D15" s="56" t="s">
        <v>205</v>
      </c>
      <c r="E15" s="122" t="s">
        <v>206</v>
      </c>
      <c r="F15" s="268">
        <v>2021</v>
      </c>
      <c r="G15" s="254">
        <v>2026</v>
      </c>
      <c r="H15" s="276" t="s">
        <v>48</v>
      </c>
      <c r="I15" s="264"/>
      <c r="J15" s="264"/>
      <c r="K15" s="264"/>
      <c r="L15" s="113">
        <f>SUM(L7:L14)</f>
        <v>0</v>
      </c>
      <c r="M15" s="113">
        <f>SUM(M7:M14)</f>
        <v>0</v>
      </c>
      <c r="N15" s="265"/>
      <c r="O15" s="264"/>
      <c r="P15" s="264"/>
      <c r="Q15" s="264"/>
      <c r="R15" s="113">
        <f>SUM(R7:R14)</f>
        <v>0</v>
      </c>
      <c r="S15" s="113">
        <f>SUM(S7:S14)</f>
        <v>0</v>
      </c>
      <c r="T15" s="113">
        <f>SUM(T7:T14)</f>
        <v>0</v>
      </c>
      <c r="U15" s="113">
        <f>SUM(U7:U14)</f>
        <v>0</v>
      </c>
      <c r="V15" s="264"/>
      <c r="W15" s="264"/>
      <c r="X15" s="264"/>
      <c r="Y15" s="113">
        <f>SUM(Y7:Y14)</f>
        <v>0</v>
      </c>
      <c r="Z15" s="264"/>
      <c r="AA15" s="264"/>
      <c r="AB15" s="113">
        <f>SUM(AB7:AB14)</f>
        <v>0</v>
      </c>
      <c r="AC15" s="265">
        <f>SUM(AC7:AC14)</f>
        <v>0</v>
      </c>
      <c r="AD15" s="265">
        <f>SUM(AD7:AD14)</f>
        <v>0</v>
      </c>
      <c r="AE15" s="113">
        <f>SUM(AE7:AE14)</f>
        <v>0</v>
      </c>
      <c r="AF15" s="113">
        <f>SUM(AF7:AF14)</f>
        <v>0</v>
      </c>
      <c r="AG15" s="264"/>
      <c r="AH15" s="264"/>
      <c r="AI15" s="264"/>
      <c r="AJ15" s="265">
        <f>SUM(AJ7:AJ14)</f>
        <v>0</v>
      </c>
      <c r="AK15" s="265">
        <f>SUM(AK7:AK14)</f>
        <v>0</v>
      </c>
      <c r="AL15" s="265">
        <f>SUM(AL7:AL14)</f>
        <v>0</v>
      </c>
      <c r="AM15" s="113">
        <f>SUM(AM7:AM14)</f>
        <v>0</v>
      </c>
      <c r="AN15" s="113">
        <f>SUM(AN7:AN14)</f>
        <v>0</v>
      </c>
      <c r="AO15" s="131"/>
      <c r="AP15" s="17"/>
      <c r="AQ15" s="113">
        <f t="shared" ref="AQ15:BB15" si="22">SUM(AQ7:AQ14)</f>
        <v>0</v>
      </c>
      <c r="AR15" s="113">
        <f t="shared" si="22"/>
        <v>0</v>
      </c>
      <c r="AS15" s="113">
        <f t="shared" si="22"/>
        <v>0</v>
      </c>
      <c r="AT15" s="113">
        <f t="shared" si="22"/>
        <v>0</v>
      </c>
      <c r="AU15" s="265">
        <f t="shared" si="22"/>
        <v>0</v>
      </c>
      <c r="AV15" s="265">
        <f t="shared" si="22"/>
        <v>0</v>
      </c>
      <c r="AW15" s="265">
        <f t="shared" si="22"/>
        <v>0</v>
      </c>
      <c r="AX15" s="265">
        <f t="shared" si="22"/>
        <v>0</v>
      </c>
      <c r="AY15" s="265">
        <f t="shared" si="22"/>
        <v>0</v>
      </c>
      <c r="AZ15" s="265">
        <f t="shared" si="22"/>
        <v>0</v>
      </c>
      <c r="BA15" s="265">
        <f t="shared" si="22"/>
        <v>0</v>
      </c>
      <c r="BB15" s="113">
        <f t="shared" si="22"/>
        <v>0</v>
      </c>
    </row>
    <row r="16" spans="1:54" ht="27.6" outlineLevel="2">
      <c r="A16" s="98"/>
      <c r="B16" s="102"/>
      <c r="C16" s="23"/>
      <c r="D16" s="251"/>
      <c r="E16" s="250"/>
      <c r="F16" s="270"/>
      <c r="G16" s="250"/>
      <c r="H16" s="272"/>
      <c r="I16" s="258"/>
      <c r="J16" s="259"/>
      <c r="K16" s="259"/>
      <c r="L16" s="106" t="str">
        <f>IF(I16&lt;&gt;0,((VLOOKUP(I16,'1. Standard_Cost'!$B$4:$D$11,2)+VLOOKUP(I16,'1. Standard_Cost'!$B$4:$D$11,3))*J16*K16),"0")</f>
        <v>0</v>
      </c>
      <c r="M16" s="106">
        <f>L16*'1. Standard_Cost'!$F$4</f>
        <v>0</v>
      </c>
      <c r="N16" s="260"/>
      <c r="O16" s="260"/>
      <c r="P16" s="260"/>
      <c r="Q16" s="260"/>
      <c r="R16" s="108">
        <f>'1. Standard_Cost'!$B$15*N16*P16</f>
        <v>0</v>
      </c>
      <c r="S16" s="108">
        <f>N16*O16*P16*'1. Standard_Cost'!$C$15</f>
        <v>0</v>
      </c>
      <c r="T16" s="108">
        <f>N16*P16*Q16*'1. Standard_Cost'!$D$15</f>
        <v>0</v>
      </c>
      <c r="U16" s="108">
        <f>N16*O16*'1. Standard_Cost'!$E$15</f>
        <v>0</v>
      </c>
      <c r="V16" s="260"/>
      <c r="W16" s="260"/>
      <c r="X16" s="260"/>
      <c r="Y16" s="108">
        <f>+V16*((X16*'1. Standard_Cost'!$B$19)+(W16*X16*'1. Standard_Cost'!$C$19))</f>
        <v>0</v>
      </c>
      <c r="Z16" s="260"/>
      <c r="AA16" s="260"/>
      <c r="AB16" s="108">
        <f>+Z16*'1. Standard_Cost'!$B$23+AA16*'1. Standard_Cost'!$C$23</f>
        <v>0</v>
      </c>
      <c r="AC16" s="261"/>
      <c r="AD16" s="262"/>
      <c r="AE16" s="108">
        <f>SUM(AD16,AC16,AB16,Y16,U16,T16,S16,R16)*'1. Standard_Cost'!$B$31</f>
        <v>0</v>
      </c>
      <c r="AF16" s="108">
        <f t="shared" ref="AF16" si="23">SUM(AE16,AD16,AC16,AB16,Y16,U16,T16,S16,R16)</f>
        <v>0</v>
      </c>
      <c r="AG16" s="260"/>
      <c r="AH16" s="260"/>
      <c r="AI16" s="260"/>
      <c r="AJ16" s="263"/>
      <c r="AK16" s="263"/>
      <c r="AL16" s="263"/>
      <c r="AM16" s="108">
        <f>AG16*'1. Standard_Cost'!$B$27+'Incremental_Cost Year 8'!AH16*'1. Standard_Cost'!$C$27+'Incremental_Cost Year 8'!AI16*'1. Standard_Cost'!$D$27+'Incremental_Cost Year 8'!AJ16+'Incremental_Cost Year 8'!AL16+AK16</f>
        <v>0</v>
      </c>
      <c r="AN16" s="108">
        <f>AM16*'1. Standard_Cost'!$C$31</f>
        <v>0</v>
      </c>
      <c r="AO16" s="125" t="s">
        <v>276</v>
      </c>
      <c r="AQ16" s="14">
        <f t="shared" ref="AQ16:AQ24" si="24">L16+M16</f>
        <v>0</v>
      </c>
      <c r="AR16" s="14">
        <f t="shared" ref="AR16:AR24" si="25">AF16</f>
        <v>0</v>
      </c>
      <c r="AS16" s="14">
        <f t="shared" ref="AS16:AS24" si="26">AM16+AN16</f>
        <v>0</v>
      </c>
      <c r="AT16" s="14">
        <f>SUM(AQ16,AR16,AS16)</f>
        <v>0</v>
      </c>
      <c r="AU16" s="234"/>
      <c r="AV16" s="234"/>
      <c r="AW16" s="234"/>
      <c r="AX16" s="234"/>
      <c r="AY16" s="234"/>
      <c r="AZ16" s="234"/>
      <c r="BA16" s="234"/>
      <c r="BB16" s="16">
        <f t="shared" ref="BB16:BB24" si="27">SUM(AU16:BA16)-AT16</f>
        <v>0</v>
      </c>
    </row>
    <row r="17" spans="1:54" ht="46.8" outlineLevel="1">
      <c r="A17" s="98"/>
      <c r="B17" s="143"/>
      <c r="C17" s="144"/>
      <c r="D17" s="287" t="s">
        <v>47</v>
      </c>
      <c r="E17" s="287" t="s">
        <v>207</v>
      </c>
      <c r="F17" s="287"/>
      <c r="G17" s="287"/>
      <c r="H17" s="287" t="s">
        <v>49</v>
      </c>
      <c r="I17" s="264"/>
      <c r="J17" s="264"/>
      <c r="K17" s="264"/>
      <c r="L17" s="113">
        <f>SUM(L16:L16)</f>
        <v>0</v>
      </c>
      <c r="M17" s="113">
        <f>SUM(M16:M16)</f>
        <v>0</v>
      </c>
      <c r="N17" s="264"/>
      <c r="O17" s="264"/>
      <c r="P17" s="264"/>
      <c r="Q17" s="264"/>
      <c r="R17" s="113">
        <f>SUM(R16:R16)</f>
        <v>0</v>
      </c>
      <c r="S17" s="113">
        <f>SUM(S16:S16)</f>
        <v>0</v>
      </c>
      <c r="T17" s="113">
        <f>SUM(T16:T16)</f>
        <v>0</v>
      </c>
      <c r="U17" s="113">
        <f>SUM(U16:U16)</f>
        <v>0</v>
      </c>
      <c r="V17" s="264"/>
      <c r="W17" s="264"/>
      <c r="X17" s="264"/>
      <c r="Y17" s="113">
        <f>SUM(Y16:Y16)</f>
        <v>0</v>
      </c>
      <c r="Z17" s="264"/>
      <c r="AA17" s="264"/>
      <c r="AB17" s="113">
        <f>SUM(AB16:AB16)</f>
        <v>0</v>
      </c>
      <c r="AC17" s="265">
        <f>SUM(AC16:AC16)</f>
        <v>0</v>
      </c>
      <c r="AD17" s="265">
        <f>SUM(AD16:AD16)</f>
        <v>0</v>
      </c>
      <c r="AE17" s="113">
        <f>SUM(AE16:AE16)</f>
        <v>0</v>
      </c>
      <c r="AF17" s="113">
        <f>SUM(AF16:AF16)</f>
        <v>0</v>
      </c>
      <c r="AG17" s="264"/>
      <c r="AH17" s="264"/>
      <c r="AI17" s="264"/>
      <c r="AJ17" s="265">
        <f>SUM(AJ16:AJ16)</f>
        <v>0</v>
      </c>
      <c r="AK17" s="265">
        <f>SUM(AK16:AK16)</f>
        <v>0</v>
      </c>
      <c r="AL17" s="265">
        <f>SUM(AL16:AL16)</f>
        <v>0</v>
      </c>
      <c r="AM17" s="113">
        <f>SUM(AM16:AM16)</f>
        <v>0</v>
      </c>
      <c r="AN17" s="113">
        <f>SUM(AN16:AN16)</f>
        <v>0</v>
      </c>
      <c r="AO17" s="131"/>
      <c r="AP17" s="17"/>
      <c r="AQ17" s="113">
        <f t="shared" ref="AQ17:BA17" si="28">SUM(AQ16:AQ16)</f>
        <v>0</v>
      </c>
      <c r="AR17" s="113">
        <f t="shared" si="28"/>
        <v>0</v>
      </c>
      <c r="AS17" s="113">
        <f t="shared" si="28"/>
        <v>0</v>
      </c>
      <c r="AT17" s="113">
        <f t="shared" si="28"/>
        <v>0</v>
      </c>
      <c r="AU17" s="265">
        <f t="shared" si="28"/>
        <v>0</v>
      </c>
      <c r="AV17" s="265">
        <f t="shared" si="28"/>
        <v>0</v>
      </c>
      <c r="AW17" s="265">
        <f t="shared" si="28"/>
        <v>0</v>
      </c>
      <c r="AX17" s="265">
        <f t="shared" si="28"/>
        <v>0</v>
      </c>
      <c r="AY17" s="265">
        <f t="shared" si="28"/>
        <v>0</v>
      </c>
      <c r="AZ17" s="265">
        <f t="shared" si="28"/>
        <v>0</v>
      </c>
      <c r="BA17" s="265">
        <f t="shared" si="28"/>
        <v>0</v>
      </c>
      <c r="BB17" s="16">
        <f t="shared" si="27"/>
        <v>0</v>
      </c>
    </row>
    <row r="18" spans="1:54" ht="15.6" outlineLevel="2">
      <c r="A18" s="98"/>
      <c r="B18" s="143"/>
      <c r="C18" s="144"/>
      <c r="D18" s="149"/>
      <c r="E18" s="149"/>
      <c r="F18" s="288"/>
      <c r="G18" s="289"/>
      <c r="H18" s="272"/>
      <c r="I18" s="258"/>
      <c r="J18" s="259"/>
      <c r="K18" s="259"/>
      <c r="L18" s="106" t="str">
        <f>IF(I18&lt;&gt;0,((VLOOKUP(I18,'1. Standard_Cost'!$B$4:$D$11,2)+VLOOKUP(I18,'1. Standard_Cost'!$B$4:$D$11,3))*J18*K18),"0")</f>
        <v>0</v>
      </c>
      <c r="M18" s="106">
        <f>L18*'1. Standard_Cost'!$F$4</f>
        <v>0</v>
      </c>
      <c r="N18" s="260">
        <v>0</v>
      </c>
      <c r="O18" s="260">
        <v>0</v>
      </c>
      <c r="P18" s="260">
        <v>0</v>
      </c>
      <c r="Q18" s="260"/>
      <c r="R18" s="108">
        <f>'1. Standard_Cost'!$B$15*N18*P18</f>
        <v>0</v>
      </c>
      <c r="S18" s="108">
        <f>N18*O18*P18*'1. Standard_Cost'!$C$15</f>
        <v>0</v>
      </c>
      <c r="T18" s="108">
        <f>N18*P18*Q18*'1. Standard_Cost'!$D$15</f>
        <v>0</v>
      </c>
      <c r="U18" s="108">
        <f>N18*O18*'1. Standard_Cost'!$E$15</f>
        <v>0</v>
      </c>
      <c r="V18" s="260"/>
      <c r="W18" s="260"/>
      <c r="X18" s="260"/>
      <c r="Y18" s="108">
        <f>+V18*((X18*'1. Standard_Cost'!$B$19)+(W18*X18*'1. Standard_Cost'!$C$19))</f>
        <v>0</v>
      </c>
      <c r="Z18" s="260"/>
      <c r="AA18" s="260"/>
      <c r="AB18" s="108">
        <f>+Z18*'1. Standard_Cost'!$B$23+AA18*'1. Standard_Cost'!$C$23</f>
        <v>0</v>
      </c>
      <c r="AC18" s="261"/>
      <c r="AD18" s="262"/>
      <c r="AE18" s="108">
        <f>SUM(AD18,AC18,AB18,Y18,U18,T18,S18,R18)*'1. Standard_Cost'!$B$31</f>
        <v>0</v>
      </c>
      <c r="AF18" s="108">
        <f t="shared" ref="AF18:AF24" si="29">SUM(AE18,AD18,AC18,AB18,Y18,U18,T18,S18,R18)</f>
        <v>0</v>
      </c>
      <c r="AG18" s="260"/>
      <c r="AH18" s="260"/>
      <c r="AI18" s="260"/>
      <c r="AJ18" s="263"/>
      <c r="AK18" s="263"/>
      <c r="AL18" s="263"/>
      <c r="AM18" s="108">
        <f>AG18*'1. Standard_Cost'!$B$27+'Incremental_Cost Year 2'!AH33*'1. Standard_Cost'!$C$27+'Incremental_Cost Year 2'!AI33*'1. Standard_Cost'!$D$27+'Incremental_Cost Year 2'!AJ33+'Incremental_Cost Year 2'!AL33+AK18</f>
        <v>0</v>
      </c>
      <c r="AN18" s="108">
        <f>AM18*'1. Standard_Cost'!$C$31</f>
        <v>0</v>
      </c>
      <c r="AO18" s="125" t="s">
        <v>277</v>
      </c>
      <c r="AQ18" s="14">
        <f t="shared" ref="AQ18" si="30">L18+M18</f>
        <v>0</v>
      </c>
      <c r="AR18" s="14">
        <f t="shared" ref="AR18" si="31">AF18</f>
        <v>0</v>
      </c>
      <c r="AS18" s="14">
        <f t="shared" ref="AS18" si="32">AM18+AN18</f>
        <v>0</v>
      </c>
      <c r="AT18" s="14">
        <f>SUM(AQ18,AR18,AS18)</f>
        <v>0</v>
      </c>
      <c r="AU18" s="234"/>
      <c r="AV18" s="234"/>
      <c r="AW18" s="234"/>
      <c r="AX18" s="234"/>
      <c r="AY18" s="234"/>
      <c r="AZ18" s="234"/>
      <c r="BA18" s="234"/>
      <c r="BB18" s="16">
        <f t="shared" si="27"/>
        <v>0</v>
      </c>
    </row>
    <row r="19" spans="1:54" ht="15.6" outlineLevel="2">
      <c r="A19" s="98"/>
      <c r="B19" s="143"/>
      <c r="C19" s="144"/>
      <c r="D19" s="290"/>
      <c r="E19" s="290"/>
      <c r="F19" s="290"/>
      <c r="G19" s="291"/>
      <c r="H19" s="272"/>
      <c r="I19" s="258"/>
      <c r="J19" s="259"/>
      <c r="K19" s="259"/>
      <c r="L19" s="106" t="str">
        <f>IF(I19&lt;&gt;0,((VLOOKUP(I19,'1. Standard_Cost'!$B$4:$D$11,2)+VLOOKUP(I19,'1. Standard_Cost'!$B$4:$D$11,3))*J19*K19),"0")</f>
        <v>0</v>
      </c>
      <c r="M19" s="106">
        <f>L19*'1. Standard_Cost'!$F$4</f>
        <v>0</v>
      </c>
      <c r="N19" s="260"/>
      <c r="O19" s="260"/>
      <c r="P19" s="260"/>
      <c r="Q19" s="260"/>
      <c r="R19" s="108">
        <f>'1. Standard_Cost'!$B$15*N19*P19</f>
        <v>0</v>
      </c>
      <c r="S19" s="108">
        <f>N19*O19*P19*'1. Standard_Cost'!$C$15</f>
        <v>0</v>
      </c>
      <c r="T19" s="108">
        <f>N19*P19*Q19*'1. Standard_Cost'!$D$15</f>
        <v>0</v>
      </c>
      <c r="U19" s="108">
        <f>N19*O19*'1. Standard_Cost'!$E$15</f>
        <v>0</v>
      </c>
      <c r="V19" s="260"/>
      <c r="W19" s="260"/>
      <c r="X19" s="260"/>
      <c r="Y19" s="108">
        <f>+V19*((X19*'1. Standard_Cost'!$B$19)+(W19*X19*'1. Standard_Cost'!$C$19))</f>
        <v>0</v>
      </c>
      <c r="Z19" s="260"/>
      <c r="AA19" s="260"/>
      <c r="AB19" s="108">
        <f>+Z19*'1. Standard_Cost'!$B$23+AA19*'1. Standard_Cost'!$C$23</f>
        <v>0</v>
      </c>
      <c r="AC19" s="261"/>
      <c r="AD19" s="262"/>
      <c r="AE19" s="108">
        <f>SUM(AD19,AC19,AB19,Y19,U19,T19,S19,R19)*'1. Standard_Cost'!$B$31</f>
        <v>0</v>
      </c>
      <c r="AF19" s="108">
        <f t="shared" si="29"/>
        <v>0</v>
      </c>
      <c r="AG19" s="260"/>
      <c r="AH19" s="260"/>
      <c r="AI19" s="260"/>
      <c r="AJ19" s="263"/>
      <c r="AK19" s="263"/>
      <c r="AL19" s="263"/>
      <c r="AM19" s="108">
        <f>AG19*'1. Standard_Cost'!$B$27+'Incremental_Cost Year 8'!AH19*'1. Standard_Cost'!$C$27+'Incremental_Cost Year 8'!AI19*'1. Standard_Cost'!$D$27+'Incremental_Cost Year 8'!AJ19+'Incremental_Cost Year 8'!AL19+AK19</f>
        <v>0</v>
      </c>
      <c r="AN19" s="108">
        <f>AM19*'1. Standard_Cost'!$C$31</f>
        <v>0</v>
      </c>
      <c r="AO19" s="125" t="s">
        <v>278</v>
      </c>
      <c r="AQ19" s="14">
        <f t="shared" si="24"/>
        <v>0</v>
      </c>
      <c r="AR19" s="14">
        <f t="shared" si="25"/>
        <v>0</v>
      </c>
      <c r="AS19" s="14">
        <f t="shared" si="26"/>
        <v>0</v>
      </c>
      <c r="AT19" s="14">
        <f t="shared" ref="AT19:AT24" si="33">SUM(AQ19,AR19,AS19)</f>
        <v>0</v>
      </c>
      <c r="AU19" s="234"/>
      <c r="AV19" s="234"/>
      <c r="AW19" s="234"/>
      <c r="AX19" s="234"/>
      <c r="AY19" s="234"/>
      <c r="AZ19" s="234"/>
      <c r="BA19" s="234"/>
      <c r="BB19" s="16">
        <f t="shared" si="27"/>
        <v>0</v>
      </c>
    </row>
    <row r="20" spans="1:54" ht="15.6" outlineLevel="2">
      <c r="A20" s="98"/>
      <c r="B20" s="143"/>
      <c r="C20" s="144"/>
      <c r="D20" s="290"/>
      <c r="E20" s="290"/>
      <c r="F20" s="171"/>
      <c r="G20" s="291"/>
      <c r="H20" s="272"/>
      <c r="I20" s="258"/>
      <c r="J20" s="259"/>
      <c r="K20" s="259"/>
      <c r="L20" s="106" t="str">
        <f>IF(I20&lt;&gt;0,((VLOOKUP(I20,'1. Standard_Cost'!$B$4:$D$11,2)+VLOOKUP(I20,'1. Standard_Cost'!$B$4:$D$11,3))*J20*K20),"0")</f>
        <v>0</v>
      </c>
      <c r="M20" s="106">
        <f>L20*'1. Standard_Cost'!$F$4</f>
        <v>0</v>
      </c>
      <c r="N20" s="260"/>
      <c r="O20" s="260"/>
      <c r="P20" s="260"/>
      <c r="Q20" s="260"/>
      <c r="R20" s="108">
        <f>'1. Standard_Cost'!$B$15*N20*P20</f>
        <v>0</v>
      </c>
      <c r="S20" s="108">
        <f>N20*O20*P20*'1. Standard_Cost'!$C$15</f>
        <v>0</v>
      </c>
      <c r="T20" s="108">
        <f>N20*P20*Q20*'1. Standard_Cost'!$D$15</f>
        <v>0</v>
      </c>
      <c r="U20" s="108">
        <f>N20*O20*'1. Standard_Cost'!$E$15</f>
        <v>0</v>
      </c>
      <c r="V20" s="260"/>
      <c r="W20" s="260"/>
      <c r="X20" s="260"/>
      <c r="Y20" s="108">
        <f>+V20*((X20*'1. Standard_Cost'!$B$19)+(W20*X20*'1. Standard_Cost'!$C$19))</f>
        <v>0</v>
      </c>
      <c r="Z20" s="260"/>
      <c r="AA20" s="260"/>
      <c r="AB20" s="108">
        <f>+Z20*'1. Standard_Cost'!$B$23+AA20*'1. Standard_Cost'!$C$23</f>
        <v>0</v>
      </c>
      <c r="AC20" s="261"/>
      <c r="AD20" s="262"/>
      <c r="AE20" s="108">
        <f>SUM(AD20,AC20,AB20,Y20,U20,T20,S20,R20)*'1. Standard_Cost'!$B$31</f>
        <v>0</v>
      </c>
      <c r="AF20" s="108">
        <f t="shared" si="29"/>
        <v>0</v>
      </c>
      <c r="AG20" s="260"/>
      <c r="AH20" s="260"/>
      <c r="AI20" s="260"/>
      <c r="AJ20" s="263"/>
      <c r="AK20" s="263"/>
      <c r="AL20" s="263"/>
      <c r="AM20" s="108">
        <f>AG20*'1. Standard_Cost'!$B$27+'Incremental_Cost Year 8'!AH20*'1. Standard_Cost'!$C$27+'Incremental_Cost Year 8'!AI20*'1. Standard_Cost'!$D$27+'Incremental_Cost Year 8'!AJ20+'Incremental_Cost Year 8'!AL20+AK20</f>
        <v>0</v>
      </c>
      <c r="AN20" s="108">
        <f>AM20*'1. Standard_Cost'!$C$31</f>
        <v>0</v>
      </c>
      <c r="AO20" s="125" t="s">
        <v>278</v>
      </c>
      <c r="AQ20" s="14">
        <f t="shared" si="24"/>
        <v>0</v>
      </c>
      <c r="AR20" s="14">
        <f t="shared" si="25"/>
        <v>0</v>
      </c>
      <c r="AS20" s="14">
        <f t="shared" si="26"/>
        <v>0</v>
      </c>
      <c r="AT20" s="14">
        <f t="shared" si="33"/>
        <v>0</v>
      </c>
      <c r="AU20" s="234"/>
      <c r="AV20" s="234"/>
      <c r="AW20" s="234"/>
      <c r="AX20" s="234"/>
      <c r="AY20" s="234"/>
      <c r="AZ20" s="234"/>
      <c r="BA20" s="234"/>
      <c r="BB20" s="16">
        <f t="shared" si="27"/>
        <v>0</v>
      </c>
    </row>
    <row r="21" spans="1:54" ht="15.6" outlineLevel="2">
      <c r="A21" s="98"/>
      <c r="B21" s="143"/>
      <c r="C21" s="144"/>
      <c r="D21" s="290"/>
      <c r="E21" s="290"/>
      <c r="F21" s="290"/>
      <c r="G21" s="291"/>
      <c r="H21" s="272"/>
      <c r="I21" s="258"/>
      <c r="J21" s="259"/>
      <c r="K21" s="259"/>
      <c r="L21" s="106" t="str">
        <f>IF(I21&lt;&gt;0,((VLOOKUP(I21,'1. Standard_Cost'!$B$4:$D$11,2)+VLOOKUP(I21,'1. Standard_Cost'!$B$4:$D$11,3))*J21*K21),"0")</f>
        <v>0</v>
      </c>
      <c r="M21" s="106">
        <f>L21*'1. Standard_Cost'!$F$4</f>
        <v>0</v>
      </c>
      <c r="N21" s="260"/>
      <c r="O21" s="260"/>
      <c r="P21" s="260"/>
      <c r="Q21" s="260"/>
      <c r="R21" s="108">
        <f>'1. Standard_Cost'!$B$15*N21*P21</f>
        <v>0</v>
      </c>
      <c r="S21" s="108">
        <f>N21*O21*P21*'1. Standard_Cost'!$C$15</f>
        <v>0</v>
      </c>
      <c r="T21" s="108">
        <f>N21*P21*Q21*'1. Standard_Cost'!$D$15</f>
        <v>0</v>
      </c>
      <c r="U21" s="108">
        <f>N21*O21*'1. Standard_Cost'!$E$15</f>
        <v>0</v>
      </c>
      <c r="V21" s="260"/>
      <c r="W21" s="260"/>
      <c r="X21" s="260"/>
      <c r="Y21" s="108">
        <f>+V21*((X21*'1. Standard_Cost'!$B$19)+(W21*X21*'1. Standard_Cost'!$C$19))</f>
        <v>0</v>
      </c>
      <c r="Z21" s="260"/>
      <c r="AA21" s="260"/>
      <c r="AB21" s="108">
        <f>+Z21*'1. Standard_Cost'!$B$23+AA21*'1. Standard_Cost'!$C$23</f>
        <v>0</v>
      </c>
      <c r="AC21" s="261"/>
      <c r="AD21" s="262"/>
      <c r="AE21" s="108">
        <f>SUM(AD21,AC21,AB21,Y21,U21,T21,S21,R21)*'1. Standard_Cost'!$B$31</f>
        <v>0</v>
      </c>
      <c r="AF21" s="108">
        <f t="shared" si="29"/>
        <v>0</v>
      </c>
      <c r="AG21" s="260"/>
      <c r="AH21" s="260"/>
      <c r="AI21" s="260"/>
      <c r="AJ21" s="263"/>
      <c r="AK21" s="263"/>
      <c r="AL21" s="263"/>
      <c r="AM21" s="108">
        <f>AG21*'1. Standard_Cost'!$B$27+'Incremental_Cost Year 8'!AH21*'1. Standard_Cost'!$C$27+'Incremental_Cost Year 8'!AI21*'1. Standard_Cost'!$D$27+'Incremental_Cost Year 8'!AJ21+'Incremental_Cost Year 8'!AL21+AK21</f>
        <v>0</v>
      </c>
      <c r="AN21" s="108">
        <f>AM21*'1. Standard_Cost'!$C$31</f>
        <v>0</v>
      </c>
      <c r="AO21" s="125" t="s">
        <v>279</v>
      </c>
      <c r="AQ21" s="14">
        <f t="shared" si="24"/>
        <v>0</v>
      </c>
      <c r="AR21" s="14">
        <f t="shared" si="25"/>
        <v>0</v>
      </c>
      <c r="AS21" s="14">
        <f t="shared" si="26"/>
        <v>0</v>
      </c>
      <c r="AT21" s="14">
        <f t="shared" si="33"/>
        <v>0</v>
      </c>
      <c r="AU21" s="234"/>
      <c r="AV21" s="234"/>
      <c r="AW21" s="234"/>
      <c r="AX21" s="234"/>
      <c r="AY21" s="234"/>
      <c r="AZ21" s="234"/>
      <c r="BA21" s="234"/>
      <c r="BB21" s="16">
        <f t="shared" si="27"/>
        <v>0</v>
      </c>
    </row>
    <row r="22" spans="1:54" ht="15.6" outlineLevel="2">
      <c r="A22" s="98"/>
      <c r="B22" s="143"/>
      <c r="C22" s="144"/>
      <c r="D22" s="290"/>
      <c r="E22" s="290"/>
      <c r="F22" s="290"/>
      <c r="G22" s="291"/>
      <c r="H22" s="272"/>
      <c r="I22" s="258"/>
      <c r="J22" s="259"/>
      <c r="K22" s="259"/>
      <c r="L22" s="106" t="str">
        <f>IF(I22&lt;&gt;0,((VLOOKUP(I22,'1. Standard_Cost'!$B$4:$D$11,2)+VLOOKUP(I22,'1. Standard_Cost'!$B$4:$D$11,3))*J22*K22),"0")</f>
        <v>0</v>
      </c>
      <c r="M22" s="106">
        <f>L22*'1. Standard_Cost'!$F$4</f>
        <v>0</v>
      </c>
      <c r="N22" s="260"/>
      <c r="O22" s="260"/>
      <c r="P22" s="260"/>
      <c r="Q22" s="260"/>
      <c r="R22" s="108">
        <f>'1. Standard_Cost'!$B$15*N22*P22</f>
        <v>0</v>
      </c>
      <c r="S22" s="108">
        <f>N22*O22*P22*'1. Standard_Cost'!$C$15</f>
        <v>0</v>
      </c>
      <c r="T22" s="108">
        <f>N22*P22*Q22*'1. Standard_Cost'!$D$15</f>
        <v>0</v>
      </c>
      <c r="U22" s="108">
        <f>N22*O22*'1. Standard_Cost'!$E$15</f>
        <v>0</v>
      </c>
      <c r="V22" s="260"/>
      <c r="W22" s="260"/>
      <c r="X22" s="260"/>
      <c r="Y22" s="108">
        <f>+V22*((X22*'1. Standard_Cost'!$B$19)+(W22*X22*'1. Standard_Cost'!$C$19))</f>
        <v>0</v>
      </c>
      <c r="Z22" s="260"/>
      <c r="AA22" s="260"/>
      <c r="AB22" s="108">
        <f>+Z22*'1. Standard_Cost'!$B$23+AA22*'1. Standard_Cost'!$C$23</f>
        <v>0</v>
      </c>
      <c r="AC22" s="261"/>
      <c r="AD22" s="262"/>
      <c r="AE22" s="108">
        <f>SUM(AD22,AC22,AB22,Y22,U22,T22,S22,R22)*'1. Standard_Cost'!$B$31</f>
        <v>0</v>
      </c>
      <c r="AF22" s="108">
        <f t="shared" si="29"/>
        <v>0</v>
      </c>
      <c r="AG22" s="260"/>
      <c r="AH22" s="260"/>
      <c r="AI22" s="260"/>
      <c r="AJ22" s="263"/>
      <c r="AK22" s="263"/>
      <c r="AL22" s="263"/>
      <c r="AM22" s="108">
        <f>AG22*'1. Standard_Cost'!$B$27+'Incremental_Cost Year 8'!AH22*'1. Standard_Cost'!$C$27+'Incremental_Cost Year 8'!AI22*'1. Standard_Cost'!$D$27+'Incremental_Cost Year 8'!AJ22+'Incremental_Cost Year 8'!AL22+AK22</f>
        <v>0</v>
      </c>
      <c r="AN22" s="108">
        <f>AM22*'1. Standard_Cost'!$C$31</f>
        <v>0</v>
      </c>
      <c r="AO22" s="125" t="s">
        <v>280</v>
      </c>
      <c r="AQ22" s="14">
        <f t="shared" si="24"/>
        <v>0</v>
      </c>
      <c r="AR22" s="14">
        <f t="shared" si="25"/>
        <v>0</v>
      </c>
      <c r="AS22" s="14">
        <f t="shared" si="26"/>
        <v>0</v>
      </c>
      <c r="AT22" s="14">
        <f t="shared" si="33"/>
        <v>0</v>
      </c>
      <c r="AU22" s="234"/>
      <c r="AV22" s="234"/>
      <c r="AW22" s="234"/>
      <c r="AX22" s="234"/>
      <c r="AY22" s="234"/>
      <c r="AZ22" s="234"/>
      <c r="BA22" s="234"/>
      <c r="BB22" s="16">
        <f t="shared" si="27"/>
        <v>0</v>
      </c>
    </row>
    <row r="23" spans="1:54" ht="15.6" outlineLevel="2">
      <c r="A23" s="98"/>
      <c r="B23" s="143"/>
      <c r="C23" s="144"/>
      <c r="D23" s="290"/>
      <c r="E23" s="290"/>
      <c r="F23" s="290"/>
      <c r="G23" s="291"/>
      <c r="H23" s="272"/>
      <c r="I23" s="258"/>
      <c r="J23" s="259"/>
      <c r="K23" s="259"/>
      <c r="L23" s="106" t="str">
        <f>IF(I23&lt;&gt;0,((VLOOKUP(I23,'1. Standard_Cost'!$B$4:$D$11,2)+VLOOKUP(I23,'1. Standard_Cost'!$B$4:$D$11,3))*J23*K23),"0")</f>
        <v>0</v>
      </c>
      <c r="M23" s="106">
        <f>L23*'1. Standard_Cost'!$F$4</f>
        <v>0</v>
      </c>
      <c r="N23" s="260"/>
      <c r="O23" s="260"/>
      <c r="P23" s="260"/>
      <c r="Q23" s="260"/>
      <c r="R23" s="108">
        <f>'1. Standard_Cost'!$B$15*N23*P23</f>
        <v>0</v>
      </c>
      <c r="S23" s="108">
        <f>N23*O23*P23*'1. Standard_Cost'!$C$15</f>
        <v>0</v>
      </c>
      <c r="T23" s="108">
        <f>N23*P23*Q23*'1. Standard_Cost'!$D$15</f>
        <v>0</v>
      </c>
      <c r="U23" s="108">
        <f>N23*O23*'1. Standard_Cost'!$E$15</f>
        <v>0</v>
      </c>
      <c r="V23" s="260"/>
      <c r="W23" s="260"/>
      <c r="X23" s="260"/>
      <c r="Y23" s="108">
        <f>+V23*((X23*'1. Standard_Cost'!$B$19)+(W23*X23*'1. Standard_Cost'!$C$19))</f>
        <v>0</v>
      </c>
      <c r="Z23" s="260"/>
      <c r="AA23" s="260"/>
      <c r="AB23" s="108">
        <f>+Z23*'1. Standard_Cost'!$B$23+AA23*'1. Standard_Cost'!$C$23</f>
        <v>0</v>
      </c>
      <c r="AC23" s="261"/>
      <c r="AD23" s="262"/>
      <c r="AE23" s="108">
        <f>SUM(AD23,AC23,AB23,Y23,U23,T23,S23,R23)*'1. Standard_Cost'!$B$31</f>
        <v>0</v>
      </c>
      <c r="AF23" s="108">
        <f t="shared" si="29"/>
        <v>0</v>
      </c>
      <c r="AG23" s="260"/>
      <c r="AH23" s="260"/>
      <c r="AI23" s="260"/>
      <c r="AJ23" s="263"/>
      <c r="AK23" s="263"/>
      <c r="AL23" s="263"/>
      <c r="AM23" s="108">
        <f>AG23*'1. Standard_Cost'!$B$27+'Incremental_Cost Year 8'!AH23*'1. Standard_Cost'!$C$27+'Incremental_Cost Year 8'!AI23*'1. Standard_Cost'!$D$27+'Incremental_Cost Year 8'!AJ23+'Incremental_Cost Year 8'!AL23+AK23</f>
        <v>0</v>
      </c>
      <c r="AN23" s="108">
        <f>AM23*'1. Standard_Cost'!$C$31</f>
        <v>0</v>
      </c>
      <c r="AO23" s="125" t="s">
        <v>281</v>
      </c>
      <c r="AQ23" s="14">
        <f t="shared" si="24"/>
        <v>0</v>
      </c>
      <c r="AR23" s="14">
        <f t="shared" si="25"/>
        <v>0</v>
      </c>
      <c r="AS23" s="14">
        <f t="shared" si="26"/>
        <v>0</v>
      </c>
      <c r="AT23" s="14">
        <f t="shared" si="33"/>
        <v>0</v>
      </c>
      <c r="AU23" s="234"/>
      <c r="AV23" s="234"/>
      <c r="AW23" s="234"/>
      <c r="AX23" s="234"/>
      <c r="AY23" s="234"/>
      <c r="AZ23" s="234"/>
      <c r="BA23" s="234"/>
      <c r="BB23" s="16">
        <f t="shared" si="27"/>
        <v>0</v>
      </c>
    </row>
    <row r="24" spans="1:54" ht="27.6" outlineLevel="2">
      <c r="A24" s="98"/>
      <c r="B24" s="143"/>
      <c r="C24" s="144"/>
      <c r="D24" s="290"/>
      <c r="E24" s="290"/>
      <c r="F24" s="290"/>
      <c r="G24" s="291"/>
      <c r="H24" s="272"/>
      <c r="I24" s="258"/>
      <c r="J24" s="259"/>
      <c r="K24" s="259"/>
      <c r="L24" s="106" t="str">
        <f>IF(I24&lt;&gt;0,((VLOOKUP(I24,'1. Standard_Cost'!$B$4:$D$11,2)+VLOOKUP(I24,'1. Standard_Cost'!$B$4:$D$11,3))*J24*K24),"0")</f>
        <v>0</v>
      </c>
      <c r="M24" s="106">
        <f>L24*'1. Standard_Cost'!$F$4</f>
        <v>0</v>
      </c>
      <c r="N24" s="260"/>
      <c r="O24" s="260"/>
      <c r="P24" s="260"/>
      <c r="Q24" s="260"/>
      <c r="R24" s="108">
        <f>'1. Standard_Cost'!$B$15*N24*P24</f>
        <v>0</v>
      </c>
      <c r="S24" s="108">
        <f>N24*O24*P24*'1. Standard_Cost'!$C$15</f>
        <v>0</v>
      </c>
      <c r="T24" s="108">
        <f>N24*P24*Q24*'1. Standard_Cost'!$D$15</f>
        <v>0</v>
      </c>
      <c r="U24" s="108">
        <f>N24*O24*'1. Standard_Cost'!$E$15</f>
        <v>0</v>
      </c>
      <c r="V24" s="260"/>
      <c r="W24" s="260"/>
      <c r="X24" s="260"/>
      <c r="Y24" s="108">
        <f>+V24*((X24*'1. Standard_Cost'!$B$19)+(W24*X24*'1. Standard_Cost'!$C$19))</f>
        <v>0</v>
      </c>
      <c r="Z24" s="260"/>
      <c r="AA24" s="260"/>
      <c r="AB24" s="108">
        <f>+Z24*'1. Standard_Cost'!$B$23+AA24*'1. Standard_Cost'!$C$23</f>
        <v>0</v>
      </c>
      <c r="AC24" s="261"/>
      <c r="AD24" s="262"/>
      <c r="AE24" s="108">
        <f>SUM(AD24,AC24,AB24,Y24,U24,T24,S24,R24)*'1. Standard_Cost'!$B$31</f>
        <v>0</v>
      </c>
      <c r="AF24" s="108">
        <f t="shared" si="29"/>
        <v>0</v>
      </c>
      <c r="AG24" s="260"/>
      <c r="AH24" s="260"/>
      <c r="AI24" s="260"/>
      <c r="AJ24" s="263"/>
      <c r="AK24" s="263"/>
      <c r="AL24" s="263"/>
      <c r="AM24" s="108">
        <f>AG24*'1. Standard_Cost'!$B$27+'Incremental_Cost Year 8'!AH24*'1. Standard_Cost'!$C$27+'Incremental_Cost Year 8'!AI24*'1. Standard_Cost'!$D$27+'Incremental_Cost Year 8'!AJ24+'Incremental_Cost Year 8'!AL24+AK24</f>
        <v>0</v>
      </c>
      <c r="AN24" s="108">
        <f>AM24*'1. Standard_Cost'!$C$31</f>
        <v>0</v>
      </c>
      <c r="AO24" s="125" t="s">
        <v>282</v>
      </c>
      <c r="AQ24" s="14">
        <f t="shared" si="24"/>
        <v>0</v>
      </c>
      <c r="AR24" s="14">
        <f t="shared" si="25"/>
        <v>0</v>
      </c>
      <c r="AS24" s="14">
        <f t="shared" si="26"/>
        <v>0</v>
      </c>
      <c r="AT24" s="14">
        <f t="shared" si="33"/>
        <v>0</v>
      </c>
      <c r="AU24" s="234"/>
      <c r="AV24" s="234"/>
      <c r="AW24" s="234"/>
      <c r="AX24" s="234"/>
      <c r="AY24" s="234"/>
      <c r="AZ24" s="234"/>
      <c r="BA24" s="234"/>
      <c r="BB24" s="16">
        <f t="shared" si="27"/>
        <v>0</v>
      </c>
    </row>
    <row r="25" spans="1:54" ht="46.8" outlineLevel="1">
      <c r="A25" s="98"/>
      <c r="B25" s="143"/>
      <c r="C25" s="144"/>
      <c r="D25" s="287" t="s">
        <v>47</v>
      </c>
      <c r="E25" s="287" t="s">
        <v>208</v>
      </c>
      <c r="F25" s="287"/>
      <c r="G25" s="287"/>
      <c r="H25" s="287" t="s">
        <v>50</v>
      </c>
      <c r="I25" s="264"/>
      <c r="J25" s="264"/>
      <c r="K25" s="264"/>
      <c r="L25" s="113">
        <f>SUM(L18:L24)</f>
        <v>0</v>
      </c>
      <c r="M25" s="113">
        <f>SUM(M18:M24)</f>
        <v>0</v>
      </c>
      <c r="N25" s="264"/>
      <c r="O25" s="264"/>
      <c r="P25" s="264"/>
      <c r="Q25" s="264"/>
      <c r="R25" s="113">
        <f t="shared" ref="R25:U25" si="34">SUM(R18:R24)</f>
        <v>0</v>
      </c>
      <c r="S25" s="113">
        <f t="shared" si="34"/>
        <v>0</v>
      </c>
      <c r="T25" s="113">
        <f t="shared" si="34"/>
        <v>0</v>
      </c>
      <c r="U25" s="113">
        <f t="shared" si="34"/>
        <v>0</v>
      </c>
      <c r="V25" s="264"/>
      <c r="W25" s="264"/>
      <c r="X25" s="264"/>
      <c r="Y25" s="113">
        <f>SUM(Y18:Y24)</f>
        <v>0</v>
      </c>
      <c r="Z25" s="264"/>
      <c r="AA25" s="264"/>
      <c r="AB25" s="113">
        <f t="shared" ref="AB25:AF25" si="35">SUM(AB18:AB24)</f>
        <v>0</v>
      </c>
      <c r="AC25" s="265">
        <f t="shared" si="35"/>
        <v>0</v>
      </c>
      <c r="AD25" s="265">
        <f t="shared" si="35"/>
        <v>0</v>
      </c>
      <c r="AE25" s="113">
        <f t="shared" si="35"/>
        <v>0</v>
      </c>
      <c r="AF25" s="113">
        <f t="shared" si="35"/>
        <v>0</v>
      </c>
      <c r="AG25" s="264"/>
      <c r="AH25" s="264"/>
      <c r="AI25" s="264"/>
      <c r="AJ25" s="265">
        <f t="shared" ref="AJ25:AL25" si="36">SUM(AJ18:AJ24)</f>
        <v>0</v>
      </c>
      <c r="AK25" s="265">
        <f t="shared" si="36"/>
        <v>0</v>
      </c>
      <c r="AL25" s="265">
        <f t="shared" si="36"/>
        <v>0</v>
      </c>
      <c r="AM25" s="113">
        <f t="shared" ref="AM25:AN25" si="37">SUM(AM18:AM24)</f>
        <v>0</v>
      </c>
      <c r="AN25" s="113">
        <f t="shared" si="37"/>
        <v>0</v>
      </c>
      <c r="AO25" s="131"/>
      <c r="AP25" s="17"/>
      <c r="AQ25" s="113">
        <f t="shared" ref="AQ25:BB25" si="38">SUM(AQ18:AQ24)</f>
        <v>0</v>
      </c>
      <c r="AR25" s="113">
        <f t="shared" si="38"/>
        <v>0</v>
      </c>
      <c r="AS25" s="113">
        <f t="shared" si="38"/>
        <v>0</v>
      </c>
      <c r="AT25" s="113">
        <f t="shared" si="38"/>
        <v>0</v>
      </c>
      <c r="AU25" s="265">
        <f t="shared" si="38"/>
        <v>0</v>
      </c>
      <c r="AV25" s="265">
        <f t="shared" si="38"/>
        <v>0</v>
      </c>
      <c r="AW25" s="265">
        <f t="shared" si="38"/>
        <v>0</v>
      </c>
      <c r="AX25" s="265">
        <f t="shared" si="38"/>
        <v>0</v>
      </c>
      <c r="AY25" s="265">
        <f t="shared" si="38"/>
        <v>0</v>
      </c>
      <c r="AZ25" s="265">
        <f t="shared" si="38"/>
        <v>0</v>
      </c>
      <c r="BA25" s="265">
        <f t="shared" si="38"/>
        <v>0</v>
      </c>
      <c r="BB25" s="113">
        <f t="shared" si="38"/>
        <v>0</v>
      </c>
    </row>
    <row r="26" spans="1:54" ht="27.6" outlineLevel="2">
      <c r="A26" s="98"/>
      <c r="B26" s="143"/>
      <c r="C26" s="144"/>
      <c r="D26" s="149"/>
      <c r="E26" s="149"/>
      <c r="F26" s="288"/>
      <c r="G26" s="289"/>
      <c r="H26" s="272"/>
      <c r="I26" s="258"/>
      <c r="J26" s="259"/>
      <c r="K26" s="259"/>
      <c r="L26" s="106" t="str">
        <f>IF(I26&lt;&gt;0,((VLOOKUP(I26,'1. Standard_Cost'!$B$4:$D$11,2)+VLOOKUP(I26,'1. Standard_Cost'!$B$4:$D$11,3))*J26*K26),"0")</f>
        <v>0</v>
      </c>
      <c r="M26" s="106">
        <f>L26*'1. Standard_Cost'!$F$4</f>
        <v>0</v>
      </c>
      <c r="N26" s="260">
        <v>0</v>
      </c>
      <c r="O26" s="260">
        <v>0</v>
      </c>
      <c r="P26" s="260">
        <v>0</v>
      </c>
      <c r="Q26" s="260"/>
      <c r="R26" s="108">
        <f>'1. Standard_Cost'!$B$15*N26*P26</f>
        <v>0</v>
      </c>
      <c r="S26" s="108">
        <f>N26*O26*P26*'1. Standard_Cost'!$C$15</f>
        <v>0</v>
      </c>
      <c r="T26" s="108">
        <f>N26*P26*Q26*'1. Standard_Cost'!$D$15</f>
        <v>0</v>
      </c>
      <c r="U26" s="108">
        <f>N26*O26*'1. Standard_Cost'!$E$15</f>
        <v>0</v>
      </c>
      <c r="V26" s="260"/>
      <c r="W26" s="260"/>
      <c r="X26" s="260"/>
      <c r="Y26" s="108">
        <f>+V26*((X26*'1. Standard_Cost'!$B$19)+(W26*X26*'1. Standard_Cost'!$C$19))</f>
        <v>0</v>
      </c>
      <c r="Z26" s="260"/>
      <c r="AA26" s="260"/>
      <c r="AB26" s="108">
        <f>+Z26*'1. Standard_Cost'!$B$23+AA26*'1. Standard_Cost'!$C$23</f>
        <v>0</v>
      </c>
      <c r="AC26" s="261"/>
      <c r="AD26" s="262"/>
      <c r="AE26" s="108">
        <f>SUM(AD26,AC26,AB26,Y26,U26,T26,S26,R26)*'1. Standard_Cost'!$B$31</f>
        <v>0</v>
      </c>
      <c r="AF26" s="108">
        <f t="shared" ref="AF26:AF29" si="39">SUM(AE26,AD26,AC26,AB26,Y26,U26,T26,S26,R26)</f>
        <v>0</v>
      </c>
      <c r="AG26" s="260"/>
      <c r="AH26" s="260"/>
      <c r="AI26" s="260"/>
      <c r="AJ26" s="263"/>
      <c r="AK26" s="263"/>
      <c r="AL26" s="263"/>
      <c r="AM26" s="108">
        <f>AG26*'1. Standard_Cost'!$B$27+'Incremental_Cost Year 8'!AH26*'1. Standard_Cost'!$C$27+'Incremental_Cost Year 8'!AI26*'1. Standard_Cost'!$D$27+'Incremental_Cost Year 8'!AJ26+'Incremental_Cost Year 8'!AL26+AK26</f>
        <v>0</v>
      </c>
      <c r="AN26" s="108">
        <f>AM26*'1. Standard_Cost'!$C$31</f>
        <v>0</v>
      </c>
      <c r="AO26" s="125" t="s">
        <v>283</v>
      </c>
      <c r="AQ26" s="14">
        <f>L26+M26</f>
        <v>0</v>
      </c>
      <c r="AR26" s="14">
        <f t="shared" ref="AR26:AR29" si="40">AF26</f>
        <v>0</v>
      </c>
      <c r="AS26" s="14">
        <f t="shared" ref="AS26:AS29" si="41">AM26+AN26</f>
        <v>0</v>
      </c>
      <c r="AT26" s="14">
        <f>SUM(AQ26,AR26,AS26)</f>
        <v>0</v>
      </c>
      <c r="AU26" s="234"/>
      <c r="AV26" s="234"/>
      <c r="AW26" s="234"/>
      <c r="AX26" s="234"/>
      <c r="AY26" s="234"/>
      <c r="AZ26" s="234"/>
      <c r="BA26" s="234"/>
      <c r="BB26" s="16">
        <f>SUM(AU26:BA26)-AT26</f>
        <v>0</v>
      </c>
    </row>
    <row r="27" spans="1:54" ht="27.6" outlineLevel="2">
      <c r="A27" s="98"/>
      <c r="B27" s="143"/>
      <c r="C27" s="144"/>
      <c r="D27" s="290"/>
      <c r="E27" s="290"/>
      <c r="F27" s="290"/>
      <c r="G27" s="291"/>
      <c r="H27" s="272"/>
      <c r="I27" s="258"/>
      <c r="J27" s="259"/>
      <c r="K27" s="259"/>
      <c r="L27" s="106" t="str">
        <f>IF(I27&lt;&gt;0,((VLOOKUP(I27,'1. Standard_Cost'!$B$4:$D$11,2)+VLOOKUP(I27,'1. Standard_Cost'!$B$4:$D$11,3))*J27*K27),"0")</f>
        <v>0</v>
      </c>
      <c r="M27" s="106">
        <f>L27*'1. Standard_Cost'!$F$4</f>
        <v>0</v>
      </c>
      <c r="N27" s="260"/>
      <c r="O27" s="260"/>
      <c r="P27" s="260"/>
      <c r="Q27" s="260"/>
      <c r="R27" s="108">
        <f>'1. Standard_Cost'!$B$15*N27*P27</f>
        <v>0</v>
      </c>
      <c r="S27" s="108">
        <f>N27*O27*P27*'1. Standard_Cost'!$C$15</f>
        <v>0</v>
      </c>
      <c r="T27" s="108">
        <f>N27*P27*Q27*'1. Standard_Cost'!$D$15</f>
        <v>0</v>
      </c>
      <c r="U27" s="108">
        <f>N27*O27*'1. Standard_Cost'!$E$15</f>
        <v>0</v>
      </c>
      <c r="V27" s="260"/>
      <c r="W27" s="260"/>
      <c r="X27" s="260"/>
      <c r="Y27" s="108">
        <f>+V27*((X27*'1. Standard_Cost'!$B$19)+(W27*X27*'1. Standard_Cost'!$C$19))</f>
        <v>0</v>
      </c>
      <c r="Z27" s="260"/>
      <c r="AA27" s="260"/>
      <c r="AB27" s="108">
        <f>+Z27*'1. Standard_Cost'!$B$23+AA27*'1. Standard_Cost'!$C$23</f>
        <v>0</v>
      </c>
      <c r="AC27" s="261"/>
      <c r="AD27" s="262"/>
      <c r="AE27" s="108">
        <f>SUM(AD27,AC27,AB27,Y27,U27,T27,S27,R27)*'1. Standard_Cost'!$B$31</f>
        <v>0</v>
      </c>
      <c r="AF27" s="108">
        <f t="shared" si="39"/>
        <v>0</v>
      </c>
      <c r="AG27" s="260"/>
      <c r="AH27" s="260"/>
      <c r="AI27" s="260"/>
      <c r="AJ27" s="263"/>
      <c r="AK27" s="263"/>
      <c r="AL27" s="263"/>
      <c r="AM27" s="108">
        <f>AG27*'1. Standard_Cost'!$B$27+'Incremental_Cost Year 8'!AH27*'1. Standard_Cost'!$C$27+'Incremental_Cost Year 8'!AI27*'1. Standard_Cost'!$D$27+'Incremental_Cost Year 8'!AJ27+'Incremental_Cost Year 8'!AL27+AK27</f>
        <v>0</v>
      </c>
      <c r="AN27" s="108">
        <f>AM27*'1. Standard_Cost'!$C$31</f>
        <v>0</v>
      </c>
      <c r="AO27" s="125" t="s">
        <v>284</v>
      </c>
      <c r="AQ27" s="14">
        <f t="shared" ref="AQ27:AQ29" si="42">L27+M27</f>
        <v>0</v>
      </c>
      <c r="AR27" s="14">
        <f t="shared" si="40"/>
        <v>0</v>
      </c>
      <c r="AS27" s="14">
        <f t="shared" si="41"/>
        <v>0</v>
      </c>
      <c r="AT27" s="14">
        <f t="shared" ref="AT27:AT29" si="43">SUM(AQ27,AR27,AS27)</f>
        <v>0</v>
      </c>
      <c r="AU27" s="234"/>
      <c r="AV27" s="234"/>
      <c r="AW27" s="234"/>
      <c r="AX27" s="234"/>
      <c r="AY27" s="234"/>
      <c r="AZ27" s="234"/>
      <c r="BA27" s="234"/>
      <c r="BB27" s="16">
        <f t="shared" ref="BB27:BB29" si="44">SUM(AU27:BA27)-AT27</f>
        <v>0</v>
      </c>
    </row>
    <row r="28" spans="1:54" ht="15.6" outlineLevel="2">
      <c r="A28" s="98"/>
      <c r="B28" s="143"/>
      <c r="C28" s="144"/>
      <c r="D28" s="290"/>
      <c r="E28" s="290"/>
      <c r="F28" s="290"/>
      <c r="G28" s="291"/>
      <c r="H28" s="272"/>
      <c r="I28" s="258"/>
      <c r="J28" s="259"/>
      <c r="K28" s="259"/>
      <c r="L28" s="106" t="str">
        <f>IF(I28&lt;&gt;0,((VLOOKUP(I28,'1. Standard_Cost'!$B$4:$D$11,2)+VLOOKUP(I28,'1. Standard_Cost'!$B$4:$D$11,3))*J28*K28),"0")</f>
        <v>0</v>
      </c>
      <c r="M28" s="106">
        <f>L28*'1. Standard_Cost'!$F$4</f>
        <v>0</v>
      </c>
      <c r="N28" s="260"/>
      <c r="O28" s="260"/>
      <c r="P28" s="260"/>
      <c r="Q28" s="260"/>
      <c r="R28" s="108">
        <f>'1. Standard_Cost'!$B$15*N28*P28</f>
        <v>0</v>
      </c>
      <c r="S28" s="108">
        <f>N28*O28*P28*'1. Standard_Cost'!$C$15</f>
        <v>0</v>
      </c>
      <c r="T28" s="108">
        <f>N28*P28*Q28*'1. Standard_Cost'!$D$15</f>
        <v>0</v>
      </c>
      <c r="U28" s="108">
        <f>N28*O28*'1. Standard_Cost'!$E$15</f>
        <v>0</v>
      </c>
      <c r="V28" s="260"/>
      <c r="W28" s="260"/>
      <c r="X28" s="260"/>
      <c r="Y28" s="108">
        <f>+V28*((X28*'1. Standard_Cost'!$B$19)+(W28*X28*'1. Standard_Cost'!$C$19))</f>
        <v>0</v>
      </c>
      <c r="Z28" s="260"/>
      <c r="AA28" s="260"/>
      <c r="AB28" s="108">
        <f>+Z28*'1. Standard_Cost'!$B$23+AA28*'1. Standard_Cost'!$C$23</f>
        <v>0</v>
      </c>
      <c r="AC28" s="261"/>
      <c r="AD28" s="262"/>
      <c r="AE28" s="108">
        <f>SUM(AD28,AC28,AB28,Y28,U28,T28,S28,R28)*'1. Standard_Cost'!$B$31</f>
        <v>0</v>
      </c>
      <c r="AF28" s="108">
        <f t="shared" si="39"/>
        <v>0</v>
      </c>
      <c r="AG28" s="260"/>
      <c r="AH28" s="260"/>
      <c r="AI28" s="260"/>
      <c r="AJ28" s="263"/>
      <c r="AK28" s="263"/>
      <c r="AL28" s="263"/>
      <c r="AM28" s="108">
        <f>AG28*'1. Standard_Cost'!$B$27+'Incremental_Cost Year 8'!AH28*'1. Standard_Cost'!$C$27+'Incremental_Cost Year 8'!AI28*'1. Standard_Cost'!$D$27+'Incremental_Cost Year 8'!AJ28+'Incremental_Cost Year 8'!AL28+AK28</f>
        <v>0</v>
      </c>
      <c r="AN28" s="108">
        <f>AM28*'1. Standard_Cost'!$C$31</f>
        <v>0</v>
      </c>
      <c r="AO28" s="125" t="s">
        <v>285</v>
      </c>
      <c r="AQ28" s="14">
        <f t="shared" si="42"/>
        <v>0</v>
      </c>
      <c r="AR28" s="14">
        <f t="shared" si="40"/>
        <v>0</v>
      </c>
      <c r="AS28" s="14">
        <f t="shared" si="41"/>
        <v>0</v>
      </c>
      <c r="AT28" s="14">
        <f t="shared" si="43"/>
        <v>0</v>
      </c>
      <c r="AU28" s="234"/>
      <c r="AV28" s="234"/>
      <c r="AW28" s="234"/>
      <c r="AX28" s="234"/>
      <c r="AY28" s="234"/>
      <c r="AZ28" s="234"/>
      <c r="BA28" s="234"/>
      <c r="BB28" s="16">
        <f t="shared" si="44"/>
        <v>0</v>
      </c>
    </row>
    <row r="29" spans="1:54" ht="27.6" outlineLevel="2">
      <c r="A29" s="98"/>
      <c r="B29" s="143"/>
      <c r="C29" s="144"/>
      <c r="D29" s="290"/>
      <c r="E29" s="290"/>
      <c r="F29" s="290"/>
      <c r="G29" s="291"/>
      <c r="H29" s="272"/>
      <c r="I29" s="258"/>
      <c r="J29" s="259"/>
      <c r="K29" s="259"/>
      <c r="L29" s="106" t="str">
        <f>IF(I29&lt;&gt;0,((VLOOKUP(I29,'1. Standard_Cost'!$B$4:$D$11,2)+VLOOKUP(I29,'1. Standard_Cost'!$B$4:$D$11,3))*J29*K29),"0")</f>
        <v>0</v>
      </c>
      <c r="M29" s="106">
        <f>L29*'1. Standard_Cost'!$F$4</f>
        <v>0</v>
      </c>
      <c r="N29" s="260"/>
      <c r="O29" s="260"/>
      <c r="P29" s="260"/>
      <c r="Q29" s="260"/>
      <c r="R29" s="108">
        <f>'1. Standard_Cost'!$B$15*N29*P29</f>
        <v>0</v>
      </c>
      <c r="S29" s="108">
        <f>N29*O29*P29*'1. Standard_Cost'!$C$15</f>
        <v>0</v>
      </c>
      <c r="T29" s="108">
        <f>N29*P29*Q29*'1. Standard_Cost'!$D$15</f>
        <v>0</v>
      </c>
      <c r="U29" s="108">
        <f>N29*O29*'1. Standard_Cost'!$E$15</f>
        <v>0</v>
      </c>
      <c r="V29" s="260"/>
      <c r="W29" s="260"/>
      <c r="X29" s="260"/>
      <c r="Y29" s="108">
        <f>+V29*((X29*'1. Standard_Cost'!$B$19)+(W29*X29*'1. Standard_Cost'!$C$19))</f>
        <v>0</v>
      </c>
      <c r="Z29" s="260"/>
      <c r="AA29" s="260"/>
      <c r="AB29" s="108">
        <f>+Z29*'1. Standard_Cost'!$B$23+AA29*'1. Standard_Cost'!$C$23</f>
        <v>0</v>
      </c>
      <c r="AC29" s="261"/>
      <c r="AD29" s="262"/>
      <c r="AE29" s="108">
        <f>SUM(AD29,AC29,AB29,Y29,U29,T29,S29,R29)*'1. Standard_Cost'!$B$31</f>
        <v>0</v>
      </c>
      <c r="AF29" s="108">
        <f t="shared" si="39"/>
        <v>0</v>
      </c>
      <c r="AG29" s="260"/>
      <c r="AH29" s="260"/>
      <c r="AI29" s="260"/>
      <c r="AJ29" s="263"/>
      <c r="AK29" s="263"/>
      <c r="AL29" s="263"/>
      <c r="AM29" s="108">
        <f>AG29*'1. Standard_Cost'!$B$27+'Incremental_Cost Year 8'!AH29*'1. Standard_Cost'!$C$27+'Incremental_Cost Year 8'!AI29*'1. Standard_Cost'!$D$27+'Incremental_Cost Year 8'!AJ29+'Incremental_Cost Year 8'!AL29+AK29</f>
        <v>0</v>
      </c>
      <c r="AN29" s="108">
        <f>AM29*'1. Standard_Cost'!$C$31</f>
        <v>0</v>
      </c>
      <c r="AO29" s="125" t="s">
        <v>286</v>
      </c>
      <c r="AQ29" s="14">
        <f t="shared" si="42"/>
        <v>0</v>
      </c>
      <c r="AR29" s="14">
        <f t="shared" si="40"/>
        <v>0</v>
      </c>
      <c r="AS29" s="14">
        <f t="shared" si="41"/>
        <v>0</v>
      </c>
      <c r="AT29" s="14">
        <f t="shared" si="43"/>
        <v>0</v>
      </c>
      <c r="AU29" s="234"/>
      <c r="AV29" s="234"/>
      <c r="AW29" s="234"/>
      <c r="AX29" s="234"/>
      <c r="AY29" s="234"/>
      <c r="AZ29" s="234"/>
      <c r="BA29" s="234"/>
      <c r="BB29" s="16">
        <f t="shared" si="44"/>
        <v>0</v>
      </c>
    </row>
    <row r="30" spans="1:54" ht="46.8" outlineLevel="1">
      <c r="A30" s="98"/>
      <c r="B30" s="143"/>
      <c r="C30" s="144"/>
      <c r="D30" s="287" t="s">
        <v>47</v>
      </c>
      <c r="E30" s="287" t="s">
        <v>209</v>
      </c>
      <c r="F30" s="287">
        <v>2021</v>
      </c>
      <c r="G30" s="287">
        <v>2026</v>
      </c>
      <c r="H30" s="287" t="s">
        <v>191</v>
      </c>
      <c r="I30" s="264"/>
      <c r="J30" s="264"/>
      <c r="K30" s="264"/>
      <c r="L30" s="113">
        <f>SUM(L26:L29)</f>
        <v>0</v>
      </c>
      <c r="M30" s="113">
        <f>SUM(M26:M29)</f>
        <v>0</v>
      </c>
      <c r="N30" s="264"/>
      <c r="O30" s="264"/>
      <c r="P30" s="264"/>
      <c r="Q30" s="264"/>
      <c r="R30" s="113">
        <f t="shared" ref="R30:U30" si="45">SUM(R26:R29)</f>
        <v>0</v>
      </c>
      <c r="S30" s="113">
        <f t="shared" si="45"/>
        <v>0</v>
      </c>
      <c r="T30" s="113">
        <f t="shared" si="45"/>
        <v>0</v>
      </c>
      <c r="U30" s="113">
        <f t="shared" si="45"/>
        <v>0</v>
      </c>
      <c r="V30" s="264"/>
      <c r="W30" s="264"/>
      <c r="X30" s="264"/>
      <c r="Y30" s="113">
        <f>SUM(Y26:Y29)</f>
        <v>0</v>
      </c>
      <c r="Z30" s="264"/>
      <c r="AA30" s="264"/>
      <c r="AB30" s="113">
        <f t="shared" ref="AB30:AF30" si="46">SUM(AB26:AB29)</f>
        <v>0</v>
      </c>
      <c r="AC30" s="265">
        <f t="shared" si="46"/>
        <v>0</v>
      </c>
      <c r="AD30" s="265">
        <f t="shared" si="46"/>
        <v>0</v>
      </c>
      <c r="AE30" s="113">
        <f t="shared" si="46"/>
        <v>0</v>
      </c>
      <c r="AF30" s="113">
        <f t="shared" si="46"/>
        <v>0</v>
      </c>
      <c r="AG30" s="264"/>
      <c r="AH30" s="264"/>
      <c r="AI30" s="264"/>
      <c r="AJ30" s="265">
        <f t="shared" ref="AJ30:AL30" si="47">SUM(AJ26:AJ29)</f>
        <v>0</v>
      </c>
      <c r="AK30" s="265">
        <f t="shared" si="47"/>
        <v>0</v>
      </c>
      <c r="AL30" s="265">
        <f t="shared" si="47"/>
        <v>0</v>
      </c>
      <c r="AM30" s="113">
        <f t="shared" ref="AM30:AN30" si="48">SUM(AM26:AM29)</f>
        <v>0</v>
      </c>
      <c r="AN30" s="113">
        <f t="shared" si="48"/>
        <v>0</v>
      </c>
      <c r="AO30" s="131"/>
      <c r="AP30" s="17"/>
      <c r="AQ30" s="113">
        <f t="shared" ref="AQ30:BB30" si="49">SUM(AQ26:AQ29)</f>
        <v>0</v>
      </c>
      <c r="AR30" s="113">
        <f t="shared" si="49"/>
        <v>0</v>
      </c>
      <c r="AS30" s="113">
        <f t="shared" si="49"/>
        <v>0</v>
      </c>
      <c r="AT30" s="113">
        <f t="shared" si="49"/>
        <v>0</v>
      </c>
      <c r="AU30" s="265">
        <f t="shared" si="49"/>
        <v>0</v>
      </c>
      <c r="AV30" s="265">
        <f t="shared" si="49"/>
        <v>0</v>
      </c>
      <c r="AW30" s="265">
        <f t="shared" si="49"/>
        <v>0</v>
      </c>
      <c r="AX30" s="265">
        <f t="shared" si="49"/>
        <v>0</v>
      </c>
      <c r="AY30" s="265">
        <f t="shared" si="49"/>
        <v>0</v>
      </c>
      <c r="AZ30" s="265">
        <f t="shared" si="49"/>
        <v>0</v>
      </c>
      <c r="BA30" s="265">
        <f t="shared" si="49"/>
        <v>0</v>
      </c>
      <c r="BB30" s="113">
        <f t="shared" si="49"/>
        <v>0</v>
      </c>
    </row>
    <row r="31" spans="1:54" s="13" customFormat="1" ht="15.6" customHeight="1">
      <c r="A31" s="101"/>
      <c r="B31" s="319" t="s">
        <v>211</v>
      </c>
      <c r="C31" s="320"/>
      <c r="D31" s="320"/>
      <c r="E31" s="321"/>
      <c r="F31" s="292"/>
      <c r="G31" s="292"/>
      <c r="H31" s="292" t="s">
        <v>63</v>
      </c>
      <c r="I31" s="242"/>
      <c r="J31" s="242"/>
      <c r="K31" s="242"/>
      <c r="L31" s="41">
        <f>SUM(L32,L40,L80)</f>
        <v>0</v>
      </c>
      <c r="M31" s="41">
        <f>SUM(M32,M40,M80)</f>
        <v>0</v>
      </c>
      <c r="N31" s="242"/>
      <c r="O31" s="242"/>
      <c r="P31" s="242"/>
      <c r="Q31" s="242"/>
      <c r="R31" s="41">
        <f t="shared" ref="R31:U31" si="50">SUM(R32,R40,R80)</f>
        <v>0</v>
      </c>
      <c r="S31" s="41">
        <f t="shared" si="50"/>
        <v>0</v>
      </c>
      <c r="T31" s="41">
        <f t="shared" si="50"/>
        <v>0</v>
      </c>
      <c r="U31" s="41">
        <f t="shared" si="50"/>
        <v>0</v>
      </c>
      <c r="V31" s="242"/>
      <c r="W31" s="242"/>
      <c r="X31" s="242"/>
      <c r="Y31" s="41">
        <f>SUM(Y32,Y40,Y80)</f>
        <v>0</v>
      </c>
      <c r="Z31" s="242"/>
      <c r="AA31" s="242"/>
      <c r="AB31" s="41">
        <f t="shared" ref="AB31:AF31" si="51">SUM(AB32,AB40,AB80)</f>
        <v>0</v>
      </c>
      <c r="AC31" s="243">
        <f t="shared" si="51"/>
        <v>0</v>
      </c>
      <c r="AD31" s="243">
        <f t="shared" si="51"/>
        <v>0</v>
      </c>
      <c r="AE31" s="41">
        <f t="shared" si="51"/>
        <v>0</v>
      </c>
      <c r="AF31" s="41">
        <f t="shared" si="51"/>
        <v>0</v>
      </c>
      <c r="AG31" s="243"/>
      <c r="AH31" s="243"/>
      <c r="AI31" s="243"/>
      <c r="AJ31" s="243">
        <f t="shared" ref="AJ31:AL31" si="52">SUM(AJ32,AJ40,AJ80)</f>
        <v>0</v>
      </c>
      <c r="AK31" s="243">
        <f t="shared" si="52"/>
        <v>0</v>
      </c>
      <c r="AL31" s="243">
        <f t="shared" si="52"/>
        <v>0</v>
      </c>
      <c r="AM31" s="41">
        <f t="shared" ref="AM31:AN31" si="53">SUM(AM32,AM40,AM80)</f>
        <v>0</v>
      </c>
      <c r="AN31" s="41">
        <f t="shared" si="53"/>
        <v>0</v>
      </c>
      <c r="AO31" s="129"/>
      <c r="AQ31" s="41">
        <f t="shared" ref="AQ31:BB31" si="54">SUM(AQ32,AQ40,AQ80)</f>
        <v>0</v>
      </c>
      <c r="AR31" s="41">
        <f t="shared" si="54"/>
        <v>0</v>
      </c>
      <c r="AS31" s="41">
        <f t="shared" si="54"/>
        <v>0</v>
      </c>
      <c r="AT31" s="41">
        <f t="shared" si="54"/>
        <v>0</v>
      </c>
      <c r="AU31" s="243">
        <f t="shared" si="54"/>
        <v>0</v>
      </c>
      <c r="AV31" s="243">
        <f t="shared" si="54"/>
        <v>0</v>
      </c>
      <c r="AW31" s="243">
        <f t="shared" si="54"/>
        <v>0</v>
      </c>
      <c r="AX31" s="243">
        <f t="shared" si="54"/>
        <v>0</v>
      </c>
      <c r="AY31" s="243">
        <f t="shared" si="54"/>
        <v>0</v>
      </c>
      <c r="AZ31" s="243">
        <f t="shared" si="54"/>
        <v>0</v>
      </c>
      <c r="BA31" s="243">
        <f t="shared" si="54"/>
        <v>0</v>
      </c>
      <c r="BB31" s="41">
        <f t="shared" si="54"/>
        <v>0</v>
      </c>
    </row>
    <row r="32" spans="1:54" s="13" customFormat="1" ht="15.6" customHeight="1">
      <c r="A32" s="101"/>
      <c r="B32" s="155"/>
      <c r="C32" s="322" t="s">
        <v>210</v>
      </c>
      <c r="D32" s="322"/>
      <c r="E32" s="323"/>
      <c r="F32" s="299"/>
      <c r="G32" s="299"/>
      <c r="H32" s="293" t="s">
        <v>181</v>
      </c>
      <c r="I32" s="240"/>
      <c r="J32" s="240"/>
      <c r="K32" s="240"/>
      <c r="L32" s="42">
        <f>SUM(L39)</f>
        <v>0</v>
      </c>
      <c r="M32" s="42">
        <f>SUM(M39)</f>
        <v>0</v>
      </c>
      <c r="N32" s="244"/>
      <c r="O32" s="244"/>
      <c r="P32" s="244"/>
      <c r="Q32" s="244"/>
      <c r="R32" s="42">
        <f t="shared" ref="R32:U32" si="55">SUM(R39)</f>
        <v>0</v>
      </c>
      <c r="S32" s="42">
        <f t="shared" si="55"/>
        <v>0</v>
      </c>
      <c r="T32" s="42">
        <f t="shared" si="55"/>
        <v>0</v>
      </c>
      <c r="U32" s="42">
        <f t="shared" si="55"/>
        <v>0</v>
      </c>
      <c r="V32" s="244"/>
      <c r="W32" s="244"/>
      <c r="X32" s="244"/>
      <c r="Y32" s="42">
        <f>SUM(Y39)</f>
        <v>0</v>
      </c>
      <c r="Z32" s="244"/>
      <c r="AA32" s="244"/>
      <c r="AB32" s="42">
        <f t="shared" ref="AB32:AF32" si="56">SUM(AB39)</f>
        <v>0</v>
      </c>
      <c r="AC32" s="244">
        <f t="shared" ref="AC32:AD32" si="57">SUM(AC39)</f>
        <v>0</v>
      </c>
      <c r="AD32" s="244">
        <f t="shared" si="57"/>
        <v>0</v>
      </c>
      <c r="AE32" s="42">
        <f t="shared" si="56"/>
        <v>0</v>
      </c>
      <c r="AF32" s="42">
        <f t="shared" si="56"/>
        <v>0</v>
      </c>
      <c r="AG32" s="244"/>
      <c r="AH32" s="244"/>
      <c r="AI32" s="244"/>
      <c r="AJ32" s="244">
        <f t="shared" ref="AJ32:AL32" si="58">SUM(AJ39)</f>
        <v>0</v>
      </c>
      <c r="AK32" s="244">
        <f t="shared" si="58"/>
        <v>0</v>
      </c>
      <c r="AL32" s="244">
        <f t="shared" si="58"/>
        <v>0</v>
      </c>
      <c r="AM32" s="42">
        <f t="shared" ref="AM32:AN32" si="59">SUM(AM39)</f>
        <v>0</v>
      </c>
      <c r="AN32" s="42">
        <f t="shared" si="59"/>
        <v>0</v>
      </c>
      <c r="AO32" s="130"/>
      <c r="AP32" s="83"/>
      <c r="AQ32" s="42">
        <f t="shared" ref="AQ32:BB32" si="60">SUM(AQ39)</f>
        <v>0</v>
      </c>
      <c r="AR32" s="42">
        <f t="shared" si="60"/>
        <v>0</v>
      </c>
      <c r="AS32" s="42">
        <f t="shared" si="60"/>
        <v>0</v>
      </c>
      <c r="AT32" s="42">
        <f t="shared" si="60"/>
        <v>0</v>
      </c>
      <c r="AU32" s="244">
        <f t="shared" ref="AU32:BA32" si="61">SUM(AU39)</f>
        <v>0</v>
      </c>
      <c r="AV32" s="244">
        <f t="shared" si="61"/>
        <v>0</v>
      </c>
      <c r="AW32" s="244">
        <f t="shared" si="61"/>
        <v>0</v>
      </c>
      <c r="AX32" s="244">
        <f t="shared" si="61"/>
        <v>0</v>
      </c>
      <c r="AY32" s="244">
        <f t="shared" si="61"/>
        <v>0</v>
      </c>
      <c r="AZ32" s="244">
        <f t="shared" si="61"/>
        <v>0</v>
      </c>
      <c r="BA32" s="244">
        <f t="shared" si="61"/>
        <v>0</v>
      </c>
      <c r="BB32" s="42">
        <f t="shared" si="60"/>
        <v>0</v>
      </c>
    </row>
    <row r="33" spans="1:54" ht="41.4" outlineLevel="2">
      <c r="A33" s="98"/>
      <c r="B33" s="143"/>
      <c r="C33" s="144"/>
      <c r="D33" s="149"/>
      <c r="E33" s="149"/>
      <c r="F33" s="288"/>
      <c r="G33" s="289"/>
      <c r="H33" s="272"/>
      <c r="I33" s="280"/>
      <c r="J33" s="281"/>
      <c r="K33" s="281"/>
      <c r="L33" s="106" t="str">
        <f>IF(I33&lt;&gt;0,((VLOOKUP(I33,'1. Standard_Cost'!$B$4:$D$11,2)+VLOOKUP(I33,'1. Standard_Cost'!$B$4:$D$11,3))*J33*K33),"0")</f>
        <v>0</v>
      </c>
      <c r="M33" s="106">
        <f>L33*'1. Standard_Cost'!$F$4</f>
        <v>0</v>
      </c>
      <c r="N33" s="260"/>
      <c r="O33" s="260"/>
      <c r="P33" s="260"/>
      <c r="Q33" s="260"/>
      <c r="R33" s="108">
        <f>'1. Standard_Cost'!$B$15*N33*P33</f>
        <v>0</v>
      </c>
      <c r="S33" s="108">
        <f>N33*O33*P33*'1. Standard_Cost'!$C$15</f>
        <v>0</v>
      </c>
      <c r="T33" s="108">
        <f>N33*P33*Q33*'1. Standard_Cost'!$D$15</f>
        <v>0</v>
      </c>
      <c r="U33" s="108">
        <f>N33*O33*'1. Standard_Cost'!$E$15</f>
        <v>0</v>
      </c>
      <c r="V33" s="260"/>
      <c r="W33" s="260"/>
      <c r="X33" s="260"/>
      <c r="Y33" s="108">
        <f>+V33*((X33*'1. Standard_Cost'!$B$19)+(W33*X33*'1. Standard_Cost'!$C$19))</f>
        <v>0</v>
      </c>
      <c r="Z33" s="260"/>
      <c r="AA33" s="260"/>
      <c r="AB33" s="108">
        <f>+Z33*'1. Standard_Cost'!$B$23+AA33*'1. Standard_Cost'!$C$23</f>
        <v>0</v>
      </c>
      <c r="AC33" s="261"/>
      <c r="AD33" s="262"/>
      <c r="AE33" s="108">
        <f>SUM(AD33,AC33,AB33,Y33,U33,T33,S33,R33)*'1. Standard_Cost'!$B$31</f>
        <v>0</v>
      </c>
      <c r="AF33" s="108">
        <f t="shared" ref="AF33:AF38" si="62">SUM(AE33,AD33,AC33,AB33,Y33,U33,T33,S33,R33)</f>
        <v>0</v>
      </c>
      <c r="AG33" s="260"/>
      <c r="AH33" s="260"/>
      <c r="AI33" s="260"/>
      <c r="AJ33" s="263"/>
      <c r="AK33" s="263"/>
      <c r="AL33" s="263"/>
      <c r="AM33" s="108">
        <f>AG33*'1. Standard_Cost'!$B$27+'Incremental_Cost Year 8'!AH33*'1. Standard_Cost'!$C$27+'Incremental_Cost Year 8'!AI33*'1. Standard_Cost'!$D$27+'Incremental_Cost Year 8'!AJ33+'Incremental_Cost Year 8'!AL33+AK33</f>
        <v>0</v>
      </c>
      <c r="AN33" s="108">
        <f>AM33*'1. Standard_Cost'!$C$31</f>
        <v>0</v>
      </c>
      <c r="AO33" s="125" t="s">
        <v>287</v>
      </c>
      <c r="AQ33" s="14">
        <f t="shared" ref="AQ33:AQ38" si="63">L33+M33</f>
        <v>0</v>
      </c>
      <c r="AR33" s="14">
        <f t="shared" ref="AR33:AR38" si="64">AF33</f>
        <v>0</v>
      </c>
      <c r="AS33" s="14">
        <f t="shared" ref="AS33:AS38" si="65">AM33+AN33</f>
        <v>0</v>
      </c>
      <c r="AT33" s="14">
        <f>SUM(AQ33,AR33,AS33)</f>
        <v>0</v>
      </c>
      <c r="AU33" s="234"/>
      <c r="AV33" s="234"/>
      <c r="AW33" s="234"/>
      <c r="AX33" s="234"/>
      <c r="AY33" s="234"/>
      <c r="AZ33" s="234"/>
      <c r="BA33" s="234"/>
      <c r="BB33" s="16">
        <f t="shared" ref="BB33:BB38" si="66">SUM(AU33:BA33)-AT33</f>
        <v>0</v>
      </c>
    </row>
    <row r="34" spans="1:54" ht="55.2" outlineLevel="2">
      <c r="A34" s="98"/>
      <c r="B34" s="143"/>
      <c r="C34" s="144"/>
      <c r="D34" s="290"/>
      <c r="E34" s="290"/>
      <c r="F34" s="290"/>
      <c r="G34" s="291"/>
      <c r="H34" s="272"/>
      <c r="I34" s="280"/>
      <c r="J34" s="281"/>
      <c r="K34" s="281"/>
      <c r="L34" s="106" t="str">
        <f>IF(I34&lt;&gt;0,((VLOOKUP(I34,'1. Standard_Cost'!$B$4:$D$11,2)+VLOOKUP(I34,'1. Standard_Cost'!$B$4:$D$11,3))*J34*K34),"0")</f>
        <v>0</v>
      </c>
      <c r="M34" s="106">
        <f>L34*'1. Standard_Cost'!$F$4</f>
        <v>0</v>
      </c>
      <c r="N34" s="260"/>
      <c r="O34" s="260"/>
      <c r="P34" s="260"/>
      <c r="Q34" s="260"/>
      <c r="R34" s="108">
        <f>'1. Standard_Cost'!$B$15*N34*P34</f>
        <v>0</v>
      </c>
      <c r="S34" s="108">
        <f>N34*O34*P34*'1. Standard_Cost'!$C$15</f>
        <v>0</v>
      </c>
      <c r="T34" s="108">
        <f>N34*P34*Q34*'1. Standard_Cost'!$D$15</f>
        <v>0</v>
      </c>
      <c r="U34" s="108">
        <f>N34*O34*'1. Standard_Cost'!$E$15</f>
        <v>0</v>
      </c>
      <c r="V34" s="260"/>
      <c r="W34" s="260"/>
      <c r="X34" s="260"/>
      <c r="Y34" s="108">
        <f>+V34*((X34*'1. Standard_Cost'!$B$19)+(W34*X34*'1. Standard_Cost'!$C$19))</f>
        <v>0</v>
      </c>
      <c r="Z34" s="260"/>
      <c r="AA34" s="260"/>
      <c r="AB34" s="108">
        <f>+Z34*'1. Standard_Cost'!$B$23+AA34*'1. Standard_Cost'!$C$23</f>
        <v>0</v>
      </c>
      <c r="AC34" s="261"/>
      <c r="AD34" s="262"/>
      <c r="AE34" s="108">
        <f>SUM(AD34,AC34,AB34,Y34,U34,T34,S34,R34)*'1. Standard_Cost'!$B$31</f>
        <v>0</v>
      </c>
      <c r="AF34" s="108">
        <f t="shared" si="62"/>
        <v>0</v>
      </c>
      <c r="AG34" s="260"/>
      <c r="AH34" s="260"/>
      <c r="AI34" s="260"/>
      <c r="AJ34" s="263"/>
      <c r="AK34" s="263"/>
      <c r="AL34" s="263"/>
      <c r="AM34" s="108">
        <f>AG34*'1. Standard_Cost'!$B$27+'Incremental_Cost Year 8'!AH34*'1. Standard_Cost'!$C$27+'Incremental_Cost Year 8'!AI34*'1. Standard_Cost'!$D$27+'Incremental_Cost Year 8'!AJ34+'Incremental_Cost Year 8'!AL34+AK34</f>
        <v>0</v>
      </c>
      <c r="AN34" s="108">
        <f>AM34*'1. Standard_Cost'!$C$31</f>
        <v>0</v>
      </c>
      <c r="AO34" s="125" t="s">
        <v>288</v>
      </c>
      <c r="AQ34" s="14">
        <f t="shared" si="63"/>
        <v>0</v>
      </c>
      <c r="AR34" s="14">
        <f t="shared" si="64"/>
        <v>0</v>
      </c>
      <c r="AS34" s="14">
        <f t="shared" si="65"/>
        <v>0</v>
      </c>
      <c r="AT34" s="14">
        <f t="shared" ref="AT34:AT38" si="67">SUM(AQ34,AR34,AS34)</f>
        <v>0</v>
      </c>
      <c r="AU34" s="234"/>
      <c r="AV34" s="234"/>
      <c r="AW34" s="234"/>
      <c r="AX34" s="234"/>
      <c r="AY34" s="234"/>
      <c r="AZ34" s="234"/>
      <c r="BA34" s="234"/>
      <c r="BB34" s="16">
        <f t="shared" si="66"/>
        <v>0</v>
      </c>
    </row>
    <row r="35" spans="1:54" ht="27.6" outlineLevel="2">
      <c r="A35" s="98"/>
      <c r="B35" s="143"/>
      <c r="C35" s="144"/>
      <c r="D35" s="290"/>
      <c r="E35" s="290"/>
      <c r="F35" s="290"/>
      <c r="G35" s="291"/>
      <c r="H35" s="272"/>
      <c r="I35" s="258"/>
      <c r="J35" s="259"/>
      <c r="K35" s="259"/>
      <c r="L35" s="106" t="str">
        <f>IF(I35&lt;&gt;0,((VLOOKUP(I35,'1. Standard_Cost'!$B$4:$D$11,2)+VLOOKUP(I35,'1. Standard_Cost'!$B$4:$D$11,3))*J35*K35),"0")</f>
        <v>0</v>
      </c>
      <c r="M35" s="106">
        <f>L35*'1. Standard_Cost'!$F$4</f>
        <v>0</v>
      </c>
      <c r="N35" s="260"/>
      <c r="O35" s="260"/>
      <c r="P35" s="260"/>
      <c r="Q35" s="260"/>
      <c r="R35" s="108">
        <f>'1. Standard_Cost'!$B$15*N35*P35</f>
        <v>0</v>
      </c>
      <c r="S35" s="108">
        <f>N35*O35*P35*'1. Standard_Cost'!$C$15</f>
        <v>0</v>
      </c>
      <c r="T35" s="108">
        <f>N35*P35*Q35*'1. Standard_Cost'!$D$15</f>
        <v>0</v>
      </c>
      <c r="U35" s="108">
        <f>N35*O35*'1. Standard_Cost'!$E$15</f>
        <v>0</v>
      </c>
      <c r="V35" s="260"/>
      <c r="W35" s="260"/>
      <c r="X35" s="260"/>
      <c r="Y35" s="108">
        <f>+V35*((X35*'1. Standard_Cost'!$B$19)+(W35*X35*'1. Standard_Cost'!$C$19))</f>
        <v>0</v>
      </c>
      <c r="Z35" s="260"/>
      <c r="AA35" s="260"/>
      <c r="AB35" s="108">
        <f>+Z35*'1. Standard_Cost'!$B$23+AA35*'1. Standard_Cost'!$C$23</f>
        <v>0</v>
      </c>
      <c r="AC35" s="261"/>
      <c r="AD35" s="262"/>
      <c r="AE35" s="108">
        <f>SUM(AD35,AC35,AB35,Y35,U35,T35,S35,R35)*'1. Standard_Cost'!$B$31</f>
        <v>0</v>
      </c>
      <c r="AF35" s="108">
        <f t="shared" si="62"/>
        <v>0</v>
      </c>
      <c r="AG35" s="260"/>
      <c r="AH35" s="260"/>
      <c r="AI35" s="260"/>
      <c r="AJ35" s="263"/>
      <c r="AK35" s="263"/>
      <c r="AL35" s="263"/>
      <c r="AM35" s="108">
        <f>AG35*'1. Standard_Cost'!$B$27+'Incremental_Cost Year 8'!AH35*'1. Standard_Cost'!$C$27+'Incremental_Cost Year 8'!AI35*'1. Standard_Cost'!$D$27+'Incremental_Cost Year 8'!AJ35+'Incremental_Cost Year 8'!AL35+AK35</f>
        <v>0</v>
      </c>
      <c r="AN35" s="108">
        <f>AM35*'1. Standard_Cost'!$C$31</f>
        <v>0</v>
      </c>
      <c r="AO35" s="125" t="s">
        <v>289</v>
      </c>
      <c r="AQ35" s="14">
        <f t="shared" si="63"/>
        <v>0</v>
      </c>
      <c r="AR35" s="14">
        <f t="shared" si="64"/>
        <v>0</v>
      </c>
      <c r="AS35" s="14">
        <f t="shared" si="65"/>
        <v>0</v>
      </c>
      <c r="AT35" s="14">
        <f t="shared" si="67"/>
        <v>0</v>
      </c>
      <c r="AU35" s="234"/>
      <c r="AV35" s="234"/>
      <c r="AW35" s="234"/>
      <c r="AX35" s="234"/>
      <c r="AY35" s="234"/>
      <c r="AZ35" s="234"/>
      <c r="BA35" s="234"/>
      <c r="BB35" s="16">
        <f t="shared" si="66"/>
        <v>0</v>
      </c>
    </row>
    <row r="36" spans="1:54" ht="55.2" outlineLevel="2">
      <c r="A36" s="98"/>
      <c r="B36" s="143"/>
      <c r="C36" s="144"/>
      <c r="D36" s="290"/>
      <c r="E36" s="290"/>
      <c r="F36" s="290"/>
      <c r="G36" s="291"/>
      <c r="H36" s="272"/>
      <c r="I36" s="280"/>
      <c r="J36" s="281"/>
      <c r="K36" s="281"/>
      <c r="L36" s="106" t="str">
        <f>IF(I36&lt;&gt;0,((VLOOKUP(I36,'1. Standard_Cost'!$B$4:$D$11,2)+VLOOKUP(I36,'1. Standard_Cost'!$B$4:$D$11,3))*J36*K36),"0")</f>
        <v>0</v>
      </c>
      <c r="M36" s="106">
        <f>L36*'1. Standard_Cost'!$F$4</f>
        <v>0</v>
      </c>
      <c r="N36" s="260"/>
      <c r="O36" s="260"/>
      <c r="P36" s="260"/>
      <c r="Q36" s="260"/>
      <c r="R36" s="108">
        <f>'1. Standard_Cost'!$B$15*N36*P36</f>
        <v>0</v>
      </c>
      <c r="S36" s="108">
        <f>N36*O36*P36*'1. Standard_Cost'!$C$15</f>
        <v>0</v>
      </c>
      <c r="T36" s="108">
        <f>N36*P36*Q36*'1. Standard_Cost'!$D$15</f>
        <v>0</v>
      </c>
      <c r="U36" s="108">
        <f>N36*O36*'1. Standard_Cost'!$E$15</f>
        <v>0</v>
      </c>
      <c r="V36" s="260"/>
      <c r="W36" s="260"/>
      <c r="X36" s="260"/>
      <c r="Y36" s="108">
        <f>+V36*((X36*'1. Standard_Cost'!$B$19)+(W36*X36*'1. Standard_Cost'!$C$19))</f>
        <v>0</v>
      </c>
      <c r="Z36" s="260"/>
      <c r="AA36" s="260"/>
      <c r="AB36" s="108">
        <f>+Z36*'1. Standard_Cost'!$B$23+AA36*'1. Standard_Cost'!$C$23</f>
        <v>0</v>
      </c>
      <c r="AC36" s="261"/>
      <c r="AD36" s="262"/>
      <c r="AE36" s="108">
        <f>SUM(AD36,AC36,AB36,Y36,U36,T36,S36,R36)*'1. Standard_Cost'!$B$31</f>
        <v>0</v>
      </c>
      <c r="AF36" s="108">
        <f t="shared" si="62"/>
        <v>0</v>
      </c>
      <c r="AG36" s="260"/>
      <c r="AH36" s="260"/>
      <c r="AI36" s="260"/>
      <c r="AJ36" s="263"/>
      <c r="AK36" s="263"/>
      <c r="AL36" s="263"/>
      <c r="AM36" s="108">
        <f>AG36*'1. Standard_Cost'!$B$27+'Incremental_Cost Year 8'!AH36*'1. Standard_Cost'!$C$27+'Incremental_Cost Year 8'!AI36*'1. Standard_Cost'!$D$27+'Incremental_Cost Year 8'!AJ36+'Incremental_Cost Year 8'!AL36+AK36</f>
        <v>0</v>
      </c>
      <c r="AN36" s="108">
        <f>AM36*'1. Standard_Cost'!$C$31</f>
        <v>0</v>
      </c>
      <c r="AO36" s="125" t="s">
        <v>290</v>
      </c>
      <c r="AQ36" s="14">
        <f t="shared" si="63"/>
        <v>0</v>
      </c>
      <c r="AR36" s="14">
        <f t="shared" si="64"/>
        <v>0</v>
      </c>
      <c r="AS36" s="14">
        <f t="shared" si="65"/>
        <v>0</v>
      </c>
      <c r="AT36" s="14">
        <f t="shared" si="67"/>
        <v>0</v>
      </c>
      <c r="AU36" s="234"/>
      <c r="AV36" s="234"/>
      <c r="AW36" s="234"/>
      <c r="AX36" s="234"/>
      <c r="AY36" s="234"/>
      <c r="AZ36" s="234"/>
      <c r="BA36" s="234"/>
      <c r="BB36" s="16">
        <f t="shared" si="66"/>
        <v>0</v>
      </c>
    </row>
    <row r="37" spans="1:54" ht="27.6" outlineLevel="2">
      <c r="A37" s="98"/>
      <c r="B37" s="143"/>
      <c r="C37" s="144"/>
      <c r="D37" s="290"/>
      <c r="E37" s="290"/>
      <c r="F37" s="290"/>
      <c r="G37" s="291"/>
      <c r="H37" s="272"/>
      <c r="I37" s="258"/>
      <c r="J37" s="259"/>
      <c r="K37" s="259"/>
      <c r="L37" s="106" t="str">
        <f>IF(I37&lt;&gt;0,((VLOOKUP(I37,'1. Standard_Cost'!$B$4:$D$11,2)+VLOOKUP(I37,'1. Standard_Cost'!$B$4:$D$11,3))*J37*K37),"0")</f>
        <v>0</v>
      </c>
      <c r="M37" s="106">
        <f>L37*'1. Standard_Cost'!$F$4</f>
        <v>0</v>
      </c>
      <c r="N37" s="260"/>
      <c r="O37" s="260"/>
      <c r="P37" s="260"/>
      <c r="Q37" s="260"/>
      <c r="R37" s="108">
        <f>'1. Standard_Cost'!$B$15*N37*P37</f>
        <v>0</v>
      </c>
      <c r="S37" s="108">
        <f>N37*O37*P37*'1. Standard_Cost'!$C$15</f>
        <v>0</v>
      </c>
      <c r="T37" s="108">
        <f>N37*P37*Q37*'1. Standard_Cost'!$D$15</f>
        <v>0</v>
      </c>
      <c r="U37" s="108">
        <f>N37*O37*'1. Standard_Cost'!$E$15</f>
        <v>0</v>
      </c>
      <c r="V37" s="260"/>
      <c r="W37" s="260"/>
      <c r="X37" s="260"/>
      <c r="Y37" s="108">
        <f>+V37*((X37*'1. Standard_Cost'!$B$19)+(W37*X37*'1. Standard_Cost'!$C$19))</f>
        <v>0</v>
      </c>
      <c r="Z37" s="260"/>
      <c r="AA37" s="260"/>
      <c r="AB37" s="108">
        <f>+Z37*'1. Standard_Cost'!$B$23+AA37*'1. Standard_Cost'!$C$23</f>
        <v>0</v>
      </c>
      <c r="AC37" s="261"/>
      <c r="AD37" s="262"/>
      <c r="AE37" s="108">
        <f>SUM(AD37,AC37,AB37,Y37,U37,T37,S37,R37)*'1. Standard_Cost'!$B$31</f>
        <v>0</v>
      </c>
      <c r="AF37" s="108">
        <f t="shared" si="62"/>
        <v>0</v>
      </c>
      <c r="AG37" s="260"/>
      <c r="AH37" s="260"/>
      <c r="AI37" s="260"/>
      <c r="AJ37" s="263"/>
      <c r="AK37" s="263"/>
      <c r="AL37" s="263"/>
      <c r="AM37" s="108">
        <f>AG37*'1. Standard_Cost'!$B$27+'Incremental_Cost Year 8'!AH37*'1. Standard_Cost'!$C$27+'Incremental_Cost Year 8'!AI37*'1. Standard_Cost'!$D$27+'Incremental_Cost Year 8'!AJ37+'Incremental_Cost Year 8'!AL37+AK37</f>
        <v>0</v>
      </c>
      <c r="AN37" s="108">
        <f>AM37*'1. Standard_Cost'!$C$31</f>
        <v>0</v>
      </c>
      <c r="AO37" s="125" t="s">
        <v>291</v>
      </c>
      <c r="AQ37" s="14">
        <f t="shared" si="63"/>
        <v>0</v>
      </c>
      <c r="AR37" s="14">
        <f t="shared" si="64"/>
        <v>0</v>
      </c>
      <c r="AS37" s="14">
        <f t="shared" si="65"/>
        <v>0</v>
      </c>
      <c r="AT37" s="14">
        <f t="shared" si="67"/>
        <v>0</v>
      </c>
      <c r="AU37" s="234"/>
      <c r="AV37" s="234"/>
      <c r="AW37" s="234"/>
      <c r="AX37" s="234"/>
      <c r="AY37" s="234"/>
      <c r="AZ37" s="234"/>
      <c r="BA37" s="234"/>
      <c r="BB37" s="16">
        <f t="shared" si="66"/>
        <v>0</v>
      </c>
    </row>
    <row r="38" spans="1:54" ht="27.6" outlineLevel="2">
      <c r="A38" s="98"/>
      <c r="B38" s="143"/>
      <c r="C38" s="144"/>
      <c r="D38" s="290"/>
      <c r="E38" s="290"/>
      <c r="F38" s="290"/>
      <c r="G38" s="291"/>
      <c r="H38" s="272"/>
      <c r="I38" s="258"/>
      <c r="J38" s="259"/>
      <c r="K38" s="259"/>
      <c r="L38" s="106" t="str">
        <f>IF(I38&lt;&gt;0,((VLOOKUP(I38,'1. Standard_Cost'!$B$4:$D$11,2)+VLOOKUP(I38,'1. Standard_Cost'!$B$4:$D$11,3))*J38*K38),"0")</f>
        <v>0</v>
      </c>
      <c r="M38" s="106">
        <f>L38*'1. Standard_Cost'!$F$4</f>
        <v>0</v>
      </c>
      <c r="N38" s="260"/>
      <c r="O38" s="260"/>
      <c r="P38" s="260"/>
      <c r="Q38" s="260"/>
      <c r="R38" s="108">
        <f>'1. Standard_Cost'!$B$15*N38*P38</f>
        <v>0</v>
      </c>
      <c r="S38" s="108">
        <f>N38*O38*P38*'1. Standard_Cost'!$C$15</f>
        <v>0</v>
      </c>
      <c r="T38" s="108">
        <f>N38*P38*Q38*'1. Standard_Cost'!$D$15</f>
        <v>0</v>
      </c>
      <c r="U38" s="108">
        <f>N38*O38*'1. Standard_Cost'!$E$15</f>
        <v>0</v>
      </c>
      <c r="V38" s="260"/>
      <c r="W38" s="260"/>
      <c r="X38" s="260"/>
      <c r="Y38" s="108">
        <f>+V38*((X38*'1. Standard_Cost'!$B$19)+(W38*X38*'1. Standard_Cost'!$C$19))</f>
        <v>0</v>
      </c>
      <c r="Z38" s="260"/>
      <c r="AA38" s="260"/>
      <c r="AB38" s="108">
        <f>+Z38*'1. Standard_Cost'!$B$23+AA38*'1. Standard_Cost'!$C$23</f>
        <v>0</v>
      </c>
      <c r="AC38" s="261"/>
      <c r="AD38" s="262"/>
      <c r="AE38" s="108">
        <f>SUM(AD38,AC38,AB38,Y38,U38,T38,S38,R38)*'1. Standard_Cost'!$B$31</f>
        <v>0</v>
      </c>
      <c r="AF38" s="108">
        <f t="shared" si="62"/>
        <v>0</v>
      </c>
      <c r="AG38" s="260"/>
      <c r="AH38" s="260"/>
      <c r="AI38" s="260"/>
      <c r="AJ38" s="263"/>
      <c r="AK38" s="263"/>
      <c r="AL38" s="263"/>
      <c r="AM38" s="108">
        <f>AG38*'1. Standard_Cost'!$B$27+'Incremental_Cost Year 8'!AH38*'1. Standard_Cost'!$C$27+'Incremental_Cost Year 8'!AI38*'1. Standard_Cost'!$D$27+'Incremental_Cost Year 8'!AJ38+'Incremental_Cost Year 8'!AL38+AK38</f>
        <v>0</v>
      </c>
      <c r="AN38" s="108">
        <f>AM38*'1. Standard_Cost'!$C$31</f>
        <v>0</v>
      </c>
      <c r="AO38" s="125" t="s">
        <v>292</v>
      </c>
      <c r="AQ38" s="14">
        <f t="shared" si="63"/>
        <v>0</v>
      </c>
      <c r="AR38" s="14">
        <f t="shared" si="64"/>
        <v>0</v>
      </c>
      <c r="AS38" s="14">
        <f t="shared" si="65"/>
        <v>0</v>
      </c>
      <c r="AT38" s="14">
        <f t="shared" si="67"/>
        <v>0</v>
      </c>
      <c r="AU38" s="234"/>
      <c r="AV38" s="234"/>
      <c r="AW38" s="234"/>
      <c r="AX38" s="234"/>
      <c r="AY38" s="234"/>
      <c r="AZ38" s="234"/>
      <c r="BA38" s="234"/>
      <c r="BB38" s="16">
        <f t="shared" si="66"/>
        <v>0</v>
      </c>
    </row>
    <row r="39" spans="1:54" ht="46.8" outlineLevel="1">
      <c r="A39" s="98"/>
      <c r="B39" s="143"/>
      <c r="C39" s="144"/>
      <c r="D39" s="145" t="s">
        <v>47</v>
      </c>
      <c r="E39" s="145" t="s">
        <v>212</v>
      </c>
      <c r="F39" s="285">
        <v>2021</v>
      </c>
      <c r="G39" s="286">
        <v>2026</v>
      </c>
      <c r="H39" s="287" t="s">
        <v>214</v>
      </c>
      <c r="I39" s="264"/>
      <c r="J39" s="264"/>
      <c r="K39" s="264"/>
      <c r="L39" s="113">
        <f>SUM(L33:L38)</f>
        <v>0</v>
      </c>
      <c r="M39" s="113">
        <f>SUM(M33:M38)</f>
        <v>0</v>
      </c>
      <c r="N39" s="264"/>
      <c r="O39" s="264"/>
      <c r="P39" s="264"/>
      <c r="Q39" s="264"/>
      <c r="R39" s="113">
        <f t="shared" ref="R39:U39" si="68">SUM(R33:R38)</f>
        <v>0</v>
      </c>
      <c r="S39" s="113">
        <f t="shared" si="68"/>
        <v>0</v>
      </c>
      <c r="T39" s="113">
        <f t="shared" si="68"/>
        <v>0</v>
      </c>
      <c r="U39" s="113">
        <f t="shared" si="68"/>
        <v>0</v>
      </c>
      <c r="V39" s="264"/>
      <c r="W39" s="264"/>
      <c r="X39" s="264"/>
      <c r="Y39" s="113">
        <f>SUM(Y33:Y38)</f>
        <v>0</v>
      </c>
      <c r="Z39" s="264"/>
      <c r="AA39" s="264"/>
      <c r="AB39" s="113">
        <f>SUM(AB33:AB38)</f>
        <v>0</v>
      </c>
      <c r="AC39" s="265">
        <f t="shared" ref="AC39:AD39" si="69">SUM(AC33:AC38)</f>
        <v>0</v>
      </c>
      <c r="AD39" s="265">
        <f t="shared" si="69"/>
        <v>0</v>
      </c>
      <c r="AE39" s="113">
        <f t="shared" ref="AE39:AF39" si="70">SUM(AE33:AE38)</f>
        <v>0</v>
      </c>
      <c r="AF39" s="113">
        <f t="shared" si="70"/>
        <v>0</v>
      </c>
      <c r="AG39" s="264"/>
      <c r="AH39" s="264"/>
      <c r="AI39" s="264"/>
      <c r="AJ39" s="265">
        <f t="shared" ref="AJ39:AL39" si="71">SUM(AJ33:AJ38)</f>
        <v>0</v>
      </c>
      <c r="AK39" s="265">
        <f t="shared" si="71"/>
        <v>0</v>
      </c>
      <c r="AL39" s="265">
        <f t="shared" si="71"/>
        <v>0</v>
      </c>
      <c r="AM39" s="113">
        <f t="shared" ref="AM39:AN39" si="72">SUM(AM33:AM38)</f>
        <v>0</v>
      </c>
      <c r="AN39" s="113">
        <f t="shared" si="72"/>
        <v>0</v>
      </c>
      <c r="AO39" s="131"/>
      <c r="AP39" s="17"/>
      <c r="AQ39" s="113">
        <f t="shared" ref="AQ39:BB39" si="73">SUM(AQ33:AQ38)</f>
        <v>0</v>
      </c>
      <c r="AR39" s="113">
        <f t="shared" si="73"/>
        <v>0</v>
      </c>
      <c r="AS39" s="113">
        <f t="shared" si="73"/>
        <v>0</v>
      </c>
      <c r="AT39" s="113">
        <f t="shared" si="73"/>
        <v>0</v>
      </c>
      <c r="AU39" s="265">
        <f t="shared" si="73"/>
        <v>0</v>
      </c>
      <c r="AV39" s="265">
        <f t="shared" si="73"/>
        <v>0</v>
      </c>
      <c r="AW39" s="265">
        <f t="shared" si="73"/>
        <v>0</v>
      </c>
      <c r="AX39" s="265">
        <f t="shared" si="73"/>
        <v>0</v>
      </c>
      <c r="AY39" s="265">
        <f t="shared" si="73"/>
        <v>0</v>
      </c>
      <c r="AZ39" s="265">
        <f t="shared" si="73"/>
        <v>0</v>
      </c>
      <c r="BA39" s="265">
        <f t="shared" si="73"/>
        <v>0</v>
      </c>
      <c r="BB39" s="113">
        <f t="shared" si="73"/>
        <v>0</v>
      </c>
    </row>
    <row r="40" spans="1:54" s="24" customFormat="1" ht="13.8" customHeight="1">
      <c r="A40" s="114"/>
      <c r="B40" s="115"/>
      <c r="C40" s="314" t="s">
        <v>192</v>
      </c>
      <c r="D40" s="314"/>
      <c r="E40" s="315"/>
      <c r="F40" s="246"/>
      <c r="G40" s="246"/>
      <c r="H40" s="278" t="s">
        <v>184</v>
      </c>
      <c r="I40" s="266"/>
      <c r="J40" s="266"/>
      <c r="K40" s="266"/>
      <c r="L40" s="117">
        <f>SUM(L59,L79)</f>
        <v>0</v>
      </c>
      <c r="M40" s="117">
        <f>SUM(M59,M79)</f>
        <v>0</v>
      </c>
      <c r="N40" s="266"/>
      <c r="O40" s="266"/>
      <c r="P40" s="266"/>
      <c r="Q40" s="266"/>
      <c r="R40" s="117">
        <f t="shared" ref="R40:U40" si="74">SUM(R59,R79)</f>
        <v>0</v>
      </c>
      <c r="S40" s="117">
        <f t="shared" si="74"/>
        <v>0</v>
      </c>
      <c r="T40" s="117">
        <f t="shared" si="74"/>
        <v>0</v>
      </c>
      <c r="U40" s="117">
        <f t="shared" si="74"/>
        <v>0</v>
      </c>
      <c r="V40" s="266"/>
      <c r="W40" s="266"/>
      <c r="X40" s="266"/>
      <c r="Y40" s="117">
        <f>SUM(Y59,Y79)</f>
        <v>0</v>
      </c>
      <c r="Z40" s="266"/>
      <c r="AA40" s="266"/>
      <c r="AB40" s="117">
        <f t="shared" ref="AB40:AF40" si="75">SUM(AB59,AB79)</f>
        <v>0</v>
      </c>
      <c r="AC40" s="267">
        <f t="shared" si="75"/>
        <v>0</v>
      </c>
      <c r="AD40" s="267">
        <f t="shared" si="75"/>
        <v>0</v>
      </c>
      <c r="AE40" s="117">
        <f t="shared" si="75"/>
        <v>0</v>
      </c>
      <c r="AF40" s="117">
        <f t="shared" si="75"/>
        <v>0</v>
      </c>
      <c r="AG40" s="266"/>
      <c r="AH40" s="266"/>
      <c r="AI40" s="266"/>
      <c r="AJ40" s="267">
        <f t="shared" ref="AJ40:AL40" si="76">SUM(AJ59,AJ79)</f>
        <v>0</v>
      </c>
      <c r="AK40" s="267">
        <f t="shared" si="76"/>
        <v>0</v>
      </c>
      <c r="AL40" s="267">
        <f t="shared" si="76"/>
        <v>0</v>
      </c>
      <c r="AM40" s="117">
        <f t="shared" ref="AM40:AN40" si="77">SUM(AM59,AM79)</f>
        <v>0</v>
      </c>
      <c r="AN40" s="117">
        <f t="shared" si="77"/>
        <v>0</v>
      </c>
      <c r="AO40" s="132"/>
      <c r="AP40" s="25"/>
      <c r="AQ40" s="117">
        <f t="shared" ref="AQ40:BB40" si="78">SUM(AQ59,AQ79)</f>
        <v>0</v>
      </c>
      <c r="AR40" s="117">
        <f t="shared" si="78"/>
        <v>0</v>
      </c>
      <c r="AS40" s="117">
        <f t="shared" si="78"/>
        <v>0</v>
      </c>
      <c r="AT40" s="117">
        <f t="shared" si="78"/>
        <v>0</v>
      </c>
      <c r="AU40" s="267">
        <f t="shared" si="78"/>
        <v>0</v>
      </c>
      <c r="AV40" s="267">
        <f t="shared" si="78"/>
        <v>0</v>
      </c>
      <c r="AW40" s="267">
        <f t="shared" si="78"/>
        <v>0</v>
      </c>
      <c r="AX40" s="267">
        <f t="shared" si="78"/>
        <v>0</v>
      </c>
      <c r="AY40" s="267">
        <f t="shared" si="78"/>
        <v>0</v>
      </c>
      <c r="AZ40" s="267">
        <f t="shared" si="78"/>
        <v>0</v>
      </c>
      <c r="BA40" s="267">
        <f t="shared" si="78"/>
        <v>0</v>
      </c>
      <c r="BB40" s="117">
        <f t="shared" si="78"/>
        <v>0</v>
      </c>
    </row>
    <row r="41" spans="1:54" ht="27.6" outlineLevel="2">
      <c r="A41" s="98"/>
      <c r="B41" s="102"/>
      <c r="C41" s="23"/>
      <c r="D41" s="257"/>
      <c r="E41" s="257"/>
      <c r="F41" s="251"/>
      <c r="G41" s="250"/>
      <c r="H41" s="272"/>
      <c r="I41" s="258"/>
      <c r="J41" s="259"/>
      <c r="K41" s="259"/>
      <c r="L41" s="106" t="str">
        <f>IF(I41&lt;&gt;0,((VLOOKUP(I41,'1. Standard_Cost'!$B$4:$D$11,2)+VLOOKUP(I41,'1. Standard_Cost'!$B$4:$D$11,3))*J41*K41),"0")</f>
        <v>0</v>
      </c>
      <c r="M41" s="106">
        <f>L41*'1. Standard_Cost'!$F$4</f>
        <v>0</v>
      </c>
      <c r="N41" s="260"/>
      <c r="O41" s="260"/>
      <c r="P41" s="260"/>
      <c r="Q41" s="260"/>
      <c r="R41" s="108">
        <f>'1. Standard_Cost'!$B$15*N41*P41</f>
        <v>0</v>
      </c>
      <c r="S41" s="108">
        <f>N41*O41*P41*'1. Standard_Cost'!$C$15</f>
        <v>0</v>
      </c>
      <c r="T41" s="108">
        <f>N41*P41*Q41*'1. Standard_Cost'!$D$15</f>
        <v>0</v>
      </c>
      <c r="U41" s="108">
        <f>N41*O41*'1. Standard_Cost'!$E$15</f>
        <v>0</v>
      </c>
      <c r="V41" s="260"/>
      <c r="W41" s="260"/>
      <c r="X41" s="260"/>
      <c r="Y41" s="108">
        <f>+V41*((X41*'1. Standard_Cost'!$B$19)+(W41*X41*'1. Standard_Cost'!$C$19))</f>
        <v>0</v>
      </c>
      <c r="Z41" s="260"/>
      <c r="AA41" s="260"/>
      <c r="AB41" s="108">
        <f>+Z41*'1. Standard_Cost'!$B$23+AA41*'1. Standard_Cost'!$C$23</f>
        <v>0</v>
      </c>
      <c r="AC41" s="261"/>
      <c r="AD41" s="262"/>
      <c r="AE41" s="108">
        <f>SUM(AD41,AC41,AB41,Y41,U41,T41,S41,R41)*'1. Standard_Cost'!$B$31</f>
        <v>0</v>
      </c>
      <c r="AF41" s="108">
        <f t="shared" ref="AF41:AF58" si="79">SUM(AE41,AD41,AC41,AB41,Y41,U41,T41,S41,R41)</f>
        <v>0</v>
      </c>
      <c r="AG41" s="260"/>
      <c r="AH41" s="260"/>
      <c r="AI41" s="260"/>
      <c r="AJ41" s="263"/>
      <c r="AK41" s="263"/>
      <c r="AL41" s="263"/>
      <c r="AM41" s="108">
        <f>AG41*'1. Standard_Cost'!$B$27+'Incremental_Cost Year 8'!AH41*'1. Standard_Cost'!$C$27+'Incremental_Cost Year 8'!AI41*'1. Standard_Cost'!$D$27+'Incremental_Cost Year 8'!AJ41+'Incremental_Cost Year 8'!AL41+AK41</f>
        <v>0</v>
      </c>
      <c r="AN41" s="108">
        <f>AM41*'1. Standard_Cost'!$C$31</f>
        <v>0</v>
      </c>
      <c r="AO41" s="125" t="s">
        <v>293</v>
      </c>
      <c r="AQ41" s="14">
        <f t="shared" ref="AQ41:AQ58" si="80">L41+M41</f>
        <v>0</v>
      </c>
      <c r="AR41" s="14">
        <f t="shared" ref="AR41:AR58" si="81">AF41</f>
        <v>0</v>
      </c>
      <c r="AS41" s="14">
        <f t="shared" ref="AS41:AS58" si="82">AM41+AN41</f>
        <v>0</v>
      </c>
      <c r="AT41" s="14">
        <f>SUM(AQ41,AR41,AS41)</f>
        <v>0</v>
      </c>
      <c r="AU41" s="234"/>
      <c r="AV41" s="234"/>
      <c r="AW41" s="234"/>
      <c r="AX41" s="234"/>
      <c r="AY41" s="234"/>
      <c r="AZ41" s="234"/>
      <c r="BA41" s="234"/>
      <c r="BB41" s="16">
        <f t="shared" ref="BB41:BB58" si="83">SUM(AU41:BA41)-AT41</f>
        <v>0</v>
      </c>
    </row>
    <row r="42" spans="1:54" ht="27.6" outlineLevel="2">
      <c r="A42" s="98"/>
      <c r="B42" s="102"/>
      <c r="C42" s="23"/>
      <c r="D42" s="251"/>
      <c r="E42" s="251"/>
      <c r="F42" s="251"/>
      <c r="G42" s="250"/>
      <c r="H42" s="272"/>
      <c r="I42" s="258"/>
      <c r="J42" s="259"/>
      <c r="K42" s="259"/>
      <c r="L42" s="106" t="str">
        <f>IF(I42&lt;&gt;0,((VLOOKUP(I42,'1. Standard_Cost'!$B$4:$D$11,2)+VLOOKUP(I42,'1. Standard_Cost'!$B$4:$D$11,3))*J42*K42),"0")</f>
        <v>0</v>
      </c>
      <c r="M42" s="106">
        <f>L42*'1. Standard_Cost'!$F$4</f>
        <v>0</v>
      </c>
      <c r="N42" s="260"/>
      <c r="O42" s="260"/>
      <c r="P42" s="260"/>
      <c r="Q42" s="260"/>
      <c r="R42" s="108">
        <f>'1. Standard_Cost'!$B$15*N42*P42</f>
        <v>0</v>
      </c>
      <c r="S42" s="108">
        <f>N42*O42*P42*'1. Standard_Cost'!$C$15</f>
        <v>0</v>
      </c>
      <c r="T42" s="108">
        <f>N42*P42*Q42*'1. Standard_Cost'!$D$15</f>
        <v>0</v>
      </c>
      <c r="U42" s="108">
        <f>N42*O42*'1. Standard_Cost'!$E$15</f>
        <v>0</v>
      </c>
      <c r="V42" s="260"/>
      <c r="W42" s="260"/>
      <c r="X42" s="260"/>
      <c r="Y42" s="108">
        <f>+V42*((X42*'1. Standard_Cost'!$B$19)+(W42*X42*'1. Standard_Cost'!$C$19))</f>
        <v>0</v>
      </c>
      <c r="Z42" s="260"/>
      <c r="AA42" s="260"/>
      <c r="AB42" s="108">
        <f>+Z42*'1. Standard_Cost'!$B$23+AA42*'1. Standard_Cost'!$C$23</f>
        <v>0</v>
      </c>
      <c r="AC42" s="261"/>
      <c r="AD42" s="262"/>
      <c r="AE42" s="108">
        <f>SUM(AD42,AC42,AB42,Y42,U42,T42,S42,R42)*'1. Standard_Cost'!$B$31</f>
        <v>0</v>
      </c>
      <c r="AF42" s="108">
        <f t="shared" si="79"/>
        <v>0</v>
      </c>
      <c r="AG42" s="260"/>
      <c r="AH42" s="260"/>
      <c r="AI42" s="260"/>
      <c r="AJ42" s="263"/>
      <c r="AK42" s="263"/>
      <c r="AL42" s="263"/>
      <c r="AM42" s="108">
        <f>AG42*'1. Standard_Cost'!$B$27+'Incremental_Cost Year 8'!AH42*'1. Standard_Cost'!$C$27+'Incremental_Cost Year 8'!AI42*'1. Standard_Cost'!$D$27+'Incremental_Cost Year 8'!AJ42+'Incremental_Cost Year 8'!AL42+AK42</f>
        <v>0</v>
      </c>
      <c r="AN42" s="108">
        <f>AM42*'1. Standard_Cost'!$C$31</f>
        <v>0</v>
      </c>
      <c r="AO42" s="125" t="s">
        <v>294</v>
      </c>
      <c r="AQ42" s="14">
        <f t="shared" si="80"/>
        <v>0</v>
      </c>
      <c r="AR42" s="14">
        <f t="shared" si="81"/>
        <v>0</v>
      </c>
      <c r="AS42" s="14">
        <f t="shared" si="82"/>
        <v>0</v>
      </c>
      <c r="AT42" s="14">
        <f t="shared" ref="AT42:AT57" si="84">SUM(AQ42,AR42,AS42)</f>
        <v>0</v>
      </c>
      <c r="AU42" s="234"/>
      <c r="AV42" s="234">
        <v>0</v>
      </c>
      <c r="AW42" s="234"/>
      <c r="AX42" s="234"/>
      <c r="AY42" s="234"/>
      <c r="AZ42" s="234"/>
      <c r="BA42" s="234"/>
      <c r="BB42" s="16">
        <f t="shared" si="83"/>
        <v>0</v>
      </c>
    </row>
    <row r="43" spans="1:54" ht="15.6" outlineLevel="2">
      <c r="A43" s="98"/>
      <c r="B43" s="102"/>
      <c r="C43" s="23"/>
      <c r="D43" s="251"/>
      <c r="E43" s="251"/>
      <c r="F43" s="251"/>
      <c r="G43" s="250"/>
      <c r="H43" s="272"/>
      <c r="I43" s="258"/>
      <c r="J43" s="259"/>
      <c r="K43" s="259"/>
      <c r="L43" s="106" t="str">
        <f>IF(I43&lt;&gt;0,((VLOOKUP(I43,'1. Standard_Cost'!$B$4:$D$11,2)+VLOOKUP(I43,'1. Standard_Cost'!$B$4:$D$11,3))*J43*K43),"0")</f>
        <v>0</v>
      </c>
      <c r="M43" s="106">
        <f>L43*'1. Standard_Cost'!$F$4</f>
        <v>0</v>
      </c>
      <c r="N43" s="260"/>
      <c r="O43" s="260"/>
      <c r="P43" s="260"/>
      <c r="Q43" s="260"/>
      <c r="R43" s="108">
        <f>'1. Standard_Cost'!$B$15*N43*P43</f>
        <v>0</v>
      </c>
      <c r="S43" s="108">
        <f>N43*O43*P43*'1. Standard_Cost'!$C$15</f>
        <v>0</v>
      </c>
      <c r="T43" s="108">
        <f>N43*P43*Q43*'1. Standard_Cost'!$D$15</f>
        <v>0</v>
      </c>
      <c r="U43" s="108">
        <f>N43*O43*'1. Standard_Cost'!$E$15</f>
        <v>0</v>
      </c>
      <c r="V43" s="260"/>
      <c r="W43" s="260"/>
      <c r="X43" s="260"/>
      <c r="Y43" s="108">
        <f>+V43*((X43*'1. Standard_Cost'!$B$19)+(W43*X43*'1. Standard_Cost'!$C$19))</f>
        <v>0</v>
      </c>
      <c r="Z43" s="260"/>
      <c r="AA43" s="260"/>
      <c r="AB43" s="108">
        <f>+Z43*'1. Standard_Cost'!$B$23+AA43*'1. Standard_Cost'!$C$23</f>
        <v>0</v>
      </c>
      <c r="AC43" s="261"/>
      <c r="AD43" s="262"/>
      <c r="AE43" s="108">
        <f>SUM(AD43,AC43,AB43,Y43,U43,T43,S43,R43)*'1. Standard_Cost'!$B$31</f>
        <v>0</v>
      </c>
      <c r="AF43" s="108">
        <f t="shared" si="79"/>
        <v>0</v>
      </c>
      <c r="AG43" s="260"/>
      <c r="AH43" s="260"/>
      <c r="AI43" s="260"/>
      <c r="AJ43" s="263"/>
      <c r="AK43" s="263"/>
      <c r="AL43" s="263"/>
      <c r="AM43" s="108">
        <f>AG43*'1. Standard_Cost'!$B$27+'Incremental_Cost Year 8'!AH43*'1. Standard_Cost'!$C$27+'Incremental_Cost Year 8'!AI43*'1. Standard_Cost'!$D$27+'Incremental_Cost Year 8'!AJ43+'Incremental_Cost Year 8'!AL43+AK43</f>
        <v>0</v>
      </c>
      <c r="AN43" s="108">
        <f>AM43*'1. Standard_Cost'!$C$31</f>
        <v>0</v>
      </c>
      <c r="AO43" s="125" t="s">
        <v>295</v>
      </c>
      <c r="AQ43" s="14">
        <f t="shared" si="80"/>
        <v>0</v>
      </c>
      <c r="AR43" s="14">
        <f t="shared" si="81"/>
        <v>0</v>
      </c>
      <c r="AS43" s="14">
        <f t="shared" si="82"/>
        <v>0</v>
      </c>
      <c r="AT43" s="14">
        <f t="shared" si="84"/>
        <v>0</v>
      </c>
      <c r="AU43" s="234"/>
      <c r="AV43" s="234">
        <v>0</v>
      </c>
      <c r="AW43" s="234"/>
      <c r="AX43" s="234"/>
      <c r="AY43" s="234"/>
      <c r="AZ43" s="234"/>
      <c r="BA43" s="234"/>
      <c r="BB43" s="16">
        <f t="shared" si="83"/>
        <v>0</v>
      </c>
    </row>
    <row r="44" spans="1:54" ht="82.8" outlineLevel="2">
      <c r="A44" s="98"/>
      <c r="B44" s="102"/>
      <c r="C44" s="23"/>
      <c r="D44" s="251"/>
      <c r="E44" s="251"/>
      <c r="F44" s="172"/>
      <c r="G44" s="173"/>
      <c r="H44" s="272"/>
      <c r="I44" s="258"/>
      <c r="J44" s="259"/>
      <c r="K44" s="259"/>
      <c r="L44" s="106" t="str">
        <f>IF(I44&lt;&gt;0,((VLOOKUP(I44,'1. Standard_Cost'!$B$4:$D$11,2)+VLOOKUP(I44,'1. Standard_Cost'!$B$4:$D$11,3))*J44*K44),"0")</f>
        <v>0</v>
      </c>
      <c r="M44" s="106">
        <f>L44*'1. Standard_Cost'!$F$4</f>
        <v>0</v>
      </c>
      <c r="N44" s="260"/>
      <c r="O44" s="260"/>
      <c r="P44" s="260"/>
      <c r="Q44" s="260"/>
      <c r="R44" s="108">
        <f>'1. Standard_Cost'!$B$15*N44*P44</f>
        <v>0</v>
      </c>
      <c r="S44" s="108">
        <f>N44*O44*P44*'1. Standard_Cost'!$C$15</f>
        <v>0</v>
      </c>
      <c r="T44" s="108">
        <f>N44*P44*Q44*'1. Standard_Cost'!$D$15</f>
        <v>0</v>
      </c>
      <c r="U44" s="108">
        <f>N44*O44*'1. Standard_Cost'!$E$15</f>
        <v>0</v>
      </c>
      <c r="V44" s="260"/>
      <c r="W44" s="260"/>
      <c r="X44" s="260"/>
      <c r="Y44" s="108">
        <f>+V44*((X44*'1. Standard_Cost'!$B$19)+(W44*X44*'1. Standard_Cost'!$C$19))</f>
        <v>0</v>
      </c>
      <c r="Z44" s="260"/>
      <c r="AA44" s="260"/>
      <c r="AB44" s="108">
        <f>+Z44*'1. Standard_Cost'!$B$23+AA44*'1. Standard_Cost'!$C$23</f>
        <v>0</v>
      </c>
      <c r="AC44" s="261"/>
      <c r="AD44" s="262"/>
      <c r="AE44" s="108">
        <f>SUM(AD44,AC44,AB44,Y44,U44,T44,S44,R44)*'1. Standard_Cost'!$B$31</f>
        <v>0</v>
      </c>
      <c r="AF44" s="108">
        <f t="shared" si="79"/>
        <v>0</v>
      </c>
      <c r="AG44" s="260"/>
      <c r="AH44" s="260"/>
      <c r="AI44" s="260"/>
      <c r="AJ44" s="263"/>
      <c r="AK44" s="263"/>
      <c r="AL44" s="263"/>
      <c r="AM44" s="108">
        <f>AG44*'1. Standard_Cost'!$B$27+'Incremental_Cost Year 8'!AH44*'1. Standard_Cost'!$C$27+'Incremental_Cost Year 8'!AI44*'1. Standard_Cost'!$D$27+'Incremental_Cost Year 8'!AJ44+'Incremental_Cost Year 8'!AL44+AK44</f>
        <v>0</v>
      </c>
      <c r="AN44" s="108">
        <f>AM44*'1. Standard_Cost'!$C$31</f>
        <v>0</v>
      </c>
      <c r="AO44" s="125" t="s">
        <v>296</v>
      </c>
      <c r="AQ44" s="14">
        <f t="shared" si="80"/>
        <v>0</v>
      </c>
      <c r="AR44" s="14">
        <f t="shared" si="81"/>
        <v>0</v>
      </c>
      <c r="AS44" s="14">
        <f t="shared" si="82"/>
        <v>0</v>
      </c>
      <c r="AT44" s="14">
        <f t="shared" si="84"/>
        <v>0</v>
      </c>
      <c r="AU44" s="234"/>
      <c r="AV44" s="234"/>
      <c r="AW44" s="234"/>
      <c r="AX44" s="234"/>
      <c r="AY44" s="234"/>
      <c r="AZ44" s="234"/>
      <c r="BA44" s="234"/>
      <c r="BB44" s="16">
        <f t="shared" si="83"/>
        <v>0</v>
      </c>
    </row>
    <row r="45" spans="1:54" ht="15.6" outlineLevel="2">
      <c r="A45" s="98"/>
      <c r="B45" s="102"/>
      <c r="C45" s="23"/>
      <c r="D45" s="251"/>
      <c r="E45" s="251"/>
      <c r="F45" s="251"/>
      <c r="G45" s="250"/>
      <c r="H45" s="272"/>
      <c r="I45" s="258"/>
      <c r="J45" s="259"/>
      <c r="K45" s="259"/>
      <c r="L45" s="106" t="str">
        <f>IF(I45&lt;&gt;0,((VLOOKUP(I45,'1. Standard_Cost'!$B$4:$D$11,2)+VLOOKUP(I45,'1. Standard_Cost'!$B$4:$D$11,3))*J45*K45),"0")</f>
        <v>0</v>
      </c>
      <c r="M45" s="106">
        <f>L45*'1. Standard_Cost'!$F$4</f>
        <v>0</v>
      </c>
      <c r="N45" s="260"/>
      <c r="O45" s="260"/>
      <c r="P45" s="260"/>
      <c r="Q45" s="260"/>
      <c r="R45" s="108">
        <f>'1. Standard_Cost'!$B$15*N45*P45</f>
        <v>0</v>
      </c>
      <c r="S45" s="108">
        <f>N45*O45*P45*'1. Standard_Cost'!$C$15</f>
        <v>0</v>
      </c>
      <c r="T45" s="108">
        <f>N45*P45*Q45*'1. Standard_Cost'!$D$15</f>
        <v>0</v>
      </c>
      <c r="U45" s="108">
        <f>N45*O45*'1. Standard_Cost'!$E$15</f>
        <v>0</v>
      </c>
      <c r="V45" s="260"/>
      <c r="W45" s="260"/>
      <c r="X45" s="260"/>
      <c r="Y45" s="108">
        <f>+V45*((X45*'1. Standard_Cost'!$B$19)+(W45*X45*'1. Standard_Cost'!$C$19))</f>
        <v>0</v>
      </c>
      <c r="Z45" s="260"/>
      <c r="AA45" s="260"/>
      <c r="AB45" s="108">
        <f>+Z45*'1. Standard_Cost'!$B$23+AA45*'1. Standard_Cost'!$C$23</f>
        <v>0</v>
      </c>
      <c r="AC45" s="261"/>
      <c r="AD45" s="262"/>
      <c r="AE45" s="108">
        <f>SUM(AD45,AC45,AB45,Y45,U45,T45,S45,R45)*'1. Standard_Cost'!$B$31</f>
        <v>0</v>
      </c>
      <c r="AF45" s="108">
        <f t="shared" si="79"/>
        <v>0</v>
      </c>
      <c r="AG45" s="260"/>
      <c r="AH45" s="260"/>
      <c r="AI45" s="260"/>
      <c r="AJ45" s="263"/>
      <c r="AK45" s="263"/>
      <c r="AL45" s="263"/>
      <c r="AM45" s="108">
        <f>AG45*'1. Standard_Cost'!$B$27+'Incremental_Cost Year 8'!AH45*'1. Standard_Cost'!$C$27+'Incremental_Cost Year 8'!AI45*'1. Standard_Cost'!$D$27+'Incremental_Cost Year 8'!AJ45+'Incremental_Cost Year 8'!AL45+AK45</f>
        <v>0</v>
      </c>
      <c r="AN45" s="108">
        <f>AM45*'1. Standard_Cost'!$C$31</f>
        <v>0</v>
      </c>
      <c r="AO45" s="125" t="s">
        <v>297</v>
      </c>
      <c r="AQ45" s="14">
        <f t="shared" si="80"/>
        <v>0</v>
      </c>
      <c r="AR45" s="14">
        <f t="shared" si="81"/>
        <v>0</v>
      </c>
      <c r="AS45" s="14">
        <f t="shared" si="82"/>
        <v>0</v>
      </c>
      <c r="AT45" s="14">
        <f t="shared" si="84"/>
        <v>0</v>
      </c>
      <c r="AU45" s="234"/>
      <c r="AV45" s="234">
        <v>0</v>
      </c>
      <c r="AW45" s="234"/>
      <c r="AX45" s="234"/>
      <c r="AY45" s="234"/>
      <c r="AZ45" s="234"/>
      <c r="BA45" s="234"/>
      <c r="BB45" s="16">
        <f t="shared" si="83"/>
        <v>0</v>
      </c>
    </row>
    <row r="46" spans="1:54" ht="15.6" outlineLevel="2">
      <c r="A46" s="98"/>
      <c r="B46" s="102"/>
      <c r="C46" s="23"/>
      <c r="D46" s="251"/>
      <c r="E46" s="251"/>
      <c r="F46" s="251"/>
      <c r="G46" s="250"/>
      <c r="H46" s="272"/>
      <c r="I46" s="258"/>
      <c r="J46" s="259"/>
      <c r="K46" s="259"/>
      <c r="L46" s="106" t="str">
        <f>IF(I46&lt;&gt;0,((VLOOKUP(I46,'1. Standard_Cost'!$B$4:$D$11,2)+VLOOKUP(I46,'1. Standard_Cost'!$B$4:$D$11,3))*J46*K46),"0")</f>
        <v>0</v>
      </c>
      <c r="M46" s="106">
        <f>L46*'1. Standard_Cost'!$F$4</f>
        <v>0</v>
      </c>
      <c r="N46" s="260"/>
      <c r="O46" s="260"/>
      <c r="P46" s="260"/>
      <c r="Q46" s="260"/>
      <c r="R46" s="108">
        <f>'1. Standard_Cost'!$B$15*N46*P46</f>
        <v>0</v>
      </c>
      <c r="S46" s="108">
        <f>N46*O46*P46*'1. Standard_Cost'!$C$15</f>
        <v>0</v>
      </c>
      <c r="T46" s="108">
        <f>N46*P46*Q46*'1. Standard_Cost'!$D$15</f>
        <v>0</v>
      </c>
      <c r="U46" s="108">
        <f>N46*O46*'1. Standard_Cost'!$E$15</f>
        <v>0</v>
      </c>
      <c r="V46" s="260"/>
      <c r="W46" s="260"/>
      <c r="X46" s="260"/>
      <c r="Y46" s="108">
        <f>+V46*((X46*'1. Standard_Cost'!$B$19)+(W46*X46*'1. Standard_Cost'!$C$19))</f>
        <v>0</v>
      </c>
      <c r="Z46" s="260"/>
      <c r="AA46" s="260"/>
      <c r="AB46" s="108">
        <f>+Z46*'1. Standard_Cost'!$B$23+AA46*'1. Standard_Cost'!$C$23</f>
        <v>0</v>
      </c>
      <c r="AC46" s="261"/>
      <c r="AD46" s="262"/>
      <c r="AE46" s="108">
        <f>SUM(AD46,AC46,AB46,Y46,U46,T46,S46,R46)*'1. Standard_Cost'!$B$31</f>
        <v>0</v>
      </c>
      <c r="AF46" s="108">
        <f t="shared" si="79"/>
        <v>0</v>
      </c>
      <c r="AG46" s="260"/>
      <c r="AH46" s="260"/>
      <c r="AI46" s="260"/>
      <c r="AJ46" s="263"/>
      <c r="AK46" s="263"/>
      <c r="AL46" s="263"/>
      <c r="AM46" s="108">
        <f>AG46*'1. Standard_Cost'!$B$27+'Incremental_Cost Year 8'!AH46*'1. Standard_Cost'!$C$27+'Incremental_Cost Year 8'!AI46*'1. Standard_Cost'!$D$27+'Incremental_Cost Year 8'!AJ46+'Incremental_Cost Year 8'!AL46+AK46</f>
        <v>0</v>
      </c>
      <c r="AN46" s="108">
        <f>AM46*'1. Standard_Cost'!$C$31</f>
        <v>0</v>
      </c>
      <c r="AO46" s="125" t="s">
        <v>298</v>
      </c>
      <c r="AQ46" s="14">
        <f t="shared" si="80"/>
        <v>0</v>
      </c>
      <c r="AR46" s="14">
        <f t="shared" si="81"/>
        <v>0</v>
      </c>
      <c r="AS46" s="14">
        <f t="shared" si="82"/>
        <v>0</v>
      </c>
      <c r="AT46" s="14">
        <f t="shared" si="84"/>
        <v>0</v>
      </c>
      <c r="AU46" s="234"/>
      <c r="AV46" s="234"/>
      <c r="AW46" s="234"/>
      <c r="AX46" s="234"/>
      <c r="AY46" s="234"/>
      <c r="AZ46" s="234"/>
      <c r="BA46" s="234"/>
      <c r="BB46" s="16">
        <f t="shared" si="83"/>
        <v>0</v>
      </c>
    </row>
    <row r="47" spans="1:54" ht="15.6" outlineLevel="2">
      <c r="A47" s="98"/>
      <c r="B47" s="102"/>
      <c r="C47" s="23"/>
      <c r="D47" s="251"/>
      <c r="E47" s="251"/>
      <c r="F47" s="172"/>
      <c r="G47" s="173"/>
      <c r="H47" s="272"/>
      <c r="I47" s="258"/>
      <c r="J47" s="259"/>
      <c r="K47" s="259"/>
      <c r="L47" s="106" t="str">
        <f>IF(I47&lt;&gt;0,((VLOOKUP(I47,'1. Standard_Cost'!$B$4:$D$11,2)+VLOOKUP(I47,'1. Standard_Cost'!$B$4:$D$11,3))*J47*K47),"0")</f>
        <v>0</v>
      </c>
      <c r="M47" s="106">
        <f>L47*'1. Standard_Cost'!$F$4</f>
        <v>0</v>
      </c>
      <c r="N47" s="260"/>
      <c r="O47" s="260"/>
      <c r="P47" s="260"/>
      <c r="Q47" s="260"/>
      <c r="R47" s="108">
        <f>'1. Standard_Cost'!$B$15*N47*P47</f>
        <v>0</v>
      </c>
      <c r="S47" s="108">
        <f>N47*O47*P47*'1. Standard_Cost'!$C$15</f>
        <v>0</v>
      </c>
      <c r="T47" s="108">
        <f>N47*P47*Q47*'1. Standard_Cost'!$D$15</f>
        <v>0</v>
      </c>
      <c r="U47" s="108">
        <f>N47*O47*'1. Standard_Cost'!$E$15</f>
        <v>0</v>
      </c>
      <c r="V47" s="260"/>
      <c r="W47" s="260"/>
      <c r="X47" s="260"/>
      <c r="Y47" s="108">
        <f>+V47*((X47*'1. Standard_Cost'!$B$19)+(W47*X47*'1. Standard_Cost'!$C$19))</f>
        <v>0</v>
      </c>
      <c r="Z47" s="260"/>
      <c r="AA47" s="260"/>
      <c r="AB47" s="108">
        <f>+Z47*'1. Standard_Cost'!$B$23+AA47*'1. Standard_Cost'!$C$23</f>
        <v>0</v>
      </c>
      <c r="AC47" s="261"/>
      <c r="AD47" s="262"/>
      <c r="AE47" s="108">
        <f>SUM(AD47,AC47,AB47,Y47,U47,T47,S47,R47)*'1. Standard_Cost'!$B$31</f>
        <v>0</v>
      </c>
      <c r="AF47" s="108">
        <f t="shared" si="79"/>
        <v>0</v>
      </c>
      <c r="AG47" s="260"/>
      <c r="AH47" s="260"/>
      <c r="AI47" s="260"/>
      <c r="AJ47" s="263"/>
      <c r="AK47" s="263"/>
      <c r="AL47" s="263"/>
      <c r="AM47" s="108">
        <f>AG47*'1. Standard_Cost'!$B$27+'Incremental_Cost Year 8'!AH47*'1. Standard_Cost'!$C$27+'Incremental_Cost Year 8'!AI47*'1. Standard_Cost'!$D$27+'Incremental_Cost Year 8'!AJ47+'Incremental_Cost Year 8'!AL47+AK47</f>
        <v>0</v>
      </c>
      <c r="AN47" s="108">
        <f>AM47*'1. Standard_Cost'!$C$31</f>
        <v>0</v>
      </c>
      <c r="AO47" s="125" t="s">
        <v>298</v>
      </c>
      <c r="AQ47" s="14">
        <f t="shared" si="80"/>
        <v>0</v>
      </c>
      <c r="AR47" s="14">
        <f t="shared" si="81"/>
        <v>0</v>
      </c>
      <c r="AS47" s="14">
        <f t="shared" si="82"/>
        <v>0</v>
      </c>
      <c r="AT47" s="14">
        <f t="shared" si="84"/>
        <v>0</v>
      </c>
      <c r="AU47" s="234"/>
      <c r="AV47" s="234">
        <v>0</v>
      </c>
      <c r="AW47" s="234"/>
      <c r="AX47" s="234"/>
      <c r="AY47" s="234"/>
      <c r="AZ47" s="234"/>
      <c r="BA47" s="234"/>
      <c r="BB47" s="16">
        <f t="shared" si="83"/>
        <v>0</v>
      </c>
    </row>
    <row r="48" spans="1:54" ht="15.6" outlineLevel="2">
      <c r="A48" s="98"/>
      <c r="B48" s="102"/>
      <c r="C48" s="23"/>
      <c r="D48" s="251"/>
      <c r="E48" s="251"/>
      <c r="F48" s="172"/>
      <c r="G48" s="173"/>
      <c r="H48" s="272"/>
      <c r="I48" s="258"/>
      <c r="J48" s="259"/>
      <c r="K48" s="259"/>
      <c r="L48" s="106" t="str">
        <f>IF(I48&lt;&gt;0,((VLOOKUP(I48,'1. Standard_Cost'!$B$4:$D$11,2)+VLOOKUP(I48,'1. Standard_Cost'!$B$4:$D$11,3))*J48*K48),"0")</f>
        <v>0</v>
      </c>
      <c r="M48" s="106">
        <f>L48*'1. Standard_Cost'!$F$4</f>
        <v>0</v>
      </c>
      <c r="N48" s="260"/>
      <c r="O48" s="260"/>
      <c r="P48" s="260"/>
      <c r="Q48" s="260"/>
      <c r="R48" s="108">
        <f>'1. Standard_Cost'!$B$15*N48*P48</f>
        <v>0</v>
      </c>
      <c r="S48" s="108">
        <f>N48*O48*P48*'1. Standard_Cost'!$C$15</f>
        <v>0</v>
      </c>
      <c r="T48" s="108">
        <f>N48*P48*Q48*'1. Standard_Cost'!$D$15</f>
        <v>0</v>
      </c>
      <c r="U48" s="108">
        <f>N48*O48*'1. Standard_Cost'!$E$15</f>
        <v>0</v>
      </c>
      <c r="V48" s="260"/>
      <c r="W48" s="260"/>
      <c r="X48" s="260"/>
      <c r="Y48" s="108">
        <f>+V48*((X48*'1. Standard_Cost'!$B$19)+(W48*X48*'1. Standard_Cost'!$C$19))</f>
        <v>0</v>
      </c>
      <c r="Z48" s="260"/>
      <c r="AA48" s="260"/>
      <c r="AB48" s="108">
        <f>+Z48*'1. Standard_Cost'!$B$23+AA48*'1. Standard_Cost'!$C$23</f>
        <v>0</v>
      </c>
      <c r="AC48" s="261"/>
      <c r="AD48" s="262"/>
      <c r="AE48" s="108">
        <f>SUM(AD48,AC48,AB48,Y48,U48,T48,S48,R48)*'1. Standard_Cost'!$B$31</f>
        <v>0</v>
      </c>
      <c r="AF48" s="108">
        <f t="shared" si="79"/>
        <v>0</v>
      </c>
      <c r="AG48" s="260"/>
      <c r="AH48" s="260"/>
      <c r="AI48" s="260"/>
      <c r="AJ48" s="263"/>
      <c r="AK48" s="263"/>
      <c r="AL48" s="263"/>
      <c r="AM48" s="108">
        <f>AG48*'1. Standard_Cost'!$B$27+'Incremental_Cost Year 8'!AH48*'1. Standard_Cost'!$C$27+'Incremental_Cost Year 8'!AI48*'1. Standard_Cost'!$D$27+'Incremental_Cost Year 8'!AJ48+'Incremental_Cost Year 8'!AL48+AK48</f>
        <v>0</v>
      </c>
      <c r="AN48" s="108">
        <f>AM48*'1. Standard_Cost'!$C$31</f>
        <v>0</v>
      </c>
      <c r="AO48" s="125" t="s">
        <v>298</v>
      </c>
      <c r="AQ48" s="14">
        <f t="shared" si="80"/>
        <v>0</v>
      </c>
      <c r="AR48" s="14">
        <f t="shared" si="81"/>
        <v>0</v>
      </c>
      <c r="AS48" s="14">
        <f t="shared" si="82"/>
        <v>0</v>
      </c>
      <c r="AT48" s="14">
        <f t="shared" si="84"/>
        <v>0</v>
      </c>
      <c r="AU48" s="234"/>
      <c r="AV48" s="234"/>
      <c r="AW48" s="234"/>
      <c r="AX48" s="234"/>
      <c r="AY48" s="234"/>
      <c r="AZ48" s="234"/>
      <c r="BA48" s="234"/>
      <c r="BB48" s="16">
        <f t="shared" si="83"/>
        <v>0</v>
      </c>
    </row>
    <row r="49" spans="1:54" ht="15.6" outlineLevel="2">
      <c r="A49" s="98"/>
      <c r="B49" s="102"/>
      <c r="C49" s="23"/>
      <c r="D49" s="251"/>
      <c r="E49" s="251"/>
      <c r="F49" s="251"/>
      <c r="G49" s="250"/>
      <c r="H49" s="272"/>
      <c r="I49" s="258"/>
      <c r="J49" s="259"/>
      <c r="K49" s="259"/>
      <c r="L49" s="106" t="str">
        <f>IF(I49&lt;&gt;0,((VLOOKUP(I49,'1. Standard_Cost'!$B$4:$D$11,2)+VLOOKUP(I49,'1. Standard_Cost'!$B$4:$D$11,3))*J49*K49),"0")</f>
        <v>0</v>
      </c>
      <c r="M49" s="106">
        <f>L49*'1. Standard_Cost'!$F$4</f>
        <v>0</v>
      </c>
      <c r="N49" s="260"/>
      <c r="O49" s="260"/>
      <c r="P49" s="260"/>
      <c r="Q49" s="260"/>
      <c r="R49" s="108">
        <f>'1. Standard_Cost'!$B$15*N49*P49</f>
        <v>0</v>
      </c>
      <c r="S49" s="108">
        <f>N49*O49*P49*'1. Standard_Cost'!$C$15</f>
        <v>0</v>
      </c>
      <c r="T49" s="108">
        <f>N49*P49*Q49*'1. Standard_Cost'!$D$15</f>
        <v>0</v>
      </c>
      <c r="U49" s="108">
        <f>N49*O49*'1. Standard_Cost'!$E$15</f>
        <v>0</v>
      </c>
      <c r="V49" s="260"/>
      <c r="W49" s="260"/>
      <c r="X49" s="260"/>
      <c r="Y49" s="108">
        <f>+V49*((X49*'1. Standard_Cost'!$B$19)+(W49*X49*'1. Standard_Cost'!$C$19))</f>
        <v>0</v>
      </c>
      <c r="Z49" s="260"/>
      <c r="AA49" s="260"/>
      <c r="AB49" s="108">
        <f>+Z49*'1. Standard_Cost'!$B$23+AA49*'1. Standard_Cost'!$C$23</f>
        <v>0</v>
      </c>
      <c r="AC49" s="261"/>
      <c r="AD49" s="262"/>
      <c r="AE49" s="108">
        <f>SUM(AD49,AC49,AB49,Y49,U49,T49,S49,R49)*'1. Standard_Cost'!$B$31</f>
        <v>0</v>
      </c>
      <c r="AF49" s="108">
        <f t="shared" si="79"/>
        <v>0</v>
      </c>
      <c r="AG49" s="260"/>
      <c r="AH49" s="260"/>
      <c r="AI49" s="260"/>
      <c r="AJ49" s="263"/>
      <c r="AK49" s="263"/>
      <c r="AL49" s="263"/>
      <c r="AM49" s="108">
        <f>AG49*'1. Standard_Cost'!$B$27+'Incremental_Cost Year 8'!AH49*'1. Standard_Cost'!$C$27+'Incremental_Cost Year 8'!AI49*'1. Standard_Cost'!$D$27+'Incremental_Cost Year 8'!AJ49+'Incremental_Cost Year 8'!AL49+AK49</f>
        <v>0</v>
      </c>
      <c r="AN49" s="108">
        <f>AM49*'1. Standard_Cost'!$C$31</f>
        <v>0</v>
      </c>
      <c r="AO49" s="125" t="s">
        <v>299</v>
      </c>
      <c r="AQ49" s="14">
        <f t="shared" si="80"/>
        <v>0</v>
      </c>
      <c r="AR49" s="14">
        <f t="shared" si="81"/>
        <v>0</v>
      </c>
      <c r="AS49" s="14">
        <f t="shared" si="82"/>
        <v>0</v>
      </c>
      <c r="AT49" s="14">
        <f t="shared" si="84"/>
        <v>0</v>
      </c>
      <c r="AU49" s="234"/>
      <c r="AV49" s="234">
        <v>0</v>
      </c>
      <c r="AW49" s="234"/>
      <c r="AX49" s="234"/>
      <c r="AY49" s="234"/>
      <c r="AZ49" s="234"/>
      <c r="BA49" s="234"/>
      <c r="BB49" s="16">
        <f t="shared" si="83"/>
        <v>0</v>
      </c>
    </row>
    <row r="50" spans="1:54" ht="15.6" outlineLevel="2">
      <c r="A50" s="98"/>
      <c r="B50" s="102"/>
      <c r="C50" s="23"/>
      <c r="D50" s="251"/>
      <c r="E50" s="251"/>
      <c r="F50" s="172"/>
      <c r="G50" s="173"/>
      <c r="H50" s="272"/>
      <c r="I50" s="258"/>
      <c r="J50" s="259"/>
      <c r="K50" s="259"/>
      <c r="L50" s="106" t="str">
        <f>IF(I50&lt;&gt;0,((VLOOKUP(I50,'1. Standard_Cost'!$B$4:$D$11,2)+VLOOKUP(I50,'1. Standard_Cost'!$B$4:$D$11,3))*J50*K50),"0")</f>
        <v>0</v>
      </c>
      <c r="M50" s="106">
        <f>L50*'1. Standard_Cost'!$F$4</f>
        <v>0</v>
      </c>
      <c r="N50" s="260"/>
      <c r="O50" s="260"/>
      <c r="P50" s="260"/>
      <c r="Q50" s="260"/>
      <c r="R50" s="108">
        <f>'1. Standard_Cost'!$B$15*N50*P50</f>
        <v>0</v>
      </c>
      <c r="S50" s="108">
        <f>N50*O50*P50*'1. Standard_Cost'!$C$15</f>
        <v>0</v>
      </c>
      <c r="T50" s="108">
        <f>N50*P50*Q50*'1. Standard_Cost'!$D$15</f>
        <v>0</v>
      </c>
      <c r="U50" s="108">
        <f>N50*O50*'1. Standard_Cost'!$E$15</f>
        <v>0</v>
      </c>
      <c r="V50" s="260"/>
      <c r="W50" s="260"/>
      <c r="X50" s="260"/>
      <c r="Y50" s="108">
        <f>+V50*((X50*'1. Standard_Cost'!$B$19)+(W50*X50*'1. Standard_Cost'!$C$19))</f>
        <v>0</v>
      </c>
      <c r="Z50" s="260"/>
      <c r="AA50" s="260"/>
      <c r="AB50" s="108">
        <f>+Z50*'1. Standard_Cost'!$B$23+AA50*'1. Standard_Cost'!$C$23</f>
        <v>0</v>
      </c>
      <c r="AC50" s="261"/>
      <c r="AD50" s="262"/>
      <c r="AE50" s="108">
        <f>SUM(AD50,AC50,AB50,Y50,U50,T50,S50,R50)*'1. Standard_Cost'!$B$31</f>
        <v>0</v>
      </c>
      <c r="AF50" s="108">
        <f t="shared" si="79"/>
        <v>0</v>
      </c>
      <c r="AG50" s="260"/>
      <c r="AH50" s="260"/>
      <c r="AI50" s="260"/>
      <c r="AJ50" s="263"/>
      <c r="AK50" s="263"/>
      <c r="AL50" s="263"/>
      <c r="AM50" s="108">
        <f>AG50*'1. Standard_Cost'!$B$27+'Incremental_Cost Year 8'!AH50*'1. Standard_Cost'!$C$27+'Incremental_Cost Year 8'!AI50*'1. Standard_Cost'!$D$27+'Incremental_Cost Year 8'!AJ50+'Incremental_Cost Year 8'!AL50+AK50</f>
        <v>0</v>
      </c>
      <c r="AN50" s="108">
        <f>AM50*'1. Standard_Cost'!$C$31</f>
        <v>0</v>
      </c>
      <c r="AO50" s="125" t="s">
        <v>300</v>
      </c>
      <c r="AQ50" s="14">
        <f t="shared" si="80"/>
        <v>0</v>
      </c>
      <c r="AR50" s="14">
        <f t="shared" si="81"/>
        <v>0</v>
      </c>
      <c r="AS50" s="14">
        <f t="shared" si="82"/>
        <v>0</v>
      </c>
      <c r="AT50" s="14">
        <f t="shared" si="84"/>
        <v>0</v>
      </c>
      <c r="AU50" s="234"/>
      <c r="AV50" s="234">
        <v>0</v>
      </c>
      <c r="AW50" s="234"/>
      <c r="AX50" s="234"/>
      <c r="AY50" s="234"/>
      <c r="AZ50" s="234"/>
      <c r="BA50" s="234"/>
      <c r="BB50" s="16">
        <f t="shared" si="83"/>
        <v>0</v>
      </c>
    </row>
    <row r="51" spans="1:54" ht="15.6" outlineLevel="2">
      <c r="A51" s="98"/>
      <c r="B51" s="102"/>
      <c r="C51" s="23"/>
      <c r="D51" s="251"/>
      <c r="E51" s="251"/>
      <c r="F51" s="251"/>
      <c r="G51" s="173"/>
      <c r="H51" s="272"/>
      <c r="I51" s="258"/>
      <c r="J51" s="259"/>
      <c r="K51" s="259"/>
      <c r="L51" s="106" t="str">
        <f>IF(I51&lt;&gt;0,((VLOOKUP(I51,'1. Standard_Cost'!$B$4:$D$11,2)+VLOOKUP(I51,'1. Standard_Cost'!$B$4:$D$11,3))*J51*K51),"0")</f>
        <v>0</v>
      </c>
      <c r="M51" s="106">
        <f>L51*'1. Standard_Cost'!$F$4</f>
        <v>0</v>
      </c>
      <c r="N51" s="260"/>
      <c r="O51" s="260"/>
      <c r="P51" s="260"/>
      <c r="Q51" s="260"/>
      <c r="R51" s="108">
        <f>'1. Standard_Cost'!$B$15*N51*P51</f>
        <v>0</v>
      </c>
      <c r="S51" s="108">
        <f>N51*O51*P51*'1. Standard_Cost'!$C$15</f>
        <v>0</v>
      </c>
      <c r="T51" s="108">
        <f>N51*P51*Q51*'1. Standard_Cost'!$D$15</f>
        <v>0</v>
      </c>
      <c r="U51" s="108">
        <f>N51*O51*'1. Standard_Cost'!$E$15</f>
        <v>0</v>
      </c>
      <c r="V51" s="260"/>
      <c r="W51" s="260"/>
      <c r="X51" s="260"/>
      <c r="Y51" s="108">
        <f>+V51*((X51*'1. Standard_Cost'!$B$19)+(W51*X51*'1. Standard_Cost'!$C$19))</f>
        <v>0</v>
      </c>
      <c r="Z51" s="260"/>
      <c r="AA51" s="260"/>
      <c r="AB51" s="108">
        <f>+Z51*'1. Standard_Cost'!$B$23+AA51*'1. Standard_Cost'!$C$23</f>
        <v>0</v>
      </c>
      <c r="AC51" s="261"/>
      <c r="AD51" s="262"/>
      <c r="AE51" s="108">
        <f>SUM(AD51,AC51,AB51,Y51,U51,T51,S51,R51)*'1. Standard_Cost'!$B$31</f>
        <v>0</v>
      </c>
      <c r="AF51" s="108">
        <f t="shared" si="79"/>
        <v>0</v>
      </c>
      <c r="AG51" s="260"/>
      <c r="AH51" s="260"/>
      <c r="AI51" s="260"/>
      <c r="AJ51" s="263"/>
      <c r="AK51" s="263"/>
      <c r="AL51" s="263"/>
      <c r="AM51" s="108">
        <f>AG51*'1. Standard_Cost'!$B$27+'Incremental_Cost Year 8'!AH51*'1. Standard_Cost'!$C$27+'Incremental_Cost Year 8'!AI51*'1. Standard_Cost'!$D$27+'Incremental_Cost Year 8'!AJ51+'Incremental_Cost Year 8'!AL51+AK51</f>
        <v>0</v>
      </c>
      <c r="AN51" s="108">
        <f>AM51*'1. Standard_Cost'!$C$31</f>
        <v>0</v>
      </c>
      <c r="AO51" s="125" t="s">
        <v>301</v>
      </c>
      <c r="AQ51" s="14">
        <f t="shared" si="80"/>
        <v>0</v>
      </c>
      <c r="AR51" s="14">
        <f t="shared" si="81"/>
        <v>0</v>
      </c>
      <c r="AS51" s="14">
        <f t="shared" si="82"/>
        <v>0</v>
      </c>
      <c r="AT51" s="14">
        <f t="shared" si="84"/>
        <v>0</v>
      </c>
      <c r="AU51" s="234"/>
      <c r="AV51" s="234"/>
      <c r="AW51" s="234"/>
      <c r="AX51" s="234"/>
      <c r="AY51" s="234"/>
      <c r="AZ51" s="234"/>
      <c r="BA51" s="234"/>
      <c r="BB51" s="16">
        <f t="shared" si="83"/>
        <v>0</v>
      </c>
    </row>
    <row r="52" spans="1:54" ht="15.6" outlineLevel="2">
      <c r="A52" s="98"/>
      <c r="B52" s="102"/>
      <c r="C52" s="23"/>
      <c r="D52" s="251"/>
      <c r="E52" s="251"/>
      <c r="F52" s="251"/>
      <c r="G52" s="250"/>
      <c r="H52" s="272"/>
      <c r="I52" s="258"/>
      <c r="J52" s="259"/>
      <c r="K52" s="259"/>
      <c r="L52" s="106" t="str">
        <f>IF(I52&lt;&gt;0,((VLOOKUP(I52,'1. Standard_Cost'!$B$4:$D$11,2)+VLOOKUP(I52,'1. Standard_Cost'!$B$4:$D$11,3))*J52*K52),"0")</f>
        <v>0</v>
      </c>
      <c r="M52" s="106">
        <f>L52*'1. Standard_Cost'!$F$4</f>
        <v>0</v>
      </c>
      <c r="N52" s="260"/>
      <c r="O52" s="260"/>
      <c r="P52" s="260"/>
      <c r="Q52" s="260"/>
      <c r="R52" s="108">
        <f>'1. Standard_Cost'!$B$15*N52*P52</f>
        <v>0</v>
      </c>
      <c r="S52" s="108">
        <f>N52*O52*P52*'1. Standard_Cost'!$C$15</f>
        <v>0</v>
      </c>
      <c r="T52" s="108">
        <f>N52*P52*Q52*'1. Standard_Cost'!$D$15</f>
        <v>0</v>
      </c>
      <c r="U52" s="108">
        <f>N52*O52*'1. Standard_Cost'!$E$15</f>
        <v>0</v>
      </c>
      <c r="V52" s="260"/>
      <c r="W52" s="260"/>
      <c r="X52" s="260"/>
      <c r="Y52" s="108">
        <f>+V52*((X52*'1. Standard_Cost'!$B$19)+(W52*X52*'1. Standard_Cost'!$C$19))</f>
        <v>0</v>
      </c>
      <c r="Z52" s="260"/>
      <c r="AA52" s="260"/>
      <c r="AB52" s="108">
        <f>+Z52*'1. Standard_Cost'!$B$23+AA52*'1. Standard_Cost'!$C$23</f>
        <v>0</v>
      </c>
      <c r="AC52" s="261"/>
      <c r="AD52" s="262"/>
      <c r="AE52" s="108">
        <f>SUM(AD52,AC52,AB52,Y52,U52,T52,S52,R52)*'1. Standard_Cost'!$B$31</f>
        <v>0</v>
      </c>
      <c r="AF52" s="108">
        <f t="shared" si="79"/>
        <v>0</v>
      </c>
      <c r="AG52" s="260"/>
      <c r="AH52" s="260"/>
      <c r="AI52" s="260"/>
      <c r="AJ52" s="263"/>
      <c r="AK52" s="263"/>
      <c r="AL52" s="263"/>
      <c r="AM52" s="108">
        <f>AG52*'1. Standard_Cost'!$B$27+'Incremental_Cost Year 8'!AH52*'1. Standard_Cost'!$C$27+'Incremental_Cost Year 8'!AI52*'1. Standard_Cost'!$D$27+'Incremental_Cost Year 8'!AJ52+'Incremental_Cost Year 8'!AL52+AK52</f>
        <v>0</v>
      </c>
      <c r="AN52" s="108">
        <f>AM52*'1. Standard_Cost'!$C$31</f>
        <v>0</v>
      </c>
      <c r="AO52" s="125" t="s">
        <v>302</v>
      </c>
      <c r="AQ52" s="14">
        <f t="shared" si="80"/>
        <v>0</v>
      </c>
      <c r="AR52" s="14">
        <f t="shared" si="81"/>
        <v>0</v>
      </c>
      <c r="AS52" s="14">
        <f t="shared" si="82"/>
        <v>0</v>
      </c>
      <c r="AT52" s="14">
        <f t="shared" si="84"/>
        <v>0</v>
      </c>
      <c r="AU52" s="234"/>
      <c r="AV52" s="234">
        <v>0</v>
      </c>
      <c r="AW52" s="234"/>
      <c r="AX52" s="234"/>
      <c r="AY52" s="234"/>
      <c r="AZ52" s="234"/>
      <c r="BA52" s="234"/>
      <c r="BB52" s="16">
        <f t="shared" si="83"/>
        <v>0</v>
      </c>
    </row>
    <row r="53" spans="1:54" ht="15.6" outlineLevel="2">
      <c r="A53" s="98"/>
      <c r="B53" s="102"/>
      <c r="C53" s="23"/>
      <c r="D53" s="251"/>
      <c r="E53" s="251"/>
      <c r="F53" s="172"/>
      <c r="G53" s="173"/>
      <c r="H53" s="272"/>
      <c r="I53" s="258"/>
      <c r="J53" s="259"/>
      <c r="K53" s="259"/>
      <c r="L53" s="106" t="str">
        <f>IF(I53&lt;&gt;0,((VLOOKUP(I53,'1. Standard_Cost'!$B$4:$D$11,2)+VLOOKUP(I53,'1. Standard_Cost'!$B$4:$D$11,3))*J53*K53),"0")</f>
        <v>0</v>
      </c>
      <c r="M53" s="106">
        <f>L53*'1. Standard_Cost'!$F$4</f>
        <v>0</v>
      </c>
      <c r="N53" s="260"/>
      <c r="O53" s="260"/>
      <c r="P53" s="260"/>
      <c r="Q53" s="260"/>
      <c r="R53" s="108">
        <f>'1. Standard_Cost'!$B$15*N53*P53</f>
        <v>0</v>
      </c>
      <c r="S53" s="108">
        <f>N53*O53*P53*'1. Standard_Cost'!$C$15</f>
        <v>0</v>
      </c>
      <c r="T53" s="108">
        <f>N53*P53*Q53*'1. Standard_Cost'!$D$15</f>
        <v>0</v>
      </c>
      <c r="U53" s="108">
        <f>N53*O53*'1. Standard_Cost'!$E$15</f>
        <v>0</v>
      </c>
      <c r="V53" s="260"/>
      <c r="W53" s="260"/>
      <c r="X53" s="260"/>
      <c r="Y53" s="108">
        <f>+V53*((X53*'1. Standard_Cost'!$B$19)+(W53*X53*'1. Standard_Cost'!$C$19))</f>
        <v>0</v>
      </c>
      <c r="Z53" s="260"/>
      <c r="AA53" s="260"/>
      <c r="AB53" s="108">
        <f>+Z53*'1. Standard_Cost'!$B$23+AA53*'1. Standard_Cost'!$C$23</f>
        <v>0</v>
      </c>
      <c r="AC53" s="261"/>
      <c r="AD53" s="262"/>
      <c r="AE53" s="108">
        <f>SUM(AD53,AC53,AB53,Y53,U53,T53,S53,R53)*'1. Standard_Cost'!$B$31</f>
        <v>0</v>
      </c>
      <c r="AF53" s="108">
        <f t="shared" si="79"/>
        <v>0</v>
      </c>
      <c r="AG53" s="260"/>
      <c r="AH53" s="260"/>
      <c r="AI53" s="260"/>
      <c r="AJ53" s="263"/>
      <c r="AK53" s="263"/>
      <c r="AL53" s="263"/>
      <c r="AM53" s="108">
        <f>AG53*'1. Standard_Cost'!$B$27+'Incremental_Cost Year 8'!AH53*'1. Standard_Cost'!$C$27+'Incremental_Cost Year 8'!AI53*'1. Standard_Cost'!$D$27+'Incremental_Cost Year 8'!AJ53+'Incremental_Cost Year 8'!AL53+AK53</f>
        <v>0</v>
      </c>
      <c r="AN53" s="108">
        <f>AM53*'1. Standard_Cost'!$C$31</f>
        <v>0</v>
      </c>
      <c r="AO53" s="125" t="s">
        <v>302</v>
      </c>
      <c r="AQ53" s="14">
        <f t="shared" si="80"/>
        <v>0</v>
      </c>
      <c r="AR53" s="14">
        <f t="shared" si="81"/>
        <v>0</v>
      </c>
      <c r="AS53" s="14">
        <f t="shared" si="82"/>
        <v>0</v>
      </c>
      <c r="AT53" s="14">
        <f t="shared" si="84"/>
        <v>0</v>
      </c>
      <c r="AU53" s="234"/>
      <c r="AV53" s="234"/>
      <c r="AW53" s="234"/>
      <c r="AX53" s="234"/>
      <c r="AY53" s="234"/>
      <c r="AZ53" s="234"/>
      <c r="BA53" s="234"/>
      <c r="BB53" s="16">
        <f t="shared" si="83"/>
        <v>0</v>
      </c>
    </row>
    <row r="54" spans="1:54" ht="15.6" outlineLevel="2">
      <c r="A54" s="98"/>
      <c r="B54" s="102"/>
      <c r="C54" s="23"/>
      <c r="D54" s="251"/>
      <c r="E54" s="251"/>
      <c r="F54" s="172"/>
      <c r="G54" s="173"/>
      <c r="H54" s="272"/>
      <c r="I54" s="258"/>
      <c r="J54" s="259"/>
      <c r="K54" s="259"/>
      <c r="L54" s="106" t="str">
        <f>IF(I54&lt;&gt;0,((VLOOKUP(I54,'1. Standard_Cost'!$B$4:$D$11,2)+VLOOKUP(I54,'1. Standard_Cost'!$B$4:$D$11,3))*J54*K54),"0")</f>
        <v>0</v>
      </c>
      <c r="M54" s="106">
        <f>L54*'1. Standard_Cost'!$F$4</f>
        <v>0</v>
      </c>
      <c r="N54" s="260"/>
      <c r="O54" s="260"/>
      <c r="P54" s="260"/>
      <c r="Q54" s="260"/>
      <c r="R54" s="108">
        <f>'1. Standard_Cost'!$B$15*N54*P54</f>
        <v>0</v>
      </c>
      <c r="S54" s="108">
        <f>N54*O54*P54*'1. Standard_Cost'!$C$15</f>
        <v>0</v>
      </c>
      <c r="T54" s="108">
        <f>N54*P54*Q54*'1. Standard_Cost'!$D$15</f>
        <v>0</v>
      </c>
      <c r="U54" s="108">
        <f>N54*O54*'1. Standard_Cost'!$E$15</f>
        <v>0</v>
      </c>
      <c r="V54" s="260"/>
      <c r="W54" s="260"/>
      <c r="X54" s="260"/>
      <c r="Y54" s="108">
        <f>+V54*((X54*'1. Standard_Cost'!$B$19)+(W54*X54*'1. Standard_Cost'!$C$19))</f>
        <v>0</v>
      </c>
      <c r="Z54" s="260"/>
      <c r="AA54" s="260"/>
      <c r="AB54" s="108">
        <f>+Z54*'1. Standard_Cost'!$B$23+AA54*'1. Standard_Cost'!$C$23</f>
        <v>0</v>
      </c>
      <c r="AC54" s="261"/>
      <c r="AD54" s="262"/>
      <c r="AE54" s="108">
        <f>SUM(AD54,AC54,AB54,Y54,U54,T54,S54,R54)*'1. Standard_Cost'!$B$31</f>
        <v>0</v>
      </c>
      <c r="AF54" s="108">
        <f t="shared" si="79"/>
        <v>0</v>
      </c>
      <c r="AG54" s="260"/>
      <c r="AH54" s="260"/>
      <c r="AI54" s="260"/>
      <c r="AJ54" s="263"/>
      <c r="AK54" s="263"/>
      <c r="AL54" s="263"/>
      <c r="AM54" s="108">
        <f>AG54*'1. Standard_Cost'!$B$27+'Incremental_Cost Year 8'!AH54*'1. Standard_Cost'!$C$27+'Incremental_Cost Year 8'!AI54*'1. Standard_Cost'!$D$27+'Incremental_Cost Year 8'!AJ54+'Incremental_Cost Year 8'!AL54+AK54</f>
        <v>0</v>
      </c>
      <c r="AN54" s="108">
        <f>AM54*'1. Standard_Cost'!$C$31</f>
        <v>0</v>
      </c>
      <c r="AO54" s="125" t="s">
        <v>300</v>
      </c>
      <c r="AQ54" s="14">
        <f t="shared" si="80"/>
        <v>0</v>
      </c>
      <c r="AR54" s="14">
        <f t="shared" si="81"/>
        <v>0</v>
      </c>
      <c r="AS54" s="14">
        <f t="shared" si="82"/>
        <v>0</v>
      </c>
      <c r="AT54" s="14">
        <f t="shared" si="84"/>
        <v>0</v>
      </c>
      <c r="AU54" s="234"/>
      <c r="AV54" s="234">
        <v>0</v>
      </c>
      <c r="AW54" s="234"/>
      <c r="AX54" s="234"/>
      <c r="AY54" s="234"/>
      <c r="AZ54" s="234"/>
      <c r="BA54" s="234"/>
      <c r="BB54" s="16">
        <f t="shared" si="83"/>
        <v>0</v>
      </c>
    </row>
    <row r="55" spans="1:54" ht="15.6" outlineLevel="2">
      <c r="A55" s="98"/>
      <c r="B55" s="102"/>
      <c r="C55" s="23"/>
      <c r="D55" s="251"/>
      <c r="E55" s="251"/>
      <c r="F55" s="251"/>
      <c r="G55" s="173"/>
      <c r="H55" s="272"/>
      <c r="I55" s="258"/>
      <c r="J55" s="259"/>
      <c r="K55" s="259"/>
      <c r="L55" s="106" t="str">
        <f>IF(I55&lt;&gt;0,((VLOOKUP(I55,'1. Standard_Cost'!$B$4:$D$11,2)+VLOOKUP(I55,'1. Standard_Cost'!$B$4:$D$11,3))*J55*K55),"0")</f>
        <v>0</v>
      </c>
      <c r="M55" s="106">
        <f>L55*'1. Standard_Cost'!$F$4</f>
        <v>0</v>
      </c>
      <c r="N55" s="260"/>
      <c r="O55" s="260"/>
      <c r="P55" s="260"/>
      <c r="Q55" s="260"/>
      <c r="R55" s="108">
        <f>'1. Standard_Cost'!$B$15*N55*P55</f>
        <v>0</v>
      </c>
      <c r="S55" s="108">
        <f>N55*O55*P55*'1. Standard_Cost'!$C$15</f>
        <v>0</v>
      </c>
      <c r="T55" s="108">
        <f>N55*P55*Q55*'1. Standard_Cost'!$D$15</f>
        <v>0</v>
      </c>
      <c r="U55" s="108">
        <f>N55*O55*'1. Standard_Cost'!$E$15</f>
        <v>0</v>
      </c>
      <c r="V55" s="260"/>
      <c r="W55" s="260"/>
      <c r="X55" s="260"/>
      <c r="Y55" s="108">
        <f>+V55*((X55*'1. Standard_Cost'!$B$19)+(W55*X55*'1. Standard_Cost'!$C$19))</f>
        <v>0</v>
      </c>
      <c r="Z55" s="260"/>
      <c r="AA55" s="260"/>
      <c r="AB55" s="108">
        <f>+Z55*'1. Standard_Cost'!$B$23+AA55*'1. Standard_Cost'!$C$23</f>
        <v>0</v>
      </c>
      <c r="AC55" s="261"/>
      <c r="AD55" s="262"/>
      <c r="AE55" s="108">
        <f>SUM(AD55,AC55,AB55,Y55,U55,T55,S55,R55)*'1. Standard_Cost'!$B$31</f>
        <v>0</v>
      </c>
      <c r="AF55" s="108">
        <f t="shared" si="79"/>
        <v>0</v>
      </c>
      <c r="AG55" s="260"/>
      <c r="AH55" s="260"/>
      <c r="AI55" s="260"/>
      <c r="AJ55" s="263"/>
      <c r="AK55" s="263"/>
      <c r="AL55" s="263"/>
      <c r="AM55" s="108">
        <f>AG55*'1. Standard_Cost'!$B$27+'Incremental_Cost Year 8'!AH55*'1. Standard_Cost'!$C$27+'Incremental_Cost Year 8'!AI55*'1. Standard_Cost'!$D$27+'Incremental_Cost Year 8'!AJ55+'Incremental_Cost Year 8'!AL55+AK55</f>
        <v>0</v>
      </c>
      <c r="AN55" s="108">
        <f>AM55*'1. Standard_Cost'!$C$31</f>
        <v>0</v>
      </c>
      <c r="AO55" s="125" t="s">
        <v>303</v>
      </c>
      <c r="AQ55" s="14">
        <f t="shared" si="80"/>
        <v>0</v>
      </c>
      <c r="AR55" s="14">
        <f t="shared" si="81"/>
        <v>0</v>
      </c>
      <c r="AS55" s="14">
        <f t="shared" si="82"/>
        <v>0</v>
      </c>
      <c r="AT55" s="14">
        <f t="shared" si="84"/>
        <v>0</v>
      </c>
      <c r="AU55" s="234"/>
      <c r="AV55" s="234"/>
      <c r="AW55" s="234"/>
      <c r="AX55" s="234"/>
      <c r="AY55" s="234"/>
      <c r="AZ55" s="234"/>
      <c r="BA55" s="234"/>
      <c r="BB55" s="16">
        <f t="shared" si="83"/>
        <v>0</v>
      </c>
    </row>
    <row r="56" spans="1:54" ht="15.6" outlineLevel="2">
      <c r="A56" s="98"/>
      <c r="B56" s="102"/>
      <c r="C56" s="23"/>
      <c r="D56" s="251"/>
      <c r="E56" s="251"/>
      <c r="F56" s="251"/>
      <c r="G56" s="173"/>
      <c r="H56" s="272"/>
      <c r="I56" s="258"/>
      <c r="J56" s="259"/>
      <c r="K56" s="259"/>
      <c r="L56" s="106" t="str">
        <f>IF(I56&lt;&gt;0,((VLOOKUP(I56,'1. Standard_Cost'!$B$4:$D$11,2)+VLOOKUP(I56,'1. Standard_Cost'!$B$4:$D$11,3))*J56*K56),"0")</f>
        <v>0</v>
      </c>
      <c r="M56" s="106">
        <f>L56*'1. Standard_Cost'!$F$4</f>
        <v>0</v>
      </c>
      <c r="N56" s="260"/>
      <c r="O56" s="260"/>
      <c r="P56" s="260"/>
      <c r="Q56" s="260"/>
      <c r="R56" s="108">
        <f>'1. Standard_Cost'!$B$15*N56*P56</f>
        <v>0</v>
      </c>
      <c r="S56" s="108">
        <f>N56*O56*P56*'1. Standard_Cost'!$C$15</f>
        <v>0</v>
      </c>
      <c r="T56" s="108">
        <f>N56*P56*Q56*'1. Standard_Cost'!$D$15</f>
        <v>0</v>
      </c>
      <c r="U56" s="108">
        <f>N56*O56*'1. Standard_Cost'!$E$15</f>
        <v>0</v>
      </c>
      <c r="V56" s="260"/>
      <c r="W56" s="260"/>
      <c r="X56" s="260"/>
      <c r="Y56" s="108">
        <f>+V56*((X56*'1. Standard_Cost'!$B$19)+(W56*X56*'1. Standard_Cost'!$C$19))</f>
        <v>0</v>
      </c>
      <c r="Z56" s="260"/>
      <c r="AA56" s="260"/>
      <c r="AB56" s="108">
        <f>+Z56*'1. Standard_Cost'!$B$23+AA56*'1. Standard_Cost'!$C$23</f>
        <v>0</v>
      </c>
      <c r="AC56" s="261"/>
      <c r="AD56" s="262"/>
      <c r="AE56" s="108">
        <f>SUM(AD56,AC56,AB56,Y56,U56,T56,S56,R56)*'1. Standard_Cost'!$B$31</f>
        <v>0</v>
      </c>
      <c r="AF56" s="108">
        <f t="shared" si="79"/>
        <v>0</v>
      </c>
      <c r="AG56" s="260"/>
      <c r="AH56" s="260"/>
      <c r="AI56" s="260"/>
      <c r="AJ56" s="263"/>
      <c r="AK56" s="263"/>
      <c r="AL56" s="263"/>
      <c r="AM56" s="108">
        <f>AG56*'1. Standard_Cost'!$B$27+'Incremental_Cost Year 8'!AH56*'1. Standard_Cost'!$C$27+'Incremental_Cost Year 8'!AI56*'1. Standard_Cost'!$D$27+'Incremental_Cost Year 8'!AJ56+'Incremental_Cost Year 8'!AL56+AK56</f>
        <v>0</v>
      </c>
      <c r="AN56" s="108">
        <f>AM56*'1. Standard_Cost'!$C$31</f>
        <v>0</v>
      </c>
      <c r="AO56" s="125" t="s">
        <v>304</v>
      </c>
      <c r="AQ56" s="14">
        <f t="shared" si="80"/>
        <v>0</v>
      </c>
      <c r="AR56" s="14">
        <f t="shared" si="81"/>
        <v>0</v>
      </c>
      <c r="AS56" s="14">
        <f t="shared" si="82"/>
        <v>0</v>
      </c>
      <c r="AT56" s="14">
        <f t="shared" si="84"/>
        <v>0</v>
      </c>
      <c r="AU56" s="234"/>
      <c r="AV56" s="234">
        <v>0</v>
      </c>
      <c r="AW56" s="234"/>
      <c r="AX56" s="234"/>
      <c r="AY56" s="234"/>
      <c r="AZ56" s="234"/>
      <c r="BA56" s="234"/>
      <c r="BB56" s="16">
        <f t="shared" si="83"/>
        <v>0</v>
      </c>
    </row>
    <row r="57" spans="1:54" ht="55.2" outlineLevel="2">
      <c r="A57" s="98"/>
      <c r="B57" s="102"/>
      <c r="C57" s="23"/>
      <c r="D57" s="251"/>
      <c r="E57" s="251"/>
      <c r="F57" s="251"/>
      <c r="G57" s="250"/>
      <c r="H57" s="272"/>
      <c r="I57" s="258"/>
      <c r="J57" s="259"/>
      <c r="K57" s="259"/>
      <c r="L57" s="106" t="str">
        <f>IF(I57&lt;&gt;0,((VLOOKUP(I57,'1. Standard_Cost'!$B$4:$D$11,2)+VLOOKUP(I57,'1. Standard_Cost'!$B$4:$D$11,3))*J57*K57),"0")</f>
        <v>0</v>
      </c>
      <c r="M57" s="106">
        <f>L57*'1. Standard_Cost'!$F$4</f>
        <v>0</v>
      </c>
      <c r="N57" s="260"/>
      <c r="O57" s="260"/>
      <c r="P57" s="260"/>
      <c r="Q57" s="260"/>
      <c r="R57" s="108">
        <f>'1. Standard_Cost'!$B$15*N57*P57</f>
        <v>0</v>
      </c>
      <c r="S57" s="108">
        <f>N57*O57*P57*'1. Standard_Cost'!$C$15</f>
        <v>0</v>
      </c>
      <c r="T57" s="108">
        <f>N57*P57*Q57*'1. Standard_Cost'!$D$15</f>
        <v>0</v>
      </c>
      <c r="U57" s="108">
        <f>N57*O57*'1. Standard_Cost'!$E$15</f>
        <v>0</v>
      </c>
      <c r="V57" s="260"/>
      <c r="W57" s="260"/>
      <c r="X57" s="260"/>
      <c r="Y57" s="108">
        <f>+V57*((X57*'1. Standard_Cost'!$B$19)+(W57*X57*'1. Standard_Cost'!$C$19))</f>
        <v>0</v>
      </c>
      <c r="Z57" s="260"/>
      <c r="AA57" s="260"/>
      <c r="AB57" s="108">
        <f>+Z57*'1. Standard_Cost'!$B$23+AA57*'1. Standard_Cost'!$C$23</f>
        <v>0</v>
      </c>
      <c r="AC57" s="261"/>
      <c r="AD57" s="262"/>
      <c r="AE57" s="108">
        <f>SUM(AD57,AC57,AB57,Y57,U57,T57,S57,R57)*'1. Standard_Cost'!$B$31</f>
        <v>0</v>
      </c>
      <c r="AF57" s="108">
        <f t="shared" si="79"/>
        <v>0</v>
      </c>
      <c r="AG57" s="260"/>
      <c r="AH57" s="260"/>
      <c r="AI57" s="260"/>
      <c r="AJ57" s="263"/>
      <c r="AK57" s="263"/>
      <c r="AL57" s="263"/>
      <c r="AM57" s="108">
        <f>AG57*'1. Standard_Cost'!$B$27+'Incremental_Cost Year 8'!AH57*'1. Standard_Cost'!$C$27+'Incremental_Cost Year 8'!AI57*'1. Standard_Cost'!$D$27+'Incremental_Cost Year 8'!AJ57+'Incremental_Cost Year 8'!AL57+AK57</f>
        <v>0</v>
      </c>
      <c r="AN57" s="108">
        <f>AM57*'1. Standard_Cost'!$C$31</f>
        <v>0</v>
      </c>
      <c r="AO57" s="125" t="s">
        <v>305</v>
      </c>
      <c r="AQ57" s="14">
        <f t="shared" si="80"/>
        <v>0</v>
      </c>
      <c r="AR57" s="14">
        <f t="shared" si="81"/>
        <v>0</v>
      </c>
      <c r="AS57" s="14">
        <f t="shared" si="82"/>
        <v>0</v>
      </c>
      <c r="AT57" s="14">
        <f t="shared" si="84"/>
        <v>0</v>
      </c>
      <c r="AU57" s="234"/>
      <c r="AV57" s="234"/>
      <c r="AW57" s="234"/>
      <c r="AX57" s="234"/>
      <c r="AY57" s="234"/>
      <c r="AZ57" s="234"/>
      <c r="BA57" s="234"/>
      <c r="BB57" s="16">
        <f t="shared" si="83"/>
        <v>0</v>
      </c>
    </row>
    <row r="58" spans="1:54" ht="41.4" outlineLevel="2">
      <c r="A58" s="98"/>
      <c r="B58" s="102"/>
      <c r="C58" s="23"/>
      <c r="D58" s="251"/>
      <c r="E58" s="251"/>
      <c r="F58" s="251"/>
      <c r="G58" s="250"/>
      <c r="H58" s="272"/>
      <c r="I58" s="258"/>
      <c r="J58" s="259"/>
      <c r="K58" s="259"/>
      <c r="L58" s="106" t="str">
        <f>IF(I58&lt;&gt;0,((VLOOKUP(I58,'1. Standard_Cost'!$B$4:$D$11,2)+VLOOKUP(I58,'1. Standard_Cost'!$B$4:$D$11,3))*J58*K58),"0")</f>
        <v>0</v>
      </c>
      <c r="M58" s="106">
        <f>L58*'1. Standard_Cost'!$F$4</f>
        <v>0</v>
      </c>
      <c r="N58" s="260"/>
      <c r="O58" s="260"/>
      <c r="P58" s="260"/>
      <c r="Q58" s="260"/>
      <c r="R58" s="108">
        <f>'1. Standard_Cost'!$B$15*N58*P58</f>
        <v>0</v>
      </c>
      <c r="S58" s="108">
        <f>N58*O58*P58*'1. Standard_Cost'!$C$15</f>
        <v>0</v>
      </c>
      <c r="T58" s="108">
        <f>N58*P58*Q58*'1. Standard_Cost'!$D$15</f>
        <v>0</v>
      </c>
      <c r="U58" s="108">
        <f>N58*O58*'1. Standard_Cost'!$E$15</f>
        <v>0</v>
      </c>
      <c r="V58" s="260"/>
      <c r="W58" s="260"/>
      <c r="X58" s="260"/>
      <c r="Y58" s="108">
        <f>+V58*((X58*'1. Standard_Cost'!$B$19)+(W58*X58*'1. Standard_Cost'!$C$19))</f>
        <v>0</v>
      </c>
      <c r="Z58" s="260"/>
      <c r="AA58" s="260"/>
      <c r="AB58" s="108">
        <f>+Z58*'1. Standard_Cost'!$B$23+AA58*'1. Standard_Cost'!$C$23</f>
        <v>0</v>
      </c>
      <c r="AC58" s="261"/>
      <c r="AD58" s="262"/>
      <c r="AE58" s="108">
        <f>SUM(AD58,AC58,AB58,Y58,U58,T58,S58,R58)*'1. Standard_Cost'!$B$31</f>
        <v>0</v>
      </c>
      <c r="AF58" s="108">
        <f t="shared" si="79"/>
        <v>0</v>
      </c>
      <c r="AG58" s="260"/>
      <c r="AH58" s="260"/>
      <c r="AI58" s="260"/>
      <c r="AJ58" s="263"/>
      <c r="AK58" s="263"/>
      <c r="AL58" s="263"/>
      <c r="AM58" s="108">
        <f>AG58*'1. Standard_Cost'!$B$27+'Incremental_Cost Year 8'!AH58*'1. Standard_Cost'!$C$27+'Incremental_Cost Year 8'!AI58*'1. Standard_Cost'!$D$27+'Incremental_Cost Year 8'!AJ58+'Incremental_Cost Year 8'!AL58+AK58</f>
        <v>0</v>
      </c>
      <c r="AN58" s="108">
        <f>AM58*'1. Standard_Cost'!$C$31</f>
        <v>0</v>
      </c>
      <c r="AO58" s="125" t="s">
        <v>306</v>
      </c>
      <c r="AQ58" s="14">
        <f t="shared" si="80"/>
        <v>0</v>
      </c>
      <c r="AR58" s="14">
        <f t="shared" si="81"/>
        <v>0</v>
      </c>
      <c r="AS58" s="14">
        <f t="shared" si="82"/>
        <v>0</v>
      </c>
      <c r="AT58" s="14">
        <f>SUM(AQ58,AR58,AS58)</f>
        <v>0</v>
      </c>
      <c r="AU58" s="234"/>
      <c r="AV58" s="234"/>
      <c r="AW58" s="234"/>
      <c r="AX58" s="234"/>
      <c r="AY58" s="234"/>
      <c r="AZ58" s="234"/>
      <c r="BA58" s="234"/>
      <c r="BB58" s="16">
        <f t="shared" si="83"/>
        <v>0</v>
      </c>
    </row>
    <row r="59" spans="1:54" ht="27.6" outlineLevel="1">
      <c r="A59" s="98"/>
      <c r="B59" s="102"/>
      <c r="C59" s="23"/>
      <c r="D59" s="56" t="s">
        <v>47</v>
      </c>
      <c r="E59" s="56" t="s">
        <v>213</v>
      </c>
      <c r="F59" s="253">
        <v>2021</v>
      </c>
      <c r="G59" s="254">
        <v>2026</v>
      </c>
      <c r="H59" s="277" t="s">
        <v>183</v>
      </c>
      <c r="I59" s="264"/>
      <c r="J59" s="264"/>
      <c r="K59" s="264"/>
      <c r="L59" s="113">
        <f>SUM(L41:L58)</f>
        <v>0</v>
      </c>
      <c r="M59" s="113">
        <f>SUM(M41:M58)</f>
        <v>0</v>
      </c>
      <c r="N59" s="264"/>
      <c r="O59" s="264"/>
      <c r="P59" s="264"/>
      <c r="Q59" s="264"/>
      <c r="R59" s="113">
        <f>SUM(R41:R58)</f>
        <v>0</v>
      </c>
      <c r="S59" s="113">
        <f>SUM(S41:S58)</f>
        <v>0</v>
      </c>
      <c r="T59" s="113">
        <f>SUM(T41:T58)</f>
        <v>0</v>
      </c>
      <c r="U59" s="113">
        <f>SUM(U41:U58)</f>
        <v>0</v>
      </c>
      <c r="V59" s="264"/>
      <c r="W59" s="264"/>
      <c r="X59" s="264"/>
      <c r="Y59" s="113">
        <f>SUM(Y41:Y58)</f>
        <v>0</v>
      </c>
      <c r="Z59" s="265">
        <f>SUM(Z41:Z58)</f>
        <v>0</v>
      </c>
      <c r="AA59" s="264"/>
      <c r="AB59" s="113">
        <f>SUM(AB41:AB58)</f>
        <v>0</v>
      </c>
      <c r="AC59" s="265">
        <f>SUM(AC41:AC58)</f>
        <v>0</v>
      </c>
      <c r="AD59" s="265">
        <f>SUM(AD41:AD58)</f>
        <v>0</v>
      </c>
      <c r="AE59" s="113">
        <f>SUM(AE41:AE58)</f>
        <v>0</v>
      </c>
      <c r="AF59" s="113">
        <f>SUM(AF41:AF58)</f>
        <v>0</v>
      </c>
      <c r="AG59" s="264"/>
      <c r="AH59" s="264"/>
      <c r="AI59" s="264"/>
      <c r="AJ59" s="265">
        <f>SUM(AJ41:AJ58)</f>
        <v>0</v>
      </c>
      <c r="AK59" s="265">
        <f>SUM(AK41:AK58)</f>
        <v>0</v>
      </c>
      <c r="AL59" s="265">
        <f>SUM(AL41:AL58)</f>
        <v>0</v>
      </c>
      <c r="AM59" s="113">
        <f>SUM(AM41:AM58)</f>
        <v>0</v>
      </c>
      <c r="AN59" s="113">
        <f>SUM(AN41:AN58)</f>
        <v>0</v>
      </c>
      <c r="AO59" s="131"/>
      <c r="AP59" s="17"/>
      <c r="AQ59" s="113">
        <f t="shared" ref="AQ59:BB59" si="85">SUM(AQ41:AQ58)</f>
        <v>0</v>
      </c>
      <c r="AR59" s="113">
        <f t="shared" si="85"/>
        <v>0</v>
      </c>
      <c r="AS59" s="113">
        <f t="shared" si="85"/>
        <v>0</v>
      </c>
      <c r="AT59" s="113">
        <f t="shared" si="85"/>
        <v>0</v>
      </c>
      <c r="AU59" s="265">
        <f t="shared" si="85"/>
        <v>0</v>
      </c>
      <c r="AV59" s="265">
        <f t="shared" si="85"/>
        <v>0</v>
      </c>
      <c r="AW59" s="265">
        <f t="shared" si="85"/>
        <v>0</v>
      </c>
      <c r="AX59" s="265">
        <f t="shared" si="85"/>
        <v>0</v>
      </c>
      <c r="AY59" s="265">
        <f t="shared" si="85"/>
        <v>0</v>
      </c>
      <c r="AZ59" s="265">
        <f t="shared" si="85"/>
        <v>0</v>
      </c>
      <c r="BA59" s="265">
        <f t="shared" si="85"/>
        <v>0</v>
      </c>
      <c r="BB59" s="113">
        <f t="shared" si="85"/>
        <v>0</v>
      </c>
    </row>
    <row r="60" spans="1:54" ht="15.6" outlineLevel="2">
      <c r="A60" s="98"/>
      <c r="B60" s="102"/>
      <c r="C60" s="23"/>
      <c r="D60" s="257"/>
      <c r="E60" s="257"/>
      <c r="F60" s="251"/>
      <c r="G60" s="250"/>
      <c r="H60" s="272"/>
      <c r="I60" s="258"/>
      <c r="J60" s="259"/>
      <c r="K60" s="259"/>
      <c r="L60" s="106" t="str">
        <f>IF(I60&lt;&gt;0,((VLOOKUP(I60,'1. Standard_Cost'!$B$4:$D$11,2)+VLOOKUP(I60,'1. Standard_Cost'!$B$4:$D$11,3))*J60*K60),"0")</f>
        <v>0</v>
      </c>
      <c r="M60" s="106">
        <f>L60*'1. Standard_Cost'!$F$4</f>
        <v>0</v>
      </c>
      <c r="N60" s="260"/>
      <c r="O60" s="260"/>
      <c r="P60" s="260"/>
      <c r="Q60" s="260"/>
      <c r="R60" s="108">
        <f>'1. Standard_Cost'!$B$15*N60*P60</f>
        <v>0</v>
      </c>
      <c r="S60" s="108">
        <f>N60*O60*P60*'1. Standard_Cost'!$C$15</f>
        <v>0</v>
      </c>
      <c r="T60" s="108">
        <f>N60*P60*Q60*'1. Standard_Cost'!$D$15</f>
        <v>0</v>
      </c>
      <c r="U60" s="108">
        <f>N60*O60*'1. Standard_Cost'!$E$15</f>
        <v>0</v>
      </c>
      <c r="V60" s="260"/>
      <c r="W60" s="260"/>
      <c r="X60" s="260"/>
      <c r="Y60" s="108">
        <f>+V60*((X60*'1. Standard_Cost'!$B$19)+(W60*X60*'1. Standard_Cost'!$C$19))</f>
        <v>0</v>
      </c>
      <c r="Z60" s="260"/>
      <c r="AA60" s="260"/>
      <c r="AB60" s="108">
        <f>+Z60*'1. Standard_Cost'!$B$23+AA60*'1. Standard_Cost'!$C$23</f>
        <v>0</v>
      </c>
      <c r="AC60" s="261"/>
      <c r="AD60" s="262"/>
      <c r="AE60" s="108">
        <f>SUM(AD60,AC60,AB60,Y60,U60,T60,S60,R60)*'1. Standard_Cost'!$B$31</f>
        <v>0</v>
      </c>
      <c r="AF60" s="108">
        <f t="shared" ref="AF60:AF78" si="86">SUM(AE60,AD60,AC60,AB60,Y60,U60,T60,S60,R60)</f>
        <v>0</v>
      </c>
      <c r="AG60" s="260"/>
      <c r="AH60" s="260"/>
      <c r="AI60" s="260"/>
      <c r="AJ60" s="263"/>
      <c r="AK60" s="263"/>
      <c r="AL60" s="263"/>
      <c r="AM60" s="108">
        <f>AG60*'1. Standard_Cost'!$B$27+'Incremental_Cost Year 8'!AH60*'1. Standard_Cost'!$C$27+'Incremental_Cost Year 8'!AI60*'1. Standard_Cost'!$D$27+'Incremental_Cost Year 8'!AJ60+'Incremental_Cost Year 8'!AL60+AK60</f>
        <v>0</v>
      </c>
      <c r="AN60" s="108">
        <f>AM60*'1. Standard_Cost'!$C$31</f>
        <v>0</v>
      </c>
      <c r="AO60" s="125" t="s">
        <v>307</v>
      </c>
      <c r="AQ60" s="14">
        <f t="shared" ref="AQ60:AQ78" si="87">L60+M60</f>
        <v>0</v>
      </c>
      <c r="AR60" s="14">
        <f t="shared" ref="AR60:AR78" si="88">AF60</f>
        <v>0</v>
      </c>
      <c r="AS60" s="14">
        <f t="shared" ref="AS60:AS78" si="89">AM60+AN60</f>
        <v>0</v>
      </c>
      <c r="AT60" s="14">
        <f>SUM(AQ60,AR60,AS60)</f>
        <v>0</v>
      </c>
      <c r="AU60" s="234"/>
      <c r="AV60" s="234"/>
      <c r="AW60" s="234"/>
      <c r="AX60" s="234"/>
      <c r="AY60" s="234"/>
      <c r="AZ60" s="234"/>
      <c r="BA60" s="234"/>
      <c r="BB60" s="16">
        <f t="shared" ref="BB60:BB78" si="90">SUM(AU60:BA60)-AT60</f>
        <v>0</v>
      </c>
    </row>
    <row r="61" spans="1:54" ht="15.6" outlineLevel="2">
      <c r="A61" s="98"/>
      <c r="B61" s="102"/>
      <c r="C61" s="23"/>
      <c r="D61" s="269"/>
      <c r="E61" s="269"/>
      <c r="F61" s="251"/>
      <c r="G61" s="250"/>
      <c r="H61" s="272"/>
      <c r="I61" s="258"/>
      <c r="J61" s="259"/>
      <c r="K61" s="259"/>
      <c r="L61" s="106" t="str">
        <f>IF(I61&lt;&gt;0,((VLOOKUP(I61,'1. Standard_Cost'!$B$4:$D$11,2)+VLOOKUP(I61,'1. Standard_Cost'!$B$4:$D$11,3))*J61*K61),"0")</f>
        <v>0</v>
      </c>
      <c r="M61" s="106">
        <f>L61*'1. Standard_Cost'!$F$4</f>
        <v>0</v>
      </c>
      <c r="N61" s="260"/>
      <c r="O61" s="260"/>
      <c r="P61" s="260"/>
      <c r="Q61" s="260"/>
      <c r="R61" s="108">
        <f>'1. Standard_Cost'!$B$15*N61*P61</f>
        <v>0</v>
      </c>
      <c r="S61" s="108">
        <f>N61*O61*P61*'1. Standard_Cost'!$C$15</f>
        <v>0</v>
      </c>
      <c r="T61" s="108">
        <f>N61*P61*Q61*'1. Standard_Cost'!$D$15</f>
        <v>0</v>
      </c>
      <c r="U61" s="108">
        <f>N61*O61*'1. Standard_Cost'!$E$15</f>
        <v>0</v>
      </c>
      <c r="V61" s="260"/>
      <c r="W61" s="260"/>
      <c r="X61" s="260"/>
      <c r="Y61" s="108">
        <f>+V61*((X61*'1. Standard_Cost'!$B$19)+(W61*X61*'1. Standard_Cost'!$C$19))</f>
        <v>0</v>
      </c>
      <c r="Z61" s="260"/>
      <c r="AA61" s="260"/>
      <c r="AB61" s="108">
        <f>+Z61*'1. Standard_Cost'!$B$23+AA61*'1. Standard_Cost'!$C$23</f>
        <v>0</v>
      </c>
      <c r="AC61" s="261"/>
      <c r="AD61" s="262"/>
      <c r="AE61" s="108">
        <f>SUM(AD61,AC61,AB61,Y61,U61,T61,S61,R61)*'1. Standard_Cost'!$B$31</f>
        <v>0</v>
      </c>
      <c r="AF61" s="108">
        <f t="shared" si="86"/>
        <v>0</v>
      </c>
      <c r="AG61" s="260"/>
      <c r="AH61" s="260"/>
      <c r="AI61" s="260"/>
      <c r="AJ61" s="263"/>
      <c r="AK61" s="263"/>
      <c r="AL61" s="263"/>
      <c r="AM61" s="108">
        <f>AG61*'1. Standard_Cost'!$B$27+'Incremental_Cost Year 8'!AH61*'1. Standard_Cost'!$C$27+'Incremental_Cost Year 8'!AI61*'1. Standard_Cost'!$D$27+'Incremental_Cost Year 8'!AJ61+'Incremental_Cost Year 8'!AL61+AK61</f>
        <v>0</v>
      </c>
      <c r="AN61" s="108">
        <f>AM61*'1. Standard_Cost'!$C$31</f>
        <v>0</v>
      </c>
      <c r="AO61" s="125" t="s">
        <v>308</v>
      </c>
      <c r="AQ61" s="14">
        <f t="shared" si="87"/>
        <v>0</v>
      </c>
      <c r="AR61" s="14">
        <f t="shared" si="88"/>
        <v>0</v>
      </c>
      <c r="AS61" s="14">
        <f t="shared" si="89"/>
        <v>0</v>
      </c>
      <c r="AT61" s="14">
        <f t="shared" ref="AT61:AT78" si="91">SUM(AQ61,AR61,AS61)</f>
        <v>0</v>
      </c>
      <c r="AU61" s="234"/>
      <c r="AV61" s="234"/>
      <c r="AW61" s="234"/>
      <c r="AX61" s="234"/>
      <c r="AY61" s="234"/>
      <c r="AZ61" s="234"/>
      <c r="BA61" s="234"/>
      <c r="BB61" s="16">
        <f t="shared" si="90"/>
        <v>0</v>
      </c>
    </row>
    <row r="62" spans="1:54" ht="69" outlineLevel="2">
      <c r="A62" s="98"/>
      <c r="B62" s="102"/>
      <c r="C62" s="23"/>
      <c r="D62" s="269"/>
      <c r="E62" s="269"/>
      <c r="F62" s="251"/>
      <c r="G62" s="250"/>
      <c r="H62" s="272"/>
      <c r="I62" s="258"/>
      <c r="J62" s="259"/>
      <c r="K62" s="259"/>
      <c r="L62" s="106" t="str">
        <f>IF(I62&lt;&gt;0,((VLOOKUP(I62,'1. Standard_Cost'!$B$4:$D$11,2)+VLOOKUP(I62,'1. Standard_Cost'!$B$4:$D$11,3))*J62*K62),"0")</f>
        <v>0</v>
      </c>
      <c r="M62" s="106">
        <f>L62*'1. Standard_Cost'!$F$4</f>
        <v>0</v>
      </c>
      <c r="N62" s="260"/>
      <c r="O62" s="260"/>
      <c r="P62" s="260"/>
      <c r="Q62" s="260"/>
      <c r="R62" s="108">
        <f>'1. Standard_Cost'!$B$15*N62*P62</f>
        <v>0</v>
      </c>
      <c r="S62" s="108">
        <f>N62*O62*P62*'1. Standard_Cost'!$C$15</f>
        <v>0</v>
      </c>
      <c r="T62" s="108">
        <f>N62*P62*Q62*'1. Standard_Cost'!$D$15</f>
        <v>0</v>
      </c>
      <c r="U62" s="108">
        <f>N62*O62*'1. Standard_Cost'!$E$15</f>
        <v>0</v>
      </c>
      <c r="V62" s="260"/>
      <c r="W62" s="260"/>
      <c r="X62" s="260"/>
      <c r="Y62" s="108">
        <f>+V62*((X62*'1. Standard_Cost'!$B$19)+(W62*X62*'1. Standard_Cost'!$C$19))</f>
        <v>0</v>
      </c>
      <c r="Z62" s="260"/>
      <c r="AA62" s="260"/>
      <c r="AB62" s="108">
        <f>+Z62*'1. Standard_Cost'!$B$23+AA62*'1. Standard_Cost'!$C$23</f>
        <v>0</v>
      </c>
      <c r="AC62" s="261"/>
      <c r="AD62" s="262"/>
      <c r="AE62" s="108">
        <f>SUM(AD62,AC62,AB62,Y62,U62,T62,S62,R62)*'1. Standard_Cost'!$B$31</f>
        <v>0</v>
      </c>
      <c r="AF62" s="108">
        <f t="shared" si="86"/>
        <v>0</v>
      </c>
      <c r="AG62" s="260"/>
      <c r="AH62" s="260"/>
      <c r="AI62" s="260"/>
      <c r="AJ62" s="263"/>
      <c r="AK62" s="263"/>
      <c r="AL62" s="263"/>
      <c r="AM62" s="108">
        <f>AG62*'1. Standard_Cost'!$B$27+'Incremental_Cost Year 8'!AH62*'1. Standard_Cost'!$C$27+'Incremental_Cost Year 8'!AI62*'1. Standard_Cost'!$D$27+'Incremental_Cost Year 8'!AJ62+'Incremental_Cost Year 8'!AL62+AK62</f>
        <v>0</v>
      </c>
      <c r="AN62" s="108">
        <f>AM62*'1. Standard_Cost'!$C$31</f>
        <v>0</v>
      </c>
      <c r="AO62" s="125" t="s">
        <v>309</v>
      </c>
      <c r="AQ62" s="14">
        <f t="shared" si="87"/>
        <v>0</v>
      </c>
      <c r="AR62" s="14">
        <f t="shared" si="88"/>
        <v>0</v>
      </c>
      <c r="AS62" s="14">
        <f t="shared" si="89"/>
        <v>0</v>
      </c>
      <c r="AT62" s="14">
        <f t="shared" si="91"/>
        <v>0</v>
      </c>
      <c r="AU62" s="234"/>
      <c r="AV62" s="234"/>
      <c r="AW62" s="234"/>
      <c r="AX62" s="234"/>
      <c r="AY62" s="234"/>
      <c r="AZ62" s="234"/>
      <c r="BA62" s="234"/>
      <c r="BB62" s="16">
        <f t="shared" si="90"/>
        <v>0</v>
      </c>
    </row>
    <row r="63" spans="1:54" ht="27.6" outlineLevel="2">
      <c r="A63" s="98"/>
      <c r="B63" s="102"/>
      <c r="C63" s="23"/>
      <c r="D63" s="269"/>
      <c r="E63" s="269"/>
      <c r="F63" s="251"/>
      <c r="G63" s="250"/>
      <c r="H63" s="272"/>
      <c r="I63" s="258"/>
      <c r="J63" s="259"/>
      <c r="K63" s="259"/>
      <c r="L63" s="106" t="str">
        <f>IF(I63&lt;&gt;0,((VLOOKUP(I63,'1. Standard_Cost'!$B$4:$D$11,2)+VLOOKUP(I63,'1. Standard_Cost'!$B$4:$D$11,3))*J63*K63),"0")</f>
        <v>0</v>
      </c>
      <c r="M63" s="106">
        <f>L63*'1. Standard_Cost'!$F$4</f>
        <v>0</v>
      </c>
      <c r="N63" s="260"/>
      <c r="O63" s="260"/>
      <c r="P63" s="260"/>
      <c r="Q63" s="260"/>
      <c r="R63" s="108">
        <f>'1. Standard_Cost'!$B$15*N63*P63</f>
        <v>0</v>
      </c>
      <c r="S63" s="108">
        <f>N63*O63*P63*'1. Standard_Cost'!$C$15</f>
        <v>0</v>
      </c>
      <c r="T63" s="108">
        <f>N63*P63*Q63*'1. Standard_Cost'!$D$15</f>
        <v>0</v>
      </c>
      <c r="U63" s="108">
        <f>N63*O63*'1. Standard_Cost'!$E$15</f>
        <v>0</v>
      </c>
      <c r="V63" s="260"/>
      <c r="W63" s="260"/>
      <c r="X63" s="260"/>
      <c r="Y63" s="108">
        <f>+V63*((X63*'1. Standard_Cost'!$B$19)+(W63*X63*'1. Standard_Cost'!$C$19))</f>
        <v>0</v>
      </c>
      <c r="Z63" s="260"/>
      <c r="AA63" s="260"/>
      <c r="AB63" s="108">
        <f>+Z63*'1. Standard_Cost'!$B$23+AA63*'1. Standard_Cost'!$C$23</f>
        <v>0</v>
      </c>
      <c r="AC63" s="261"/>
      <c r="AD63" s="262"/>
      <c r="AE63" s="108">
        <f>SUM(AD63,AC63,AB63,Y63,U63,T63,S63,R63)*'1. Standard_Cost'!$B$31</f>
        <v>0</v>
      </c>
      <c r="AF63" s="108">
        <f t="shared" si="86"/>
        <v>0</v>
      </c>
      <c r="AG63" s="260"/>
      <c r="AH63" s="260"/>
      <c r="AI63" s="260"/>
      <c r="AJ63" s="263"/>
      <c r="AK63" s="263"/>
      <c r="AL63" s="263"/>
      <c r="AM63" s="108">
        <f>AG63*'1. Standard_Cost'!$B$27+'Incremental_Cost Year 8'!AH63*'1. Standard_Cost'!$C$27+'Incremental_Cost Year 8'!AI63*'1. Standard_Cost'!$D$27+'Incremental_Cost Year 8'!AJ63+'Incremental_Cost Year 8'!AL63+AK63</f>
        <v>0</v>
      </c>
      <c r="AN63" s="108">
        <f>AM63*'1. Standard_Cost'!$C$31</f>
        <v>0</v>
      </c>
      <c r="AO63" s="125" t="s">
        <v>310</v>
      </c>
      <c r="AQ63" s="14">
        <f t="shared" si="87"/>
        <v>0</v>
      </c>
      <c r="AR63" s="14">
        <f t="shared" si="88"/>
        <v>0</v>
      </c>
      <c r="AS63" s="14">
        <f t="shared" si="89"/>
        <v>0</v>
      </c>
      <c r="AT63" s="14">
        <f t="shared" si="91"/>
        <v>0</v>
      </c>
      <c r="AU63" s="234"/>
      <c r="AV63" s="234"/>
      <c r="AW63" s="234"/>
      <c r="AX63" s="234"/>
      <c r="AY63" s="234"/>
      <c r="AZ63" s="234"/>
      <c r="BA63" s="234"/>
      <c r="BB63" s="16">
        <f t="shared" si="90"/>
        <v>0</v>
      </c>
    </row>
    <row r="64" spans="1:54" ht="41.4" outlineLevel="2">
      <c r="A64" s="98"/>
      <c r="B64" s="102"/>
      <c r="C64" s="23"/>
      <c r="D64" s="269"/>
      <c r="E64" s="269"/>
      <c r="F64" s="251"/>
      <c r="G64" s="250"/>
      <c r="H64" s="272"/>
      <c r="I64" s="258"/>
      <c r="J64" s="259"/>
      <c r="K64" s="259"/>
      <c r="L64" s="106" t="str">
        <f>IF(I64&lt;&gt;0,((VLOOKUP(I64,'1. Standard_Cost'!$B$4:$D$11,2)+VLOOKUP(I64,'1. Standard_Cost'!$B$4:$D$11,3))*J64*K64),"0")</f>
        <v>0</v>
      </c>
      <c r="M64" s="106">
        <f>L64*'1. Standard_Cost'!$F$4</f>
        <v>0</v>
      </c>
      <c r="N64" s="260"/>
      <c r="O64" s="260"/>
      <c r="P64" s="260"/>
      <c r="Q64" s="260"/>
      <c r="R64" s="108">
        <f>'1. Standard_Cost'!$B$15*N64*P64</f>
        <v>0</v>
      </c>
      <c r="S64" s="108">
        <f>N64*O64*P64*'1. Standard_Cost'!$C$15</f>
        <v>0</v>
      </c>
      <c r="T64" s="108">
        <f>N64*P64*Q64*'1. Standard_Cost'!$D$15</f>
        <v>0</v>
      </c>
      <c r="U64" s="108">
        <f>N64*O64*'1. Standard_Cost'!$E$15</f>
        <v>0</v>
      </c>
      <c r="V64" s="260"/>
      <c r="W64" s="260"/>
      <c r="X64" s="260"/>
      <c r="Y64" s="108">
        <f>+V64*((X64*'1. Standard_Cost'!$B$19)+(W64*X64*'1. Standard_Cost'!$C$19))</f>
        <v>0</v>
      </c>
      <c r="Z64" s="260"/>
      <c r="AA64" s="260"/>
      <c r="AB64" s="108">
        <f>+Z64*'1. Standard_Cost'!$B$23+AA64*'1. Standard_Cost'!$C$23</f>
        <v>0</v>
      </c>
      <c r="AC64" s="261"/>
      <c r="AD64" s="262"/>
      <c r="AE64" s="108">
        <f>SUM(AD64,AC64,AB64,Y64,U64,T64,S64,R64)*'1. Standard_Cost'!$B$31</f>
        <v>0</v>
      </c>
      <c r="AF64" s="108">
        <f t="shared" si="86"/>
        <v>0</v>
      </c>
      <c r="AG64" s="260"/>
      <c r="AH64" s="260"/>
      <c r="AI64" s="260"/>
      <c r="AJ64" s="263"/>
      <c r="AK64" s="263"/>
      <c r="AL64" s="263"/>
      <c r="AM64" s="108">
        <f>AG64*'1. Standard_Cost'!$B$27+'Incremental_Cost Year 8'!AH64*'1. Standard_Cost'!$C$27+'Incremental_Cost Year 8'!AI64*'1. Standard_Cost'!$D$27+'Incremental_Cost Year 8'!AJ64+'Incremental_Cost Year 8'!AL64+AK64</f>
        <v>0</v>
      </c>
      <c r="AN64" s="108">
        <f>AM64*'1. Standard_Cost'!$C$31</f>
        <v>0</v>
      </c>
      <c r="AO64" s="125" t="s">
        <v>311</v>
      </c>
      <c r="AQ64" s="14">
        <f t="shared" si="87"/>
        <v>0</v>
      </c>
      <c r="AR64" s="14">
        <f t="shared" si="88"/>
        <v>0</v>
      </c>
      <c r="AS64" s="14">
        <f t="shared" si="89"/>
        <v>0</v>
      </c>
      <c r="AT64" s="14">
        <f t="shared" si="91"/>
        <v>0</v>
      </c>
      <c r="AU64" s="234"/>
      <c r="AV64" s="234"/>
      <c r="AW64" s="234"/>
      <c r="AX64" s="234"/>
      <c r="AY64" s="234"/>
      <c r="AZ64" s="234"/>
      <c r="BA64" s="234"/>
      <c r="BB64" s="16">
        <f t="shared" si="90"/>
        <v>0</v>
      </c>
    </row>
    <row r="65" spans="1:54" ht="15.6" outlineLevel="2">
      <c r="A65" s="98"/>
      <c r="B65" s="102"/>
      <c r="C65" s="23"/>
      <c r="D65" s="269"/>
      <c r="E65" s="269"/>
      <c r="F65" s="251"/>
      <c r="G65" s="250"/>
      <c r="H65" s="272"/>
      <c r="I65" s="258"/>
      <c r="J65" s="259"/>
      <c r="K65" s="259"/>
      <c r="L65" s="106" t="str">
        <f>IF(I65&lt;&gt;0,((VLOOKUP(I65,'1. Standard_Cost'!$B$4:$D$11,2)+VLOOKUP(I65,'1. Standard_Cost'!$B$4:$D$11,3))*J65*K65),"0")</f>
        <v>0</v>
      </c>
      <c r="M65" s="106">
        <f>L65*'1. Standard_Cost'!$F$4</f>
        <v>0</v>
      </c>
      <c r="N65" s="260"/>
      <c r="O65" s="260"/>
      <c r="P65" s="260"/>
      <c r="Q65" s="260"/>
      <c r="R65" s="108">
        <f>'1. Standard_Cost'!$B$15*N65*P65</f>
        <v>0</v>
      </c>
      <c r="S65" s="108">
        <f>N65*O65*P65*'1. Standard_Cost'!$C$15</f>
        <v>0</v>
      </c>
      <c r="T65" s="108">
        <f>N65*P65*Q65*'1. Standard_Cost'!$D$15</f>
        <v>0</v>
      </c>
      <c r="U65" s="108">
        <f>N65*O65*'1. Standard_Cost'!$E$15</f>
        <v>0</v>
      </c>
      <c r="V65" s="260"/>
      <c r="W65" s="260"/>
      <c r="X65" s="260"/>
      <c r="Y65" s="108">
        <f>+V65*((X65*'1. Standard_Cost'!$B$19)+(W65*X65*'1. Standard_Cost'!$C$19))</f>
        <v>0</v>
      </c>
      <c r="Z65" s="260"/>
      <c r="AA65" s="260"/>
      <c r="AB65" s="108">
        <f>+Z65*'1. Standard_Cost'!$B$23+AA65*'1. Standard_Cost'!$C$23</f>
        <v>0</v>
      </c>
      <c r="AC65" s="261"/>
      <c r="AD65" s="262"/>
      <c r="AE65" s="108">
        <f>SUM(AD65,AC65,AB65,Y65,U65,T65,S65,R65)*'1. Standard_Cost'!$B$31</f>
        <v>0</v>
      </c>
      <c r="AF65" s="108">
        <f t="shared" si="86"/>
        <v>0</v>
      </c>
      <c r="AG65" s="260"/>
      <c r="AH65" s="260"/>
      <c r="AI65" s="260"/>
      <c r="AJ65" s="263"/>
      <c r="AK65" s="263"/>
      <c r="AL65" s="263"/>
      <c r="AM65" s="108">
        <f>AG65*'1. Standard_Cost'!$B$27+'Incremental_Cost Year 8'!AH65*'1. Standard_Cost'!$C$27+'Incremental_Cost Year 8'!AI65*'1. Standard_Cost'!$D$27+'Incremental_Cost Year 8'!AJ65+'Incremental_Cost Year 8'!AL65+AK65</f>
        <v>0</v>
      </c>
      <c r="AN65" s="108">
        <f>AM65*'1. Standard_Cost'!$C$31</f>
        <v>0</v>
      </c>
      <c r="AO65" s="125" t="s">
        <v>312</v>
      </c>
      <c r="AQ65" s="14">
        <f t="shared" si="87"/>
        <v>0</v>
      </c>
      <c r="AR65" s="14">
        <f t="shared" si="88"/>
        <v>0</v>
      </c>
      <c r="AS65" s="14">
        <f t="shared" si="89"/>
        <v>0</v>
      </c>
      <c r="AT65" s="14">
        <f t="shared" si="91"/>
        <v>0</v>
      </c>
      <c r="AU65" s="234"/>
      <c r="AV65" s="234"/>
      <c r="AW65" s="234"/>
      <c r="AX65" s="234"/>
      <c r="AY65" s="234"/>
      <c r="AZ65" s="234"/>
      <c r="BA65" s="234"/>
      <c r="BB65" s="16">
        <f t="shared" si="90"/>
        <v>0</v>
      </c>
    </row>
    <row r="66" spans="1:54" ht="15.6" outlineLevel="2">
      <c r="A66" s="98"/>
      <c r="B66" s="102"/>
      <c r="C66" s="23"/>
      <c r="D66" s="269"/>
      <c r="E66" s="269"/>
      <c r="F66" s="251"/>
      <c r="G66" s="250"/>
      <c r="H66" s="272"/>
      <c r="I66" s="258"/>
      <c r="J66" s="259"/>
      <c r="K66" s="259"/>
      <c r="L66" s="106" t="str">
        <f>IF(I66&lt;&gt;0,((VLOOKUP(I66,'1. Standard_Cost'!$B$4:$D$11,2)+VLOOKUP(I66,'1. Standard_Cost'!$B$4:$D$11,3))*J66*K66),"0")</f>
        <v>0</v>
      </c>
      <c r="M66" s="106">
        <f>L66*'1. Standard_Cost'!$F$4</f>
        <v>0</v>
      </c>
      <c r="N66" s="260"/>
      <c r="O66" s="260"/>
      <c r="P66" s="260"/>
      <c r="Q66" s="260"/>
      <c r="R66" s="108">
        <f>'1. Standard_Cost'!$B$15*N66*P66</f>
        <v>0</v>
      </c>
      <c r="S66" s="108">
        <f>N66*O66*P66*'1. Standard_Cost'!$C$15</f>
        <v>0</v>
      </c>
      <c r="T66" s="108">
        <f>N66*P66*Q66*'1. Standard_Cost'!$D$15</f>
        <v>0</v>
      </c>
      <c r="U66" s="108">
        <f>N66*O66*'1. Standard_Cost'!$E$15</f>
        <v>0</v>
      </c>
      <c r="V66" s="260"/>
      <c r="W66" s="260"/>
      <c r="X66" s="260"/>
      <c r="Y66" s="108">
        <f>+V66*((X66*'1. Standard_Cost'!$B$19)+(W66*X66*'1. Standard_Cost'!$C$19))</f>
        <v>0</v>
      </c>
      <c r="Z66" s="260"/>
      <c r="AA66" s="260"/>
      <c r="AB66" s="108">
        <f>+Z66*'1. Standard_Cost'!$B$23+AA66*'1. Standard_Cost'!$C$23</f>
        <v>0</v>
      </c>
      <c r="AC66" s="261"/>
      <c r="AD66" s="262"/>
      <c r="AE66" s="108">
        <f>SUM(AD66,AC66,AB66,Y66,U66,T66,S66,R66)*'1. Standard_Cost'!$B$31</f>
        <v>0</v>
      </c>
      <c r="AF66" s="108">
        <f t="shared" si="86"/>
        <v>0</v>
      </c>
      <c r="AG66" s="260"/>
      <c r="AH66" s="260"/>
      <c r="AI66" s="260"/>
      <c r="AJ66" s="263"/>
      <c r="AK66" s="263"/>
      <c r="AL66" s="263"/>
      <c r="AM66" s="108">
        <f>AG66*'1. Standard_Cost'!$B$27+'Incremental_Cost Year 8'!AH66*'1. Standard_Cost'!$C$27+'Incremental_Cost Year 8'!AI66*'1. Standard_Cost'!$D$27+'Incremental_Cost Year 8'!AJ66+'Incremental_Cost Year 8'!AL66+AK66</f>
        <v>0</v>
      </c>
      <c r="AN66" s="108">
        <f>AM66*'1. Standard_Cost'!$C$31</f>
        <v>0</v>
      </c>
      <c r="AO66" s="125" t="s">
        <v>313</v>
      </c>
      <c r="AQ66" s="14">
        <f t="shared" si="87"/>
        <v>0</v>
      </c>
      <c r="AR66" s="14">
        <f t="shared" si="88"/>
        <v>0</v>
      </c>
      <c r="AS66" s="14">
        <f t="shared" si="89"/>
        <v>0</v>
      </c>
      <c r="AT66" s="14">
        <f t="shared" si="91"/>
        <v>0</v>
      </c>
      <c r="AU66" s="234"/>
      <c r="AV66" s="234"/>
      <c r="AW66" s="234"/>
      <c r="AX66" s="234"/>
      <c r="AY66" s="234"/>
      <c r="AZ66" s="234"/>
      <c r="BA66" s="234"/>
      <c r="BB66" s="16">
        <f t="shared" si="90"/>
        <v>0</v>
      </c>
    </row>
    <row r="67" spans="1:54" ht="15.6" outlineLevel="2">
      <c r="A67" s="98"/>
      <c r="B67" s="102"/>
      <c r="C67" s="23"/>
      <c r="D67" s="269"/>
      <c r="E67" s="269"/>
      <c r="F67" s="251"/>
      <c r="G67" s="173"/>
      <c r="H67" s="272"/>
      <c r="I67" s="258"/>
      <c r="J67" s="259"/>
      <c r="K67" s="259"/>
      <c r="L67" s="106" t="str">
        <f>IF(I67&lt;&gt;0,((VLOOKUP(I67,'1. Standard_Cost'!$B$4:$D$11,2)+VLOOKUP(I67,'1. Standard_Cost'!$B$4:$D$11,3))*J67*K67),"0")</f>
        <v>0</v>
      </c>
      <c r="M67" s="106">
        <f>L67*'1. Standard_Cost'!$F$4</f>
        <v>0</v>
      </c>
      <c r="N67" s="260"/>
      <c r="O67" s="260"/>
      <c r="P67" s="260"/>
      <c r="Q67" s="260"/>
      <c r="R67" s="108">
        <f>'1. Standard_Cost'!$B$15*N67*P67</f>
        <v>0</v>
      </c>
      <c r="S67" s="108">
        <f>N67*O67*P67*'1. Standard_Cost'!$C$15</f>
        <v>0</v>
      </c>
      <c r="T67" s="108">
        <f>N67*P67*Q67*'1. Standard_Cost'!$D$15</f>
        <v>0</v>
      </c>
      <c r="U67" s="108">
        <f>N67*O67*'1. Standard_Cost'!$E$15</f>
        <v>0</v>
      </c>
      <c r="V67" s="260"/>
      <c r="W67" s="260"/>
      <c r="X67" s="260"/>
      <c r="Y67" s="108">
        <f>+V67*((X67*'1. Standard_Cost'!$B$19)+(W67*X67*'1. Standard_Cost'!$C$19))</f>
        <v>0</v>
      </c>
      <c r="Z67" s="260"/>
      <c r="AA67" s="260"/>
      <c r="AB67" s="108">
        <f>+Z67*'1. Standard_Cost'!$B$23+AA67*'1. Standard_Cost'!$C$23</f>
        <v>0</v>
      </c>
      <c r="AC67" s="261"/>
      <c r="AD67" s="262"/>
      <c r="AE67" s="108">
        <f>SUM(AD67,AC67,AB67,Y67,U67,T67,S67,R67)*'1. Standard_Cost'!$B$31</f>
        <v>0</v>
      </c>
      <c r="AF67" s="108">
        <f t="shared" si="86"/>
        <v>0</v>
      </c>
      <c r="AG67" s="260"/>
      <c r="AH67" s="260"/>
      <c r="AI67" s="260"/>
      <c r="AJ67" s="263"/>
      <c r="AK67" s="263"/>
      <c r="AL67" s="263"/>
      <c r="AM67" s="108">
        <f>AG67*'1. Standard_Cost'!$B$27+'Incremental_Cost Year 8'!AH67*'1. Standard_Cost'!$C$27+'Incremental_Cost Year 8'!AI67*'1. Standard_Cost'!$D$27+'Incremental_Cost Year 8'!AJ67+'Incremental_Cost Year 8'!AL67+AK67</f>
        <v>0</v>
      </c>
      <c r="AN67" s="108">
        <f>AM67*'1. Standard_Cost'!$C$31</f>
        <v>0</v>
      </c>
      <c r="AO67" s="125" t="s">
        <v>313</v>
      </c>
      <c r="AQ67" s="14">
        <f t="shared" si="87"/>
        <v>0</v>
      </c>
      <c r="AR67" s="14">
        <f t="shared" si="88"/>
        <v>0</v>
      </c>
      <c r="AS67" s="14">
        <f t="shared" si="89"/>
        <v>0</v>
      </c>
      <c r="AT67" s="14">
        <f t="shared" si="91"/>
        <v>0</v>
      </c>
      <c r="AU67" s="234"/>
      <c r="AV67" s="234"/>
      <c r="AW67" s="234"/>
      <c r="AX67" s="234"/>
      <c r="AY67" s="234"/>
      <c r="AZ67" s="234"/>
      <c r="BA67" s="234"/>
      <c r="BB67" s="16">
        <f t="shared" si="90"/>
        <v>0</v>
      </c>
    </row>
    <row r="68" spans="1:54" ht="15.6" outlineLevel="2">
      <c r="A68" s="98"/>
      <c r="B68" s="102"/>
      <c r="C68" s="23"/>
      <c r="D68" s="269"/>
      <c r="E68" s="269"/>
      <c r="F68" s="251"/>
      <c r="G68" s="173"/>
      <c r="H68" s="272"/>
      <c r="I68" s="258"/>
      <c r="J68" s="259"/>
      <c r="K68" s="259"/>
      <c r="L68" s="106" t="str">
        <f>IF(I68&lt;&gt;0,((VLOOKUP(I68,'1. Standard_Cost'!$B$4:$D$11,2)+VLOOKUP(I68,'1. Standard_Cost'!$B$4:$D$11,3))*J68*K68),"0")</f>
        <v>0</v>
      </c>
      <c r="M68" s="106">
        <f>L68*'1. Standard_Cost'!$F$4</f>
        <v>0</v>
      </c>
      <c r="N68" s="260"/>
      <c r="O68" s="260"/>
      <c r="P68" s="260"/>
      <c r="Q68" s="260"/>
      <c r="R68" s="108">
        <f>'1. Standard_Cost'!$B$15*N68*P68</f>
        <v>0</v>
      </c>
      <c r="S68" s="108">
        <f>N68*O68*P68*'1. Standard_Cost'!$C$15</f>
        <v>0</v>
      </c>
      <c r="T68" s="108">
        <f>N68*P68*Q68*'1. Standard_Cost'!$D$15</f>
        <v>0</v>
      </c>
      <c r="U68" s="108">
        <f>N68*O68*'1. Standard_Cost'!$E$15</f>
        <v>0</v>
      </c>
      <c r="V68" s="260"/>
      <c r="W68" s="260"/>
      <c r="X68" s="260"/>
      <c r="Y68" s="108">
        <f>+V68*((X68*'1. Standard_Cost'!$B$19)+(W68*X68*'1. Standard_Cost'!$C$19))</f>
        <v>0</v>
      </c>
      <c r="Z68" s="260"/>
      <c r="AA68" s="260"/>
      <c r="AB68" s="108">
        <f>+Z68*'1. Standard_Cost'!$B$23+AA68*'1. Standard_Cost'!$C$23</f>
        <v>0</v>
      </c>
      <c r="AC68" s="261"/>
      <c r="AD68" s="262"/>
      <c r="AE68" s="108">
        <f>SUM(AD68,AC68,AB68,Y68,U68,T68,S68,R68)*'1. Standard_Cost'!$B$31</f>
        <v>0</v>
      </c>
      <c r="AF68" s="108">
        <f t="shared" si="86"/>
        <v>0</v>
      </c>
      <c r="AG68" s="260"/>
      <c r="AH68" s="260"/>
      <c r="AI68" s="260"/>
      <c r="AJ68" s="263"/>
      <c r="AK68" s="263"/>
      <c r="AL68" s="263"/>
      <c r="AM68" s="108">
        <f>AG68*'1. Standard_Cost'!$B$27+'Incremental_Cost Year 8'!AH68*'1. Standard_Cost'!$C$27+'Incremental_Cost Year 8'!AI68*'1. Standard_Cost'!$D$27+'Incremental_Cost Year 8'!AJ68+'Incremental_Cost Year 8'!AL68+AK68</f>
        <v>0</v>
      </c>
      <c r="AN68" s="108">
        <f>AM68*'1. Standard_Cost'!$C$31</f>
        <v>0</v>
      </c>
      <c r="AO68" s="125" t="s">
        <v>314</v>
      </c>
      <c r="AQ68" s="14">
        <f t="shared" si="87"/>
        <v>0</v>
      </c>
      <c r="AR68" s="14">
        <f t="shared" si="88"/>
        <v>0</v>
      </c>
      <c r="AS68" s="14">
        <f t="shared" si="89"/>
        <v>0</v>
      </c>
      <c r="AT68" s="14">
        <f t="shared" si="91"/>
        <v>0</v>
      </c>
      <c r="AU68" s="234"/>
      <c r="AV68" s="234"/>
      <c r="AW68" s="234"/>
      <c r="AX68" s="234"/>
      <c r="AY68" s="234"/>
      <c r="AZ68" s="234"/>
      <c r="BA68" s="234"/>
      <c r="BB68" s="16">
        <f t="shared" si="90"/>
        <v>0</v>
      </c>
    </row>
    <row r="69" spans="1:54" ht="27.6" outlineLevel="2">
      <c r="A69" s="98"/>
      <c r="B69" s="102"/>
      <c r="C69" s="23"/>
      <c r="D69" s="269"/>
      <c r="E69" s="269"/>
      <c r="F69" s="251"/>
      <c r="G69" s="250"/>
      <c r="H69" s="272"/>
      <c r="I69" s="258"/>
      <c r="J69" s="259"/>
      <c r="K69" s="259"/>
      <c r="L69" s="106" t="str">
        <f>IF(I69&lt;&gt;0,((VLOOKUP(I69,'1. Standard_Cost'!$B$4:$D$11,2)+VLOOKUP(I69,'1. Standard_Cost'!$B$4:$D$11,3))*J69*K69),"0")</f>
        <v>0</v>
      </c>
      <c r="M69" s="106">
        <f>L69*'1. Standard_Cost'!$F$4</f>
        <v>0</v>
      </c>
      <c r="N69" s="260"/>
      <c r="O69" s="260"/>
      <c r="P69" s="260"/>
      <c r="Q69" s="260"/>
      <c r="R69" s="108">
        <f>'1. Standard_Cost'!$B$15*N69*P69</f>
        <v>0</v>
      </c>
      <c r="S69" s="108">
        <f>N69*O69*P69*'1. Standard_Cost'!$C$15</f>
        <v>0</v>
      </c>
      <c r="T69" s="108">
        <f>N69*P69*Q69*'1. Standard_Cost'!$D$15</f>
        <v>0</v>
      </c>
      <c r="U69" s="108">
        <f>N69*O69*'1. Standard_Cost'!$E$15</f>
        <v>0</v>
      </c>
      <c r="V69" s="260"/>
      <c r="W69" s="260"/>
      <c r="X69" s="260"/>
      <c r="Y69" s="108">
        <f>+V69*((X69*'1. Standard_Cost'!$B$19)+(W69*X69*'1. Standard_Cost'!$C$19))</f>
        <v>0</v>
      </c>
      <c r="Z69" s="260"/>
      <c r="AA69" s="260"/>
      <c r="AB69" s="108">
        <f>+Z69*'1. Standard_Cost'!$B$23+AA69*'1. Standard_Cost'!$C$23</f>
        <v>0</v>
      </c>
      <c r="AC69" s="261"/>
      <c r="AD69" s="262"/>
      <c r="AE69" s="108">
        <f>SUM(AD69,AC69,AB69,Y69,U69,T69,S69,R69)*'1. Standard_Cost'!$B$31</f>
        <v>0</v>
      </c>
      <c r="AF69" s="108">
        <f t="shared" si="86"/>
        <v>0</v>
      </c>
      <c r="AG69" s="260"/>
      <c r="AH69" s="260"/>
      <c r="AI69" s="260"/>
      <c r="AJ69" s="263"/>
      <c r="AK69" s="263"/>
      <c r="AL69" s="263"/>
      <c r="AM69" s="108">
        <f>AG69*'1. Standard_Cost'!$B$27+'Incremental_Cost Year 8'!AH69*'1. Standard_Cost'!$C$27+'Incremental_Cost Year 8'!AI69*'1. Standard_Cost'!$D$27+'Incremental_Cost Year 8'!AJ69+'Incremental_Cost Year 8'!AL69+AK69</f>
        <v>0</v>
      </c>
      <c r="AN69" s="108">
        <f>AM69*'1. Standard_Cost'!$C$31</f>
        <v>0</v>
      </c>
      <c r="AO69" s="125" t="s">
        <v>315</v>
      </c>
      <c r="AQ69" s="14">
        <f t="shared" si="87"/>
        <v>0</v>
      </c>
      <c r="AR69" s="14">
        <f t="shared" si="88"/>
        <v>0</v>
      </c>
      <c r="AS69" s="14">
        <f t="shared" si="89"/>
        <v>0</v>
      </c>
      <c r="AT69" s="14">
        <f t="shared" si="91"/>
        <v>0</v>
      </c>
      <c r="AU69" s="234"/>
      <c r="AV69" s="234"/>
      <c r="AW69" s="234"/>
      <c r="AX69" s="234"/>
      <c r="AY69" s="234"/>
      <c r="AZ69" s="234"/>
      <c r="BA69" s="234"/>
      <c r="BB69" s="16">
        <f t="shared" si="90"/>
        <v>0</v>
      </c>
    </row>
    <row r="70" spans="1:54" ht="27.6" outlineLevel="2">
      <c r="A70" s="98"/>
      <c r="B70" s="102"/>
      <c r="C70" s="23"/>
      <c r="D70" s="269"/>
      <c r="E70" s="269"/>
      <c r="F70" s="251"/>
      <c r="G70" s="250"/>
      <c r="H70" s="272"/>
      <c r="I70" s="258"/>
      <c r="J70" s="259"/>
      <c r="K70" s="259"/>
      <c r="L70" s="106" t="str">
        <f>IF(I70&lt;&gt;0,((VLOOKUP(I70,'1. Standard_Cost'!$B$4:$D$11,2)+VLOOKUP(I70,'1. Standard_Cost'!$B$4:$D$11,3))*J70*K70),"0")</f>
        <v>0</v>
      </c>
      <c r="M70" s="106">
        <f>L70*'1. Standard_Cost'!$F$4</f>
        <v>0</v>
      </c>
      <c r="N70" s="260"/>
      <c r="O70" s="260"/>
      <c r="P70" s="260"/>
      <c r="Q70" s="260"/>
      <c r="R70" s="108">
        <f>'1. Standard_Cost'!$B$15*N70*P70</f>
        <v>0</v>
      </c>
      <c r="S70" s="108">
        <f>N70*O70*P70*'1. Standard_Cost'!$C$15</f>
        <v>0</v>
      </c>
      <c r="T70" s="108">
        <f>N70*P70*Q70*'1. Standard_Cost'!$D$15</f>
        <v>0</v>
      </c>
      <c r="U70" s="108">
        <f>N70*O70*'1. Standard_Cost'!$E$15</f>
        <v>0</v>
      </c>
      <c r="V70" s="260"/>
      <c r="W70" s="260"/>
      <c r="X70" s="260"/>
      <c r="Y70" s="108">
        <f>+V70*((X70*'1. Standard_Cost'!$B$19)+(W70*X70*'1. Standard_Cost'!$C$19))</f>
        <v>0</v>
      </c>
      <c r="Z70" s="260"/>
      <c r="AA70" s="260"/>
      <c r="AB70" s="108">
        <f>+Z70*'1. Standard_Cost'!$B$23+AA70*'1. Standard_Cost'!$C$23</f>
        <v>0</v>
      </c>
      <c r="AC70" s="261"/>
      <c r="AD70" s="262"/>
      <c r="AE70" s="108">
        <f>SUM(AD70,AC70,AB70,Y70,U70,T70,S70,R70)*'1. Standard_Cost'!$B$31</f>
        <v>0</v>
      </c>
      <c r="AF70" s="108">
        <f t="shared" si="86"/>
        <v>0</v>
      </c>
      <c r="AG70" s="260"/>
      <c r="AH70" s="260"/>
      <c r="AI70" s="260"/>
      <c r="AJ70" s="263"/>
      <c r="AK70" s="263"/>
      <c r="AL70" s="263"/>
      <c r="AM70" s="108">
        <f>AG70*'1. Standard_Cost'!$B$27+'Incremental_Cost Year 8'!AH70*'1. Standard_Cost'!$C$27+'Incremental_Cost Year 8'!AI70*'1. Standard_Cost'!$D$27+'Incremental_Cost Year 8'!AJ70+'Incremental_Cost Year 8'!AL70+AK70</f>
        <v>0</v>
      </c>
      <c r="AN70" s="108">
        <f>AM70*'1. Standard_Cost'!$C$31</f>
        <v>0</v>
      </c>
      <c r="AO70" s="125" t="s">
        <v>315</v>
      </c>
      <c r="AQ70" s="14">
        <f t="shared" si="87"/>
        <v>0</v>
      </c>
      <c r="AR70" s="14">
        <f t="shared" si="88"/>
        <v>0</v>
      </c>
      <c r="AS70" s="14">
        <f t="shared" si="89"/>
        <v>0</v>
      </c>
      <c r="AT70" s="14">
        <f t="shared" si="91"/>
        <v>0</v>
      </c>
      <c r="AU70" s="234"/>
      <c r="AV70" s="234"/>
      <c r="AW70" s="234"/>
      <c r="AX70" s="234"/>
      <c r="AY70" s="234"/>
      <c r="AZ70" s="234"/>
      <c r="BA70" s="234"/>
      <c r="BB70" s="16">
        <f t="shared" si="90"/>
        <v>0</v>
      </c>
    </row>
    <row r="71" spans="1:54" ht="27.6" outlineLevel="2">
      <c r="A71" s="98"/>
      <c r="B71" s="102"/>
      <c r="C71" s="23"/>
      <c r="D71" s="269"/>
      <c r="E71" s="269"/>
      <c r="F71" s="251"/>
      <c r="G71" s="250"/>
      <c r="H71" s="272"/>
      <c r="I71" s="258"/>
      <c r="J71" s="259"/>
      <c r="K71" s="259"/>
      <c r="L71" s="106" t="str">
        <f>IF(I71&lt;&gt;0,((VLOOKUP(I71,'1. Standard_Cost'!$B$4:$D$11,2)+VLOOKUP(I71,'1. Standard_Cost'!$B$4:$D$11,3))*J71*K71),"0")</f>
        <v>0</v>
      </c>
      <c r="M71" s="106">
        <f>L71*'1. Standard_Cost'!$F$4</f>
        <v>0</v>
      </c>
      <c r="N71" s="260"/>
      <c r="O71" s="260"/>
      <c r="P71" s="260"/>
      <c r="Q71" s="260"/>
      <c r="R71" s="108">
        <f>'1. Standard_Cost'!$B$15*N71*P71</f>
        <v>0</v>
      </c>
      <c r="S71" s="108">
        <f>N71*O71*P71*'1. Standard_Cost'!$C$15</f>
        <v>0</v>
      </c>
      <c r="T71" s="108">
        <f>N71*P71*Q71*'1. Standard_Cost'!$D$15</f>
        <v>0</v>
      </c>
      <c r="U71" s="108">
        <f>N71*O71*'1. Standard_Cost'!$E$15</f>
        <v>0</v>
      </c>
      <c r="V71" s="260"/>
      <c r="W71" s="260"/>
      <c r="X71" s="260"/>
      <c r="Y71" s="108">
        <f>+V71*((X71*'1. Standard_Cost'!$B$19)+(W71*X71*'1. Standard_Cost'!$C$19))</f>
        <v>0</v>
      </c>
      <c r="Z71" s="260"/>
      <c r="AA71" s="260"/>
      <c r="AB71" s="108">
        <f>+Z71*'1. Standard_Cost'!$B$23+AA71*'1. Standard_Cost'!$C$23</f>
        <v>0</v>
      </c>
      <c r="AC71" s="261"/>
      <c r="AD71" s="262"/>
      <c r="AE71" s="108">
        <f>SUM(AD71,AC71,AB71,Y71,U71,T71,S71,R71)*'1. Standard_Cost'!$B$31</f>
        <v>0</v>
      </c>
      <c r="AF71" s="108">
        <f t="shared" si="86"/>
        <v>0</v>
      </c>
      <c r="AG71" s="260"/>
      <c r="AH71" s="260"/>
      <c r="AI71" s="260"/>
      <c r="AJ71" s="263"/>
      <c r="AK71" s="263"/>
      <c r="AL71" s="263"/>
      <c r="AM71" s="108">
        <f>AG71*'1. Standard_Cost'!$B$27+'Incremental_Cost Year 8'!AH71*'1. Standard_Cost'!$C$27+'Incremental_Cost Year 8'!AI71*'1. Standard_Cost'!$D$27+'Incremental_Cost Year 8'!AJ71+'Incremental_Cost Year 8'!AL71+AK71</f>
        <v>0</v>
      </c>
      <c r="AN71" s="108">
        <f>AM71*'1. Standard_Cost'!$C$31</f>
        <v>0</v>
      </c>
      <c r="AO71" s="125" t="s">
        <v>316</v>
      </c>
      <c r="AQ71" s="14">
        <f t="shared" si="87"/>
        <v>0</v>
      </c>
      <c r="AR71" s="14">
        <f t="shared" si="88"/>
        <v>0</v>
      </c>
      <c r="AS71" s="14">
        <f t="shared" si="89"/>
        <v>0</v>
      </c>
      <c r="AT71" s="14">
        <f t="shared" si="91"/>
        <v>0</v>
      </c>
      <c r="AU71" s="234"/>
      <c r="AV71" s="234"/>
      <c r="AW71" s="234"/>
      <c r="AX71" s="234"/>
      <c r="AY71" s="234"/>
      <c r="AZ71" s="234"/>
      <c r="BA71" s="234"/>
      <c r="BB71" s="16">
        <f t="shared" si="90"/>
        <v>0</v>
      </c>
    </row>
    <row r="72" spans="1:54" ht="15.6" outlineLevel="2">
      <c r="A72" s="98"/>
      <c r="B72" s="102"/>
      <c r="C72" s="23"/>
      <c r="D72" s="269"/>
      <c r="E72" s="269"/>
      <c r="F72" s="251"/>
      <c r="G72" s="250"/>
      <c r="H72" s="272"/>
      <c r="I72" s="258"/>
      <c r="J72" s="259"/>
      <c r="K72" s="259"/>
      <c r="L72" s="106" t="str">
        <f>IF(I72&lt;&gt;0,((VLOOKUP(I72,'1. Standard_Cost'!$B$4:$D$11,2)+VLOOKUP(I72,'1. Standard_Cost'!$B$4:$D$11,3))*J72*K72),"0")</f>
        <v>0</v>
      </c>
      <c r="M72" s="106">
        <f>L72*'1. Standard_Cost'!$F$4</f>
        <v>0</v>
      </c>
      <c r="N72" s="260"/>
      <c r="O72" s="260"/>
      <c r="P72" s="260"/>
      <c r="Q72" s="260"/>
      <c r="R72" s="108">
        <f>'1. Standard_Cost'!$B$15*N72*P72</f>
        <v>0</v>
      </c>
      <c r="S72" s="108">
        <f>N72*O72*P72*'1. Standard_Cost'!$C$15</f>
        <v>0</v>
      </c>
      <c r="T72" s="108">
        <f>N72*P72*Q72*'1. Standard_Cost'!$D$15</f>
        <v>0</v>
      </c>
      <c r="U72" s="108">
        <f>N72*O72*'1. Standard_Cost'!$E$15</f>
        <v>0</v>
      </c>
      <c r="V72" s="260"/>
      <c r="W72" s="260"/>
      <c r="X72" s="260"/>
      <c r="Y72" s="108">
        <f>+V72*((X72*'1. Standard_Cost'!$B$19)+(W72*X72*'1. Standard_Cost'!$C$19))</f>
        <v>0</v>
      </c>
      <c r="Z72" s="260"/>
      <c r="AA72" s="260"/>
      <c r="AB72" s="108">
        <f>+Z72*'1. Standard_Cost'!$B$23+AA72*'1. Standard_Cost'!$C$23</f>
        <v>0</v>
      </c>
      <c r="AC72" s="261"/>
      <c r="AD72" s="262"/>
      <c r="AE72" s="108">
        <f>SUM(AD72,AC72,AB72,Y72,U72,T72,S72,R72)*'1. Standard_Cost'!$B$31</f>
        <v>0</v>
      </c>
      <c r="AF72" s="108">
        <f t="shared" si="86"/>
        <v>0</v>
      </c>
      <c r="AG72" s="260"/>
      <c r="AH72" s="260"/>
      <c r="AI72" s="260"/>
      <c r="AJ72" s="263"/>
      <c r="AK72" s="263"/>
      <c r="AL72" s="263"/>
      <c r="AM72" s="108">
        <f>AG72*'1. Standard_Cost'!$B$27+'Incremental_Cost Year 8'!AH72*'1. Standard_Cost'!$C$27+'Incremental_Cost Year 8'!AI72*'1. Standard_Cost'!$D$27+'Incremental_Cost Year 8'!AJ72+'Incremental_Cost Year 8'!AL72+AK72</f>
        <v>0</v>
      </c>
      <c r="AN72" s="108">
        <f>AM72*'1. Standard_Cost'!$C$31</f>
        <v>0</v>
      </c>
      <c r="AO72" s="125" t="s">
        <v>317</v>
      </c>
      <c r="AQ72" s="14">
        <f t="shared" si="87"/>
        <v>0</v>
      </c>
      <c r="AR72" s="14">
        <f t="shared" si="88"/>
        <v>0</v>
      </c>
      <c r="AS72" s="14">
        <f t="shared" si="89"/>
        <v>0</v>
      </c>
      <c r="AT72" s="14">
        <f t="shared" si="91"/>
        <v>0</v>
      </c>
      <c r="AU72" s="234"/>
      <c r="AV72" s="234"/>
      <c r="AW72" s="234"/>
      <c r="AX72" s="234"/>
      <c r="AY72" s="234"/>
      <c r="AZ72" s="234"/>
      <c r="BA72" s="234"/>
      <c r="BB72" s="16">
        <f t="shared" si="90"/>
        <v>0</v>
      </c>
    </row>
    <row r="73" spans="1:54" ht="27.6" outlineLevel="2">
      <c r="A73" s="98"/>
      <c r="B73" s="102"/>
      <c r="C73" s="23"/>
      <c r="D73" s="251"/>
      <c r="E73" s="251"/>
      <c r="F73" s="251"/>
      <c r="G73" s="173"/>
      <c r="H73" s="272"/>
      <c r="I73" s="258"/>
      <c r="J73" s="259"/>
      <c r="K73" s="259"/>
      <c r="L73" s="106" t="str">
        <f>IF(I73&lt;&gt;0,((VLOOKUP(I73,'1. Standard_Cost'!$B$4:$D$11,2)+VLOOKUP(I73,'1. Standard_Cost'!$B$4:$D$11,3))*J73*K73),"0")</f>
        <v>0</v>
      </c>
      <c r="M73" s="106">
        <f>L73*'1. Standard_Cost'!$F$4</f>
        <v>0</v>
      </c>
      <c r="N73" s="260"/>
      <c r="O73" s="260"/>
      <c r="P73" s="260"/>
      <c r="Q73" s="260"/>
      <c r="R73" s="108">
        <f>'1. Standard_Cost'!$B$15*N73*P73</f>
        <v>0</v>
      </c>
      <c r="S73" s="108">
        <f>N73*O73*P73*'1. Standard_Cost'!$C$15</f>
        <v>0</v>
      </c>
      <c r="T73" s="108">
        <f>N73*P73*Q73*'1. Standard_Cost'!$D$15</f>
        <v>0</v>
      </c>
      <c r="U73" s="108">
        <f>N73*O73*'1. Standard_Cost'!$E$15</f>
        <v>0</v>
      </c>
      <c r="V73" s="260"/>
      <c r="W73" s="260"/>
      <c r="X73" s="260"/>
      <c r="Y73" s="108">
        <f>+V73*((X73*'1. Standard_Cost'!$B$19)+(W73*X73*'1. Standard_Cost'!$C$19))</f>
        <v>0</v>
      </c>
      <c r="Z73" s="260"/>
      <c r="AA73" s="260"/>
      <c r="AB73" s="108">
        <f>+Z73*'1. Standard_Cost'!$B$23+AA73*'1. Standard_Cost'!$C$23</f>
        <v>0</v>
      </c>
      <c r="AC73" s="261"/>
      <c r="AD73" s="262"/>
      <c r="AE73" s="108">
        <f>SUM(AD73,AC73,AB73,Y73,U73,T73,S73,R73)*'1. Standard_Cost'!$B$31</f>
        <v>0</v>
      </c>
      <c r="AF73" s="108">
        <f t="shared" si="86"/>
        <v>0</v>
      </c>
      <c r="AG73" s="260"/>
      <c r="AH73" s="260"/>
      <c r="AI73" s="260"/>
      <c r="AJ73" s="263"/>
      <c r="AK73" s="263"/>
      <c r="AL73" s="263"/>
      <c r="AM73" s="108">
        <f>AG73*'1. Standard_Cost'!$B$27+'Incremental_Cost Year 8'!AH73*'1. Standard_Cost'!$C$27+'Incremental_Cost Year 8'!AI73*'1. Standard_Cost'!$D$27+'Incremental_Cost Year 8'!AJ73+'Incremental_Cost Year 8'!AL73+AK73</f>
        <v>0</v>
      </c>
      <c r="AN73" s="108">
        <f>AM73*'1. Standard_Cost'!$C$31</f>
        <v>0</v>
      </c>
      <c r="AO73" s="125" t="s">
        <v>318</v>
      </c>
      <c r="AQ73" s="14">
        <f t="shared" si="87"/>
        <v>0</v>
      </c>
      <c r="AR73" s="14">
        <f t="shared" si="88"/>
        <v>0</v>
      </c>
      <c r="AS73" s="14">
        <f t="shared" si="89"/>
        <v>0</v>
      </c>
      <c r="AT73" s="14">
        <f t="shared" si="91"/>
        <v>0</v>
      </c>
      <c r="AU73" s="234"/>
      <c r="AV73" s="234"/>
      <c r="AW73" s="234"/>
      <c r="AX73" s="234"/>
      <c r="AY73" s="234"/>
      <c r="AZ73" s="234"/>
      <c r="BA73" s="234"/>
      <c r="BB73" s="16">
        <f t="shared" si="90"/>
        <v>0</v>
      </c>
    </row>
    <row r="74" spans="1:54" ht="41.4" outlineLevel="2">
      <c r="A74" s="98"/>
      <c r="B74" s="102"/>
      <c r="C74" s="23"/>
      <c r="D74" s="251"/>
      <c r="E74" s="251"/>
      <c r="F74" s="251"/>
      <c r="G74" s="250"/>
      <c r="H74" s="272"/>
      <c r="I74" s="258"/>
      <c r="J74" s="259"/>
      <c r="K74" s="259"/>
      <c r="L74" s="106" t="str">
        <f>IF(I74&lt;&gt;0,((VLOOKUP(I74,'1. Standard_Cost'!$B$4:$D$11,2)+VLOOKUP(I74,'1. Standard_Cost'!$B$4:$D$11,3))*J74*K74),"0")</f>
        <v>0</v>
      </c>
      <c r="M74" s="106">
        <f>L74*'1. Standard_Cost'!$F$4</f>
        <v>0</v>
      </c>
      <c r="N74" s="260"/>
      <c r="O74" s="260"/>
      <c r="P74" s="260"/>
      <c r="Q74" s="260"/>
      <c r="R74" s="108">
        <f>'1. Standard_Cost'!$B$15*N74*P74</f>
        <v>0</v>
      </c>
      <c r="S74" s="108">
        <f>N74*O74*P74*'1. Standard_Cost'!$C$15</f>
        <v>0</v>
      </c>
      <c r="T74" s="108">
        <f>N74*P74*Q74*'1. Standard_Cost'!$D$15</f>
        <v>0</v>
      </c>
      <c r="U74" s="108">
        <f>N74*O74*'1. Standard_Cost'!$E$15</f>
        <v>0</v>
      </c>
      <c r="V74" s="260"/>
      <c r="W74" s="260"/>
      <c r="X74" s="260"/>
      <c r="Y74" s="108">
        <f>+V74*((X74*'1. Standard_Cost'!$B$19)+(W74*X74*'1. Standard_Cost'!$C$19))</f>
        <v>0</v>
      </c>
      <c r="Z74" s="260"/>
      <c r="AA74" s="260"/>
      <c r="AB74" s="108">
        <f>+Z74*'1. Standard_Cost'!$B$23+AA74*'1. Standard_Cost'!$C$23</f>
        <v>0</v>
      </c>
      <c r="AC74" s="261"/>
      <c r="AD74" s="262"/>
      <c r="AE74" s="108">
        <f>SUM(AD74,AC74,AB74,Y74,U74,T74,S74,R74)*'1. Standard_Cost'!$B$31</f>
        <v>0</v>
      </c>
      <c r="AF74" s="108">
        <f t="shared" si="86"/>
        <v>0</v>
      </c>
      <c r="AG74" s="260"/>
      <c r="AH74" s="260"/>
      <c r="AI74" s="260"/>
      <c r="AJ74" s="263"/>
      <c r="AK74" s="263"/>
      <c r="AL74" s="263"/>
      <c r="AM74" s="108">
        <f>AG74*'1. Standard_Cost'!$B$27+'Incremental_Cost Year 8'!AH74*'1. Standard_Cost'!$C$27+'Incremental_Cost Year 8'!AI74*'1. Standard_Cost'!$D$27+'Incremental_Cost Year 8'!AJ74+'Incremental_Cost Year 8'!AL74+AK74</f>
        <v>0</v>
      </c>
      <c r="AN74" s="108">
        <f>AM74*'1. Standard_Cost'!$C$31</f>
        <v>0</v>
      </c>
      <c r="AO74" s="125" t="s">
        <v>319</v>
      </c>
      <c r="AQ74" s="14">
        <f t="shared" si="87"/>
        <v>0</v>
      </c>
      <c r="AR74" s="14">
        <f t="shared" si="88"/>
        <v>0</v>
      </c>
      <c r="AS74" s="14">
        <f t="shared" si="89"/>
        <v>0</v>
      </c>
      <c r="AT74" s="14">
        <f t="shared" si="91"/>
        <v>0</v>
      </c>
      <c r="AU74" s="234"/>
      <c r="AV74" s="234"/>
      <c r="AW74" s="234"/>
      <c r="AX74" s="234"/>
      <c r="AY74" s="234"/>
      <c r="AZ74" s="234"/>
      <c r="BA74" s="234"/>
      <c r="BB74" s="16">
        <f t="shared" si="90"/>
        <v>0</v>
      </c>
    </row>
    <row r="75" spans="1:54" ht="15.6" outlineLevel="2">
      <c r="A75" s="98"/>
      <c r="B75" s="102"/>
      <c r="C75" s="23"/>
      <c r="D75" s="251"/>
      <c r="E75" s="251"/>
      <c r="F75" s="251"/>
      <c r="G75" s="250"/>
      <c r="H75" s="272"/>
      <c r="I75" s="258"/>
      <c r="J75" s="259"/>
      <c r="K75" s="259"/>
      <c r="L75" s="106" t="str">
        <f>IF(I75&lt;&gt;0,((VLOOKUP(I75,'1. Standard_Cost'!$B$4:$D$11,2)+VLOOKUP(I75,'1. Standard_Cost'!$B$4:$D$11,3))*J75*K75),"0")</f>
        <v>0</v>
      </c>
      <c r="M75" s="106">
        <f>L75*'1. Standard_Cost'!$F$4</f>
        <v>0</v>
      </c>
      <c r="N75" s="260"/>
      <c r="O75" s="260"/>
      <c r="P75" s="260"/>
      <c r="Q75" s="260"/>
      <c r="R75" s="108">
        <f>'1. Standard_Cost'!$B$15*N75*P75</f>
        <v>0</v>
      </c>
      <c r="S75" s="108">
        <f>N75*O75*P75*'1. Standard_Cost'!$C$15</f>
        <v>0</v>
      </c>
      <c r="T75" s="108">
        <f>N75*P75*Q75*'1. Standard_Cost'!$D$15</f>
        <v>0</v>
      </c>
      <c r="U75" s="108">
        <f>N75*O75*'1. Standard_Cost'!$E$15</f>
        <v>0</v>
      </c>
      <c r="V75" s="260"/>
      <c r="W75" s="260"/>
      <c r="X75" s="260"/>
      <c r="Y75" s="108">
        <f>+V75*((X75*'1. Standard_Cost'!$B$19)+(W75*X75*'1. Standard_Cost'!$C$19))</f>
        <v>0</v>
      </c>
      <c r="Z75" s="260"/>
      <c r="AA75" s="260"/>
      <c r="AB75" s="108">
        <f>+Z75*'1. Standard_Cost'!$B$23+AA75*'1. Standard_Cost'!$C$23</f>
        <v>0</v>
      </c>
      <c r="AC75" s="261"/>
      <c r="AD75" s="262"/>
      <c r="AE75" s="108">
        <f>SUM(AD75,AC75,AB75,Y75,U75,T75,S75,R75)*'1. Standard_Cost'!$B$31</f>
        <v>0</v>
      </c>
      <c r="AF75" s="108">
        <f t="shared" si="86"/>
        <v>0</v>
      </c>
      <c r="AG75" s="260"/>
      <c r="AH75" s="260"/>
      <c r="AI75" s="260"/>
      <c r="AJ75" s="263"/>
      <c r="AK75" s="263"/>
      <c r="AL75" s="263"/>
      <c r="AM75" s="108">
        <f>AG75*'1. Standard_Cost'!$B$27+'Incremental_Cost Year 8'!AH75*'1. Standard_Cost'!$C$27+'Incremental_Cost Year 8'!AI75*'1. Standard_Cost'!$D$27+'Incremental_Cost Year 8'!AJ75+'Incremental_Cost Year 8'!AL75+AK75</f>
        <v>0</v>
      </c>
      <c r="AN75" s="108">
        <f>AM75*'1. Standard_Cost'!$C$31</f>
        <v>0</v>
      </c>
      <c r="AO75" s="125" t="s">
        <v>320</v>
      </c>
      <c r="AQ75" s="14">
        <f t="shared" si="87"/>
        <v>0</v>
      </c>
      <c r="AR75" s="14">
        <f t="shared" si="88"/>
        <v>0</v>
      </c>
      <c r="AS75" s="14">
        <f t="shared" si="89"/>
        <v>0</v>
      </c>
      <c r="AT75" s="14">
        <f t="shared" si="91"/>
        <v>0</v>
      </c>
      <c r="AU75" s="234"/>
      <c r="AV75" s="234"/>
      <c r="AW75" s="234"/>
      <c r="AX75" s="234"/>
      <c r="AY75" s="234"/>
      <c r="AZ75" s="234"/>
      <c r="BA75" s="234"/>
      <c r="BB75" s="16">
        <f t="shared" si="90"/>
        <v>0</v>
      </c>
    </row>
    <row r="76" spans="1:54" ht="69" outlineLevel="2">
      <c r="A76" s="98"/>
      <c r="B76" s="102"/>
      <c r="C76" s="23"/>
      <c r="D76" s="251"/>
      <c r="E76" s="251"/>
      <c r="F76" s="251"/>
      <c r="G76" s="250"/>
      <c r="H76" s="272"/>
      <c r="I76" s="258"/>
      <c r="J76" s="259"/>
      <c r="K76" s="259"/>
      <c r="L76" s="106" t="str">
        <f>IF(I76&lt;&gt;0,((VLOOKUP(I76,'1. Standard_Cost'!$B$4:$D$11,2)+VLOOKUP(I76,'1. Standard_Cost'!$B$4:$D$11,3))*J76*K76),"0")</f>
        <v>0</v>
      </c>
      <c r="M76" s="106">
        <f>L76*'1. Standard_Cost'!$F$4</f>
        <v>0</v>
      </c>
      <c r="N76" s="260"/>
      <c r="O76" s="260"/>
      <c r="P76" s="260"/>
      <c r="Q76" s="260"/>
      <c r="R76" s="108">
        <f>'1. Standard_Cost'!$B$15*N76*P76</f>
        <v>0</v>
      </c>
      <c r="S76" s="108">
        <f>N76*O76*P76*'1. Standard_Cost'!$C$15</f>
        <v>0</v>
      </c>
      <c r="T76" s="108">
        <f>N76*P76*Q76*'1. Standard_Cost'!$D$15</f>
        <v>0</v>
      </c>
      <c r="U76" s="108">
        <f>N76*O76*'1. Standard_Cost'!$E$15</f>
        <v>0</v>
      </c>
      <c r="V76" s="260"/>
      <c r="W76" s="260"/>
      <c r="X76" s="260"/>
      <c r="Y76" s="108">
        <f>+V76*((X76*'1. Standard_Cost'!$B$19)+(W76*X76*'1. Standard_Cost'!$C$19))</f>
        <v>0</v>
      </c>
      <c r="Z76" s="260"/>
      <c r="AA76" s="260"/>
      <c r="AB76" s="108">
        <f>+Z76*'1. Standard_Cost'!$B$23+AA76*'1. Standard_Cost'!$C$23</f>
        <v>0</v>
      </c>
      <c r="AC76" s="261"/>
      <c r="AD76" s="262"/>
      <c r="AE76" s="108">
        <f>SUM(AD76,AC76,AB76,Y76,U76,T76,S76,R76)*'1. Standard_Cost'!$B$31</f>
        <v>0</v>
      </c>
      <c r="AF76" s="108">
        <f t="shared" si="86"/>
        <v>0</v>
      </c>
      <c r="AG76" s="260"/>
      <c r="AH76" s="260"/>
      <c r="AI76" s="260"/>
      <c r="AJ76" s="263"/>
      <c r="AK76" s="263"/>
      <c r="AL76" s="263"/>
      <c r="AM76" s="108">
        <f>AG76*'1. Standard_Cost'!$B$27+'Incremental_Cost Year 8'!AH76*'1. Standard_Cost'!$C$27+'Incremental_Cost Year 8'!AI76*'1. Standard_Cost'!$D$27+'Incremental_Cost Year 8'!AJ76+'Incremental_Cost Year 8'!AL76+AK76</f>
        <v>0</v>
      </c>
      <c r="AN76" s="108">
        <f>AM76*'1. Standard_Cost'!$C$31</f>
        <v>0</v>
      </c>
      <c r="AO76" s="125" t="s">
        <v>321</v>
      </c>
      <c r="AQ76" s="14">
        <f t="shared" si="87"/>
        <v>0</v>
      </c>
      <c r="AR76" s="14">
        <f t="shared" si="88"/>
        <v>0</v>
      </c>
      <c r="AS76" s="14">
        <f t="shared" si="89"/>
        <v>0</v>
      </c>
      <c r="AT76" s="14">
        <f t="shared" si="91"/>
        <v>0</v>
      </c>
      <c r="AU76" s="234"/>
      <c r="AV76" s="234"/>
      <c r="AW76" s="234"/>
      <c r="AX76" s="234"/>
      <c r="AY76" s="234"/>
      <c r="AZ76" s="234"/>
      <c r="BA76" s="234"/>
      <c r="BB76" s="16">
        <f t="shared" si="90"/>
        <v>0</v>
      </c>
    </row>
    <row r="77" spans="1:54" ht="27.6" outlineLevel="2">
      <c r="A77" s="98"/>
      <c r="B77" s="102"/>
      <c r="C77" s="23"/>
      <c r="D77" s="251"/>
      <c r="E77" s="251"/>
      <c r="F77" s="251"/>
      <c r="G77" s="250"/>
      <c r="H77" s="272"/>
      <c r="I77" s="258"/>
      <c r="J77" s="259"/>
      <c r="K77" s="259"/>
      <c r="L77" s="106" t="str">
        <f>IF(I77&lt;&gt;0,((VLOOKUP(I77,'1. Standard_Cost'!$B$4:$D$11,2)+VLOOKUP(I77,'1. Standard_Cost'!$B$4:$D$11,3))*J77*K77),"0")</f>
        <v>0</v>
      </c>
      <c r="M77" s="106">
        <f>L77*'1. Standard_Cost'!$F$4</f>
        <v>0</v>
      </c>
      <c r="N77" s="260"/>
      <c r="O77" s="260"/>
      <c r="P77" s="260"/>
      <c r="Q77" s="260"/>
      <c r="R77" s="108">
        <f>'1. Standard_Cost'!$B$15*N77*P77</f>
        <v>0</v>
      </c>
      <c r="S77" s="108">
        <f>N77*O77*P77*'1. Standard_Cost'!$C$15</f>
        <v>0</v>
      </c>
      <c r="T77" s="108">
        <f>N77*P77*Q77*'1. Standard_Cost'!$D$15</f>
        <v>0</v>
      </c>
      <c r="U77" s="108">
        <f>N77*O77*'1. Standard_Cost'!$E$15</f>
        <v>0</v>
      </c>
      <c r="V77" s="260"/>
      <c r="W77" s="260"/>
      <c r="X77" s="260"/>
      <c r="Y77" s="108">
        <f>+V77*((X77*'1. Standard_Cost'!$B$19)+(W77*X77*'1. Standard_Cost'!$C$19))</f>
        <v>0</v>
      </c>
      <c r="Z77" s="260"/>
      <c r="AA77" s="260"/>
      <c r="AB77" s="108">
        <f>+Z77*'1. Standard_Cost'!$B$23+AA77*'1. Standard_Cost'!$C$23</f>
        <v>0</v>
      </c>
      <c r="AC77" s="261"/>
      <c r="AD77" s="262"/>
      <c r="AE77" s="108">
        <f>SUM(AD77,AC77,AB77,Y77,U77,T77,S77,R77)*'1. Standard_Cost'!$B$31</f>
        <v>0</v>
      </c>
      <c r="AF77" s="108">
        <f t="shared" si="86"/>
        <v>0</v>
      </c>
      <c r="AG77" s="260"/>
      <c r="AH77" s="260"/>
      <c r="AI77" s="260"/>
      <c r="AJ77" s="263"/>
      <c r="AK77" s="263"/>
      <c r="AL77" s="263"/>
      <c r="AM77" s="108">
        <f>AG77*'1. Standard_Cost'!$B$27+'Incremental_Cost Year 8'!AH77*'1. Standard_Cost'!$C$27+'Incremental_Cost Year 8'!AI77*'1. Standard_Cost'!$D$27+'Incremental_Cost Year 8'!AJ77+'Incremental_Cost Year 8'!AL77+AK77</f>
        <v>0</v>
      </c>
      <c r="AN77" s="108">
        <f>AM77*'1. Standard_Cost'!$C$31</f>
        <v>0</v>
      </c>
      <c r="AO77" s="125" t="s">
        <v>322</v>
      </c>
      <c r="AQ77" s="14">
        <f t="shared" si="87"/>
        <v>0</v>
      </c>
      <c r="AR77" s="14">
        <f t="shared" si="88"/>
        <v>0</v>
      </c>
      <c r="AS77" s="14">
        <f t="shared" si="89"/>
        <v>0</v>
      </c>
      <c r="AT77" s="14">
        <f t="shared" si="91"/>
        <v>0</v>
      </c>
      <c r="AU77" s="234"/>
      <c r="AV77" s="234"/>
      <c r="AW77" s="234"/>
      <c r="AX77" s="234"/>
      <c r="AY77" s="234"/>
      <c r="AZ77" s="234"/>
      <c r="BA77" s="234"/>
      <c r="BB77" s="16">
        <f t="shared" si="90"/>
        <v>0</v>
      </c>
    </row>
    <row r="78" spans="1:54" ht="27.6" outlineLevel="2">
      <c r="A78" s="98"/>
      <c r="B78" s="102"/>
      <c r="C78" s="23"/>
      <c r="D78" s="251"/>
      <c r="E78" s="251"/>
      <c r="F78" s="251"/>
      <c r="G78" s="250"/>
      <c r="H78" s="272"/>
      <c r="I78" s="258"/>
      <c r="J78" s="259"/>
      <c r="K78" s="259"/>
      <c r="L78" s="106" t="str">
        <f>IF(I78&lt;&gt;0,((VLOOKUP(I78,'1. Standard_Cost'!$B$4:$D$11,2)+VLOOKUP(I78,'1. Standard_Cost'!$B$4:$D$11,3))*J78*K78),"0")</f>
        <v>0</v>
      </c>
      <c r="M78" s="106">
        <f>L78*'1. Standard_Cost'!$F$4</f>
        <v>0</v>
      </c>
      <c r="N78" s="260"/>
      <c r="O78" s="260"/>
      <c r="P78" s="260"/>
      <c r="Q78" s="260"/>
      <c r="R78" s="108">
        <f>'1. Standard_Cost'!$B$15*N78*P78</f>
        <v>0</v>
      </c>
      <c r="S78" s="108">
        <f>N78*O78*P78*'1. Standard_Cost'!$C$15</f>
        <v>0</v>
      </c>
      <c r="T78" s="108">
        <f>N78*P78*Q78*'1. Standard_Cost'!$D$15</f>
        <v>0</v>
      </c>
      <c r="U78" s="108">
        <f>N78*O78*'1. Standard_Cost'!$E$15</f>
        <v>0</v>
      </c>
      <c r="V78" s="260"/>
      <c r="W78" s="260"/>
      <c r="X78" s="260"/>
      <c r="Y78" s="108">
        <f>+V78*((X78*'1. Standard_Cost'!$B$19)+(W78*X78*'1. Standard_Cost'!$C$19))</f>
        <v>0</v>
      </c>
      <c r="Z78" s="260"/>
      <c r="AA78" s="260"/>
      <c r="AB78" s="108">
        <f>+Z78*'1. Standard_Cost'!$B$23+AA78*'1. Standard_Cost'!$C$23</f>
        <v>0</v>
      </c>
      <c r="AC78" s="261"/>
      <c r="AD78" s="262"/>
      <c r="AE78" s="108">
        <f>SUM(AD78,AC78,AB78,Y78,U78,T78,S78,R78)*'1. Standard_Cost'!$B$31</f>
        <v>0</v>
      </c>
      <c r="AF78" s="108">
        <f t="shared" si="86"/>
        <v>0</v>
      </c>
      <c r="AG78" s="260"/>
      <c r="AH78" s="260"/>
      <c r="AI78" s="260"/>
      <c r="AJ78" s="263"/>
      <c r="AK78" s="263"/>
      <c r="AL78" s="263"/>
      <c r="AM78" s="108">
        <f>AG78*'1. Standard_Cost'!$B$27+'Incremental_Cost Year 8'!AH78*'1. Standard_Cost'!$C$27+'Incremental_Cost Year 8'!AI78*'1. Standard_Cost'!$D$27+'Incremental_Cost Year 8'!AJ78+'Incremental_Cost Year 8'!AL78+AK78</f>
        <v>0</v>
      </c>
      <c r="AN78" s="108">
        <f>AM78*'1. Standard_Cost'!$C$31</f>
        <v>0</v>
      </c>
      <c r="AO78" s="125" t="s">
        <v>323</v>
      </c>
      <c r="AQ78" s="14">
        <f t="shared" si="87"/>
        <v>0</v>
      </c>
      <c r="AR78" s="14">
        <f t="shared" si="88"/>
        <v>0</v>
      </c>
      <c r="AS78" s="14">
        <f t="shared" si="89"/>
        <v>0</v>
      </c>
      <c r="AT78" s="14">
        <f t="shared" si="91"/>
        <v>0</v>
      </c>
      <c r="AU78" s="234"/>
      <c r="AV78" s="234"/>
      <c r="AW78" s="234"/>
      <c r="AX78" s="234"/>
      <c r="AY78" s="234"/>
      <c r="AZ78" s="234"/>
      <c r="BA78" s="234"/>
      <c r="BB78" s="16">
        <f t="shared" si="90"/>
        <v>0</v>
      </c>
    </row>
    <row r="79" spans="1:54" ht="27.6" outlineLevel="1">
      <c r="A79" s="98"/>
      <c r="B79" s="102"/>
      <c r="C79" s="23"/>
      <c r="D79" s="56" t="s">
        <v>47</v>
      </c>
      <c r="E79" s="56" t="s">
        <v>215</v>
      </c>
      <c r="F79" s="253"/>
      <c r="G79" s="254"/>
      <c r="H79" s="277" t="s">
        <v>182</v>
      </c>
      <c r="I79" s="264"/>
      <c r="J79" s="264"/>
      <c r="K79" s="264"/>
      <c r="L79" s="113">
        <f>SUM(L60:L78)</f>
        <v>0</v>
      </c>
      <c r="M79" s="113">
        <f>SUM(M60:M78)</f>
        <v>0</v>
      </c>
      <c r="N79" s="264"/>
      <c r="O79" s="264"/>
      <c r="P79" s="264"/>
      <c r="Q79" s="264"/>
      <c r="R79" s="113">
        <f t="shared" ref="R79:U79" si="92">SUM(R60:R78)</f>
        <v>0</v>
      </c>
      <c r="S79" s="113">
        <f t="shared" si="92"/>
        <v>0</v>
      </c>
      <c r="T79" s="113">
        <f t="shared" si="92"/>
        <v>0</v>
      </c>
      <c r="U79" s="113">
        <f t="shared" si="92"/>
        <v>0</v>
      </c>
      <c r="V79" s="264"/>
      <c r="W79" s="264"/>
      <c r="X79" s="264"/>
      <c r="Y79" s="113">
        <f>SUM(Y60:Y78)</f>
        <v>0</v>
      </c>
      <c r="Z79" s="264"/>
      <c r="AA79" s="264"/>
      <c r="AB79" s="113">
        <f t="shared" ref="AB79:AF79" si="93">SUM(AB60:AB78)</f>
        <v>0</v>
      </c>
      <c r="AC79" s="265">
        <f t="shared" si="93"/>
        <v>0</v>
      </c>
      <c r="AD79" s="265">
        <f t="shared" si="93"/>
        <v>0</v>
      </c>
      <c r="AE79" s="113">
        <f t="shared" si="93"/>
        <v>0</v>
      </c>
      <c r="AF79" s="113">
        <f t="shared" si="93"/>
        <v>0</v>
      </c>
      <c r="AG79" s="264"/>
      <c r="AH79" s="264"/>
      <c r="AI79" s="264"/>
      <c r="AJ79" s="265">
        <f t="shared" ref="AJ79:AL79" si="94">SUM(AJ60:AJ78)</f>
        <v>0</v>
      </c>
      <c r="AK79" s="265">
        <f t="shared" si="94"/>
        <v>0</v>
      </c>
      <c r="AL79" s="265">
        <f t="shared" si="94"/>
        <v>0</v>
      </c>
      <c r="AM79" s="113">
        <f t="shared" ref="AM79:AN79" si="95">SUM(AM60:AM78)</f>
        <v>0</v>
      </c>
      <c r="AN79" s="113">
        <f t="shared" si="95"/>
        <v>0</v>
      </c>
      <c r="AO79" s="131"/>
      <c r="AP79" s="17"/>
      <c r="AQ79" s="113">
        <f>SUM(AQ60:AQ78)</f>
        <v>0</v>
      </c>
      <c r="AR79" s="113">
        <f t="shared" ref="AR79:BB79" si="96">SUM(AR60:AR78)</f>
        <v>0</v>
      </c>
      <c r="AS79" s="113">
        <f t="shared" si="96"/>
        <v>0</v>
      </c>
      <c r="AT79" s="113">
        <f t="shared" si="96"/>
        <v>0</v>
      </c>
      <c r="AU79" s="265">
        <f t="shared" si="96"/>
        <v>0</v>
      </c>
      <c r="AV79" s="265">
        <f t="shared" si="96"/>
        <v>0</v>
      </c>
      <c r="AW79" s="265">
        <f t="shared" si="96"/>
        <v>0</v>
      </c>
      <c r="AX79" s="265">
        <f t="shared" si="96"/>
        <v>0</v>
      </c>
      <c r="AY79" s="265">
        <f t="shared" si="96"/>
        <v>0</v>
      </c>
      <c r="AZ79" s="265">
        <f t="shared" si="96"/>
        <v>0</v>
      </c>
      <c r="BA79" s="265">
        <f t="shared" si="96"/>
        <v>0</v>
      </c>
      <c r="BB79" s="113">
        <f t="shared" si="96"/>
        <v>0</v>
      </c>
    </row>
    <row r="80" spans="1:54" s="24" customFormat="1" ht="13.8" customHeight="1">
      <c r="A80" s="114"/>
      <c r="B80" s="115"/>
      <c r="C80" s="314" t="s">
        <v>216</v>
      </c>
      <c r="D80" s="314"/>
      <c r="E80" s="315"/>
      <c r="F80" s="246"/>
      <c r="G80" s="246"/>
      <c r="H80" s="278" t="s">
        <v>219</v>
      </c>
      <c r="I80" s="266"/>
      <c r="J80" s="266"/>
      <c r="K80" s="266"/>
      <c r="L80" s="117">
        <f>L91</f>
        <v>0</v>
      </c>
      <c r="M80" s="117">
        <f>M91</f>
        <v>0</v>
      </c>
      <c r="N80" s="266"/>
      <c r="O80" s="266"/>
      <c r="P80" s="266"/>
      <c r="Q80" s="266"/>
      <c r="R80" s="117">
        <f t="shared" ref="R80:U80" si="97">R91</f>
        <v>0</v>
      </c>
      <c r="S80" s="117">
        <f t="shared" si="97"/>
        <v>0</v>
      </c>
      <c r="T80" s="117">
        <f t="shared" si="97"/>
        <v>0</v>
      </c>
      <c r="U80" s="117">
        <f t="shared" si="97"/>
        <v>0</v>
      </c>
      <c r="V80" s="266"/>
      <c r="W80" s="266"/>
      <c r="X80" s="266"/>
      <c r="Y80" s="117">
        <f>Y91</f>
        <v>0</v>
      </c>
      <c r="Z80" s="266"/>
      <c r="AA80" s="266"/>
      <c r="AB80" s="117">
        <f t="shared" ref="AB80:AF80" si="98">AB91</f>
        <v>0</v>
      </c>
      <c r="AC80" s="267">
        <f t="shared" si="98"/>
        <v>0</v>
      </c>
      <c r="AD80" s="267">
        <f t="shared" si="98"/>
        <v>0</v>
      </c>
      <c r="AE80" s="117">
        <f t="shared" si="98"/>
        <v>0</v>
      </c>
      <c r="AF80" s="117">
        <f t="shared" si="98"/>
        <v>0</v>
      </c>
      <c r="AG80" s="266"/>
      <c r="AH80" s="266"/>
      <c r="AI80" s="266"/>
      <c r="AJ80" s="267">
        <f t="shared" ref="AJ80:AL80" si="99">AJ91</f>
        <v>0</v>
      </c>
      <c r="AK80" s="267">
        <f t="shared" si="99"/>
        <v>0</v>
      </c>
      <c r="AL80" s="267">
        <f t="shared" si="99"/>
        <v>0</v>
      </c>
      <c r="AM80" s="117">
        <f t="shared" ref="AM80:AN80" si="100">AM91</f>
        <v>0</v>
      </c>
      <c r="AN80" s="117">
        <f t="shared" si="100"/>
        <v>0</v>
      </c>
      <c r="AO80" s="132"/>
      <c r="AP80" s="25"/>
      <c r="AQ80" s="117">
        <f t="shared" ref="AQ80:BB80" si="101">AQ91</f>
        <v>0</v>
      </c>
      <c r="AR80" s="117">
        <f t="shared" si="101"/>
        <v>0</v>
      </c>
      <c r="AS80" s="117">
        <f t="shared" si="101"/>
        <v>0</v>
      </c>
      <c r="AT80" s="117">
        <f t="shared" si="101"/>
        <v>0</v>
      </c>
      <c r="AU80" s="267">
        <f t="shared" si="101"/>
        <v>0</v>
      </c>
      <c r="AV80" s="267">
        <f t="shared" si="101"/>
        <v>0</v>
      </c>
      <c r="AW80" s="267">
        <f t="shared" si="101"/>
        <v>0</v>
      </c>
      <c r="AX80" s="267">
        <f t="shared" si="101"/>
        <v>0</v>
      </c>
      <c r="AY80" s="267">
        <f t="shared" si="101"/>
        <v>0</v>
      </c>
      <c r="AZ80" s="267">
        <f t="shared" si="101"/>
        <v>0</v>
      </c>
      <c r="BA80" s="267">
        <f t="shared" si="101"/>
        <v>0</v>
      </c>
      <c r="BB80" s="117">
        <f t="shared" si="101"/>
        <v>0</v>
      </c>
    </row>
    <row r="81" spans="1:54" ht="15.6" outlineLevel="2">
      <c r="A81" s="98"/>
      <c r="B81" s="102"/>
      <c r="C81" s="23"/>
      <c r="D81" s="257"/>
      <c r="E81" s="257"/>
      <c r="F81" s="252"/>
      <c r="G81" s="249"/>
      <c r="H81" s="272"/>
      <c r="I81" s="282"/>
      <c r="J81" s="259"/>
      <c r="K81" s="259"/>
      <c r="L81" s="106" t="str">
        <f>IF(I81&lt;&gt;0,((VLOOKUP(I81,'1. Standard_Cost'!$B$4:$D$11,2)+VLOOKUP(I81,'1. Standard_Cost'!$B$4:$D$11,3))*J81*K81),"0")</f>
        <v>0</v>
      </c>
      <c r="M81" s="106">
        <f>L81*'1. Standard_Cost'!$F$4</f>
        <v>0</v>
      </c>
      <c r="N81" s="260"/>
      <c r="O81" s="260"/>
      <c r="P81" s="260"/>
      <c r="Q81" s="260"/>
      <c r="R81" s="108">
        <f>'1. Standard_Cost'!$B$15*N81*P81</f>
        <v>0</v>
      </c>
      <c r="S81" s="108">
        <f>N81*O81*P81*'1. Standard_Cost'!$C$15</f>
        <v>0</v>
      </c>
      <c r="T81" s="108">
        <f>N81*P81*Q81*'1. Standard_Cost'!$D$15</f>
        <v>0</v>
      </c>
      <c r="U81" s="108">
        <f>N81*O81*'1. Standard_Cost'!$E$15</f>
        <v>0</v>
      </c>
      <c r="V81" s="260"/>
      <c r="W81" s="260"/>
      <c r="X81" s="260"/>
      <c r="Y81" s="108">
        <f>+V81*((X81*'1. Standard_Cost'!$B$19)+(W81*X81*'1. Standard_Cost'!$C$19))</f>
        <v>0</v>
      </c>
      <c r="Z81" s="260"/>
      <c r="AA81" s="260"/>
      <c r="AB81" s="108">
        <f>+Z81*'1. Standard_Cost'!$B$23+AA81*'1. Standard_Cost'!$C$23</f>
        <v>0</v>
      </c>
      <c r="AC81" s="261"/>
      <c r="AD81" s="262"/>
      <c r="AE81" s="108">
        <f>SUM(AD81,AC81,AB81,Y81,U81,T81,S81,R81)*'1. Standard_Cost'!$B$31</f>
        <v>0</v>
      </c>
      <c r="AF81" s="108">
        <f t="shared" ref="AF81:AF90" si="102">SUM(AE81,AD81,AC81,AB81,Y81,U81,T81,S81,R81)</f>
        <v>0</v>
      </c>
      <c r="AG81" s="260"/>
      <c r="AH81" s="260"/>
      <c r="AI81" s="260"/>
      <c r="AJ81" s="263"/>
      <c r="AK81" s="263"/>
      <c r="AL81" s="263"/>
      <c r="AM81" s="108">
        <f>AG81*'1. Standard_Cost'!$B$27+'Incremental_Cost Year 8'!AH81*'1. Standard_Cost'!$C$27+'Incremental_Cost Year 8'!AI81*'1. Standard_Cost'!$D$27+'Incremental_Cost Year 8'!AJ81+'Incremental_Cost Year 8'!AL81+AK81</f>
        <v>0</v>
      </c>
      <c r="AN81" s="108">
        <f>AM81*'1. Standard_Cost'!$C$31</f>
        <v>0</v>
      </c>
      <c r="AO81" s="125" t="s">
        <v>300</v>
      </c>
      <c r="AQ81" s="14">
        <f t="shared" ref="AQ81:AQ90" si="103">L81+M81</f>
        <v>0</v>
      </c>
      <c r="AR81" s="14">
        <f t="shared" ref="AR81:AR90" si="104">AF81</f>
        <v>0</v>
      </c>
      <c r="AS81" s="14">
        <f t="shared" ref="AS81:AS90" si="105">AM81+AN81</f>
        <v>0</v>
      </c>
      <c r="AT81" s="14">
        <f>SUM(AQ81,AR81,AS81)</f>
        <v>0</v>
      </c>
      <c r="AU81" s="234"/>
      <c r="AV81" s="234"/>
      <c r="AW81" s="234"/>
      <c r="AX81" s="234"/>
      <c r="AY81" s="234"/>
      <c r="AZ81" s="234"/>
      <c r="BA81" s="234"/>
      <c r="BB81" s="16">
        <f t="shared" ref="BB81:BB90" si="106">SUM(AU81:BA81)-AT81</f>
        <v>0</v>
      </c>
    </row>
    <row r="82" spans="1:54" ht="27.6" outlineLevel="2">
      <c r="A82" s="98"/>
      <c r="B82" s="102"/>
      <c r="C82" s="23"/>
      <c r="D82" s="269"/>
      <c r="E82" s="269"/>
      <c r="F82" s="251"/>
      <c r="G82" s="250"/>
      <c r="H82" s="272"/>
      <c r="I82" s="282"/>
      <c r="J82" s="259"/>
      <c r="K82" s="259"/>
      <c r="L82" s="106" t="str">
        <f>IF(I82&lt;&gt;0,((VLOOKUP(I82,'1. Standard_Cost'!$B$4:$D$11,2)+VLOOKUP(I82,'1. Standard_Cost'!$B$4:$D$11,3))*J82*K82),"0")</f>
        <v>0</v>
      </c>
      <c r="M82" s="106">
        <f>L82*'1. Standard_Cost'!$F$4</f>
        <v>0</v>
      </c>
      <c r="N82" s="260"/>
      <c r="O82" s="260"/>
      <c r="P82" s="260"/>
      <c r="Q82" s="260"/>
      <c r="R82" s="108">
        <f>'1. Standard_Cost'!$B$15*N82*P82</f>
        <v>0</v>
      </c>
      <c r="S82" s="108">
        <f>N82*O82*P82*'1. Standard_Cost'!$C$15</f>
        <v>0</v>
      </c>
      <c r="T82" s="108">
        <f>N82*P82*Q82*'1. Standard_Cost'!$D$15</f>
        <v>0</v>
      </c>
      <c r="U82" s="108">
        <f>N82*O82*'1. Standard_Cost'!$E$15</f>
        <v>0</v>
      </c>
      <c r="V82" s="260"/>
      <c r="W82" s="260"/>
      <c r="X82" s="260"/>
      <c r="Y82" s="108">
        <f>+V82*((X82*'1. Standard_Cost'!$B$19)+(W82*X82*'1. Standard_Cost'!$C$19))</f>
        <v>0</v>
      </c>
      <c r="Z82" s="260"/>
      <c r="AA82" s="260"/>
      <c r="AB82" s="108">
        <f>+Z82*'1. Standard_Cost'!$B$23+AA82*'1. Standard_Cost'!$C$23</f>
        <v>0</v>
      </c>
      <c r="AC82" s="261"/>
      <c r="AD82" s="262"/>
      <c r="AE82" s="108">
        <f>SUM(AD82,AC82,AB82,Y82,U82,T82,S82,R82)*'1. Standard_Cost'!$B$31</f>
        <v>0</v>
      </c>
      <c r="AF82" s="108">
        <f t="shared" si="102"/>
        <v>0</v>
      </c>
      <c r="AG82" s="260"/>
      <c r="AH82" s="260"/>
      <c r="AI82" s="260"/>
      <c r="AJ82" s="263"/>
      <c r="AK82" s="263"/>
      <c r="AL82" s="263"/>
      <c r="AM82" s="108">
        <f>AG82*'1. Standard_Cost'!$B$27+'Incremental_Cost Year 8'!AH82*'1. Standard_Cost'!$C$27+'Incremental_Cost Year 8'!AI82*'1. Standard_Cost'!$D$27+'Incremental_Cost Year 8'!AJ82+'Incremental_Cost Year 8'!AL82+AK82</f>
        <v>0</v>
      </c>
      <c r="AN82" s="108">
        <f>AM82*'1. Standard_Cost'!$C$31</f>
        <v>0</v>
      </c>
      <c r="AO82" s="125" t="s">
        <v>324</v>
      </c>
      <c r="AQ82" s="14">
        <f t="shared" si="103"/>
        <v>0</v>
      </c>
      <c r="AR82" s="14">
        <f t="shared" si="104"/>
        <v>0</v>
      </c>
      <c r="AS82" s="14">
        <f t="shared" si="105"/>
        <v>0</v>
      </c>
      <c r="AT82" s="14">
        <f t="shared" ref="AT82:AT90" si="107">SUM(AQ82,AR82,AS82)</f>
        <v>0</v>
      </c>
      <c r="AU82" s="234"/>
      <c r="AV82" s="234"/>
      <c r="AW82" s="234"/>
      <c r="AX82" s="234"/>
      <c r="AY82" s="234"/>
      <c r="AZ82" s="234"/>
      <c r="BA82" s="234"/>
      <c r="BB82" s="16">
        <f t="shared" si="106"/>
        <v>0</v>
      </c>
    </row>
    <row r="83" spans="1:54" ht="15.6" outlineLevel="2">
      <c r="A83" s="98"/>
      <c r="B83" s="102"/>
      <c r="C83" s="23"/>
      <c r="D83" s="269"/>
      <c r="E83" s="269"/>
      <c r="F83" s="251"/>
      <c r="G83" s="250"/>
      <c r="H83" s="272"/>
      <c r="I83" s="282"/>
      <c r="J83" s="259"/>
      <c r="K83" s="259"/>
      <c r="L83" s="106" t="str">
        <f>IF(I83&lt;&gt;0,((VLOOKUP(I83,'1. Standard_Cost'!$B$4:$D$11,2)+VLOOKUP(I83,'1. Standard_Cost'!$B$4:$D$11,3))*J83*K83),"0")</f>
        <v>0</v>
      </c>
      <c r="M83" s="106">
        <f>L83*'1. Standard_Cost'!$F$4</f>
        <v>0</v>
      </c>
      <c r="N83" s="260"/>
      <c r="O83" s="260"/>
      <c r="P83" s="260"/>
      <c r="Q83" s="260"/>
      <c r="R83" s="108">
        <f>'1. Standard_Cost'!$B$15*N83*P83</f>
        <v>0</v>
      </c>
      <c r="S83" s="108">
        <f>N83*O83*P83*'1. Standard_Cost'!$C$15</f>
        <v>0</v>
      </c>
      <c r="T83" s="108">
        <f>N83*P83*Q83*'1. Standard_Cost'!$D$15</f>
        <v>0</v>
      </c>
      <c r="U83" s="108">
        <f>N83*O83*'1. Standard_Cost'!$E$15</f>
        <v>0</v>
      </c>
      <c r="V83" s="260"/>
      <c r="W83" s="260"/>
      <c r="X83" s="260"/>
      <c r="Y83" s="108">
        <f>+V83*((X83*'1. Standard_Cost'!$B$19)+(W83*X83*'1. Standard_Cost'!$C$19))</f>
        <v>0</v>
      </c>
      <c r="Z83" s="260"/>
      <c r="AA83" s="260"/>
      <c r="AB83" s="108">
        <f>+Z83*'1. Standard_Cost'!$B$23+AA83*'1. Standard_Cost'!$C$23</f>
        <v>0</v>
      </c>
      <c r="AC83" s="261"/>
      <c r="AD83" s="262"/>
      <c r="AE83" s="108">
        <f>SUM(AD83,AC83,AB83,Y83,U83,T83,S83,R83)*'1. Standard_Cost'!$B$31</f>
        <v>0</v>
      </c>
      <c r="AF83" s="108">
        <f t="shared" si="102"/>
        <v>0</v>
      </c>
      <c r="AG83" s="260"/>
      <c r="AH83" s="260"/>
      <c r="AI83" s="260"/>
      <c r="AJ83" s="263"/>
      <c r="AK83" s="263"/>
      <c r="AL83" s="263"/>
      <c r="AM83" s="108">
        <f>AG83*'1. Standard_Cost'!$B$27+'Incremental_Cost Year 8'!AH83*'1. Standard_Cost'!$C$27+'Incremental_Cost Year 8'!AI83*'1. Standard_Cost'!$D$27+'Incremental_Cost Year 8'!AJ83+'Incremental_Cost Year 8'!AL83+AK83</f>
        <v>0</v>
      </c>
      <c r="AN83" s="108">
        <f>AM83*'1. Standard_Cost'!$C$31</f>
        <v>0</v>
      </c>
      <c r="AO83" s="125" t="s">
        <v>325</v>
      </c>
      <c r="AQ83" s="14">
        <f t="shared" si="103"/>
        <v>0</v>
      </c>
      <c r="AR83" s="14">
        <f t="shared" si="104"/>
        <v>0</v>
      </c>
      <c r="AS83" s="14">
        <f t="shared" si="105"/>
        <v>0</v>
      </c>
      <c r="AT83" s="14">
        <f t="shared" si="107"/>
        <v>0</v>
      </c>
      <c r="AU83" s="234"/>
      <c r="AV83" s="234"/>
      <c r="AW83" s="234"/>
      <c r="AX83" s="234"/>
      <c r="AY83" s="234"/>
      <c r="AZ83" s="234"/>
      <c r="BA83" s="234"/>
      <c r="BB83" s="16">
        <f t="shared" si="106"/>
        <v>0</v>
      </c>
    </row>
    <row r="84" spans="1:54" ht="15.6" outlineLevel="2">
      <c r="A84" s="98"/>
      <c r="B84" s="102"/>
      <c r="C84" s="23"/>
      <c r="D84" s="269"/>
      <c r="E84" s="269"/>
      <c r="F84" s="251"/>
      <c r="G84" s="250"/>
      <c r="H84" s="272"/>
      <c r="I84" s="258"/>
      <c r="J84" s="259"/>
      <c r="K84" s="259"/>
      <c r="L84" s="106" t="str">
        <f>IF(I84&lt;&gt;0,((VLOOKUP(I84,'1. Standard_Cost'!$B$4:$D$11,2)+VLOOKUP(I84,'1. Standard_Cost'!$B$4:$D$11,3))*J84*K84),"0")</f>
        <v>0</v>
      </c>
      <c r="M84" s="106">
        <f>L84*'1. Standard_Cost'!$F$4</f>
        <v>0</v>
      </c>
      <c r="N84" s="260"/>
      <c r="O84" s="260"/>
      <c r="P84" s="260"/>
      <c r="Q84" s="260"/>
      <c r="R84" s="108">
        <f>'1. Standard_Cost'!$B$15*N84*P84</f>
        <v>0</v>
      </c>
      <c r="S84" s="108">
        <f>N84*O84*P84*'1. Standard_Cost'!$C$15</f>
        <v>0</v>
      </c>
      <c r="T84" s="108">
        <f>N84*P84*Q84*'1. Standard_Cost'!$D$15</f>
        <v>0</v>
      </c>
      <c r="U84" s="108">
        <f>N84*O84*'1. Standard_Cost'!$E$15</f>
        <v>0</v>
      </c>
      <c r="V84" s="260"/>
      <c r="W84" s="260"/>
      <c r="X84" s="260"/>
      <c r="Y84" s="108">
        <f>+V84*((X84*'1. Standard_Cost'!$B$19)+(W84*X84*'1. Standard_Cost'!$C$19))</f>
        <v>0</v>
      </c>
      <c r="Z84" s="260"/>
      <c r="AA84" s="260"/>
      <c r="AB84" s="108">
        <f>+Z84*'1. Standard_Cost'!$B$23+AA84*'1. Standard_Cost'!$C$23</f>
        <v>0</v>
      </c>
      <c r="AC84" s="261"/>
      <c r="AD84" s="262"/>
      <c r="AE84" s="108">
        <f>SUM(AD84,AC84,AB84,Y84,U84,T84,S84,R84)*'1. Standard_Cost'!$B$31</f>
        <v>0</v>
      </c>
      <c r="AF84" s="108">
        <f t="shared" si="102"/>
        <v>0</v>
      </c>
      <c r="AG84" s="260"/>
      <c r="AH84" s="260"/>
      <c r="AI84" s="260"/>
      <c r="AJ84" s="263"/>
      <c r="AK84" s="263"/>
      <c r="AL84" s="263"/>
      <c r="AM84" s="108">
        <f>AG84*'1. Standard_Cost'!$B$27+'Incremental_Cost Year 8'!AH84*'1. Standard_Cost'!$C$27+'Incremental_Cost Year 8'!AI84*'1. Standard_Cost'!$D$27+'Incremental_Cost Year 8'!AJ84+'Incremental_Cost Year 8'!AL84+AK84</f>
        <v>0</v>
      </c>
      <c r="AN84" s="108">
        <f>AM84*'1. Standard_Cost'!$C$31</f>
        <v>0</v>
      </c>
      <c r="AO84" s="125" t="s">
        <v>326</v>
      </c>
      <c r="AQ84" s="14">
        <f t="shared" si="103"/>
        <v>0</v>
      </c>
      <c r="AR84" s="14">
        <f t="shared" si="104"/>
        <v>0</v>
      </c>
      <c r="AS84" s="14">
        <f t="shared" si="105"/>
        <v>0</v>
      </c>
      <c r="AT84" s="14">
        <f t="shared" si="107"/>
        <v>0</v>
      </c>
      <c r="AU84" s="234"/>
      <c r="AV84" s="234"/>
      <c r="AW84" s="234"/>
      <c r="AX84" s="234"/>
      <c r="AY84" s="234"/>
      <c r="AZ84" s="234"/>
      <c r="BA84" s="234"/>
      <c r="BB84" s="16">
        <f t="shared" si="106"/>
        <v>0</v>
      </c>
    </row>
    <row r="85" spans="1:54" ht="15.6" outlineLevel="2">
      <c r="A85" s="98"/>
      <c r="B85" s="102"/>
      <c r="C85" s="23"/>
      <c r="D85" s="269"/>
      <c r="E85" s="269"/>
      <c r="F85" s="251"/>
      <c r="G85" s="250"/>
      <c r="H85" s="272"/>
      <c r="I85" s="282"/>
      <c r="J85" s="259"/>
      <c r="K85" s="259"/>
      <c r="L85" s="106" t="str">
        <f>IF(I85&lt;&gt;0,((VLOOKUP(I85,'1. Standard_Cost'!$B$4:$D$11,2)+VLOOKUP(I85,'1. Standard_Cost'!$B$4:$D$11,3))*J85*K85),"0")</f>
        <v>0</v>
      </c>
      <c r="M85" s="106">
        <f>L85*'1. Standard_Cost'!$F$4</f>
        <v>0</v>
      </c>
      <c r="N85" s="260"/>
      <c r="O85" s="260"/>
      <c r="P85" s="260"/>
      <c r="Q85" s="260"/>
      <c r="R85" s="108">
        <f>'1. Standard_Cost'!$B$15*N85*P85</f>
        <v>0</v>
      </c>
      <c r="S85" s="108">
        <f>N85*O85*P85*'1. Standard_Cost'!$C$15</f>
        <v>0</v>
      </c>
      <c r="T85" s="108">
        <f>N85*P85*Q85*'1. Standard_Cost'!$D$15</f>
        <v>0</v>
      </c>
      <c r="U85" s="108">
        <f>N85*O85*'1. Standard_Cost'!$E$15</f>
        <v>0</v>
      </c>
      <c r="V85" s="260"/>
      <c r="W85" s="260"/>
      <c r="X85" s="260"/>
      <c r="Y85" s="108">
        <f>+V85*((X85*'1. Standard_Cost'!$B$19)+(W85*X85*'1. Standard_Cost'!$C$19))</f>
        <v>0</v>
      </c>
      <c r="Z85" s="260"/>
      <c r="AA85" s="260"/>
      <c r="AB85" s="108">
        <f>+Z85*'1. Standard_Cost'!$B$23+AA85*'1. Standard_Cost'!$C$23</f>
        <v>0</v>
      </c>
      <c r="AC85" s="261"/>
      <c r="AD85" s="262"/>
      <c r="AE85" s="108">
        <f>SUM(AD85,AC85,AB85,Y85,U85,T85,S85,R85)*'1. Standard_Cost'!$B$31</f>
        <v>0</v>
      </c>
      <c r="AF85" s="108">
        <f t="shared" si="102"/>
        <v>0</v>
      </c>
      <c r="AG85" s="260"/>
      <c r="AH85" s="260"/>
      <c r="AI85" s="260"/>
      <c r="AJ85" s="263"/>
      <c r="AK85" s="263"/>
      <c r="AL85" s="263"/>
      <c r="AM85" s="108">
        <f>AG85*'1. Standard_Cost'!$B$27+'Incremental_Cost Year 8'!AH85*'1. Standard_Cost'!$C$27+'Incremental_Cost Year 8'!AI85*'1. Standard_Cost'!$D$27+'Incremental_Cost Year 8'!AJ85+'Incremental_Cost Year 8'!AL85+AK85</f>
        <v>0</v>
      </c>
      <c r="AN85" s="108">
        <f>AM85*'1. Standard_Cost'!$C$31</f>
        <v>0</v>
      </c>
      <c r="AO85" s="125" t="s">
        <v>327</v>
      </c>
      <c r="AQ85" s="14">
        <f t="shared" si="103"/>
        <v>0</v>
      </c>
      <c r="AR85" s="14">
        <f t="shared" si="104"/>
        <v>0</v>
      </c>
      <c r="AS85" s="14">
        <f t="shared" si="105"/>
        <v>0</v>
      </c>
      <c r="AT85" s="14">
        <f t="shared" si="107"/>
        <v>0</v>
      </c>
      <c r="AU85" s="234"/>
      <c r="AV85" s="234"/>
      <c r="AW85" s="234"/>
      <c r="AX85" s="234"/>
      <c r="AY85" s="234"/>
      <c r="AZ85" s="234"/>
      <c r="BA85" s="234"/>
      <c r="BB85" s="16">
        <f t="shared" si="106"/>
        <v>0</v>
      </c>
    </row>
    <row r="86" spans="1:54" ht="15.6" outlineLevel="2">
      <c r="A86" s="98"/>
      <c r="B86" s="102"/>
      <c r="C86" s="23"/>
      <c r="D86" s="269"/>
      <c r="E86" s="269"/>
      <c r="F86" s="251"/>
      <c r="G86" s="250"/>
      <c r="H86" s="272"/>
      <c r="I86" s="258"/>
      <c r="J86" s="259"/>
      <c r="K86" s="259"/>
      <c r="L86" s="106" t="str">
        <f>IF(I86&lt;&gt;0,((VLOOKUP(I86,'1. Standard_Cost'!$B$4:$D$11,2)+VLOOKUP(I86,'1. Standard_Cost'!$B$4:$D$11,3))*J86*K86),"0")</f>
        <v>0</v>
      </c>
      <c r="M86" s="106">
        <f>L86*'1. Standard_Cost'!$F$4</f>
        <v>0</v>
      </c>
      <c r="N86" s="260"/>
      <c r="O86" s="260"/>
      <c r="P86" s="260"/>
      <c r="Q86" s="260"/>
      <c r="R86" s="108">
        <f>'1. Standard_Cost'!$B$15*N86*P86</f>
        <v>0</v>
      </c>
      <c r="S86" s="108">
        <f>N86*O86*P86*'1. Standard_Cost'!$C$15</f>
        <v>0</v>
      </c>
      <c r="T86" s="108">
        <f>N86*P86*Q86*'1. Standard_Cost'!$D$15</f>
        <v>0</v>
      </c>
      <c r="U86" s="108">
        <f>N86*O86*'1. Standard_Cost'!$E$15</f>
        <v>0</v>
      </c>
      <c r="V86" s="260"/>
      <c r="W86" s="260"/>
      <c r="X86" s="260"/>
      <c r="Y86" s="108">
        <f>+V86*((X86*'1. Standard_Cost'!$B$19)+(W86*X86*'1. Standard_Cost'!$C$19))</f>
        <v>0</v>
      </c>
      <c r="Z86" s="260"/>
      <c r="AA86" s="260"/>
      <c r="AB86" s="108">
        <f>+Z86*'1. Standard_Cost'!$B$23+AA86*'1. Standard_Cost'!$C$23</f>
        <v>0</v>
      </c>
      <c r="AC86" s="261"/>
      <c r="AD86" s="262"/>
      <c r="AE86" s="108">
        <f>SUM(AD86,AC86,AB86,Y86,U86,T86,S86,R86)*'1. Standard_Cost'!$B$31</f>
        <v>0</v>
      </c>
      <c r="AF86" s="108">
        <f t="shared" si="102"/>
        <v>0</v>
      </c>
      <c r="AG86" s="260"/>
      <c r="AH86" s="260"/>
      <c r="AI86" s="260"/>
      <c r="AJ86" s="263"/>
      <c r="AK86" s="263"/>
      <c r="AL86" s="263"/>
      <c r="AM86" s="108">
        <f>AG86*'1. Standard_Cost'!$B$27+'Incremental_Cost Year 8'!AH86*'1. Standard_Cost'!$C$27+'Incremental_Cost Year 8'!AI86*'1. Standard_Cost'!$D$27+'Incremental_Cost Year 8'!AJ86+'Incremental_Cost Year 8'!AL86+AK86</f>
        <v>0</v>
      </c>
      <c r="AN86" s="108">
        <f>AM86*'1. Standard_Cost'!$C$31</f>
        <v>0</v>
      </c>
      <c r="AO86" s="125" t="s">
        <v>328</v>
      </c>
      <c r="AQ86" s="14">
        <f t="shared" si="103"/>
        <v>0</v>
      </c>
      <c r="AR86" s="14">
        <f t="shared" si="104"/>
        <v>0</v>
      </c>
      <c r="AS86" s="14">
        <f t="shared" si="105"/>
        <v>0</v>
      </c>
      <c r="AT86" s="14">
        <f t="shared" si="107"/>
        <v>0</v>
      </c>
      <c r="AU86" s="234"/>
      <c r="AV86" s="234"/>
      <c r="AW86" s="234"/>
      <c r="AX86" s="234"/>
      <c r="AY86" s="234"/>
      <c r="AZ86" s="234"/>
      <c r="BA86" s="234"/>
      <c r="BB86" s="16">
        <f t="shared" si="106"/>
        <v>0</v>
      </c>
    </row>
    <row r="87" spans="1:54" ht="15.6" outlineLevel="2">
      <c r="A87" s="98"/>
      <c r="B87" s="102"/>
      <c r="C87" s="23"/>
      <c r="D87" s="269"/>
      <c r="E87" s="269"/>
      <c r="F87" s="251"/>
      <c r="G87" s="250"/>
      <c r="H87" s="272"/>
      <c r="I87" s="258"/>
      <c r="J87" s="259"/>
      <c r="K87" s="259"/>
      <c r="L87" s="106" t="str">
        <f>IF(I87&lt;&gt;0,((VLOOKUP(I87,'1. Standard_Cost'!$B$4:$D$11,2)+VLOOKUP(I87,'1. Standard_Cost'!$B$4:$D$11,3))*J87*K87),"0")</f>
        <v>0</v>
      </c>
      <c r="M87" s="106">
        <f>L87*'1. Standard_Cost'!$F$4</f>
        <v>0</v>
      </c>
      <c r="N87" s="260"/>
      <c r="O87" s="260"/>
      <c r="P87" s="260"/>
      <c r="Q87" s="260"/>
      <c r="R87" s="108">
        <f>'1. Standard_Cost'!$B$15*N87*P87</f>
        <v>0</v>
      </c>
      <c r="S87" s="108">
        <f>N87*O87*P87*'1. Standard_Cost'!$C$15</f>
        <v>0</v>
      </c>
      <c r="T87" s="108">
        <f>N87*P87*Q87*'1. Standard_Cost'!$D$15</f>
        <v>0</v>
      </c>
      <c r="U87" s="108">
        <f>N87*O87*'1. Standard_Cost'!$E$15</f>
        <v>0</v>
      </c>
      <c r="V87" s="260"/>
      <c r="W87" s="260"/>
      <c r="X87" s="260"/>
      <c r="Y87" s="108">
        <f>+V87*((X87*'1. Standard_Cost'!$B$19)+(W87*X87*'1. Standard_Cost'!$C$19))</f>
        <v>0</v>
      </c>
      <c r="Z87" s="260"/>
      <c r="AA87" s="260"/>
      <c r="AB87" s="108">
        <f>+Z87*'1. Standard_Cost'!$B$23+AA87*'1. Standard_Cost'!$C$23</f>
        <v>0</v>
      </c>
      <c r="AC87" s="261"/>
      <c r="AD87" s="262"/>
      <c r="AE87" s="108">
        <f>SUM(AD87,AC87,AB87,Y87,U87,T87,S87,R87)*'1. Standard_Cost'!$B$31</f>
        <v>0</v>
      </c>
      <c r="AF87" s="108">
        <f t="shared" si="102"/>
        <v>0</v>
      </c>
      <c r="AG87" s="260"/>
      <c r="AH87" s="260"/>
      <c r="AI87" s="260"/>
      <c r="AJ87" s="263"/>
      <c r="AK87" s="263"/>
      <c r="AL87" s="263"/>
      <c r="AM87" s="108">
        <f>AG87*'1. Standard_Cost'!$B$27+'Incremental_Cost Year 8'!AH87*'1. Standard_Cost'!$C$27+'Incremental_Cost Year 8'!AI87*'1. Standard_Cost'!$D$27+'Incremental_Cost Year 8'!AJ87+'Incremental_Cost Year 8'!AL87+AK87</f>
        <v>0</v>
      </c>
      <c r="AN87" s="108">
        <f>AM87*'1. Standard_Cost'!$C$31</f>
        <v>0</v>
      </c>
      <c r="AO87" s="125" t="s">
        <v>329</v>
      </c>
      <c r="AQ87" s="14">
        <f t="shared" si="103"/>
        <v>0</v>
      </c>
      <c r="AR87" s="14">
        <f t="shared" si="104"/>
        <v>0</v>
      </c>
      <c r="AS87" s="14">
        <f t="shared" si="105"/>
        <v>0</v>
      </c>
      <c r="AT87" s="14">
        <f t="shared" si="107"/>
        <v>0</v>
      </c>
      <c r="AU87" s="234"/>
      <c r="AV87" s="234"/>
      <c r="AW87" s="234"/>
      <c r="AX87" s="234"/>
      <c r="AY87" s="234"/>
      <c r="AZ87" s="234"/>
      <c r="BA87" s="234"/>
      <c r="BB87" s="16">
        <f t="shared" si="106"/>
        <v>0</v>
      </c>
    </row>
    <row r="88" spans="1:54" ht="27.6" outlineLevel="2">
      <c r="A88" s="98"/>
      <c r="B88" s="102"/>
      <c r="C88" s="23"/>
      <c r="D88" s="269"/>
      <c r="E88" s="269"/>
      <c r="F88" s="251"/>
      <c r="G88" s="250"/>
      <c r="H88" s="272"/>
      <c r="I88" s="258"/>
      <c r="J88" s="259"/>
      <c r="K88" s="259"/>
      <c r="L88" s="106" t="str">
        <f>IF(I88&lt;&gt;0,((VLOOKUP(I88,'1. Standard_Cost'!$B$4:$D$11,2)+VLOOKUP(I88,'1. Standard_Cost'!$B$4:$D$11,3))*J88*K88),"0")</f>
        <v>0</v>
      </c>
      <c r="M88" s="106">
        <f>L88*'1. Standard_Cost'!$F$4</f>
        <v>0</v>
      </c>
      <c r="N88" s="260"/>
      <c r="O88" s="260"/>
      <c r="P88" s="260"/>
      <c r="Q88" s="260"/>
      <c r="R88" s="108">
        <f>'1. Standard_Cost'!$B$15*N88*P88</f>
        <v>0</v>
      </c>
      <c r="S88" s="108">
        <f>N88*O88*P88*'1. Standard_Cost'!$C$15</f>
        <v>0</v>
      </c>
      <c r="T88" s="108">
        <f>N88*P88*Q88*'1. Standard_Cost'!$D$15</f>
        <v>0</v>
      </c>
      <c r="U88" s="108">
        <f>N88*O88*'1. Standard_Cost'!$E$15</f>
        <v>0</v>
      </c>
      <c r="V88" s="260"/>
      <c r="W88" s="260"/>
      <c r="X88" s="260"/>
      <c r="Y88" s="108">
        <f>+V88*((X88*'1. Standard_Cost'!$B$19)+(W88*X88*'1. Standard_Cost'!$C$19))</f>
        <v>0</v>
      </c>
      <c r="Z88" s="260"/>
      <c r="AA88" s="260"/>
      <c r="AB88" s="108">
        <f>+Z88*'1. Standard_Cost'!$B$23+AA88*'1. Standard_Cost'!$C$23</f>
        <v>0</v>
      </c>
      <c r="AC88" s="261"/>
      <c r="AD88" s="262"/>
      <c r="AE88" s="108">
        <f>SUM(AD88,AC88,AB88,Y88,U88,T88,S88,R88)*'1. Standard_Cost'!$B$31</f>
        <v>0</v>
      </c>
      <c r="AF88" s="108">
        <f t="shared" si="102"/>
        <v>0</v>
      </c>
      <c r="AG88" s="260"/>
      <c r="AH88" s="260"/>
      <c r="AI88" s="260"/>
      <c r="AJ88" s="263"/>
      <c r="AK88" s="263"/>
      <c r="AL88" s="263"/>
      <c r="AM88" s="108">
        <f>AG88*'1. Standard_Cost'!$B$27+'Incremental_Cost Year 8'!AH88*'1. Standard_Cost'!$C$27+'Incremental_Cost Year 8'!AI88*'1. Standard_Cost'!$D$27+'Incremental_Cost Year 8'!AJ88+'Incremental_Cost Year 8'!AL88+AK88</f>
        <v>0</v>
      </c>
      <c r="AN88" s="108">
        <f>AM88*'1. Standard_Cost'!$C$31</f>
        <v>0</v>
      </c>
      <c r="AO88" s="125" t="s">
        <v>330</v>
      </c>
      <c r="AQ88" s="14">
        <f t="shared" si="103"/>
        <v>0</v>
      </c>
      <c r="AR88" s="14">
        <f t="shared" si="104"/>
        <v>0</v>
      </c>
      <c r="AS88" s="14">
        <f t="shared" si="105"/>
        <v>0</v>
      </c>
      <c r="AT88" s="14">
        <f t="shared" si="107"/>
        <v>0</v>
      </c>
      <c r="AU88" s="234"/>
      <c r="AV88" s="234"/>
      <c r="AW88" s="234"/>
      <c r="AX88" s="234"/>
      <c r="AY88" s="234"/>
      <c r="AZ88" s="234"/>
      <c r="BA88" s="234"/>
      <c r="BB88" s="16">
        <f t="shared" si="106"/>
        <v>0</v>
      </c>
    </row>
    <row r="89" spans="1:54" ht="27.6" outlineLevel="2">
      <c r="A89" s="98"/>
      <c r="B89" s="102"/>
      <c r="C89" s="23"/>
      <c r="D89" s="269"/>
      <c r="E89" s="269"/>
      <c r="F89" s="251"/>
      <c r="G89" s="250"/>
      <c r="H89" s="272"/>
      <c r="I89" s="258"/>
      <c r="J89" s="259"/>
      <c r="K89" s="259"/>
      <c r="L89" s="106" t="str">
        <f>IF(I89&lt;&gt;0,((VLOOKUP(I89,'1. Standard_Cost'!$B$4:$D$11,2)+VLOOKUP(I89,'1. Standard_Cost'!$B$4:$D$11,3))*J89*K89),"0")</f>
        <v>0</v>
      </c>
      <c r="M89" s="106">
        <f>L89*'1. Standard_Cost'!$F$4</f>
        <v>0</v>
      </c>
      <c r="N89" s="260"/>
      <c r="O89" s="260"/>
      <c r="P89" s="260"/>
      <c r="Q89" s="260"/>
      <c r="R89" s="108">
        <f>'1. Standard_Cost'!$B$15*N89*P89</f>
        <v>0</v>
      </c>
      <c r="S89" s="108">
        <f>N89*O89*P89*'1. Standard_Cost'!$C$15</f>
        <v>0</v>
      </c>
      <c r="T89" s="108">
        <f>N89*P89*Q89*'1. Standard_Cost'!$D$15</f>
        <v>0</v>
      </c>
      <c r="U89" s="108">
        <f>N89*O89*'1. Standard_Cost'!$E$15</f>
        <v>0</v>
      </c>
      <c r="V89" s="260"/>
      <c r="W89" s="260"/>
      <c r="X89" s="260"/>
      <c r="Y89" s="108">
        <f>+V89*((X89*'1. Standard_Cost'!$B$19)+(W89*X89*'1. Standard_Cost'!$C$19))</f>
        <v>0</v>
      </c>
      <c r="Z89" s="260"/>
      <c r="AA89" s="260"/>
      <c r="AB89" s="108">
        <f>+Z89*'1. Standard_Cost'!$B$23+AA89*'1. Standard_Cost'!$C$23</f>
        <v>0</v>
      </c>
      <c r="AC89" s="261"/>
      <c r="AD89" s="262"/>
      <c r="AE89" s="108">
        <f>SUM(AD89,AC89,AB89,Y89,U89,T89,S89,R89)*'1. Standard_Cost'!$B$31</f>
        <v>0</v>
      </c>
      <c r="AF89" s="108">
        <f t="shared" si="102"/>
        <v>0</v>
      </c>
      <c r="AG89" s="260"/>
      <c r="AH89" s="260"/>
      <c r="AI89" s="260"/>
      <c r="AJ89" s="263"/>
      <c r="AK89" s="263"/>
      <c r="AL89" s="263"/>
      <c r="AM89" s="108">
        <f>AG89*'1. Standard_Cost'!$B$27+'Incremental_Cost Year 8'!AH89*'1. Standard_Cost'!$C$27+'Incremental_Cost Year 8'!AI89*'1. Standard_Cost'!$D$27+'Incremental_Cost Year 8'!AJ89+'Incremental_Cost Year 8'!AL89+AK89</f>
        <v>0</v>
      </c>
      <c r="AN89" s="108">
        <f>AM89*'1. Standard_Cost'!$C$31</f>
        <v>0</v>
      </c>
      <c r="AO89" s="125" t="s">
        <v>331</v>
      </c>
      <c r="AQ89" s="14">
        <f t="shared" si="103"/>
        <v>0</v>
      </c>
      <c r="AR89" s="14">
        <f t="shared" si="104"/>
        <v>0</v>
      </c>
      <c r="AS89" s="14">
        <f t="shared" si="105"/>
        <v>0</v>
      </c>
      <c r="AT89" s="14">
        <f t="shared" si="107"/>
        <v>0</v>
      </c>
      <c r="AU89" s="234"/>
      <c r="AV89" s="234"/>
      <c r="AW89" s="234"/>
      <c r="AX89" s="234"/>
      <c r="AY89" s="234"/>
      <c r="AZ89" s="234"/>
      <c r="BA89" s="234"/>
      <c r="BB89" s="16">
        <f t="shared" si="106"/>
        <v>0</v>
      </c>
    </row>
    <row r="90" spans="1:54" ht="15.6" outlineLevel="2">
      <c r="A90" s="98"/>
      <c r="B90" s="102"/>
      <c r="C90" s="23"/>
      <c r="D90" s="251"/>
      <c r="E90" s="251"/>
      <c r="F90" s="251"/>
      <c r="G90" s="250"/>
      <c r="H90" s="272"/>
      <c r="I90" s="258"/>
      <c r="J90" s="259"/>
      <c r="K90" s="259"/>
      <c r="L90" s="106" t="str">
        <f>IF(I90&lt;&gt;0,((VLOOKUP(I90,'1. Standard_Cost'!$B$4:$D$11,2)+VLOOKUP(I90,'1. Standard_Cost'!$B$4:$D$11,3))*J90*K90),"0")</f>
        <v>0</v>
      </c>
      <c r="M90" s="106">
        <f>L90*'1. Standard_Cost'!$F$4</f>
        <v>0</v>
      </c>
      <c r="N90" s="260"/>
      <c r="O90" s="260"/>
      <c r="P90" s="260"/>
      <c r="Q90" s="260"/>
      <c r="R90" s="108">
        <f>'1. Standard_Cost'!$B$15*N90*P90</f>
        <v>0</v>
      </c>
      <c r="S90" s="108">
        <f>N90*O90*P90*'1. Standard_Cost'!$C$15</f>
        <v>0</v>
      </c>
      <c r="T90" s="108">
        <f>N90*P90*Q90*'1. Standard_Cost'!$D$15</f>
        <v>0</v>
      </c>
      <c r="U90" s="108">
        <f>N90*O90*'1. Standard_Cost'!$E$15</f>
        <v>0</v>
      </c>
      <c r="V90" s="260"/>
      <c r="W90" s="260"/>
      <c r="X90" s="260"/>
      <c r="Y90" s="108">
        <f>+V90*((X90*'1. Standard_Cost'!$B$19)+(W90*X90*'1. Standard_Cost'!$C$19))</f>
        <v>0</v>
      </c>
      <c r="Z90" s="260"/>
      <c r="AA90" s="260"/>
      <c r="AB90" s="108">
        <f>+Z90*'1. Standard_Cost'!$B$23+AA90*'1. Standard_Cost'!$C$23</f>
        <v>0</v>
      </c>
      <c r="AC90" s="261"/>
      <c r="AD90" s="262"/>
      <c r="AE90" s="108">
        <f>SUM(AD90,AC90,AB90,Y90,U90,T90,S90,R90)*'1. Standard_Cost'!$B$31</f>
        <v>0</v>
      </c>
      <c r="AF90" s="108">
        <f t="shared" si="102"/>
        <v>0</v>
      </c>
      <c r="AG90" s="260"/>
      <c r="AH90" s="260"/>
      <c r="AI90" s="260"/>
      <c r="AJ90" s="263"/>
      <c r="AK90" s="263"/>
      <c r="AL90" s="263"/>
      <c r="AM90" s="108">
        <f>AG90*'1. Standard_Cost'!$B$27+'Incremental_Cost Year 8'!AH90*'1. Standard_Cost'!$C$27+'Incremental_Cost Year 8'!AI90*'1. Standard_Cost'!$D$27+'Incremental_Cost Year 8'!AJ90+'Incremental_Cost Year 8'!AL90+AK90</f>
        <v>0</v>
      </c>
      <c r="AN90" s="108">
        <f>AM90*'1. Standard_Cost'!$C$31</f>
        <v>0</v>
      </c>
      <c r="AO90" s="125" t="s">
        <v>332</v>
      </c>
      <c r="AQ90" s="14">
        <f t="shared" si="103"/>
        <v>0</v>
      </c>
      <c r="AR90" s="14">
        <f t="shared" si="104"/>
        <v>0</v>
      </c>
      <c r="AS90" s="14">
        <f t="shared" si="105"/>
        <v>0</v>
      </c>
      <c r="AT90" s="14">
        <f t="shared" si="107"/>
        <v>0</v>
      </c>
      <c r="AU90" s="234"/>
      <c r="AV90" s="234"/>
      <c r="AW90" s="234"/>
      <c r="AX90" s="234"/>
      <c r="AY90" s="234"/>
      <c r="AZ90" s="234"/>
      <c r="BA90" s="234"/>
      <c r="BB90" s="16">
        <f t="shared" si="106"/>
        <v>0</v>
      </c>
    </row>
    <row r="91" spans="1:54" ht="27.6" outlineLevel="1">
      <c r="A91" s="98"/>
      <c r="B91" s="102"/>
      <c r="C91" s="23"/>
      <c r="D91" s="56" t="s">
        <v>47</v>
      </c>
      <c r="E91" s="56" t="s">
        <v>217</v>
      </c>
      <c r="F91" s="253">
        <v>2021</v>
      </c>
      <c r="G91" s="254">
        <v>2026</v>
      </c>
      <c r="H91" s="277" t="s">
        <v>218</v>
      </c>
      <c r="I91" s="264"/>
      <c r="J91" s="264"/>
      <c r="K91" s="264"/>
      <c r="L91" s="113">
        <f>SUM(L81:L90)</f>
        <v>0</v>
      </c>
      <c r="M91" s="113">
        <f>SUM(M81:M90)</f>
        <v>0</v>
      </c>
      <c r="N91" s="265"/>
      <c r="O91" s="264"/>
      <c r="P91" s="264"/>
      <c r="Q91" s="264"/>
      <c r="R91" s="113">
        <f t="shared" ref="R91:U91" si="108">SUM(R81:R90)</f>
        <v>0</v>
      </c>
      <c r="S91" s="113">
        <f t="shared" si="108"/>
        <v>0</v>
      </c>
      <c r="T91" s="113">
        <f t="shared" si="108"/>
        <v>0</v>
      </c>
      <c r="U91" s="113">
        <f t="shared" si="108"/>
        <v>0</v>
      </c>
      <c r="V91" s="264"/>
      <c r="W91" s="264"/>
      <c r="X91" s="264"/>
      <c r="Y91" s="113">
        <f>SUM(Y81:Y90)</f>
        <v>0</v>
      </c>
      <c r="Z91" s="264"/>
      <c r="AA91" s="264"/>
      <c r="AB91" s="113">
        <f t="shared" ref="AB91:AF91" si="109">SUM(AB81:AB90)</f>
        <v>0</v>
      </c>
      <c r="AC91" s="265">
        <f t="shared" si="109"/>
        <v>0</v>
      </c>
      <c r="AD91" s="265">
        <f t="shared" si="109"/>
        <v>0</v>
      </c>
      <c r="AE91" s="113">
        <f t="shared" si="109"/>
        <v>0</v>
      </c>
      <c r="AF91" s="113">
        <f t="shared" si="109"/>
        <v>0</v>
      </c>
      <c r="AG91" s="264"/>
      <c r="AH91" s="264"/>
      <c r="AI91" s="264"/>
      <c r="AJ91" s="265">
        <f t="shared" ref="AJ91:AL91" si="110">SUM(AJ81:AJ90)</f>
        <v>0</v>
      </c>
      <c r="AK91" s="265">
        <f t="shared" si="110"/>
        <v>0</v>
      </c>
      <c r="AL91" s="265">
        <f t="shared" si="110"/>
        <v>0</v>
      </c>
      <c r="AM91" s="113">
        <f t="shared" ref="AM91:AN91" si="111">SUM(AM81:AM90)</f>
        <v>0</v>
      </c>
      <c r="AN91" s="113">
        <f t="shared" si="111"/>
        <v>0</v>
      </c>
      <c r="AO91" s="131"/>
      <c r="AP91" s="17"/>
      <c r="AQ91" s="113">
        <f t="shared" ref="AQ91:BB91" si="112">SUM(AQ81:AQ90)</f>
        <v>0</v>
      </c>
      <c r="AR91" s="113">
        <f t="shared" si="112"/>
        <v>0</v>
      </c>
      <c r="AS91" s="113">
        <f t="shared" si="112"/>
        <v>0</v>
      </c>
      <c r="AT91" s="113">
        <f t="shared" si="112"/>
        <v>0</v>
      </c>
      <c r="AU91" s="265">
        <f t="shared" si="112"/>
        <v>0</v>
      </c>
      <c r="AV91" s="265">
        <f t="shared" si="112"/>
        <v>0</v>
      </c>
      <c r="AW91" s="265">
        <f t="shared" si="112"/>
        <v>0</v>
      </c>
      <c r="AX91" s="265">
        <f t="shared" si="112"/>
        <v>0</v>
      </c>
      <c r="AY91" s="265">
        <f t="shared" si="112"/>
        <v>0</v>
      </c>
      <c r="AZ91" s="265">
        <f t="shared" si="112"/>
        <v>0</v>
      </c>
      <c r="BA91" s="265">
        <f t="shared" si="112"/>
        <v>0</v>
      </c>
      <c r="BB91" s="113">
        <f t="shared" si="112"/>
        <v>0</v>
      </c>
    </row>
    <row r="92" spans="1:54" s="13" customFormat="1" ht="13.8" customHeight="1">
      <c r="A92" s="101"/>
      <c r="B92" s="316" t="s">
        <v>220</v>
      </c>
      <c r="C92" s="317"/>
      <c r="D92" s="317"/>
      <c r="E92" s="318"/>
      <c r="F92" s="241"/>
      <c r="G92" s="241"/>
      <c r="H92" s="241" t="s">
        <v>185</v>
      </c>
      <c r="I92" s="242"/>
      <c r="J92" s="242"/>
      <c r="K92" s="242"/>
      <c r="L92" s="41">
        <f>SUM(L93,L143,L179,L202)</f>
        <v>0</v>
      </c>
      <c r="M92" s="41">
        <f>SUM(M93,M143,M179,M202)</f>
        <v>0</v>
      </c>
      <c r="N92" s="242"/>
      <c r="O92" s="242"/>
      <c r="P92" s="242"/>
      <c r="Q92" s="242"/>
      <c r="R92" s="41">
        <f t="shared" ref="R92:U92" si="113">SUM(R93,R143,R179,R202)</f>
        <v>0</v>
      </c>
      <c r="S92" s="41">
        <f t="shared" si="113"/>
        <v>0</v>
      </c>
      <c r="T92" s="41">
        <f t="shared" si="113"/>
        <v>0</v>
      </c>
      <c r="U92" s="41">
        <f t="shared" si="113"/>
        <v>0</v>
      </c>
      <c r="V92" s="242"/>
      <c r="W92" s="242"/>
      <c r="X92" s="242"/>
      <c r="Y92" s="41">
        <f>SUM(Y93,Y143,Y179,Y202)</f>
        <v>0</v>
      </c>
      <c r="Z92" s="243">
        <f>SUM(Z93,Z143,Z179,Z202)</f>
        <v>0</v>
      </c>
      <c r="AA92" s="242"/>
      <c r="AB92" s="41">
        <f>SUM(AB93,AB143,AB179,AB202)</f>
        <v>0</v>
      </c>
      <c r="AC92" s="243">
        <f>SUM(AC93,AC143,AC179,AC202)</f>
        <v>0</v>
      </c>
      <c r="AD92" s="243">
        <f>SUM(AD93,AD143)</f>
        <v>0</v>
      </c>
      <c r="AE92" s="41">
        <f>SUM(AE93,AE143)</f>
        <v>0</v>
      </c>
      <c r="AF92" s="41">
        <f>SUM(AF93,AF143)</f>
        <v>0</v>
      </c>
      <c r="AG92" s="242"/>
      <c r="AH92" s="242"/>
      <c r="AI92" s="242"/>
      <c r="AJ92" s="243">
        <f>SUM(AJ93,AJ143,AJ179,AJ202)</f>
        <v>0</v>
      </c>
      <c r="AK92" s="243">
        <f>SUM(AK93,AK143,AK179,AK202)</f>
        <v>0</v>
      </c>
      <c r="AL92" s="243">
        <f>SUM(AL93,AL143)</f>
        <v>0</v>
      </c>
      <c r="AM92" s="41">
        <f>SUM(AM93,AM143)</f>
        <v>0</v>
      </c>
      <c r="AN92" s="41">
        <f>SUM(AN93,AN143)</f>
        <v>0</v>
      </c>
      <c r="AO92" s="129"/>
      <c r="AQ92" s="41">
        <f t="shared" ref="AQ92:BB92" si="114">SUM(AQ93,AQ143,AQ179,AQ202)</f>
        <v>0</v>
      </c>
      <c r="AR92" s="41">
        <f t="shared" si="114"/>
        <v>0</v>
      </c>
      <c r="AS92" s="41">
        <f t="shared" si="114"/>
        <v>0</v>
      </c>
      <c r="AT92" s="41">
        <f t="shared" si="114"/>
        <v>0</v>
      </c>
      <c r="AU92" s="243">
        <f t="shared" si="114"/>
        <v>0</v>
      </c>
      <c r="AV92" s="243">
        <f t="shared" si="114"/>
        <v>0</v>
      </c>
      <c r="AW92" s="243">
        <f t="shared" si="114"/>
        <v>0</v>
      </c>
      <c r="AX92" s="243">
        <f t="shared" si="114"/>
        <v>0</v>
      </c>
      <c r="AY92" s="243">
        <f t="shared" si="114"/>
        <v>0</v>
      </c>
      <c r="AZ92" s="243">
        <f t="shared" si="114"/>
        <v>0</v>
      </c>
      <c r="BA92" s="243">
        <f t="shared" si="114"/>
        <v>0</v>
      </c>
      <c r="BB92" s="41">
        <f t="shared" si="114"/>
        <v>0</v>
      </c>
    </row>
    <row r="93" spans="1:54" s="24" customFormat="1" ht="13.8" customHeight="1">
      <c r="A93" s="114"/>
      <c r="B93" s="115"/>
      <c r="C93" s="314" t="s">
        <v>221</v>
      </c>
      <c r="D93" s="314"/>
      <c r="E93" s="315"/>
      <c r="F93" s="246"/>
      <c r="G93" s="246"/>
      <c r="H93" s="278" t="s">
        <v>186</v>
      </c>
      <c r="I93" s="266"/>
      <c r="J93" s="266"/>
      <c r="K93" s="266"/>
      <c r="L93" s="117">
        <f>SUM(L101,L113,L136,L139,L142)</f>
        <v>0</v>
      </c>
      <c r="M93" s="117">
        <f>SUM(M101,M113,M136,M139,M142)</f>
        <v>0</v>
      </c>
      <c r="N93" s="266"/>
      <c r="O93" s="266"/>
      <c r="P93" s="266"/>
      <c r="Q93" s="266"/>
      <c r="R93" s="117">
        <f t="shared" ref="R93:U93" si="115">SUM(R101,R113,R136,R139,R142)</f>
        <v>0</v>
      </c>
      <c r="S93" s="117">
        <f t="shared" si="115"/>
        <v>0</v>
      </c>
      <c r="T93" s="117">
        <f t="shared" si="115"/>
        <v>0</v>
      </c>
      <c r="U93" s="117">
        <f t="shared" si="115"/>
        <v>0</v>
      </c>
      <c r="V93" s="266"/>
      <c r="W93" s="266"/>
      <c r="X93" s="266"/>
      <c r="Y93" s="117">
        <f>SUM(Y101,Y113,Y136,Y139,Y142)</f>
        <v>0</v>
      </c>
      <c r="Z93" s="266"/>
      <c r="AA93" s="266"/>
      <c r="AB93" s="117">
        <f t="shared" ref="AB93:AF93" si="116">SUM(AB101,AB113,AB136,AB139,AB142)</f>
        <v>0</v>
      </c>
      <c r="AC93" s="267">
        <f t="shared" si="116"/>
        <v>0</v>
      </c>
      <c r="AD93" s="267">
        <f t="shared" si="116"/>
        <v>0</v>
      </c>
      <c r="AE93" s="117">
        <f t="shared" si="116"/>
        <v>0</v>
      </c>
      <c r="AF93" s="117">
        <f t="shared" si="116"/>
        <v>0</v>
      </c>
      <c r="AG93" s="266"/>
      <c r="AH93" s="266"/>
      <c r="AI93" s="266"/>
      <c r="AJ93" s="267">
        <f t="shared" ref="AJ93:AL93" si="117">SUM(AJ101,AJ113,AJ136,AJ139,AJ142)</f>
        <v>0</v>
      </c>
      <c r="AK93" s="267">
        <f t="shared" si="117"/>
        <v>0</v>
      </c>
      <c r="AL93" s="267">
        <f t="shared" si="117"/>
        <v>0</v>
      </c>
      <c r="AM93" s="117">
        <f t="shared" ref="AM93:AN93" si="118">SUM(AM101,AM113,AM136,AM139,AM142)</f>
        <v>0</v>
      </c>
      <c r="AN93" s="117">
        <f t="shared" si="118"/>
        <v>0</v>
      </c>
      <c r="AO93" s="132"/>
      <c r="AP93" s="25"/>
      <c r="AQ93" s="117">
        <f t="shared" ref="AQ93:BB93" si="119">SUM(AQ101,AQ113,AQ136,AQ139,AQ142)</f>
        <v>0</v>
      </c>
      <c r="AR93" s="117">
        <f t="shared" si="119"/>
        <v>0</v>
      </c>
      <c r="AS93" s="117">
        <f t="shared" si="119"/>
        <v>0</v>
      </c>
      <c r="AT93" s="117">
        <f t="shared" si="119"/>
        <v>0</v>
      </c>
      <c r="AU93" s="267">
        <f t="shared" si="119"/>
        <v>0</v>
      </c>
      <c r="AV93" s="267">
        <f t="shared" si="119"/>
        <v>0</v>
      </c>
      <c r="AW93" s="267">
        <f t="shared" si="119"/>
        <v>0</v>
      </c>
      <c r="AX93" s="267">
        <f t="shared" si="119"/>
        <v>0</v>
      </c>
      <c r="AY93" s="267">
        <f t="shared" si="119"/>
        <v>0</v>
      </c>
      <c r="AZ93" s="267">
        <f t="shared" si="119"/>
        <v>0</v>
      </c>
      <c r="BA93" s="267">
        <f t="shared" si="119"/>
        <v>0</v>
      </c>
      <c r="BB93" s="117">
        <f t="shared" si="119"/>
        <v>0</v>
      </c>
    </row>
    <row r="94" spans="1:54" ht="15.6" outlineLevel="2">
      <c r="A94" s="98"/>
      <c r="B94" s="102"/>
      <c r="C94" s="23"/>
      <c r="D94" s="257"/>
      <c r="E94" s="257"/>
      <c r="F94" s="257"/>
      <c r="G94" s="257"/>
      <c r="H94" s="272"/>
      <c r="I94" s="258"/>
      <c r="J94" s="259"/>
      <c r="K94" s="259"/>
      <c r="L94" s="106" t="str">
        <f>IF(I94&lt;&gt;0,((VLOOKUP(I94,'1. Standard_Cost'!$B$4:$D$11,2)+VLOOKUP(I94,'1. Standard_Cost'!$B$4:$D$11,3))*J94*K94),"0")</f>
        <v>0</v>
      </c>
      <c r="M94" s="106">
        <f>L94*'1. Standard_Cost'!$F$4</f>
        <v>0</v>
      </c>
      <c r="N94" s="260"/>
      <c r="O94" s="260"/>
      <c r="P94" s="260"/>
      <c r="Q94" s="260"/>
      <c r="R94" s="108">
        <f>'1. Standard_Cost'!$B$15*N94*P94</f>
        <v>0</v>
      </c>
      <c r="S94" s="108">
        <f>N94*O94*P94*'1. Standard_Cost'!$C$15</f>
        <v>0</v>
      </c>
      <c r="T94" s="108">
        <f>N94*P94*Q94*'1. Standard_Cost'!$D$15</f>
        <v>0</v>
      </c>
      <c r="U94" s="108">
        <f>N94*O94*'1. Standard_Cost'!$E$15</f>
        <v>0</v>
      </c>
      <c r="V94" s="260"/>
      <c r="W94" s="260"/>
      <c r="X94" s="260"/>
      <c r="Y94" s="108">
        <f>+V94*((X94*'1. Standard_Cost'!$B$19)+(W94*X94*'1. Standard_Cost'!$C$19))</f>
        <v>0</v>
      </c>
      <c r="Z94" s="260"/>
      <c r="AA94" s="260"/>
      <c r="AB94" s="108">
        <f>+Z94*'1. Standard_Cost'!$B$23+AA94*'1. Standard_Cost'!$C$23</f>
        <v>0</v>
      </c>
      <c r="AC94" s="261"/>
      <c r="AD94" s="262"/>
      <c r="AE94" s="108">
        <f>SUM(AD94,AC94,AB94,Y94,U94,T94,S94,R94)*'1. Standard_Cost'!$B$31</f>
        <v>0</v>
      </c>
      <c r="AF94" s="108">
        <f t="shared" ref="AF94:AF100" si="120">SUM(AE94,AD94,AC94,AB94,Y94,U94,T94,S94,R94)</f>
        <v>0</v>
      </c>
      <c r="AG94" s="260"/>
      <c r="AH94" s="260"/>
      <c r="AI94" s="260"/>
      <c r="AJ94" s="263"/>
      <c r="AK94" s="263"/>
      <c r="AL94" s="263"/>
      <c r="AM94" s="108">
        <f>AG94*'1. Standard_Cost'!$B$27+'Incremental_Cost Year 8'!AH94*'1. Standard_Cost'!$C$27+'Incremental_Cost Year 8'!AI94*'1. Standard_Cost'!$D$27+'Incremental_Cost Year 8'!AJ94+'Incremental_Cost Year 8'!AL94+AK94</f>
        <v>0</v>
      </c>
      <c r="AN94" s="108">
        <f>AM94*'1. Standard_Cost'!$C$31</f>
        <v>0</v>
      </c>
      <c r="AO94" s="125" t="s">
        <v>333</v>
      </c>
      <c r="AQ94" s="14">
        <f t="shared" ref="AQ94:AQ100" si="121">L94+M94</f>
        <v>0</v>
      </c>
      <c r="AR94" s="14">
        <f t="shared" ref="AR94:AR100" si="122">AF94</f>
        <v>0</v>
      </c>
      <c r="AS94" s="14">
        <f t="shared" ref="AS94:AS100" si="123">AM94+AN94</f>
        <v>0</v>
      </c>
      <c r="AT94" s="14">
        <f>SUM(AQ94,AR94,AS94)</f>
        <v>0</v>
      </c>
      <c r="AU94" s="234"/>
      <c r="AV94" s="234"/>
      <c r="AW94" s="234"/>
      <c r="AX94" s="234"/>
      <c r="AY94" s="234"/>
      <c r="AZ94" s="234"/>
      <c r="BA94" s="234"/>
      <c r="BB94" s="16">
        <f t="shared" ref="BB94:BB100" si="124">SUM(AU94:BA94)-AT94</f>
        <v>0</v>
      </c>
    </row>
    <row r="95" spans="1:54" ht="15.6" outlineLevel="2">
      <c r="A95" s="98"/>
      <c r="B95" s="102"/>
      <c r="C95" s="23"/>
      <c r="D95" s="269"/>
      <c r="E95" s="269"/>
      <c r="F95" s="269"/>
      <c r="G95" s="269"/>
      <c r="H95" s="272"/>
      <c r="I95" s="258"/>
      <c r="J95" s="259"/>
      <c r="K95" s="259"/>
      <c r="L95" s="106" t="str">
        <f>IF(I95&lt;&gt;0,((VLOOKUP(I95,'1. Standard_Cost'!$B$4:$D$11,2)+VLOOKUP(I95,'1. Standard_Cost'!$B$4:$D$11,3))*J95*K95),"0")</f>
        <v>0</v>
      </c>
      <c r="M95" s="106">
        <f>L95*'1. Standard_Cost'!$F$4</f>
        <v>0</v>
      </c>
      <c r="N95" s="260"/>
      <c r="O95" s="260"/>
      <c r="P95" s="260"/>
      <c r="Q95" s="260"/>
      <c r="R95" s="108">
        <f>'1. Standard_Cost'!$B$15*N95*P95</f>
        <v>0</v>
      </c>
      <c r="S95" s="108">
        <f>N95*O95*P95*'1. Standard_Cost'!$C$15</f>
        <v>0</v>
      </c>
      <c r="T95" s="108">
        <f>N95*P95*Q95*'1. Standard_Cost'!$D$15</f>
        <v>0</v>
      </c>
      <c r="U95" s="108">
        <f>N95*O95*'1. Standard_Cost'!$E$15</f>
        <v>0</v>
      </c>
      <c r="V95" s="260"/>
      <c r="W95" s="260"/>
      <c r="X95" s="260"/>
      <c r="Y95" s="108">
        <f>+V95*((X95*'1. Standard_Cost'!$B$19)+(W95*X95*'1. Standard_Cost'!$C$19))</f>
        <v>0</v>
      </c>
      <c r="Z95" s="260"/>
      <c r="AA95" s="260"/>
      <c r="AB95" s="108">
        <f>+Z95*'1. Standard_Cost'!$B$23+AA95*'1. Standard_Cost'!$C$23</f>
        <v>0</v>
      </c>
      <c r="AC95" s="261"/>
      <c r="AD95" s="262"/>
      <c r="AE95" s="108">
        <f>SUM(AD95,AC95,AB95,Y95,U95,T95,S95,R95)*'1. Standard_Cost'!$B$31</f>
        <v>0</v>
      </c>
      <c r="AF95" s="108">
        <f t="shared" si="120"/>
        <v>0</v>
      </c>
      <c r="AG95" s="260"/>
      <c r="AH95" s="260"/>
      <c r="AI95" s="260"/>
      <c r="AJ95" s="263"/>
      <c r="AK95" s="263"/>
      <c r="AL95" s="263"/>
      <c r="AM95" s="108">
        <f>AG95*'1. Standard_Cost'!$B$27+'Incremental_Cost Year 8'!AH95*'1. Standard_Cost'!$C$27+'Incremental_Cost Year 8'!AI95*'1. Standard_Cost'!$D$27+'Incremental_Cost Year 8'!AJ95+'Incremental_Cost Year 8'!AL95+AK95</f>
        <v>0</v>
      </c>
      <c r="AN95" s="108">
        <f>AM95*'1. Standard_Cost'!$C$31</f>
        <v>0</v>
      </c>
      <c r="AO95" s="125" t="s">
        <v>334</v>
      </c>
      <c r="AQ95" s="14">
        <f t="shared" si="121"/>
        <v>0</v>
      </c>
      <c r="AR95" s="14">
        <f t="shared" si="122"/>
        <v>0</v>
      </c>
      <c r="AS95" s="14">
        <f t="shared" si="123"/>
        <v>0</v>
      </c>
      <c r="AT95" s="14">
        <f t="shared" ref="AT95:AT100" si="125">SUM(AQ95,AR95,AS95)</f>
        <v>0</v>
      </c>
      <c r="AU95" s="234"/>
      <c r="AV95" s="234"/>
      <c r="AW95" s="234"/>
      <c r="AX95" s="234"/>
      <c r="AY95" s="234"/>
      <c r="AZ95" s="234"/>
      <c r="BA95" s="234"/>
      <c r="BB95" s="16">
        <f t="shared" si="124"/>
        <v>0</v>
      </c>
    </row>
    <row r="96" spans="1:54" ht="15.6" outlineLevel="2">
      <c r="A96" s="98"/>
      <c r="B96" s="102"/>
      <c r="C96" s="23"/>
      <c r="D96" s="269"/>
      <c r="E96" s="269"/>
      <c r="F96" s="269"/>
      <c r="G96" s="174"/>
      <c r="H96" s="272"/>
      <c r="I96" s="258"/>
      <c r="J96" s="259"/>
      <c r="K96" s="259"/>
      <c r="L96" s="106" t="str">
        <f>IF(I96&lt;&gt;0,((VLOOKUP(I96,'1. Standard_Cost'!$B$4:$D$11,2)+VLOOKUP(I96,'1. Standard_Cost'!$B$4:$D$11,3))*J96*K96),"0")</f>
        <v>0</v>
      </c>
      <c r="M96" s="106">
        <f>L96*'1. Standard_Cost'!$F$4</f>
        <v>0</v>
      </c>
      <c r="N96" s="260"/>
      <c r="O96" s="260"/>
      <c r="P96" s="260"/>
      <c r="Q96" s="260"/>
      <c r="R96" s="108">
        <f>'1. Standard_Cost'!$B$15*N96*P96</f>
        <v>0</v>
      </c>
      <c r="S96" s="108">
        <f>N96*O96*P96*'1. Standard_Cost'!$C$15</f>
        <v>0</v>
      </c>
      <c r="T96" s="108">
        <f>N96*P96*Q96*'1. Standard_Cost'!$D$15</f>
        <v>0</v>
      </c>
      <c r="U96" s="108">
        <f>N96*O96*'1. Standard_Cost'!$E$15</f>
        <v>0</v>
      </c>
      <c r="V96" s="260"/>
      <c r="W96" s="260"/>
      <c r="X96" s="260"/>
      <c r="Y96" s="108">
        <f>+V96*((X96*'1. Standard_Cost'!$B$19)+(W96*X96*'1. Standard_Cost'!$C$19))</f>
        <v>0</v>
      </c>
      <c r="Z96" s="260"/>
      <c r="AA96" s="260"/>
      <c r="AB96" s="108">
        <f>+Z96*'1. Standard_Cost'!$B$23+AA96*'1. Standard_Cost'!$C$23</f>
        <v>0</v>
      </c>
      <c r="AC96" s="261"/>
      <c r="AD96" s="262"/>
      <c r="AE96" s="108">
        <f>SUM(AD96,AC96,AB96,Y96,U96,T96,S96,R96)*'1. Standard_Cost'!$B$31</f>
        <v>0</v>
      </c>
      <c r="AF96" s="108">
        <f t="shared" si="120"/>
        <v>0</v>
      </c>
      <c r="AG96" s="260"/>
      <c r="AH96" s="260"/>
      <c r="AI96" s="260"/>
      <c r="AJ96" s="263"/>
      <c r="AK96" s="263"/>
      <c r="AL96" s="263"/>
      <c r="AM96" s="108">
        <f>AG96*'1. Standard_Cost'!$B$27+'Incremental_Cost Year 8'!AH96*'1. Standard_Cost'!$C$27+'Incremental_Cost Year 8'!AI96*'1. Standard_Cost'!$D$27+'Incremental_Cost Year 8'!AJ96+'Incremental_Cost Year 8'!AL96+AK96</f>
        <v>0</v>
      </c>
      <c r="AN96" s="108">
        <f>AM96*'1. Standard_Cost'!$C$31</f>
        <v>0</v>
      </c>
      <c r="AO96" s="125" t="s">
        <v>335</v>
      </c>
      <c r="AQ96" s="14">
        <f t="shared" si="121"/>
        <v>0</v>
      </c>
      <c r="AR96" s="14">
        <f t="shared" si="122"/>
        <v>0</v>
      </c>
      <c r="AS96" s="14">
        <f t="shared" si="123"/>
        <v>0</v>
      </c>
      <c r="AT96" s="14">
        <f t="shared" si="125"/>
        <v>0</v>
      </c>
      <c r="AU96" s="234"/>
      <c r="AV96" s="234"/>
      <c r="AW96" s="234"/>
      <c r="AX96" s="234"/>
      <c r="AY96" s="234"/>
      <c r="AZ96" s="234"/>
      <c r="BA96" s="234"/>
      <c r="BB96" s="16">
        <f t="shared" si="124"/>
        <v>0</v>
      </c>
    </row>
    <row r="97" spans="1:54" ht="15.6" outlineLevel="2">
      <c r="A97" s="98"/>
      <c r="B97" s="102"/>
      <c r="C97" s="23"/>
      <c r="D97" s="269"/>
      <c r="E97" s="269"/>
      <c r="F97" s="269"/>
      <c r="G97" s="269"/>
      <c r="H97" s="272"/>
      <c r="I97" s="258"/>
      <c r="J97" s="259"/>
      <c r="K97" s="259"/>
      <c r="L97" s="106" t="str">
        <f>IF(I97&lt;&gt;0,((VLOOKUP(I97,'1. Standard_Cost'!$B$4:$D$11,2)+VLOOKUP(I97,'1. Standard_Cost'!$B$4:$D$11,3))*J97*K97),"0")</f>
        <v>0</v>
      </c>
      <c r="M97" s="106">
        <f>L97*'1. Standard_Cost'!$F$4</f>
        <v>0</v>
      </c>
      <c r="N97" s="260"/>
      <c r="O97" s="260"/>
      <c r="P97" s="260"/>
      <c r="Q97" s="260"/>
      <c r="R97" s="108">
        <f>'1. Standard_Cost'!$B$15*N97*P97</f>
        <v>0</v>
      </c>
      <c r="S97" s="108">
        <f>N97*O97*P97*'1. Standard_Cost'!$C$15</f>
        <v>0</v>
      </c>
      <c r="T97" s="108">
        <f>N97*P97*Q97*'1. Standard_Cost'!$D$15</f>
        <v>0</v>
      </c>
      <c r="U97" s="108">
        <f>N97*O97*'1. Standard_Cost'!$E$15</f>
        <v>0</v>
      </c>
      <c r="V97" s="260"/>
      <c r="W97" s="260"/>
      <c r="X97" s="260"/>
      <c r="Y97" s="108">
        <f>+V97*((X97*'1. Standard_Cost'!$B$19)+(W97*X97*'1. Standard_Cost'!$C$19))</f>
        <v>0</v>
      </c>
      <c r="Z97" s="260"/>
      <c r="AA97" s="260"/>
      <c r="AB97" s="108">
        <f>+Z97*'1. Standard_Cost'!$B$23+AA97*'1. Standard_Cost'!$C$23</f>
        <v>0</v>
      </c>
      <c r="AC97" s="261"/>
      <c r="AD97" s="262"/>
      <c r="AE97" s="108">
        <f>SUM(AD97,AC97,AB97,Y97,U97,T97,S97,R97)*'1. Standard_Cost'!$B$31</f>
        <v>0</v>
      </c>
      <c r="AF97" s="108">
        <f t="shared" si="120"/>
        <v>0</v>
      </c>
      <c r="AG97" s="260"/>
      <c r="AH97" s="260"/>
      <c r="AI97" s="260"/>
      <c r="AJ97" s="263"/>
      <c r="AK97" s="263"/>
      <c r="AL97" s="263"/>
      <c r="AM97" s="108">
        <f>AG97*'1. Standard_Cost'!$B$27+'Incremental_Cost Year 8'!AH97*'1. Standard_Cost'!$C$27+'Incremental_Cost Year 8'!AI97*'1. Standard_Cost'!$D$27+'Incremental_Cost Year 8'!AJ97+'Incremental_Cost Year 8'!AL97+AK97</f>
        <v>0</v>
      </c>
      <c r="AN97" s="108">
        <f>AM97*'1. Standard_Cost'!$C$31</f>
        <v>0</v>
      </c>
      <c r="AO97" s="125" t="s">
        <v>336</v>
      </c>
      <c r="AQ97" s="14">
        <f t="shared" si="121"/>
        <v>0</v>
      </c>
      <c r="AR97" s="14">
        <f t="shared" si="122"/>
        <v>0</v>
      </c>
      <c r="AS97" s="14">
        <f t="shared" si="123"/>
        <v>0</v>
      </c>
      <c r="AT97" s="14">
        <f t="shared" si="125"/>
        <v>0</v>
      </c>
      <c r="AU97" s="234"/>
      <c r="AV97" s="234"/>
      <c r="AW97" s="234"/>
      <c r="AX97" s="234"/>
      <c r="AY97" s="234"/>
      <c r="AZ97" s="234"/>
      <c r="BA97" s="234"/>
      <c r="BB97" s="16">
        <f t="shared" si="124"/>
        <v>0</v>
      </c>
    </row>
    <row r="98" spans="1:54" ht="15.6" outlineLevel="2">
      <c r="A98" s="98"/>
      <c r="B98" s="102"/>
      <c r="C98" s="23"/>
      <c r="D98" s="269"/>
      <c r="E98" s="269"/>
      <c r="F98" s="269"/>
      <c r="G98" s="269"/>
      <c r="H98" s="272"/>
      <c r="I98" s="258"/>
      <c r="J98" s="259"/>
      <c r="K98" s="259"/>
      <c r="L98" s="106" t="str">
        <f>IF(I98&lt;&gt;0,((VLOOKUP(I98,'1. Standard_Cost'!$B$4:$D$11,2)+VLOOKUP(I98,'1. Standard_Cost'!$B$4:$D$11,3))*J98*K98),"0")</f>
        <v>0</v>
      </c>
      <c r="M98" s="106">
        <f>L98*'1. Standard_Cost'!$F$4</f>
        <v>0</v>
      </c>
      <c r="N98" s="260"/>
      <c r="O98" s="260"/>
      <c r="P98" s="260"/>
      <c r="Q98" s="260"/>
      <c r="R98" s="108">
        <f>'1. Standard_Cost'!$B$15*N98*P98</f>
        <v>0</v>
      </c>
      <c r="S98" s="108">
        <f>N98*O98*P98*'1. Standard_Cost'!$C$15</f>
        <v>0</v>
      </c>
      <c r="T98" s="108">
        <f>N98*P98*Q98*'1. Standard_Cost'!$D$15</f>
        <v>0</v>
      </c>
      <c r="U98" s="108">
        <f>N98*O98*'1. Standard_Cost'!$E$15</f>
        <v>0</v>
      </c>
      <c r="V98" s="260"/>
      <c r="W98" s="260"/>
      <c r="X98" s="260"/>
      <c r="Y98" s="108">
        <f>+V98*((X98*'1. Standard_Cost'!$B$19)+(W98*X98*'1. Standard_Cost'!$C$19))</f>
        <v>0</v>
      </c>
      <c r="Z98" s="260"/>
      <c r="AA98" s="260"/>
      <c r="AB98" s="108">
        <f>+Z98*'1. Standard_Cost'!$B$23+AA98*'1. Standard_Cost'!$C$23</f>
        <v>0</v>
      </c>
      <c r="AC98" s="261"/>
      <c r="AD98" s="262"/>
      <c r="AE98" s="108">
        <f>SUM(AD98,AC98,AB98,Y98,U98,T98,S98,R98)*'1. Standard_Cost'!$B$31</f>
        <v>0</v>
      </c>
      <c r="AF98" s="108">
        <f t="shared" si="120"/>
        <v>0</v>
      </c>
      <c r="AG98" s="260"/>
      <c r="AH98" s="260"/>
      <c r="AI98" s="260"/>
      <c r="AJ98" s="263"/>
      <c r="AK98" s="263"/>
      <c r="AL98" s="263"/>
      <c r="AM98" s="108">
        <f>AG98*'1. Standard_Cost'!$B$27+'Incremental_Cost Year 8'!AH98*'1. Standard_Cost'!$C$27+'Incremental_Cost Year 8'!AI98*'1. Standard_Cost'!$D$27+'Incremental_Cost Year 8'!AJ98+'Incremental_Cost Year 8'!AL98+AK98</f>
        <v>0</v>
      </c>
      <c r="AN98" s="108">
        <f>AM98*'1. Standard_Cost'!$C$31</f>
        <v>0</v>
      </c>
      <c r="AO98" s="125" t="s">
        <v>337</v>
      </c>
      <c r="AQ98" s="14">
        <f t="shared" si="121"/>
        <v>0</v>
      </c>
      <c r="AR98" s="14">
        <f t="shared" si="122"/>
        <v>0</v>
      </c>
      <c r="AS98" s="14">
        <f t="shared" si="123"/>
        <v>0</v>
      </c>
      <c r="AT98" s="14">
        <f t="shared" si="125"/>
        <v>0</v>
      </c>
      <c r="AU98" s="234"/>
      <c r="AV98" s="234"/>
      <c r="AW98" s="234"/>
      <c r="AX98" s="234"/>
      <c r="AY98" s="234"/>
      <c r="AZ98" s="234"/>
      <c r="BA98" s="234"/>
      <c r="BB98" s="16">
        <f t="shared" si="124"/>
        <v>0</v>
      </c>
    </row>
    <row r="99" spans="1:54" ht="27.6" outlineLevel="2">
      <c r="A99" s="98"/>
      <c r="B99" s="102"/>
      <c r="C99" s="23"/>
      <c r="D99" s="269"/>
      <c r="E99" s="269"/>
      <c r="F99" s="269"/>
      <c r="G99" s="269"/>
      <c r="H99" s="272"/>
      <c r="I99" s="258"/>
      <c r="J99" s="259"/>
      <c r="K99" s="259"/>
      <c r="L99" s="106" t="str">
        <f>IF(I99&lt;&gt;0,((VLOOKUP(I99,'1. Standard_Cost'!$B$4:$D$11,2)+VLOOKUP(I99,'1. Standard_Cost'!$B$4:$D$11,3))*J99*K99),"0")</f>
        <v>0</v>
      </c>
      <c r="M99" s="106">
        <f>L99*'1. Standard_Cost'!$F$4</f>
        <v>0</v>
      </c>
      <c r="N99" s="260"/>
      <c r="O99" s="260"/>
      <c r="P99" s="260"/>
      <c r="Q99" s="260"/>
      <c r="R99" s="108">
        <f>'1. Standard_Cost'!$B$15*N99*P99</f>
        <v>0</v>
      </c>
      <c r="S99" s="108">
        <f>N99*O99*P99*'1. Standard_Cost'!$C$15</f>
        <v>0</v>
      </c>
      <c r="T99" s="108">
        <f>N99*P99*Q99*'1. Standard_Cost'!$D$15</f>
        <v>0</v>
      </c>
      <c r="U99" s="108">
        <f>N99*O99*'1. Standard_Cost'!$E$15</f>
        <v>0</v>
      </c>
      <c r="V99" s="260"/>
      <c r="W99" s="260"/>
      <c r="X99" s="260"/>
      <c r="Y99" s="108">
        <f>+V99*((X99*'1. Standard_Cost'!$B$19)+(W99*X99*'1. Standard_Cost'!$C$19))</f>
        <v>0</v>
      </c>
      <c r="Z99" s="260"/>
      <c r="AA99" s="260"/>
      <c r="AB99" s="108">
        <f>+Z99*'1. Standard_Cost'!$B$23+AA99*'1. Standard_Cost'!$C$23</f>
        <v>0</v>
      </c>
      <c r="AC99" s="261"/>
      <c r="AD99" s="262"/>
      <c r="AE99" s="108">
        <f>SUM(AD99,AC99,AB99,Y99,U99,T99,S99,R99)*'1. Standard_Cost'!$B$31</f>
        <v>0</v>
      </c>
      <c r="AF99" s="108">
        <f t="shared" si="120"/>
        <v>0</v>
      </c>
      <c r="AG99" s="260"/>
      <c r="AH99" s="260"/>
      <c r="AI99" s="260"/>
      <c r="AJ99" s="263"/>
      <c r="AK99" s="263"/>
      <c r="AL99" s="263"/>
      <c r="AM99" s="108">
        <f>AG99*'1. Standard_Cost'!$B$27+'Incremental_Cost Year 2'!AH157*'1. Standard_Cost'!$C$27+'Incremental_Cost Year 2'!AI157*'1. Standard_Cost'!$D$27+'Incremental_Cost Year 2'!AJ157+'Incremental_Cost Year 2'!AL157+AK99</f>
        <v>0</v>
      </c>
      <c r="AN99" s="108">
        <f>AM99*'1. Standard_Cost'!$C$31</f>
        <v>0</v>
      </c>
      <c r="AO99" s="125" t="s">
        <v>338</v>
      </c>
      <c r="AQ99" s="14">
        <f t="shared" si="121"/>
        <v>0</v>
      </c>
      <c r="AR99" s="14">
        <f t="shared" si="122"/>
        <v>0</v>
      </c>
      <c r="AS99" s="14">
        <f t="shared" si="123"/>
        <v>0</v>
      </c>
      <c r="AT99" s="14">
        <f t="shared" si="125"/>
        <v>0</v>
      </c>
      <c r="AU99" s="234"/>
      <c r="AV99" s="234"/>
      <c r="AW99" s="234"/>
      <c r="AX99" s="234"/>
      <c r="AY99" s="234"/>
      <c r="AZ99" s="234"/>
      <c r="BA99" s="234"/>
      <c r="BB99" s="16">
        <f t="shared" si="124"/>
        <v>0</v>
      </c>
    </row>
    <row r="100" spans="1:54" ht="27.6" outlineLevel="2">
      <c r="A100" s="98"/>
      <c r="B100" s="102"/>
      <c r="C100" s="23"/>
      <c r="D100" s="269"/>
      <c r="E100" s="269"/>
      <c r="F100" s="251"/>
      <c r="G100" s="254"/>
      <c r="H100" s="272"/>
      <c r="I100" s="258"/>
      <c r="J100" s="259"/>
      <c r="K100" s="259"/>
      <c r="L100" s="106" t="str">
        <f>IF(I100&lt;&gt;0,((VLOOKUP(I100,'1. Standard_Cost'!$B$4:$D$11,2)+VLOOKUP(I100,'1. Standard_Cost'!$B$4:$D$11,3))*J100*K100),"0")</f>
        <v>0</v>
      </c>
      <c r="M100" s="106">
        <f>L100*'1. Standard_Cost'!$F$4</f>
        <v>0</v>
      </c>
      <c r="N100" s="260"/>
      <c r="O100" s="260"/>
      <c r="P100" s="260"/>
      <c r="Q100" s="260"/>
      <c r="R100" s="108">
        <f>'1. Standard_Cost'!$B$15*N100*P100</f>
        <v>0</v>
      </c>
      <c r="S100" s="108">
        <f>N100*O100*P100*'1. Standard_Cost'!$C$15</f>
        <v>0</v>
      </c>
      <c r="T100" s="108">
        <f>N100*P100*Q100*'1. Standard_Cost'!$D$15</f>
        <v>0</v>
      </c>
      <c r="U100" s="108">
        <f>N100*O100*'1. Standard_Cost'!$E$15</f>
        <v>0</v>
      </c>
      <c r="V100" s="260"/>
      <c r="W100" s="260"/>
      <c r="X100" s="260"/>
      <c r="Y100" s="108">
        <f>+V100*((X100*'1. Standard_Cost'!$B$19)+(W100*X100*'1. Standard_Cost'!$C$19))</f>
        <v>0</v>
      </c>
      <c r="Z100" s="260"/>
      <c r="AA100" s="260"/>
      <c r="AB100" s="108">
        <f>+Z100*'1. Standard_Cost'!$B$23+AA100*'1. Standard_Cost'!$C$23</f>
        <v>0</v>
      </c>
      <c r="AC100" s="261"/>
      <c r="AD100" s="262"/>
      <c r="AE100" s="108">
        <f>SUM(AD100,AC100,AB100,Y100,U100,T100,S100,R100)*'1. Standard_Cost'!$B$31</f>
        <v>0</v>
      </c>
      <c r="AF100" s="108">
        <f t="shared" si="120"/>
        <v>0</v>
      </c>
      <c r="AG100" s="260"/>
      <c r="AH100" s="260"/>
      <c r="AI100" s="260"/>
      <c r="AJ100" s="263"/>
      <c r="AK100" s="263"/>
      <c r="AL100" s="263"/>
      <c r="AM100" s="108">
        <f>AG100*'1. Standard_Cost'!$B$27+'Incremental_Cost Year 2'!AH158*'1. Standard_Cost'!$C$27+'Incremental_Cost Year 2'!AI158*'1. Standard_Cost'!$D$27+'Incremental_Cost Year 2'!AJ158+'Incremental_Cost Year 2'!AL158+AK100</f>
        <v>0</v>
      </c>
      <c r="AN100" s="108">
        <f>AM100*'1. Standard_Cost'!$C$31</f>
        <v>0</v>
      </c>
      <c r="AO100" s="125" t="s">
        <v>339</v>
      </c>
      <c r="AQ100" s="14">
        <f t="shared" si="121"/>
        <v>0</v>
      </c>
      <c r="AR100" s="14">
        <f t="shared" si="122"/>
        <v>0</v>
      </c>
      <c r="AS100" s="14">
        <f t="shared" si="123"/>
        <v>0</v>
      </c>
      <c r="AT100" s="14">
        <f t="shared" si="125"/>
        <v>0</v>
      </c>
      <c r="AU100" s="234"/>
      <c r="AV100" s="234"/>
      <c r="AW100" s="234"/>
      <c r="AX100" s="234"/>
      <c r="AY100" s="234"/>
      <c r="AZ100" s="234"/>
      <c r="BA100" s="234"/>
      <c r="BB100" s="16">
        <f t="shared" si="124"/>
        <v>0</v>
      </c>
    </row>
    <row r="101" spans="1:54" ht="27.6" outlineLevel="1">
      <c r="A101" s="98"/>
      <c r="B101" s="102"/>
      <c r="C101" s="23"/>
      <c r="D101" s="56" t="s">
        <v>47</v>
      </c>
      <c r="E101" s="56" t="s">
        <v>222</v>
      </c>
      <c r="F101" s="253">
        <v>2021</v>
      </c>
      <c r="G101" s="254">
        <v>2026</v>
      </c>
      <c r="H101" s="277" t="s">
        <v>187</v>
      </c>
      <c r="I101" s="264"/>
      <c r="J101" s="264"/>
      <c r="K101" s="264"/>
      <c r="L101" s="113">
        <f>SUM(L94:L100)</f>
        <v>0</v>
      </c>
      <c r="M101" s="113">
        <f>SUM(M94:M100)</f>
        <v>0</v>
      </c>
      <c r="N101" s="264"/>
      <c r="O101" s="264"/>
      <c r="P101" s="264"/>
      <c r="Q101" s="264"/>
      <c r="R101" s="113">
        <f>SUM(R94:R100)</f>
        <v>0</v>
      </c>
      <c r="S101" s="113">
        <f>SUM(S94:S100)</f>
        <v>0</v>
      </c>
      <c r="T101" s="113">
        <f>SUM(T94:T100)</f>
        <v>0</v>
      </c>
      <c r="U101" s="113">
        <f>SUM(U94:U100)</f>
        <v>0</v>
      </c>
      <c r="V101" s="264"/>
      <c r="W101" s="264"/>
      <c r="X101" s="264"/>
      <c r="Y101" s="113">
        <f>SUM(Y94:Y100)</f>
        <v>0</v>
      </c>
      <c r="Z101" s="264"/>
      <c r="AA101" s="264"/>
      <c r="AB101" s="113">
        <f>SUM(AB94:AB100)</f>
        <v>0</v>
      </c>
      <c r="AC101" s="265">
        <f>SUM(AC94:AC100)</f>
        <v>0</v>
      </c>
      <c r="AD101" s="265">
        <f>SUM(AD94:AD100)</f>
        <v>0</v>
      </c>
      <c r="AE101" s="113">
        <f>SUM(AE94:AE100)</f>
        <v>0</v>
      </c>
      <c r="AF101" s="113">
        <f>SUM(AF94:AF100)</f>
        <v>0</v>
      </c>
      <c r="AG101" s="264"/>
      <c r="AH101" s="264"/>
      <c r="AI101" s="264"/>
      <c r="AJ101" s="265">
        <f>SUM(AJ94:AJ100)</f>
        <v>0</v>
      </c>
      <c r="AK101" s="265">
        <f>SUM(AK94:AK100)</f>
        <v>0</v>
      </c>
      <c r="AL101" s="265">
        <f>SUM(AL94:AL100)</f>
        <v>0</v>
      </c>
      <c r="AM101" s="113">
        <f>SUM(AM94:AM100)</f>
        <v>0</v>
      </c>
      <c r="AN101" s="113">
        <f>SUM(AN94:AN100)</f>
        <v>0</v>
      </c>
      <c r="AO101" s="131"/>
      <c r="AP101" s="17"/>
      <c r="AQ101" s="113">
        <f t="shared" ref="AQ101:BB101" si="126">SUM(AQ94:AQ100)</f>
        <v>0</v>
      </c>
      <c r="AR101" s="113">
        <f t="shared" si="126"/>
        <v>0</v>
      </c>
      <c r="AS101" s="113">
        <f t="shared" si="126"/>
        <v>0</v>
      </c>
      <c r="AT101" s="113">
        <f t="shared" si="126"/>
        <v>0</v>
      </c>
      <c r="AU101" s="265">
        <f t="shared" si="126"/>
        <v>0</v>
      </c>
      <c r="AV101" s="265">
        <f t="shared" si="126"/>
        <v>0</v>
      </c>
      <c r="AW101" s="265">
        <f t="shared" si="126"/>
        <v>0</v>
      </c>
      <c r="AX101" s="265">
        <f t="shared" si="126"/>
        <v>0</v>
      </c>
      <c r="AY101" s="265">
        <f t="shared" si="126"/>
        <v>0</v>
      </c>
      <c r="AZ101" s="265">
        <f t="shared" si="126"/>
        <v>0</v>
      </c>
      <c r="BA101" s="265">
        <f t="shared" si="126"/>
        <v>0</v>
      </c>
      <c r="BB101" s="113">
        <f t="shared" si="126"/>
        <v>0</v>
      </c>
    </row>
    <row r="102" spans="1:54" ht="41.4" outlineLevel="2">
      <c r="A102" s="98"/>
      <c r="B102" s="102"/>
      <c r="C102" s="23"/>
      <c r="D102" s="257"/>
      <c r="E102" s="257"/>
      <c r="F102" s="175"/>
      <c r="G102" s="175"/>
      <c r="H102" s="272"/>
      <c r="I102" s="258"/>
      <c r="J102" s="259"/>
      <c r="K102" s="259"/>
      <c r="L102" s="106" t="str">
        <f>IF(I102&lt;&gt;0,((VLOOKUP(I102,'1. Standard_Cost'!$B$4:$D$11,2)+VLOOKUP(I102,'1. Standard_Cost'!$B$4:$D$11,3))*J102*K102),"0")</f>
        <v>0</v>
      </c>
      <c r="M102" s="106">
        <f>L102*'1. Standard_Cost'!$F$4</f>
        <v>0</v>
      </c>
      <c r="N102" s="260"/>
      <c r="O102" s="260"/>
      <c r="P102" s="260"/>
      <c r="Q102" s="260"/>
      <c r="R102" s="108">
        <f>'1. Standard_Cost'!$B$15*N102*P102</f>
        <v>0</v>
      </c>
      <c r="S102" s="108">
        <f>N102*O102*P102*'1. Standard_Cost'!$C$15</f>
        <v>0</v>
      </c>
      <c r="T102" s="108">
        <f>N102*P102*Q102*'1. Standard_Cost'!$D$15</f>
        <v>0</v>
      </c>
      <c r="U102" s="108">
        <f>N102*O102*'1. Standard_Cost'!$E$15</f>
        <v>0</v>
      </c>
      <c r="V102" s="260"/>
      <c r="W102" s="260"/>
      <c r="X102" s="260"/>
      <c r="Y102" s="108">
        <f>+V102*((X102*'1. Standard_Cost'!$B$19)+(W102*X102*'1. Standard_Cost'!$C$19))</f>
        <v>0</v>
      </c>
      <c r="Z102" s="260"/>
      <c r="AA102" s="260"/>
      <c r="AB102" s="108">
        <f>+Z102*'1. Standard_Cost'!$B$23+AA102*'1. Standard_Cost'!$C$23</f>
        <v>0</v>
      </c>
      <c r="AC102" s="261"/>
      <c r="AD102" s="262"/>
      <c r="AE102" s="108">
        <f>SUM(AD102,AC102,AB102,Y102,U102,T102,S102,R102)*'1. Standard_Cost'!$B$31</f>
        <v>0</v>
      </c>
      <c r="AF102" s="108">
        <f t="shared" ref="AF102:AF112" si="127">SUM(AE102,AD102,AC102,AB102,Y102,U102,T102,S102,R102)</f>
        <v>0</v>
      </c>
      <c r="AG102" s="260"/>
      <c r="AH102" s="260"/>
      <c r="AI102" s="260"/>
      <c r="AJ102" s="263"/>
      <c r="AK102" s="263"/>
      <c r="AL102" s="263"/>
      <c r="AM102" s="108">
        <f>AG102*'1. Standard_Cost'!$B$27+'Incremental_Cost Year 8'!AH102*'1. Standard_Cost'!$C$27+'Incremental_Cost Year 8'!AI102*'1. Standard_Cost'!$D$27+'Incremental_Cost Year 8'!AJ102+'Incremental_Cost Year 8'!AL102+AK102</f>
        <v>0</v>
      </c>
      <c r="AN102" s="108">
        <f>AM102*'1. Standard_Cost'!$C$31</f>
        <v>0</v>
      </c>
      <c r="AO102" s="125" t="s">
        <v>340</v>
      </c>
      <c r="AQ102" s="14">
        <f t="shared" ref="AQ102:AQ112" si="128">L102+M102</f>
        <v>0</v>
      </c>
      <c r="AR102" s="14">
        <f t="shared" ref="AR102:AR112" si="129">AF102</f>
        <v>0</v>
      </c>
      <c r="AS102" s="14">
        <f t="shared" ref="AS102:AS112" si="130">AM102+AN102</f>
        <v>0</v>
      </c>
      <c r="AT102" s="14">
        <f>SUM(AQ102,AR102,AS102)</f>
        <v>0</v>
      </c>
      <c r="AU102" s="234"/>
      <c r="AV102" s="234"/>
      <c r="AW102" s="234"/>
      <c r="AX102" s="234"/>
      <c r="AY102" s="234"/>
      <c r="AZ102" s="234"/>
      <c r="BA102" s="234"/>
      <c r="BB102" s="16">
        <f t="shared" ref="BB102:BB112" si="131">SUM(AU102:BA102)-AT102</f>
        <v>0</v>
      </c>
    </row>
    <row r="103" spans="1:54" ht="15.6" outlineLevel="2">
      <c r="A103" s="98"/>
      <c r="B103" s="102"/>
      <c r="C103" s="23"/>
      <c r="D103" s="269"/>
      <c r="E103" s="269"/>
      <c r="F103" s="174"/>
      <c r="G103" s="269"/>
      <c r="H103" s="272"/>
      <c r="I103" s="258"/>
      <c r="J103" s="259"/>
      <c r="K103" s="259"/>
      <c r="L103" s="106" t="str">
        <f>IF(I103&lt;&gt;0,((VLOOKUP(I103,'1. Standard_Cost'!$B$4:$D$11,2)+VLOOKUP(I103,'1. Standard_Cost'!$B$4:$D$11,3))*J103*K103),"0")</f>
        <v>0</v>
      </c>
      <c r="M103" s="106">
        <f>L103*'1. Standard_Cost'!$F$4</f>
        <v>0</v>
      </c>
      <c r="N103" s="260"/>
      <c r="O103" s="260"/>
      <c r="P103" s="260"/>
      <c r="Q103" s="260"/>
      <c r="R103" s="108">
        <f>'1. Standard_Cost'!$B$15*N103*P103</f>
        <v>0</v>
      </c>
      <c r="S103" s="108">
        <f>N103*O103*P103*'1. Standard_Cost'!$C$15</f>
        <v>0</v>
      </c>
      <c r="T103" s="108">
        <f>N103*P103*Q103*'1. Standard_Cost'!$D$15</f>
        <v>0</v>
      </c>
      <c r="U103" s="108">
        <f>N103*O103*'1. Standard_Cost'!$E$15</f>
        <v>0</v>
      </c>
      <c r="V103" s="260"/>
      <c r="W103" s="260"/>
      <c r="X103" s="260"/>
      <c r="Y103" s="108">
        <f>+V103*((X103*'1. Standard_Cost'!$B$19)+(W103*X103*'1. Standard_Cost'!$C$19))</f>
        <v>0</v>
      </c>
      <c r="Z103" s="260"/>
      <c r="AA103" s="260"/>
      <c r="AB103" s="108">
        <f>+Z103*'1. Standard_Cost'!$B$23+AA103*'1. Standard_Cost'!$C$23</f>
        <v>0</v>
      </c>
      <c r="AC103" s="261"/>
      <c r="AD103" s="262"/>
      <c r="AE103" s="108">
        <f>SUM(AD103,AC103,AB103,Y103,U103,T103,S103,R103)*'1. Standard_Cost'!$B$31</f>
        <v>0</v>
      </c>
      <c r="AF103" s="108">
        <f t="shared" si="127"/>
        <v>0</v>
      </c>
      <c r="AG103" s="260"/>
      <c r="AH103" s="260"/>
      <c r="AI103" s="260"/>
      <c r="AJ103" s="263"/>
      <c r="AK103" s="263"/>
      <c r="AL103" s="263"/>
      <c r="AM103" s="108">
        <f>AG103*'1. Standard_Cost'!$B$27+'Incremental_Cost Year 8'!AH103*'1. Standard_Cost'!$C$27+'Incremental_Cost Year 8'!AI103*'1. Standard_Cost'!$D$27+'Incremental_Cost Year 8'!AJ103+'Incremental_Cost Year 8'!AL103+AK103</f>
        <v>0</v>
      </c>
      <c r="AN103" s="108">
        <f>AM103*'1. Standard_Cost'!$C$31</f>
        <v>0</v>
      </c>
      <c r="AO103" s="125" t="s">
        <v>341</v>
      </c>
      <c r="AQ103" s="14">
        <f t="shared" si="128"/>
        <v>0</v>
      </c>
      <c r="AR103" s="14">
        <f t="shared" si="129"/>
        <v>0</v>
      </c>
      <c r="AS103" s="14">
        <f t="shared" si="130"/>
        <v>0</v>
      </c>
      <c r="AT103" s="14">
        <f t="shared" ref="AT103:AT112" si="132">SUM(AQ103,AR103,AS103)</f>
        <v>0</v>
      </c>
      <c r="AU103" s="234"/>
      <c r="AV103" s="234"/>
      <c r="AW103" s="234"/>
      <c r="AX103" s="234"/>
      <c r="AY103" s="234"/>
      <c r="AZ103" s="234"/>
      <c r="BA103" s="234"/>
      <c r="BB103" s="16">
        <f t="shared" si="131"/>
        <v>0</v>
      </c>
    </row>
    <row r="104" spans="1:54" ht="27.6" outlineLevel="2">
      <c r="A104" s="98"/>
      <c r="B104" s="102"/>
      <c r="C104" s="23"/>
      <c r="D104" s="269"/>
      <c r="E104" s="269"/>
      <c r="F104" s="174"/>
      <c r="G104" s="269"/>
      <c r="H104" s="272"/>
      <c r="I104" s="258"/>
      <c r="J104" s="259"/>
      <c r="K104" s="259"/>
      <c r="L104" s="106" t="str">
        <f>IF(I104&lt;&gt;0,((VLOOKUP(I104,'1. Standard_Cost'!$B$4:$D$11,2)+VLOOKUP(I104,'1. Standard_Cost'!$B$4:$D$11,3))*J104*K104),"0")</f>
        <v>0</v>
      </c>
      <c r="M104" s="106">
        <f>L104*'1. Standard_Cost'!$F$4</f>
        <v>0</v>
      </c>
      <c r="N104" s="260"/>
      <c r="O104" s="260"/>
      <c r="P104" s="260"/>
      <c r="Q104" s="260"/>
      <c r="R104" s="108">
        <f>'1. Standard_Cost'!$B$15*N104*P104</f>
        <v>0</v>
      </c>
      <c r="S104" s="108">
        <f>N104*O104*P104*'1. Standard_Cost'!$C$15</f>
        <v>0</v>
      </c>
      <c r="T104" s="108">
        <f>N104*P104*Q104*'1. Standard_Cost'!$D$15</f>
        <v>0</v>
      </c>
      <c r="U104" s="108">
        <f>N104*O104*'1. Standard_Cost'!$E$15</f>
        <v>0</v>
      </c>
      <c r="V104" s="260"/>
      <c r="W104" s="260"/>
      <c r="X104" s="260"/>
      <c r="Y104" s="108">
        <f>+V104*((X104*'1. Standard_Cost'!$B$19)+(W104*X104*'1. Standard_Cost'!$C$19))</f>
        <v>0</v>
      </c>
      <c r="Z104" s="260"/>
      <c r="AA104" s="260"/>
      <c r="AB104" s="108">
        <f>+Z104*'1. Standard_Cost'!$B$23+AA104*'1. Standard_Cost'!$C$23</f>
        <v>0</v>
      </c>
      <c r="AC104" s="261"/>
      <c r="AD104" s="262"/>
      <c r="AE104" s="108">
        <f>SUM(AD104,AC104,AB104,Y104,U104,T104,S104,R104)*'1. Standard_Cost'!$B$31</f>
        <v>0</v>
      </c>
      <c r="AF104" s="108">
        <f t="shared" si="127"/>
        <v>0</v>
      </c>
      <c r="AG104" s="260"/>
      <c r="AH104" s="260"/>
      <c r="AI104" s="260"/>
      <c r="AJ104" s="263"/>
      <c r="AK104" s="263"/>
      <c r="AL104" s="263"/>
      <c r="AM104" s="108">
        <f>AG104*'1. Standard_Cost'!$B$27+'Incremental_Cost Year 8'!AH104*'1. Standard_Cost'!$C$27+'Incremental_Cost Year 8'!AI104*'1. Standard_Cost'!$D$27+'Incremental_Cost Year 8'!AJ104+'Incremental_Cost Year 8'!AL104+AK104</f>
        <v>0</v>
      </c>
      <c r="AN104" s="108">
        <f>AM104*'1. Standard_Cost'!$C$31</f>
        <v>0</v>
      </c>
      <c r="AO104" s="125" t="s">
        <v>342</v>
      </c>
      <c r="AQ104" s="14">
        <f t="shared" si="128"/>
        <v>0</v>
      </c>
      <c r="AR104" s="14">
        <f t="shared" si="129"/>
        <v>0</v>
      </c>
      <c r="AS104" s="14">
        <f t="shared" si="130"/>
        <v>0</v>
      </c>
      <c r="AT104" s="14">
        <f t="shared" si="132"/>
        <v>0</v>
      </c>
      <c r="AU104" s="234"/>
      <c r="AV104" s="234"/>
      <c r="AW104" s="234"/>
      <c r="AX104" s="234"/>
      <c r="AY104" s="234"/>
      <c r="AZ104" s="234"/>
      <c r="BA104" s="234"/>
      <c r="BB104" s="16">
        <f t="shared" si="131"/>
        <v>0</v>
      </c>
    </row>
    <row r="105" spans="1:54" ht="15.6" outlineLevel="2">
      <c r="A105" s="98"/>
      <c r="B105" s="102"/>
      <c r="C105" s="23"/>
      <c r="D105" s="269"/>
      <c r="E105" s="269"/>
      <c r="F105" s="174"/>
      <c r="G105" s="269"/>
      <c r="H105" s="272"/>
      <c r="I105" s="258"/>
      <c r="J105" s="259"/>
      <c r="K105" s="259"/>
      <c r="L105" s="106" t="str">
        <f>IF(I105&lt;&gt;0,((VLOOKUP(I105,'1. Standard_Cost'!$B$4:$D$11,2)+VLOOKUP(I105,'1. Standard_Cost'!$B$4:$D$11,3))*J105*K105),"0")</f>
        <v>0</v>
      </c>
      <c r="M105" s="106">
        <f>L105*'1. Standard_Cost'!$F$4</f>
        <v>0</v>
      </c>
      <c r="N105" s="260"/>
      <c r="O105" s="260"/>
      <c r="P105" s="260"/>
      <c r="Q105" s="260"/>
      <c r="R105" s="108">
        <f>'1. Standard_Cost'!$B$15*N105*P105</f>
        <v>0</v>
      </c>
      <c r="S105" s="108">
        <f>N105*O105*P105*'1. Standard_Cost'!$C$15</f>
        <v>0</v>
      </c>
      <c r="T105" s="108">
        <f>N105*P105*Q105*'1. Standard_Cost'!$D$15</f>
        <v>0</v>
      </c>
      <c r="U105" s="108">
        <f>N105*O105*'1. Standard_Cost'!$E$15</f>
        <v>0</v>
      </c>
      <c r="V105" s="260"/>
      <c r="W105" s="260"/>
      <c r="X105" s="260"/>
      <c r="Y105" s="108">
        <f>+V105*((X105*'1. Standard_Cost'!$B$19)+(W105*X105*'1. Standard_Cost'!$C$19))</f>
        <v>0</v>
      </c>
      <c r="Z105" s="260"/>
      <c r="AA105" s="260"/>
      <c r="AB105" s="108">
        <f>+Z105*'1. Standard_Cost'!$B$23+AA105*'1. Standard_Cost'!$C$23</f>
        <v>0</v>
      </c>
      <c r="AC105" s="261"/>
      <c r="AD105" s="262"/>
      <c r="AE105" s="108">
        <f>SUM(AD105,AC105,AB105,Y105,U105,T105,S105,R105)*'1. Standard_Cost'!$B$31</f>
        <v>0</v>
      </c>
      <c r="AF105" s="108">
        <f t="shared" si="127"/>
        <v>0</v>
      </c>
      <c r="AG105" s="260"/>
      <c r="AH105" s="260"/>
      <c r="AI105" s="260"/>
      <c r="AJ105" s="263"/>
      <c r="AK105" s="263"/>
      <c r="AL105" s="263"/>
      <c r="AM105" s="108">
        <f>AG105*'1. Standard_Cost'!$B$27+'Incremental_Cost Year 8'!AH105*'1. Standard_Cost'!$C$27+'Incremental_Cost Year 8'!AI105*'1. Standard_Cost'!$D$27+'Incremental_Cost Year 8'!AJ105+'Incremental_Cost Year 8'!AL105+AK105</f>
        <v>0</v>
      </c>
      <c r="AN105" s="108">
        <f>AM105*'1. Standard_Cost'!$C$31</f>
        <v>0</v>
      </c>
      <c r="AO105" s="125" t="s">
        <v>343</v>
      </c>
      <c r="AQ105" s="14">
        <f t="shared" si="128"/>
        <v>0</v>
      </c>
      <c r="AR105" s="14">
        <f t="shared" si="129"/>
        <v>0</v>
      </c>
      <c r="AS105" s="14">
        <f t="shared" si="130"/>
        <v>0</v>
      </c>
      <c r="AT105" s="14">
        <f t="shared" si="132"/>
        <v>0</v>
      </c>
      <c r="AU105" s="234"/>
      <c r="AV105" s="234"/>
      <c r="AW105" s="234"/>
      <c r="AX105" s="234"/>
      <c r="AY105" s="234"/>
      <c r="AZ105" s="234"/>
      <c r="BA105" s="234"/>
      <c r="BB105" s="16">
        <f t="shared" si="131"/>
        <v>0</v>
      </c>
    </row>
    <row r="106" spans="1:54" ht="27.6" outlineLevel="2">
      <c r="A106" s="98"/>
      <c r="B106" s="102"/>
      <c r="C106" s="23"/>
      <c r="D106" s="269"/>
      <c r="E106" s="269"/>
      <c r="F106" s="174"/>
      <c r="G106" s="269"/>
      <c r="H106" s="272"/>
      <c r="I106" s="258"/>
      <c r="J106" s="259"/>
      <c r="K106" s="259"/>
      <c r="L106" s="106" t="str">
        <f>IF(I106&lt;&gt;0,((VLOOKUP(I106,'1. Standard_Cost'!$B$4:$D$11,2)+VLOOKUP(I106,'1. Standard_Cost'!$B$4:$D$11,3))*J106*K106),"0")</f>
        <v>0</v>
      </c>
      <c r="M106" s="106">
        <f>L106*'1. Standard_Cost'!$F$4</f>
        <v>0</v>
      </c>
      <c r="N106" s="260"/>
      <c r="O106" s="260"/>
      <c r="P106" s="260"/>
      <c r="Q106" s="260"/>
      <c r="R106" s="108">
        <f>'1. Standard_Cost'!$B$15*N106*P106</f>
        <v>0</v>
      </c>
      <c r="S106" s="108">
        <f>N106*O106*P106*'1. Standard_Cost'!$C$15</f>
        <v>0</v>
      </c>
      <c r="T106" s="108">
        <f>N106*P106*Q106*'1. Standard_Cost'!$D$15</f>
        <v>0</v>
      </c>
      <c r="U106" s="108">
        <f>N106*O106*'1. Standard_Cost'!$E$15</f>
        <v>0</v>
      </c>
      <c r="V106" s="260"/>
      <c r="W106" s="260"/>
      <c r="X106" s="260"/>
      <c r="Y106" s="108">
        <f>+V106*((X106*'1. Standard_Cost'!$B$19)+(W106*X106*'1. Standard_Cost'!$C$19))</f>
        <v>0</v>
      </c>
      <c r="Z106" s="260"/>
      <c r="AA106" s="260"/>
      <c r="AB106" s="108">
        <f>+Z106*'1. Standard_Cost'!$B$23+AA106*'1. Standard_Cost'!$C$23</f>
        <v>0</v>
      </c>
      <c r="AC106" s="261"/>
      <c r="AD106" s="262"/>
      <c r="AE106" s="108">
        <f>SUM(AD106,AC106,AB106,Y106,U106,T106,S106,R106)*'1. Standard_Cost'!$B$31</f>
        <v>0</v>
      </c>
      <c r="AF106" s="108">
        <f t="shared" si="127"/>
        <v>0</v>
      </c>
      <c r="AG106" s="260"/>
      <c r="AH106" s="260"/>
      <c r="AI106" s="260"/>
      <c r="AJ106" s="263"/>
      <c r="AK106" s="263"/>
      <c r="AL106" s="263"/>
      <c r="AM106" s="108">
        <f>AG106*'1. Standard_Cost'!$B$27+'Incremental_Cost Year 8'!AH106*'1. Standard_Cost'!$C$27+'Incremental_Cost Year 8'!AI106*'1. Standard_Cost'!$D$27+'Incremental_Cost Year 8'!AJ106+'Incremental_Cost Year 8'!AL106+AK106</f>
        <v>0</v>
      </c>
      <c r="AN106" s="108">
        <f>AM106*'1. Standard_Cost'!$C$31</f>
        <v>0</v>
      </c>
      <c r="AO106" s="125" t="s">
        <v>344</v>
      </c>
      <c r="AQ106" s="14">
        <f t="shared" si="128"/>
        <v>0</v>
      </c>
      <c r="AR106" s="14">
        <f t="shared" si="129"/>
        <v>0</v>
      </c>
      <c r="AS106" s="14">
        <f t="shared" si="130"/>
        <v>0</v>
      </c>
      <c r="AT106" s="14">
        <f t="shared" si="132"/>
        <v>0</v>
      </c>
      <c r="AU106" s="234"/>
      <c r="AV106" s="234"/>
      <c r="AW106" s="234"/>
      <c r="AX106" s="234"/>
      <c r="AY106" s="234"/>
      <c r="AZ106" s="234"/>
      <c r="BA106" s="234"/>
      <c r="BB106" s="16">
        <f t="shared" si="131"/>
        <v>0</v>
      </c>
    </row>
    <row r="107" spans="1:54" ht="15.6" outlineLevel="2">
      <c r="A107" s="98"/>
      <c r="B107" s="102"/>
      <c r="C107" s="23"/>
      <c r="D107" s="269"/>
      <c r="E107" s="269"/>
      <c r="F107" s="269"/>
      <c r="G107" s="269"/>
      <c r="H107" s="272"/>
      <c r="I107" s="258"/>
      <c r="J107" s="259"/>
      <c r="K107" s="259"/>
      <c r="L107" s="106" t="str">
        <f>IF(I107&lt;&gt;0,((VLOOKUP(I107,'1. Standard_Cost'!$B$4:$D$11,2)+VLOOKUP(I107,'1. Standard_Cost'!$B$4:$D$11,3))*J107*K107),"0")</f>
        <v>0</v>
      </c>
      <c r="M107" s="106">
        <f>L107*'1. Standard_Cost'!$F$4</f>
        <v>0</v>
      </c>
      <c r="N107" s="260"/>
      <c r="O107" s="260"/>
      <c r="P107" s="260"/>
      <c r="Q107" s="260"/>
      <c r="R107" s="108">
        <f>'1. Standard_Cost'!$B$15*N107*P107</f>
        <v>0</v>
      </c>
      <c r="S107" s="108">
        <f>N107*O107*P107*'1. Standard_Cost'!$C$15</f>
        <v>0</v>
      </c>
      <c r="T107" s="108">
        <f>N107*P107*Q107*'1. Standard_Cost'!$D$15</f>
        <v>0</v>
      </c>
      <c r="U107" s="108">
        <f>N107*O107*'1. Standard_Cost'!$E$15</f>
        <v>0</v>
      </c>
      <c r="V107" s="260"/>
      <c r="W107" s="260"/>
      <c r="X107" s="260"/>
      <c r="Y107" s="108">
        <f>+V107*((X107*'1. Standard_Cost'!$B$19)+(W107*X107*'1. Standard_Cost'!$C$19))</f>
        <v>0</v>
      </c>
      <c r="Z107" s="260"/>
      <c r="AA107" s="260"/>
      <c r="AB107" s="108">
        <f>+Z107*'1. Standard_Cost'!$B$23+AA107*'1. Standard_Cost'!$C$23</f>
        <v>0</v>
      </c>
      <c r="AC107" s="261"/>
      <c r="AD107" s="262"/>
      <c r="AE107" s="108">
        <f>SUM(AD107,AC107,AB107,Y107,U107,T107,S107,R107)*'1. Standard_Cost'!$B$31</f>
        <v>0</v>
      </c>
      <c r="AF107" s="108">
        <f t="shared" si="127"/>
        <v>0</v>
      </c>
      <c r="AG107" s="260"/>
      <c r="AH107" s="260"/>
      <c r="AI107" s="260"/>
      <c r="AJ107" s="263"/>
      <c r="AK107" s="263"/>
      <c r="AL107" s="263"/>
      <c r="AM107" s="108">
        <f>AG107*'1. Standard_Cost'!$B$27+'Incremental_Cost Year 8'!AH107*'1. Standard_Cost'!$C$27+'Incremental_Cost Year 8'!AI107*'1. Standard_Cost'!$D$27+'Incremental_Cost Year 8'!AJ107+'Incremental_Cost Year 8'!AL107+AK107</f>
        <v>0</v>
      </c>
      <c r="AN107" s="108">
        <f>AM107*'1. Standard_Cost'!$C$31</f>
        <v>0</v>
      </c>
      <c r="AO107" s="125" t="s">
        <v>345</v>
      </c>
      <c r="AQ107" s="14">
        <f t="shared" si="128"/>
        <v>0</v>
      </c>
      <c r="AR107" s="14">
        <f t="shared" si="129"/>
        <v>0</v>
      </c>
      <c r="AS107" s="14">
        <f t="shared" si="130"/>
        <v>0</v>
      </c>
      <c r="AT107" s="14">
        <f t="shared" si="132"/>
        <v>0</v>
      </c>
      <c r="AU107" s="234"/>
      <c r="AV107" s="234"/>
      <c r="AW107" s="234"/>
      <c r="AX107" s="234"/>
      <c r="AY107" s="234"/>
      <c r="AZ107" s="234"/>
      <c r="BA107" s="234"/>
      <c r="BB107" s="16">
        <f t="shared" si="131"/>
        <v>0</v>
      </c>
    </row>
    <row r="108" spans="1:54" ht="15.6" outlineLevel="2">
      <c r="A108" s="98"/>
      <c r="B108" s="102"/>
      <c r="C108" s="23"/>
      <c r="D108" s="269"/>
      <c r="E108" s="269"/>
      <c r="F108" s="269"/>
      <c r="G108" s="269"/>
      <c r="H108" s="272"/>
      <c r="I108" s="258"/>
      <c r="J108" s="259"/>
      <c r="K108" s="259"/>
      <c r="L108" s="106" t="str">
        <f>IF(I108&lt;&gt;0,((VLOOKUP(I108,'1. Standard_Cost'!$B$4:$D$11,2)+VLOOKUP(I108,'1. Standard_Cost'!$B$4:$D$11,3))*J108*K108),"0")</f>
        <v>0</v>
      </c>
      <c r="M108" s="106">
        <f>L108*'1. Standard_Cost'!$F$4</f>
        <v>0</v>
      </c>
      <c r="N108" s="260"/>
      <c r="O108" s="260"/>
      <c r="P108" s="260"/>
      <c r="Q108" s="260"/>
      <c r="R108" s="108">
        <f>'1. Standard_Cost'!$B$15*N108*P108</f>
        <v>0</v>
      </c>
      <c r="S108" s="108">
        <f>N108*O108*P108*'1. Standard_Cost'!$C$15</f>
        <v>0</v>
      </c>
      <c r="T108" s="108">
        <f>N108*P108*Q108*'1. Standard_Cost'!$D$15</f>
        <v>0</v>
      </c>
      <c r="U108" s="108">
        <f>N108*O108*'1. Standard_Cost'!$E$15</f>
        <v>0</v>
      </c>
      <c r="V108" s="260"/>
      <c r="W108" s="260"/>
      <c r="X108" s="260"/>
      <c r="Y108" s="108">
        <f>+V108*((X108*'1. Standard_Cost'!$B$19)+(W108*X108*'1. Standard_Cost'!$C$19))</f>
        <v>0</v>
      </c>
      <c r="Z108" s="260"/>
      <c r="AA108" s="260"/>
      <c r="AB108" s="108">
        <f>+Z108*'1. Standard_Cost'!$B$23+AA108*'1. Standard_Cost'!$C$23</f>
        <v>0</v>
      </c>
      <c r="AC108" s="261"/>
      <c r="AD108" s="262"/>
      <c r="AE108" s="108">
        <f>SUM(AD108,AC108,AB108,Y108,U108,T108,S108,R108)*'1. Standard_Cost'!$B$31</f>
        <v>0</v>
      </c>
      <c r="AF108" s="108">
        <f t="shared" si="127"/>
        <v>0</v>
      </c>
      <c r="AG108" s="260"/>
      <c r="AH108" s="260"/>
      <c r="AI108" s="260"/>
      <c r="AJ108" s="263"/>
      <c r="AK108" s="263"/>
      <c r="AL108" s="263"/>
      <c r="AM108" s="108">
        <f>AG108*'1. Standard_Cost'!$B$27+'Incremental_Cost Year 8'!AH108*'1. Standard_Cost'!$C$27+'Incremental_Cost Year 8'!AI108*'1. Standard_Cost'!$D$27+'Incremental_Cost Year 8'!AJ108+'Incremental_Cost Year 8'!AL108+AK108</f>
        <v>0</v>
      </c>
      <c r="AN108" s="108">
        <f>AM108*'1. Standard_Cost'!$C$31</f>
        <v>0</v>
      </c>
      <c r="AO108" s="125" t="s">
        <v>346</v>
      </c>
      <c r="AQ108" s="14">
        <f t="shared" si="128"/>
        <v>0</v>
      </c>
      <c r="AR108" s="14">
        <f t="shared" si="129"/>
        <v>0</v>
      </c>
      <c r="AS108" s="14">
        <f t="shared" si="130"/>
        <v>0</v>
      </c>
      <c r="AT108" s="14">
        <f t="shared" si="132"/>
        <v>0</v>
      </c>
      <c r="AU108" s="234"/>
      <c r="AV108" s="234"/>
      <c r="AW108" s="234"/>
      <c r="AX108" s="234"/>
      <c r="AY108" s="234"/>
      <c r="AZ108" s="234"/>
      <c r="BA108" s="234"/>
      <c r="BB108" s="16">
        <f t="shared" si="131"/>
        <v>0</v>
      </c>
    </row>
    <row r="109" spans="1:54" ht="15.6" outlineLevel="2">
      <c r="A109" s="98"/>
      <c r="B109" s="102"/>
      <c r="C109" s="23"/>
      <c r="D109" s="269"/>
      <c r="E109" s="269"/>
      <c r="F109" s="269"/>
      <c r="G109" s="174"/>
      <c r="H109" s="272"/>
      <c r="I109" s="258"/>
      <c r="J109" s="259"/>
      <c r="K109" s="259"/>
      <c r="L109" s="106" t="str">
        <f>IF(I109&lt;&gt;0,((VLOOKUP(I109,'1. Standard_Cost'!$B$4:$D$11,2)+VLOOKUP(I109,'1. Standard_Cost'!$B$4:$D$11,3))*J109*K109),"0")</f>
        <v>0</v>
      </c>
      <c r="M109" s="106">
        <f>L109*'1. Standard_Cost'!$F$4</f>
        <v>0</v>
      </c>
      <c r="N109" s="260"/>
      <c r="O109" s="260"/>
      <c r="P109" s="260"/>
      <c r="Q109" s="260"/>
      <c r="R109" s="108">
        <f>'1. Standard_Cost'!$B$15*N109*P109</f>
        <v>0</v>
      </c>
      <c r="S109" s="108">
        <f>N109*O109*P109*'1. Standard_Cost'!$C$15</f>
        <v>0</v>
      </c>
      <c r="T109" s="108">
        <f>N109*P109*Q109*'1. Standard_Cost'!$D$15</f>
        <v>0</v>
      </c>
      <c r="U109" s="108">
        <f>N109*O109*'1. Standard_Cost'!$E$15</f>
        <v>0</v>
      </c>
      <c r="V109" s="260"/>
      <c r="W109" s="260"/>
      <c r="X109" s="260"/>
      <c r="Y109" s="108">
        <f>+V109*((X109*'1. Standard_Cost'!$B$19)+(W109*X109*'1. Standard_Cost'!$C$19))</f>
        <v>0</v>
      </c>
      <c r="Z109" s="260"/>
      <c r="AA109" s="260"/>
      <c r="AB109" s="108">
        <f>+Z109*'1. Standard_Cost'!$B$23+AA109*'1. Standard_Cost'!$C$23</f>
        <v>0</v>
      </c>
      <c r="AC109" s="261"/>
      <c r="AD109" s="262"/>
      <c r="AE109" s="108">
        <f>SUM(AD109,AC109,AB109,Y109,U109,T109,S109,R109)*'1. Standard_Cost'!$B$31</f>
        <v>0</v>
      </c>
      <c r="AF109" s="108">
        <f t="shared" si="127"/>
        <v>0</v>
      </c>
      <c r="AG109" s="260"/>
      <c r="AH109" s="260"/>
      <c r="AI109" s="260"/>
      <c r="AJ109" s="263"/>
      <c r="AK109" s="263"/>
      <c r="AL109" s="263"/>
      <c r="AM109" s="108">
        <f>AG109*'1. Standard_Cost'!$B$27+'Incremental_Cost Year 8'!AH109*'1. Standard_Cost'!$C$27+'Incremental_Cost Year 8'!AI109*'1. Standard_Cost'!$D$27+'Incremental_Cost Year 8'!AJ109+'Incremental_Cost Year 8'!AL109+AK109</f>
        <v>0</v>
      </c>
      <c r="AN109" s="108">
        <f>AM109*'1. Standard_Cost'!$C$31</f>
        <v>0</v>
      </c>
      <c r="AO109" s="125" t="s">
        <v>347</v>
      </c>
      <c r="AQ109" s="14">
        <f t="shared" si="128"/>
        <v>0</v>
      </c>
      <c r="AR109" s="14">
        <f t="shared" si="129"/>
        <v>0</v>
      </c>
      <c r="AS109" s="14">
        <f t="shared" si="130"/>
        <v>0</v>
      </c>
      <c r="AT109" s="14">
        <f t="shared" si="132"/>
        <v>0</v>
      </c>
      <c r="AU109" s="234"/>
      <c r="AV109" s="234"/>
      <c r="AW109" s="234"/>
      <c r="AX109" s="234"/>
      <c r="AY109" s="234"/>
      <c r="AZ109" s="234"/>
      <c r="BA109" s="234"/>
      <c r="BB109" s="16">
        <f t="shared" si="131"/>
        <v>0</v>
      </c>
    </row>
    <row r="110" spans="1:54" ht="27.6" outlineLevel="2">
      <c r="A110" s="98"/>
      <c r="B110" s="102"/>
      <c r="C110" s="23"/>
      <c r="D110" s="269"/>
      <c r="E110" s="269"/>
      <c r="F110" s="269"/>
      <c r="G110" s="174"/>
      <c r="H110" s="272"/>
      <c r="I110" s="258"/>
      <c r="J110" s="259"/>
      <c r="K110" s="259"/>
      <c r="L110" s="106" t="str">
        <f>IF(I110&lt;&gt;0,((VLOOKUP(I110,'1. Standard_Cost'!$B$4:$D$11,2)+VLOOKUP(I110,'1. Standard_Cost'!$B$4:$D$11,3))*J110*K110),"0")</f>
        <v>0</v>
      </c>
      <c r="M110" s="106">
        <f>L110*'1. Standard_Cost'!$F$4</f>
        <v>0</v>
      </c>
      <c r="N110" s="260"/>
      <c r="O110" s="260"/>
      <c r="P110" s="260"/>
      <c r="Q110" s="260"/>
      <c r="R110" s="108">
        <f>'1. Standard_Cost'!$B$15*N110*P110</f>
        <v>0</v>
      </c>
      <c r="S110" s="108">
        <f>N110*O110*P110*'1. Standard_Cost'!$C$15</f>
        <v>0</v>
      </c>
      <c r="T110" s="108">
        <f>N110*P110*Q110*'1. Standard_Cost'!$D$15</f>
        <v>0</v>
      </c>
      <c r="U110" s="108">
        <f>N110*O110*'1. Standard_Cost'!$E$15</f>
        <v>0</v>
      </c>
      <c r="V110" s="260"/>
      <c r="W110" s="260"/>
      <c r="X110" s="260"/>
      <c r="Y110" s="108">
        <f>+V110*((X110*'1. Standard_Cost'!$B$19)+(W110*X110*'1. Standard_Cost'!$C$19))</f>
        <v>0</v>
      </c>
      <c r="Z110" s="260"/>
      <c r="AA110" s="260"/>
      <c r="AB110" s="108">
        <f>+Z110*'1. Standard_Cost'!$B$23+AA110*'1. Standard_Cost'!$C$23</f>
        <v>0</v>
      </c>
      <c r="AC110" s="261"/>
      <c r="AD110" s="262"/>
      <c r="AE110" s="108">
        <f>SUM(AD110,AC110,AB110,Y110,U110,T110,S110,R110)*'1. Standard_Cost'!$B$31</f>
        <v>0</v>
      </c>
      <c r="AF110" s="108">
        <f t="shared" si="127"/>
        <v>0</v>
      </c>
      <c r="AG110" s="260"/>
      <c r="AH110" s="260"/>
      <c r="AI110" s="260"/>
      <c r="AJ110" s="263"/>
      <c r="AK110" s="263"/>
      <c r="AL110" s="263"/>
      <c r="AM110" s="108">
        <f>AG110*'1. Standard_Cost'!$B$27+'Incremental_Cost Year 8'!AH110*'1. Standard_Cost'!$C$27+'Incremental_Cost Year 8'!AI110*'1. Standard_Cost'!$D$27+'Incremental_Cost Year 8'!AJ110+'Incremental_Cost Year 8'!AL110+AK110</f>
        <v>0</v>
      </c>
      <c r="AN110" s="108">
        <f>AM110*'1. Standard_Cost'!$C$31</f>
        <v>0</v>
      </c>
      <c r="AO110" s="125" t="s">
        <v>348</v>
      </c>
      <c r="AQ110" s="14">
        <f t="shared" si="128"/>
        <v>0</v>
      </c>
      <c r="AR110" s="14">
        <f t="shared" si="129"/>
        <v>0</v>
      </c>
      <c r="AS110" s="14">
        <f t="shared" si="130"/>
        <v>0</v>
      </c>
      <c r="AT110" s="14">
        <f t="shared" si="132"/>
        <v>0</v>
      </c>
      <c r="AU110" s="234"/>
      <c r="AV110" s="234"/>
      <c r="AW110" s="234"/>
      <c r="AX110" s="234"/>
      <c r="AY110" s="234"/>
      <c r="AZ110" s="234"/>
      <c r="BA110" s="234"/>
      <c r="BB110" s="16">
        <f t="shared" si="131"/>
        <v>0</v>
      </c>
    </row>
    <row r="111" spans="1:54" ht="15.6" outlineLevel="2">
      <c r="A111" s="98"/>
      <c r="B111" s="102"/>
      <c r="C111" s="23"/>
      <c r="D111" s="269"/>
      <c r="E111" s="269"/>
      <c r="F111" s="269"/>
      <c r="G111" s="174"/>
      <c r="H111" s="272"/>
      <c r="I111" s="258"/>
      <c r="J111" s="259"/>
      <c r="K111" s="259"/>
      <c r="L111" s="106" t="str">
        <f>IF(I111&lt;&gt;0,((VLOOKUP(I111,'1. Standard_Cost'!$B$4:$D$11,2)+VLOOKUP(I111,'1. Standard_Cost'!$B$4:$D$11,3))*J111*K111),"0")</f>
        <v>0</v>
      </c>
      <c r="M111" s="106">
        <f>L111*'1. Standard_Cost'!$F$4</f>
        <v>0</v>
      </c>
      <c r="N111" s="260"/>
      <c r="O111" s="260"/>
      <c r="P111" s="260"/>
      <c r="Q111" s="260"/>
      <c r="R111" s="108">
        <f>'1. Standard_Cost'!$B$15*N111*P111</f>
        <v>0</v>
      </c>
      <c r="S111" s="108">
        <f>N111*O111*P111*'1. Standard_Cost'!$C$15</f>
        <v>0</v>
      </c>
      <c r="T111" s="108">
        <f>N111*P111*Q111*'1. Standard_Cost'!$D$15</f>
        <v>0</v>
      </c>
      <c r="U111" s="108">
        <f>N111*O111*'1. Standard_Cost'!$E$15</f>
        <v>0</v>
      </c>
      <c r="V111" s="260"/>
      <c r="W111" s="260"/>
      <c r="X111" s="260"/>
      <c r="Y111" s="108">
        <f>+V111*((X111*'1. Standard_Cost'!$B$19)+(W111*X111*'1. Standard_Cost'!$C$19))</f>
        <v>0</v>
      </c>
      <c r="Z111" s="260"/>
      <c r="AA111" s="260"/>
      <c r="AB111" s="108">
        <f>+Z111*'1. Standard_Cost'!$B$23+AA111*'1. Standard_Cost'!$C$23</f>
        <v>0</v>
      </c>
      <c r="AC111" s="261"/>
      <c r="AD111" s="262"/>
      <c r="AE111" s="108">
        <f>SUM(AD111,AC111,AB111,Y111,U111,T111,S111,R111)*'1. Standard_Cost'!$B$31</f>
        <v>0</v>
      </c>
      <c r="AF111" s="108">
        <f t="shared" si="127"/>
        <v>0</v>
      </c>
      <c r="AG111" s="260"/>
      <c r="AH111" s="260"/>
      <c r="AI111" s="260"/>
      <c r="AJ111" s="263"/>
      <c r="AK111" s="263"/>
      <c r="AL111" s="263"/>
      <c r="AM111" s="108">
        <f>AG111*'1. Standard_Cost'!$B$27+'Incremental_Cost Year 2'!AH165*'1. Standard_Cost'!$C$27+'Incremental_Cost Year 2'!AI165*'1. Standard_Cost'!$D$27+'Incremental_Cost Year 2'!AJ165+'Incremental_Cost Year 2'!AL165+AK111</f>
        <v>0</v>
      </c>
      <c r="AN111" s="108">
        <f>AM111*'1. Standard_Cost'!$C$31</f>
        <v>0</v>
      </c>
      <c r="AO111" s="125" t="s">
        <v>349</v>
      </c>
      <c r="AQ111" s="14">
        <f t="shared" si="128"/>
        <v>0</v>
      </c>
      <c r="AR111" s="14">
        <f t="shared" si="129"/>
        <v>0</v>
      </c>
      <c r="AS111" s="14">
        <f t="shared" si="130"/>
        <v>0</v>
      </c>
      <c r="AT111" s="14">
        <f t="shared" si="132"/>
        <v>0</v>
      </c>
      <c r="AU111" s="234"/>
      <c r="AV111" s="234"/>
      <c r="AW111" s="234"/>
      <c r="AX111" s="234"/>
      <c r="AY111" s="234"/>
      <c r="AZ111" s="234"/>
      <c r="BA111" s="234"/>
      <c r="BB111" s="16">
        <f t="shared" si="131"/>
        <v>0</v>
      </c>
    </row>
    <row r="112" spans="1:54" ht="15.6" outlineLevel="2">
      <c r="A112" s="98"/>
      <c r="B112" s="102"/>
      <c r="C112" s="23"/>
      <c r="D112" s="269"/>
      <c r="E112" s="269"/>
      <c r="F112" s="251"/>
      <c r="G112" s="250"/>
      <c r="H112" s="272"/>
      <c r="I112" s="258"/>
      <c r="J112" s="259"/>
      <c r="K112" s="259"/>
      <c r="L112" s="106" t="str">
        <f>IF(I112&lt;&gt;0,((VLOOKUP(I112,'1. Standard_Cost'!$B$4:$D$11,2)+VLOOKUP(I112,'1. Standard_Cost'!$B$4:$D$11,3))*J112*K112),"0")</f>
        <v>0</v>
      </c>
      <c r="M112" s="106">
        <f>L112*'1. Standard_Cost'!$F$4</f>
        <v>0</v>
      </c>
      <c r="N112" s="260"/>
      <c r="O112" s="260"/>
      <c r="P112" s="260"/>
      <c r="Q112" s="260"/>
      <c r="R112" s="108">
        <f>'1. Standard_Cost'!$B$15*N112*P112</f>
        <v>0</v>
      </c>
      <c r="S112" s="108">
        <f>N112*O112*P112*'1. Standard_Cost'!$C$15</f>
        <v>0</v>
      </c>
      <c r="T112" s="108">
        <f>N112*P112*Q112*'1. Standard_Cost'!$D$15</f>
        <v>0</v>
      </c>
      <c r="U112" s="108">
        <f>N112*O112*'1. Standard_Cost'!$E$15</f>
        <v>0</v>
      </c>
      <c r="V112" s="260"/>
      <c r="W112" s="260"/>
      <c r="X112" s="260"/>
      <c r="Y112" s="108">
        <f>+V112*((X112*'1. Standard_Cost'!$B$19)+(W112*X112*'1. Standard_Cost'!$C$19))</f>
        <v>0</v>
      </c>
      <c r="Z112" s="260"/>
      <c r="AA112" s="260"/>
      <c r="AB112" s="108">
        <f>+Z112*'1. Standard_Cost'!$B$23+AA112*'1. Standard_Cost'!$C$23</f>
        <v>0</v>
      </c>
      <c r="AC112" s="261"/>
      <c r="AD112" s="262"/>
      <c r="AE112" s="108">
        <f>SUM(AD112,AC112,AB112,Y112,U112,T112,S112,R112)*'1. Standard_Cost'!$B$31</f>
        <v>0</v>
      </c>
      <c r="AF112" s="108">
        <f t="shared" si="127"/>
        <v>0</v>
      </c>
      <c r="AG112" s="260"/>
      <c r="AH112" s="260"/>
      <c r="AI112" s="260"/>
      <c r="AJ112" s="263"/>
      <c r="AK112" s="263"/>
      <c r="AL112" s="263"/>
      <c r="AM112" s="108">
        <f>AG112*'1. Standard_Cost'!$B$27+'Incremental_Cost Year 2'!AH166*'1. Standard_Cost'!$C$27+'Incremental_Cost Year 2'!AI166*'1. Standard_Cost'!$D$27+'Incremental_Cost Year 2'!AJ166+'Incremental_Cost Year 2'!AL166+AK112</f>
        <v>0</v>
      </c>
      <c r="AN112" s="108">
        <f>AM112*'1. Standard_Cost'!$C$31</f>
        <v>0</v>
      </c>
      <c r="AO112" s="125" t="s">
        <v>345</v>
      </c>
      <c r="AQ112" s="14">
        <f t="shared" si="128"/>
        <v>0</v>
      </c>
      <c r="AR112" s="14">
        <f t="shared" si="129"/>
        <v>0</v>
      </c>
      <c r="AS112" s="14">
        <f t="shared" si="130"/>
        <v>0</v>
      </c>
      <c r="AT112" s="14">
        <f t="shared" si="132"/>
        <v>0</v>
      </c>
      <c r="AU112" s="234"/>
      <c r="AV112" s="234"/>
      <c r="AW112" s="234"/>
      <c r="AX112" s="234"/>
      <c r="AY112" s="234"/>
      <c r="AZ112" s="234"/>
      <c r="BA112" s="234"/>
      <c r="BB112" s="16">
        <f t="shared" si="131"/>
        <v>0</v>
      </c>
    </row>
    <row r="113" spans="1:54" ht="27.6" outlineLevel="1">
      <c r="A113" s="98"/>
      <c r="B113" s="102"/>
      <c r="C113" s="23"/>
      <c r="D113" s="56" t="s">
        <v>47</v>
      </c>
      <c r="E113" s="56" t="s">
        <v>223</v>
      </c>
      <c r="F113" s="253">
        <v>2021</v>
      </c>
      <c r="G113" s="254">
        <v>2026</v>
      </c>
      <c r="H113" s="277" t="s">
        <v>226</v>
      </c>
      <c r="I113" s="264"/>
      <c r="J113" s="264"/>
      <c r="K113" s="264"/>
      <c r="L113" s="113">
        <f>SUM(L102:L112)</f>
        <v>0</v>
      </c>
      <c r="M113" s="113">
        <f>SUM(M102:M112)</f>
        <v>0</v>
      </c>
      <c r="N113" s="264"/>
      <c r="O113" s="264"/>
      <c r="P113" s="264"/>
      <c r="Q113" s="264"/>
      <c r="R113" s="113">
        <f>SUM(R102:R112)</f>
        <v>0</v>
      </c>
      <c r="S113" s="113">
        <f>SUM(S102:S112)</f>
        <v>0</v>
      </c>
      <c r="T113" s="113">
        <f>SUM(T102:T112)</f>
        <v>0</v>
      </c>
      <c r="U113" s="113">
        <f>SUM(U102:U112)</f>
        <v>0</v>
      </c>
      <c r="V113" s="264"/>
      <c r="W113" s="264"/>
      <c r="X113" s="264"/>
      <c r="Y113" s="113">
        <f>SUM(Y102:Y112)</f>
        <v>0</v>
      </c>
      <c r="Z113" s="264"/>
      <c r="AA113" s="264"/>
      <c r="AB113" s="113">
        <f>SUM(AB102:AB112)</f>
        <v>0</v>
      </c>
      <c r="AC113" s="265">
        <f>SUM(AC102:AC112)</f>
        <v>0</v>
      </c>
      <c r="AD113" s="265">
        <f>SUM(AD102:AD112)</f>
        <v>0</v>
      </c>
      <c r="AE113" s="113">
        <f>SUM(AE102:AE112)</f>
        <v>0</v>
      </c>
      <c r="AF113" s="113">
        <f>SUM(AF102:AF112)</f>
        <v>0</v>
      </c>
      <c r="AG113" s="264"/>
      <c r="AH113" s="264"/>
      <c r="AI113" s="264"/>
      <c r="AJ113" s="265">
        <f>SUM(AJ102:AJ112)</f>
        <v>0</v>
      </c>
      <c r="AK113" s="265">
        <f>SUM(AK102:AK112)</f>
        <v>0</v>
      </c>
      <c r="AL113" s="265">
        <f>SUM(AL102:AL112)</f>
        <v>0</v>
      </c>
      <c r="AM113" s="113">
        <f>SUM(AM102:AM112)</f>
        <v>0</v>
      </c>
      <c r="AN113" s="113">
        <f>SUM(AN102:AN112)</f>
        <v>0</v>
      </c>
      <c r="AO113" s="131"/>
      <c r="AP113" s="17"/>
      <c r="AQ113" s="113">
        <f t="shared" ref="AQ113:BB113" si="133">SUM(AQ102:AQ112)</f>
        <v>0</v>
      </c>
      <c r="AR113" s="113">
        <f t="shared" si="133"/>
        <v>0</v>
      </c>
      <c r="AS113" s="113">
        <f t="shared" si="133"/>
        <v>0</v>
      </c>
      <c r="AT113" s="113">
        <f t="shared" si="133"/>
        <v>0</v>
      </c>
      <c r="AU113" s="265">
        <f t="shared" si="133"/>
        <v>0</v>
      </c>
      <c r="AV113" s="265">
        <f t="shared" si="133"/>
        <v>0</v>
      </c>
      <c r="AW113" s="265">
        <f t="shared" si="133"/>
        <v>0</v>
      </c>
      <c r="AX113" s="265">
        <f t="shared" si="133"/>
        <v>0</v>
      </c>
      <c r="AY113" s="265">
        <f t="shared" si="133"/>
        <v>0</v>
      </c>
      <c r="AZ113" s="265">
        <f t="shared" si="133"/>
        <v>0</v>
      </c>
      <c r="BA113" s="265">
        <f t="shared" si="133"/>
        <v>0</v>
      </c>
      <c r="BB113" s="113">
        <f t="shared" si="133"/>
        <v>0</v>
      </c>
    </row>
    <row r="114" spans="1:54" ht="15.6" outlineLevel="2">
      <c r="A114" s="98"/>
      <c r="B114" s="102"/>
      <c r="C114" s="23"/>
      <c r="D114" s="257"/>
      <c r="E114" s="257"/>
      <c r="F114" s="257"/>
      <c r="G114" s="257"/>
      <c r="H114" s="272"/>
      <c r="I114" s="258"/>
      <c r="J114" s="259"/>
      <c r="K114" s="259"/>
      <c r="L114" s="106" t="str">
        <f>IF(I114&lt;&gt;0,((VLOOKUP(I114,'1. Standard_Cost'!$B$4:$D$11,2)+VLOOKUP(I114,'1. Standard_Cost'!$B$4:$D$11,3))*J114*K114),"0")</f>
        <v>0</v>
      </c>
      <c r="M114" s="106">
        <f>L114*'1. Standard_Cost'!$F$4</f>
        <v>0</v>
      </c>
      <c r="N114" s="260"/>
      <c r="O114" s="260"/>
      <c r="P114" s="260"/>
      <c r="Q114" s="260"/>
      <c r="R114" s="108">
        <f>'1. Standard_Cost'!$B$15*N114*P114</f>
        <v>0</v>
      </c>
      <c r="S114" s="108">
        <f>N114*O114*P114*'1. Standard_Cost'!$C$15</f>
        <v>0</v>
      </c>
      <c r="T114" s="108">
        <f>N114*P114*Q114*'1. Standard_Cost'!$D$15</f>
        <v>0</v>
      </c>
      <c r="U114" s="108">
        <f>N114*O114*'1. Standard_Cost'!$E$15</f>
        <v>0</v>
      </c>
      <c r="V114" s="260"/>
      <c r="W114" s="260"/>
      <c r="X114" s="260"/>
      <c r="Y114" s="108">
        <f>+V114*((X114*'1. Standard_Cost'!$B$19)+(W114*X114*'1. Standard_Cost'!$C$19))</f>
        <v>0</v>
      </c>
      <c r="Z114" s="260"/>
      <c r="AA114" s="260"/>
      <c r="AB114" s="108">
        <f>+Z114*'1. Standard_Cost'!$B$23+AA114*'1. Standard_Cost'!$C$23</f>
        <v>0</v>
      </c>
      <c r="AC114" s="261"/>
      <c r="AD114" s="262"/>
      <c r="AE114" s="108">
        <f>SUM(AD114,AC114,AB114,Y114,U114,T114,S114,R114)*'1. Standard_Cost'!$B$31</f>
        <v>0</v>
      </c>
      <c r="AF114" s="108">
        <f t="shared" ref="AF114:AF135" si="134">SUM(AE114,AD114,AC114,AB114,Y114,U114,T114,S114,R114)</f>
        <v>0</v>
      </c>
      <c r="AG114" s="260"/>
      <c r="AH114" s="260"/>
      <c r="AI114" s="260"/>
      <c r="AJ114" s="263"/>
      <c r="AK114" s="263"/>
      <c r="AL114" s="263"/>
      <c r="AM114" s="108">
        <f>AG114*'1. Standard_Cost'!$B$27+'Incremental_Cost Year 8'!AH114*'1. Standard_Cost'!$C$27+'Incremental_Cost Year 8'!AI114*'1. Standard_Cost'!$D$27+'Incremental_Cost Year 8'!AJ114+'Incremental_Cost Year 8'!AL114+AK114</f>
        <v>0</v>
      </c>
      <c r="AN114" s="108">
        <f>AM114*'1. Standard_Cost'!$C$31</f>
        <v>0</v>
      </c>
      <c r="AO114" s="125" t="s">
        <v>350</v>
      </c>
      <c r="AQ114" s="14">
        <f t="shared" ref="AQ114:AQ135" si="135">L114+M114</f>
        <v>0</v>
      </c>
      <c r="AR114" s="14">
        <f t="shared" ref="AR114:AR135" si="136">AF114</f>
        <v>0</v>
      </c>
      <c r="AS114" s="14">
        <f t="shared" ref="AS114:AS135" si="137">AM114+AN114</f>
        <v>0</v>
      </c>
      <c r="AT114" s="14">
        <f>SUM(AQ114,AR114,AS114)</f>
        <v>0</v>
      </c>
      <c r="AU114" s="234"/>
      <c r="AV114" s="234"/>
      <c r="AW114" s="234"/>
      <c r="AX114" s="234"/>
      <c r="AY114" s="234"/>
      <c r="AZ114" s="234"/>
      <c r="BA114" s="234"/>
      <c r="BB114" s="16">
        <f t="shared" ref="BB114:BB135" si="138">SUM(AU114:BA114)-AT114</f>
        <v>0</v>
      </c>
    </row>
    <row r="115" spans="1:54" ht="15.6" outlineLevel="2">
      <c r="A115" s="98"/>
      <c r="B115" s="102"/>
      <c r="C115" s="23"/>
      <c r="D115" s="269"/>
      <c r="E115" s="269"/>
      <c r="F115" s="269"/>
      <c r="G115" s="174"/>
      <c r="H115" s="272"/>
      <c r="I115" s="258"/>
      <c r="J115" s="259"/>
      <c r="K115" s="259"/>
      <c r="L115" s="106" t="str">
        <f>IF(I115&lt;&gt;0,((VLOOKUP(I115,'1. Standard_Cost'!$B$4:$D$11,2)+VLOOKUP(I115,'1. Standard_Cost'!$B$4:$D$11,3))*J115*K115),"0")</f>
        <v>0</v>
      </c>
      <c r="M115" s="106">
        <f>L115*'1. Standard_Cost'!$F$4</f>
        <v>0</v>
      </c>
      <c r="N115" s="260"/>
      <c r="O115" s="260"/>
      <c r="P115" s="260"/>
      <c r="Q115" s="260"/>
      <c r="R115" s="108">
        <f>'1. Standard_Cost'!$B$15*N115*P115</f>
        <v>0</v>
      </c>
      <c r="S115" s="108">
        <f>N115*O115*P115*'1. Standard_Cost'!$C$15</f>
        <v>0</v>
      </c>
      <c r="T115" s="108">
        <f>N115*P115*Q115*'1. Standard_Cost'!$D$15</f>
        <v>0</v>
      </c>
      <c r="U115" s="108">
        <f>N115*O115*'1. Standard_Cost'!$E$15</f>
        <v>0</v>
      </c>
      <c r="V115" s="260"/>
      <c r="W115" s="260"/>
      <c r="X115" s="260"/>
      <c r="Y115" s="108">
        <f>+V115*((X115*'1. Standard_Cost'!$B$19)+(W115*X115*'1. Standard_Cost'!$C$19))</f>
        <v>0</v>
      </c>
      <c r="Z115" s="260"/>
      <c r="AA115" s="260"/>
      <c r="AB115" s="108">
        <f>+Z115*'1. Standard_Cost'!$B$23+AA115*'1. Standard_Cost'!$C$23</f>
        <v>0</v>
      </c>
      <c r="AC115" s="261"/>
      <c r="AD115" s="262"/>
      <c r="AE115" s="108">
        <f>SUM(AD115,AC115,AB115,Y115,U115,T115,S115,R115)*'1. Standard_Cost'!$B$31</f>
        <v>0</v>
      </c>
      <c r="AF115" s="108">
        <f t="shared" si="134"/>
        <v>0</v>
      </c>
      <c r="AG115" s="260"/>
      <c r="AH115" s="260"/>
      <c r="AI115" s="260"/>
      <c r="AJ115" s="263"/>
      <c r="AK115" s="263"/>
      <c r="AL115" s="263"/>
      <c r="AM115" s="108">
        <f>AG115*'1. Standard_Cost'!$B$27+'Incremental_Cost Year 8'!AH115*'1. Standard_Cost'!$C$27+'Incremental_Cost Year 8'!AI115*'1. Standard_Cost'!$D$27+'Incremental_Cost Year 8'!AJ115+'Incremental_Cost Year 8'!AL115+AK115</f>
        <v>0</v>
      </c>
      <c r="AN115" s="108">
        <f>AM115*'1. Standard_Cost'!$C$31</f>
        <v>0</v>
      </c>
      <c r="AO115" s="125" t="s">
        <v>349</v>
      </c>
      <c r="AQ115" s="14">
        <f t="shared" si="135"/>
        <v>0</v>
      </c>
      <c r="AR115" s="14">
        <f t="shared" si="136"/>
        <v>0</v>
      </c>
      <c r="AS115" s="14">
        <f t="shared" si="137"/>
        <v>0</v>
      </c>
      <c r="AT115" s="14">
        <f t="shared" ref="AT115:AT135" si="139">SUM(AQ115,AR115,AS115)</f>
        <v>0</v>
      </c>
      <c r="AU115" s="234"/>
      <c r="AV115" s="234"/>
      <c r="AW115" s="234"/>
      <c r="AX115" s="234"/>
      <c r="AY115" s="234"/>
      <c r="AZ115" s="234"/>
      <c r="BA115" s="234"/>
      <c r="BB115" s="16">
        <f t="shared" si="138"/>
        <v>0</v>
      </c>
    </row>
    <row r="116" spans="1:54" ht="15.6" outlineLevel="2">
      <c r="A116" s="98"/>
      <c r="B116" s="102"/>
      <c r="C116" s="23"/>
      <c r="D116" s="269"/>
      <c r="E116" s="269"/>
      <c r="F116" s="269"/>
      <c r="G116" s="269"/>
      <c r="H116" s="272"/>
      <c r="I116" s="258"/>
      <c r="J116" s="259"/>
      <c r="K116" s="259"/>
      <c r="L116" s="106" t="str">
        <f>IF(I116&lt;&gt;0,((VLOOKUP(I116,'1. Standard_Cost'!$B$4:$D$11,2)+VLOOKUP(I116,'1. Standard_Cost'!$B$4:$D$11,3))*J116*K116),"0")</f>
        <v>0</v>
      </c>
      <c r="M116" s="106">
        <f>L116*'1. Standard_Cost'!$F$4</f>
        <v>0</v>
      </c>
      <c r="N116" s="260"/>
      <c r="O116" s="260"/>
      <c r="P116" s="260"/>
      <c r="Q116" s="260"/>
      <c r="R116" s="108">
        <f>'1. Standard_Cost'!$B$15*N116*P116</f>
        <v>0</v>
      </c>
      <c r="S116" s="108">
        <f>N116*O116*P116*'1. Standard_Cost'!$C$15</f>
        <v>0</v>
      </c>
      <c r="T116" s="108">
        <f>N116*P116*Q116*'1. Standard_Cost'!$D$15</f>
        <v>0</v>
      </c>
      <c r="U116" s="108">
        <f>N116*O116*'1. Standard_Cost'!$E$15</f>
        <v>0</v>
      </c>
      <c r="V116" s="260"/>
      <c r="W116" s="260"/>
      <c r="X116" s="260"/>
      <c r="Y116" s="108">
        <f>+V116*((X116*'1. Standard_Cost'!$B$19)+(W116*X116*'1. Standard_Cost'!$C$19))</f>
        <v>0</v>
      </c>
      <c r="Z116" s="260"/>
      <c r="AA116" s="260"/>
      <c r="AB116" s="108">
        <f>+Z116*'1. Standard_Cost'!$B$23+AA116*'1. Standard_Cost'!$C$23</f>
        <v>0</v>
      </c>
      <c r="AC116" s="261"/>
      <c r="AD116" s="262"/>
      <c r="AE116" s="108">
        <f>SUM(AD116,AC116,AB116,Y116,U116,T116,S116,R116)*'1. Standard_Cost'!$B$31</f>
        <v>0</v>
      </c>
      <c r="AF116" s="108">
        <f t="shared" si="134"/>
        <v>0</v>
      </c>
      <c r="AG116" s="260"/>
      <c r="AH116" s="260"/>
      <c r="AI116" s="260"/>
      <c r="AJ116" s="263"/>
      <c r="AK116" s="263"/>
      <c r="AL116" s="263"/>
      <c r="AM116" s="108">
        <f>AG116*'1. Standard_Cost'!$B$27+'Incremental_Cost Year 8'!AH116*'1. Standard_Cost'!$C$27+'Incremental_Cost Year 8'!AI116*'1. Standard_Cost'!$D$27+'Incremental_Cost Year 8'!AJ116+'Incremental_Cost Year 8'!AL116+AK116</f>
        <v>0</v>
      </c>
      <c r="AN116" s="108">
        <f>AM116*'1. Standard_Cost'!$C$31</f>
        <v>0</v>
      </c>
      <c r="AO116" s="125" t="s">
        <v>351</v>
      </c>
      <c r="AQ116" s="14">
        <f t="shared" si="135"/>
        <v>0</v>
      </c>
      <c r="AR116" s="14">
        <f t="shared" si="136"/>
        <v>0</v>
      </c>
      <c r="AS116" s="14">
        <f t="shared" si="137"/>
        <v>0</v>
      </c>
      <c r="AT116" s="14">
        <f t="shared" si="139"/>
        <v>0</v>
      </c>
      <c r="AU116" s="234">
        <f>AQ116</f>
        <v>0</v>
      </c>
      <c r="AV116" s="234"/>
      <c r="AW116" s="234"/>
      <c r="AX116" s="234">
        <f>AT116-AU116</f>
        <v>0</v>
      </c>
      <c r="AY116" s="234"/>
      <c r="AZ116" s="234"/>
      <c r="BA116" s="234"/>
      <c r="BB116" s="16">
        <f t="shared" si="138"/>
        <v>0</v>
      </c>
    </row>
    <row r="117" spans="1:54" ht="15.6" outlineLevel="2">
      <c r="A117" s="98"/>
      <c r="B117" s="102"/>
      <c r="C117" s="23"/>
      <c r="D117" s="269"/>
      <c r="E117" s="269"/>
      <c r="F117" s="269"/>
      <c r="G117" s="269"/>
      <c r="H117" s="272"/>
      <c r="I117" s="258"/>
      <c r="J117" s="259"/>
      <c r="K117" s="259"/>
      <c r="L117" s="106" t="str">
        <f>IF(I117&lt;&gt;0,((VLOOKUP(I117,'1. Standard_Cost'!$B$4:$D$11,2)+VLOOKUP(I117,'1. Standard_Cost'!$B$4:$D$11,3))*J117*K117),"0")</f>
        <v>0</v>
      </c>
      <c r="M117" s="106">
        <f>L117*'1. Standard_Cost'!$F$4</f>
        <v>0</v>
      </c>
      <c r="N117" s="260"/>
      <c r="O117" s="260"/>
      <c r="P117" s="260"/>
      <c r="Q117" s="260"/>
      <c r="R117" s="108">
        <f>'1. Standard_Cost'!$B$15*N117*P117</f>
        <v>0</v>
      </c>
      <c r="S117" s="108">
        <f>N117*O117*P117*'1. Standard_Cost'!$C$15</f>
        <v>0</v>
      </c>
      <c r="T117" s="108">
        <f>N117*P117*Q117*'1. Standard_Cost'!$D$15</f>
        <v>0</v>
      </c>
      <c r="U117" s="108">
        <f>N117*O117*'1. Standard_Cost'!$E$15</f>
        <v>0</v>
      </c>
      <c r="V117" s="260"/>
      <c r="W117" s="260"/>
      <c r="X117" s="260"/>
      <c r="Y117" s="108">
        <f>+V117*((X117*'1. Standard_Cost'!$B$19)+(W117*X117*'1. Standard_Cost'!$C$19))</f>
        <v>0</v>
      </c>
      <c r="Z117" s="260"/>
      <c r="AA117" s="260"/>
      <c r="AB117" s="108">
        <f>+Z117*'1. Standard_Cost'!$B$23+AA117*'1. Standard_Cost'!$C$23</f>
        <v>0</v>
      </c>
      <c r="AC117" s="261"/>
      <c r="AD117" s="262"/>
      <c r="AE117" s="108">
        <f>SUM(AD117,AC117,AB117,Y117,U117,T117,S117,R117)*'1. Standard_Cost'!$B$31</f>
        <v>0</v>
      </c>
      <c r="AF117" s="108">
        <f t="shared" si="134"/>
        <v>0</v>
      </c>
      <c r="AG117" s="260"/>
      <c r="AH117" s="260"/>
      <c r="AI117" s="260"/>
      <c r="AJ117" s="263"/>
      <c r="AK117" s="263"/>
      <c r="AL117" s="263"/>
      <c r="AM117" s="108">
        <f>AG117*'1. Standard_Cost'!$B$27+'Incremental_Cost Year 8'!AH117*'1. Standard_Cost'!$C$27+'Incremental_Cost Year 8'!AI117*'1. Standard_Cost'!$D$27+'Incremental_Cost Year 8'!AJ117+'Incremental_Cost Year 8'!AL117+AK117</f>
        <v>0</v>
      </c>
      <c r="AN117" s="108">
        <f>AM117*'1. Standard_Cost'!$C$31</f>
        <v>0</v>
      </c>
      <c r="AO117" s="125" t="s">
        <v>349</v>
      </c>
      <c r="AQ117" s="14">
        <f t="shared" si="135"/>
        <v>0</v>
      </c>
      <c r="AR117" s="14">
        <f t="shared" si="136"/>
        <v>0</v>
      </c>
      <c r="AS117" s="14">
        <f t="shared" si="137"/>
        <v>0</v>
      </c>
      <c r="AT117" s="14">
        <f t="shared" si="139"/>
        <v>0</v>
      </c>
      <c r="AU117" s="234"/>
      <c r="AV117" s="234"/>
      <c r="AW117" s="234"/>
      <c r="AX117" s="234"/>
      <c r="AY117" s="234"/>
      <c r="AZ117" s="234"/>
      <c r="BA117" s="234"/>
      <c r="BB117" s="16">
        <f t="shared" si="138"/>
        <v>0</v>
      </c>
    </row>
    <row r="118" spans="1:54" ht="15.6" outlineLevel="2">
      <c r="A118" s="98"/>
      <c r="B118" s="102"/>
      <c r="C118" s="23"/>
      <c r="D118" s="269"/>
      <c r="E118" s="269"/>
      <c r="F118" s="269"/>
      <c r="G118" s="269"/>
      <c r="H118" s="272"/>
      <c r="I118" s="258"/>
      <c r="J118" s="259"/>
      <c r="K118" s="259"/>
      <c r="L118" s="106" t="str">
        <f>IF(I118&lt;&gt;0,((VLOOKUP(I118,'1. Standard_Cost'!$B$4:$D$11,2)+VLOOKUP(I118,'1. Standard_Cost'!$B$4:$D$11,3))*J118*K118),"0")</f>
        <v>0</v>
      </c>
      <c r="M118" s="106">
        <f>L118*'1. Standard_Cost'!$F$4</f>
        <v>0</v>
      </c>
      <c r="N118" s="260"/>
      <c r="O118" s="260"/>
      <c r="P118" s="260"/>
      <c r="Q118" s="260"/>
      <c r="R118" s="108">
        <f>'1. Standard_Cost'!$B$15*N118*P118</f>
        <v>0</v>
      </c>
      <c r="S118" s="108">
        <f>N118*O118*P118*'1. Standard_Cost'!$C$15</f>
        <v>0</v>
      </c>
      <c r="T118" s="108">
        <f>N118*P118*Q118*'1. Standard_Cost'!$D$15</f>
        <v>0</v>
      </c>
      <c r="U118" s="108">
        <f>N118*O118*'1. Standard_Cost'!$E$15</f>
        <v>0</v>
      </c>
      <c r="V118" s="260"/>
      <c r="W118" s="260"/>
      <c r="X118" s="260"/>
      <c r="Y118" s="108">
        <f>+V118*((X118*'1. Standard_Cost'!$B$19)+(W118*X118*'1. Standard_Cost'!$C$19))</f>
        <v>0</v>
      </c>
      <c r="Z118" s="260"/>
      <c r="AA118" s="260"/>
      <c r="AB118" s="108">
        <f>+Z118*'1. Standard_Cost'!$B$23+AA118*'1. Standard_Cost'!$C$23</f>
        <v>0</v>
      </c>
      <c r="AC118" s="261"/>
      <c r="AD118" s="262"/>
      <c r="AE118" s="108">
        <f>SUM(AD118,AC118,AB118,Y118,U118,T118,S118,R118)*'1. Standard_Cost'!$B$31</f>
        <v>0</v>
      </c>
      <c r="AF118" s="108">
        <f t="shared" si="134"/>
        <v>0</v>
      </c>
      <c r="AG118" s="260"/>
      <c r="AH118" s="260"/>
      <c r="AI118" s="260"/>
      <c r="AJ118" s="263"/>
      <c r="AK118" s="263"/>
      <c r="AL118" s="263"/>
      <c r="AM118" s="108">
        <f>AG118*'1. Standard_Cost'!$B$27+'Incremental_Cost Year 8'!AH118*'1. Standard_Cost'!$C$27+'Incremental_Cost Year 8'!AI118*'1. Standard_Cost'!$D$27+'Incremental_Cost Year 8'!AJ118+'Incremental_Cost Year 8'!AL118+AK118</f>
        <v>0</v>
      </c>
      <c r="AN118" s="108">
        <f>AM118*'1. Standard_Cost'!$C$31</f>
        <v>0</v>
      </c>
      <c r="AO118" s="125" t="s">
        <v>352</v>
      </c>
      <c r="AQ118" s="14">
        <f t="shared" si="135"/>
        <v>0</v>
      </c>
      <c r="AR118" s="14">
        <f t="shared" si="136"/>
        <v>0</v>
      </c>
      <c r="AS118" s="14">
        <f t="shared" si="137"/>
        <v>0</v>
      </c>
      <c r="AT118" s="14">
        <f t="shared" si="139"/>
        <v>0</v>
      </c>
      <c r="AU118" s="234"/>
      <c r="AV118" s="234"/>
      <c r="AW118" s="234"/>
      <c r="AX118" s="234"/>
      <c r="AY118" s="234"/>
      <c r="AZ118" s="234"/>
      <c r="BA118" s="234"/>
      <c r="BB118" s="16">
        <f t="shared" si="138"/>
        <v>0</v>
      </c>
    </row>
    <row r="119" spans="1:54" ht="15.6" outlineLevel="2">
      <c r="A119" s="98"/>
      <c r="B119" s="102"/>
      <c r="C119" s="23"/>
      <c r="D119" s="269"/>
      <c r="E119" s="269"/>
      <c r="F119" s="269"/>
      <c r="G119" s="269"/>
      <c r="H119" s="272"/>
      <c r="I119" s="258"/>
      <c r="J119" s="259"/>
      <c r="K119" s="259"/>
      <c r="L119" s="106" t="str">
        <f>IF(I119&lt;&gt;0,((VLOOKUP(I119,'1. Standard_Cost'!$B$4:$D$11,2)+VLOOKUP(I119,'1. Standard_Cost'!$B$4:$D$11,3))*J119*K119),"0")</f>
        <v>0</v>
      </c>
      <c r="M119" s="106">
        <f>L119*'1. Standard_Cost'!$F$4</f>
        <v>0</v>
      </c>
      <c r="N119" s="260"/>
      <c r="O119" s="260"/>
      <c r="P119" s="260"/>
      <c r="Q119" s="260"/>
      <c r="R119" s="108">
        <f>'1. Standard_Cost'!$B$15*N119*P119</f>
        <v>0</v>
      </c>
      <c r="S119" s="108">
        <f>N119*O119*P119*'1. Standard_Cost'!$C$15</f>
        <v>0</v>
      </c>
      <c r="T119" s="108">
        <f>N119*P119*Q119*'1. Standard_Cost'!$D$15</f>
        <v>0</v>
      </c>
      <c r="U119" s="108">
        <f>N119*O119*'1. Standard_Cost'!$E$15</f>
        <v>0</v>
      </c>
      <c r="V119" s="260"/>
      <c r="W119" s="260"/>
      <c r="X119" s="260"/>
      <c r="Y119" s="108">
        <f>+V119*((X119*'1. Standard_Cost'!$B$19)+(W119*X119*'1. Standard_Cost'!$C$19))</f>
        <v>0</v>
      </c>
      <c r="Z119" s="260"/>
      <c r="AA119" s="260"/>
      <c r="AB119" s="108">
        <f>+Z119*'1. Standard_Cost'!$B$23+AA119*'1. Standard_Cost'!$C$23</f>
        <v>0</v>
      </c>
      <c r="AC119" s="261"/>
      <c r="AD119" s="262"/>
      <c r="AE119" s="108">
        <f>SUM(AD119,AC119,AB119,Y119,U119,T119,S119,R119)*'1. Standard_Cost'!$B$31</f>
        <v>0</v>
      </c>
      <c r="AF119" s="108">
        <f t="shared" si="134"/>
        <v>0</v>
      </c>
      <c r="AG119" s="260"/>
      <c r="AH119" s="260"/>
      <c r="AI119" s="260"/>
      <c r="AJ119" s="263"/>
      <c r="AK119" s="263"/>
      <c r="AL119" s="263"/>
      <c r="AM119" s="108">
        <f>AG119*'1. Standard_Cost'!$B$27+'Incremental_Cost Year 8'!AH119*'1. Standard_Cost'!$C$27+'Incremental_Cost Year 8'!AI119*'1. Standard_Cost'!$D$27+'Incremental_Cost Year 8'!AJ119+'Incremental_Cost Year 8'!AL119+AK119</f>
        <v>0</v>
      </c>
      <c r="AN119" s="108">
        <f>AM119*'1. Standard_Cost'!$C$31</f>
        <v>0</v>
      </c>
      <c r="AO119" s="125" t="s">
        <v>353</v>
      </c>
      <c r="AQ119" s="14">
        <f t="shared" si="135"/>
        <v>0</v>
      </c>
      <c r="AR119" s="14">
        <f t="shared" si="136"/>
        <v>0</v>
      </c>
      <c r="AS119" s="14">
        <f t="shared" si="137"/>
        <v>0</v>
      </c>
      <c r="AT119" s="14">
        <f t="shared" si="139"/>
        <v>0</v>
      </c>
      <c r="AU119" s="234"/>
      <c r="AV119" s="234"/>
      <c r="AW119" s="234"/>
      <c r="AX119" s="234"/>
      <c r="AY119" s="234"/>
      <c r="AZ119" s="234"/>
      <c r="BA119" s="234"/>
      <c r="BB119" s="16">
        <f t="shared" si="138"/>
        <v>0</v>
      </c>
    </row>
    <row r="120" spans="1:54" ht="27.6" outlineLevel="2">
      <c r="A120" s="98"/>
      <c r="B120" s="102"/>
      <c r="C120" s="23"/>
      <c r="D120" s="269"/>
      <c r="E120" s="269"/>
      <c r="F120" s="269"/>
      <c r="G120" s="269"/>
      <c r="H120" s="272"/>
      <c r="I120" s="258"/>
      <c r="J120" s="259"/>
      <c r="K120" s="259"/>
      <c r="L120" s="106" t="str">
        <f>IF(I120&lt;&gt;0,((VLOOKUP(I120,'1. Standard_Cost'!$B$4:$D$11,2)+VLOOKUP(I120,'1. Standard_Cost'!$B$4:$D$11,3))*J120*K120),"0")</f>
        <v>0</v>
      </c>
      <c r="M120" s="106">
        <f>L120*'1. Standard_Cost'!$F$4</f>
        <v>0</v>
      </c>
      <c r="N120" s="260"/>
      <c r="O120" s="260"/>
      <c r="P120" s="260"/>
      <c r="Q120" s="260"/>
      <c r="R120" s="108">
        <f>'1. Standard_Cost'!$B$15*N120*P120</f>
        <v>0</v>
      </c>
      <c r="S120" s="108">
        <f>N120*O120*P120*'1. Standard_Cost'!$C$15</f>
        <v>0</v>
      </c>
      <c r="T120" s="108">
        <f>N120*P120*Q120*'1. Standard_Cost'!$D$15</f>
        <v>0</v>
      </c>
      <c r="U120" s="108">
        <f>N120*O120*'1. Standard_Cost'!$E$15</f>
        <v>0</v>
      </c>
      <c r="V120" s="260"/>
      <c r="W120" s="260"/>
      <c r="X120" s="260"/>
      <c r="Y120" s="108">
        <f>+V120*((X120*'1. Standard_Cost'!$B$19)+(W120*X120*'1. Standard_Cost'!$C$19))</f>
        <v>0</v>
      </c>
      <c r="Z120" s="260"/>
      <c r="AA120" s="260"/>
      <c r="AB120" s="108">
        <f>+Z120*'1. Standard_Cost'!$B$23+AA120*'1. Standard_Cost'!$C$23</f>
        <v>0</v>
      </c>
      <c r="AC120" s="261"/>
      <c r="AD120" s="262"/>
      <c r="AE120" s="108">
        <f>SUM(AD120,AC120,AB120,Y120,U120,T120,S120,R120)*'1. Standard_Cost'!$B$31</f>
        <v>0</v>
      </c>
      <c r="AF120" s="108">
        <f t="shared" si="134"/>
        <v>0</v>
      </c>
      <c r="AG120" s="260"/>
      <c r="AH120" s="260"/>
      <c r="AI120" s="260"/>
      <c r="AJ120" s="263"/>
      <c r="AK120" s="263"/>
      <c r="AL120" s="263"/>
      <c r="AM120" s="108">
        <f>AG120*'1. Standard_Cost'!$B$27+'Incremental_Cost Year 8'!AH120*'1. Standard_Cost'!$C$27+'Incremental_Cost Year 8'!AI120*'1. Standard_Cost'!$D$27+'Incremental_Cost Year 8'!AJ120+'Incremental_Cost Year 8'!AL120+AK120</f>
        <v>0</v>
      </c>
      <c r="AN120" s="108">
        <f>AM120*'1. Standard_Cost'!$C$31</f>
        <v>0</v>
      </c>
      <c r="AO120" s="125" t="s">
        <v>354</v>
      </c>
      <c r="AQ120" s="14">
        <f t="shared" si="135"/>
        <v>0</v>
      </c>
      <c r="AR120" s="14">
        <f t="shared" si="136"/>
        <v>0</v>
      </c>
      <c r="AS120" s="14">
        <f t="shared" si="137"/>
        <v>0</v>
      </c>
      <c r="AT120" s="14">
        <f t="shared" si="139"/>
        <v>0</v>
      </c>
      <c r="AU120" s="234"/>
      <c r="AV120" s="234"/>
      <c r="AW120" s="234"/>
      <c r="AX120" s="234"/>
      <c r="AY120" s="234"/>
      <c r="AZ120" s="234"/>
      <c r="BA120" s="234"/>
      <c r="BB120" s="16">
        <f t="shared" si="138"/>
        <v>0</v>
      </c>
    </row>
    <row r="121" spans="1:54" ht="15.6" outlineLevel="2">
      <c r="A121" s="98"/>
      <c r="B121" s="102"/>
      <c r="C121" s="23"/>
      <c r="D121" s="269"/>
      <c r="E121" s="269"/>
      <c r="F121" s="174"/>
      <c r="G121" s="174"/>
      <c r="H121" s="272"/>
      <c r="I121" s="258"/>
      <c r="J121" s="259"/>
      <c r="K121" s="259"/>
      <c r="L121" s="106" t="str">
        <f>IF(I121&lt;&gt;0,((VLOOKUP(I121,'1. Standard_Cost'!$B$4:$D$11,2)+VLOOKUP(I121,'1. Standard_Cost'!$B$4:$D$11,3))*J121*K121),"0")</f>
        <v>0</v>
      </c>
      <c r="M121" s="106">
        <f>L121*'1. Standard_Cost'!$F$4</f>
        <v>0</v>
      </c>
      <c r="N121" s="260"/>
      <c r="O121" s="260"/>
      <c r="P121" s="260"/>
      <c r="Q121" s="260"/>
      <c r="R121" s="108">
        <f>'1. Standard_Cost'!$B$15*N121*P121</f>
        <v>0</v>
      </c>
      <c r="S121" s="108">
        <f>N121*O121*P121*'1. Standard_Cost'!$C$15</f>
        <v>0</v>
      </c>
      <c r="T121" s="108">
        <f>N121*P121*Q121*'1. Standard_Cost'!$D$15</f>
        <v>0</v>
      </c>
      <c r="U121" s="108">
        <f>N121*O121*'1. Standard_Cost'!$E$15</f>
        <v>0</v>
      </c>
      <c r="V121" s="260"/>
      <c r="W121" s="260"/>
      <c r="X121" s="260"/>
      <c r="Y121" s="108">
        <f>+V121*((X121*'1. Standard_Cost'!$B$19)+(W121*X121*'1. Standard_Cost'!$C$19))</f>
        <v>0</v>
      </c>
      <c r="Z121" s="260"/>
      <c r="AA121" s="260"/>
      <c r="AB121" s="108">
        <f>+Z121*'1. Standard_Cost'!$B$23+AA121*'1. Standard_Cost'!$C$23</f>
        <v>0</v>
      </c>
      <c r="AC121" s="261"/>
      <c r="AD121" s="262"/>
      <c r="AE121" s="108">
        <f>SUM(AD121,AC121,AB121,Y121,U121,T121,S121,R121)*'1. Standard_Cost'!$B$31</f>
        <v>0</v>
      </c>
      <c r="AF121" s="108">
        <f t="shared" si="134"/>
        <v>0</v>
      </c>
      <c r="AG121" s="260"/>
      <c r="AH121" s="260"/>
      <c r="AI121" s="260"/>
      <c r="AJ121" s="263"/>
      <c r="AK121" s="263"/>
      <c r="AL121" s="263"/>
      <c r="AM121" s="108">
        <f>AG121*'1. Standard_Cost'!$B$27+'Incremental_Cost Year 8'!AH121*'1. Standard_Cost'!$C$27+'Incremental_Cost Year 8'!AI121*'1. Standard_Cost'!$D$27+'Incremental_Cost Year 8'!AJ121+'Incremental_Cost Year 8'!AL121+AK121</f>
        <v>0</v>
      </c>
      <c r="AN121" s="108">
        <f>AM121*'1. Standard_Cost'!$C$31</f>
        <v>0</v>
      </c>
      <c r="AO121" s="125" t="s">
        <v>335</v>
      </c>
      <c r="AQ121" s="14">
        <f t="shared" si="135"/>
        <v>0</v>
      </c>
      <c r="AR121" s="14">
        <f t="shared" si="136"/>
        <v>0</v>
      </c>
      <c r="AS121" s="14">
        <f t="shared" si="137"/>
        <v>0</v>
      </c>
      <c r="AT121" s="14">
        <f t="shared" si="139"/>
        <v>0</v>
      </c>
      <c r="AU121" s="234"/>
      <c r="AV121" s="234"/>
      <c r="AW121" s="234"/>
      <c r="AX121" s="234"/>
      <c r="AY121" s="234"/>
      <c r="AZ121" s="234"/>
      <c r="BA121" s="234"/>
      <c r="BB121" s="16">
        <f t="shared" si="138"/>
        <v>0</v>
      </c>
    </row>
    <row r="122" spans="1:54" ht="41.4" outlineLevel="2">
      <c r="A122" s="98"/>
      <c r="B122" s="102"/>
      <c r="C122" s="23"/>
      <c r="D122" s="269"/>
      <c r="E122" s="269"/>
      <c r="F122" s="269"/>
      <c r="G122" s="269"/>
      <c r="H122" s="272"/>
      <c r="I122" s="258"/>
      <c r="J122" s="259"/>
      <c r="K122" s="259"/>
      <c r="L122" s="106" t="str">
        <f>IF(I122&lt;&gt;0,((VLOOKUP(I122,'1. Standard_Cost'!$B$4:$D$11,2)+VLOOKUP(I122,'1. Standard_Cost'!$B$4:$D$11,3))*J122*K122),"0")</f>
        <v>0</v>
      </c>
      <c r="M122" s="106">
        <f>L122*'1. Standard_Cost'!$F$4</f>
        <v>0</v>
      </c>
      <c r="N122" s="260"/>
      <c r="O122" s="260"/>
      <c r="P122" s="260"/>
      <c r="Q122" s="260"/>
      <c r="R122" s="108">
        <f>'1. Standard_Cost'!$B$15*N122*P122</f>
        <v>0</v>
      </c>
      <c r="S122" s="108">
        <f>N122*O122*P122*'1. Standard_Cost'!$C$15</f>
        <v>0</v>
      </c>
      <c r="T122" s="108">
        <f>N122*P122*Q122*'1. Standard_Cost'!$D$15</f>
        <v>0</v>
      </c>
      <c r="U122" s="108">
        <f>N122*O122*'1. Standard_Cost'!$E$15</f>
        <v>0</v>
      </c>
      <c r="V122" s="260"/>
      <c r="W122" s="260"/>
      <c r="X122" s="260"/>
      <c r="Y122" s="108">
        <f>+V122*((X122*'1. Standard_Cost'!$B$19)+(W122*X122*'1. Standard_Cost'!$C$19))</f>
        <v>0</v>
      </c>
      <c r="Z122" s="260"/>
      <c r="AA122" s="260"/>
      <c r="AB122" s="108">
        <f>+Z122*'1. Standard_Cost'!$B$23+AA122*'1. Standard_Cost'!$C$23</f>
        <v>0</v>
      </c>
      <c r="AC122" s="261"/>
      <c r="AD122" s="262"/>
      <c r="AE122" s="108">
        <f>SUM(AD122,AC122,AB122,Y122,U122,T122,S122,R122)*'1. Standard_Cost'!$B$31</f>
        <v>0</v>
      </c>
      <c r="AF122" s="108">
        <f t="shared" si="134"/>
        <v>0</v>
      </c>
      <c r="AG122" s="260"/>
      <c r="AH122" s="260"/>
      <c r="AI122" s="260"/>
      <c r="AJ122" s="263"/>
      <c r="AK122" s="263"/>
      <c r="AL122" s="263"/>
      <c r="AM122" s="108">
        <f>AG122*'1. Standard_Cost'!$B$27+'Incremental_Cost Year 8'!AH122*'1. Standard_Cost'!$C$27+'Incremental_Cost Year 8'!AI122*'1. Standard_Cost'!$D$27+'Incremental_Cost Year 8'!AJ122+'Incremental_Cost Year 8'!AL122+AK122</f>
        <v>0</v>
      </c>
      <c r="AN122" s="108">
        <f>AM122*'1. Standard_Cost'!$C$31</f>
        <v>0</v>
      </c>
      <c r="AO122" s="125" t="s">
        <v>355</v>
      </c>
      <c r="AQ122" s="14">
        <f t="shared" si="135"/>
        <v>0</v>
      </c>
      <c r="AR122" s="14">
        <f t="shared" si="136"/>
        <v>0</v>
      </c>
      <c r="AS122" s="14">
        <f t="shared" si="137"/>
        <v>0</v>
      </c>
      <c r="AT122" s="14">
        <f t="shared" si="139"/>
        <v>0</v>
      </c>
      <c r="AU122" s="234"/>
      <c r="AV122" s="234"/>
      <c r="AW122" s="234"/>
      <c r="AX122" s="234"/>
      <c r="AY122" s="234"/>
      <c r="AZ122" s="234"/>
      <c r="BA122" s="234"/>
      <c r="BB122" s="16">
        <f t="shared" si="138"/>
        <v>0</v>
      </c>
    </row>
    <row r="123" spans="1:54" ht="27.6" outlineLevel="2">
      <c r="A123" s="98"/>
      <c r="B123" s="102"/>
      <c r="C123" s="23"/>
      <c r="D123" s="269"/>
      <c r="E123" s="269"/>
      <c r="F123" s="269"/>
      <c r="G123" s="174"/>
      <c r="H123" s="272"/>
      <c r="I123" s="258"/>
      <c r="J123" s="259"/>
      <c r="K123" s="259"/>
      <c r="L123" s="106" t="str">
        <f>IF(I123&lt;&gt;0,((VLOOKUP(I123,'1. Standard_Cost'!$B$4:$D$11,2)+VLOOKUP(I123,'1. Standard_Cost'!$B$4:$D$11,3))*J123*K123),"0")</f>
        <v>0</v>
      </c>
      <c r="M123" s="106">
        <f>L123*'1. Standard_Cost'!$F$4</f>
        <v>0</v>
      </c>
      <c r="N123" s="260"/>
      <c r="O123" s="260"/>
      <c r="P123" s="260"/>
      <c r="Q123" s="260"/>
      <c r="R123" s="108">
        <f>'1. Standard_Cost'!$B$15*N123*P123</f>
        <v>0</v>
      </c>
      <c r="S123" s="108">
        <f>N123*O123*P123*'1. Standard_Cost'!$C$15</f>
        <v>0</v>
      </c>
      <c r="T123" s="108">
        <f>N123*P123*Q123*'1. Standard_Cost'!$D$15</f>
        <v>0</v>
      </c>
      <c r="U123" s="108">
        <f>N123*O123*'1. Standard_Cost'!$E$15</f>
        <v>0</v>
      </c>
      <c r="V123" s="260"/>
      <c r="W123" s="260"/>
      <c r="X123" s="260"/>
      <c r="Y123" s="108">
        <f>+V123*((X123*'1. Standard_Cost'!$B$19)+(W123*X123*'1. Standard_Cost'!$C$19))</f>
        <v>0</v>
      </c>
      <c r="Z123" s="260"/>
      <c r="AA123" s="260"/>
      <c r="AB123" s="108">
        <f>+Z123*'1. Standard_Cost'!$B$23+AA123*'1. Standard_Cost'!$C$23</f>
        <v>0</v>
      </c>
      <c r="AC123" s="261"/>
      <c r="AD123" s="262"/>
      <c r="AE123" s="108">
        <f>SUM(AD123,AC123,AB123,Y123,U123,T123,S123,R123)*'1. Standard_Cost'!$B$31</f>
        <v>0</v>
      </c>
      <c r="AF123" s="108">
        <f t="shared" si="134"/>
        <v>0</v>
      </c>
      <c r="AG123" s="260"/>
      <c r="AH123" s="260"/>
      <c r="AI123" s="260"/>
      <c r="AJ123" s="263"/>
      <c r="AK123" s="263"/>
      <c r="AL123" s="263"/>
      <c r="AM123" s="108">
        <f>AG123*'1. Standard_Cost'!$B$27+'Incremental_Cost Year 2'!AH167*'1. Standard_Cost'!$C$27+'Incremental_Cost Year 2'!AI167*'1. Standard_Cost'!$D$27+'Incremental_Cost Year 2'!AJ167+'Incremental_Cost Year 2'!AL167+AK123</f>
        <v>0</v>
      </c>
      <c r="AN123" s="108">
        <f>AM123*'1. Standard_Cost'!$C$31</f>
        <v>0</v>
      </c>
      <c r="AO123" s="125" t="s">
        <v>356</v>
      </c>
      <c r="AQ123" s="14">
        <f t="shared" si="135"/>
        <v>0</v>
      </c>
      <c r="AR123" s="14">
        <f t="shared" si="136"/>
        <v>0</v>
      </c>
      <c r="AS123" s="14">
        <f t="shared" si="137"/>
        <v>0</v>
      </c>
      <c r="AT123" s="14">
        <f t="shared" si="139"/>
        <v>0</v>
      </c>
      <c r="AU123" s="234"/>
      <c r="AV123" s="234"/>
      <c r="AW123" s="234"/>
      <c r="AX123" s="234"/>
      <c r="AY123" s="234"/>
      <c r="AZ123" s="234"/>
      <c r="BA123" s="234"/>
      <c r="BB123" s="16">
        <f t="shared" si="138"/>
        <v>0</v>
      </c>
    </row>
    <row r="124" spans="1:54" ht="27.6" outlineLevel="2">
      <c r="A124" s="98"/>
      <c r="B124" s="102"/>
      <c r="C124" s="23"/>
      <c r="D124" s="269"/>
      <c r="E124" s="269"/>
      <c r="F124" s="251"/>
      <c r="G124" s="250"/>
      <c r="H124" s="272"/>
      <c r="I124" s="258"/>
      <c r="J124" s="259"/>
      <c r="K124" s="259"/>
      <c r="L124" s="106" t="str">
        <f>IF(I124&lt;&gt;0,((VLOOKUP(I124,'1. Standard_Cost'!$B$4:$D$11,2)+VLOOKUP(I124,'1. Standard_Cost'!$B$4:$D$11,3))*J124*K124),"0")</f>
        <v>0</v>
      </c>
      <c r="M124" s="106">
        <f>L124*'1. Standard_Cost'!$F$4</f>
        <v>0</v>
      </c>
      <c r="N124" s="260"/>
      <c r="O124" s="260"/>
      <c r="P124" s="260"/>
      <c r="Q124" s="260"/>
      <c r="R124" s="108">
        <f>'1. Standard_Cost'!$B$15*N124*P124</f>
        <v>0</v>
      </c>
      <c r="S124" s="108">
        <f>N124*O124*P124*'1. Standard_Cost'!$C$15</f>
        <v>0</v>
      </c>
      <c r="T124" s="108">
        <f>N124*P124*Q124*'1. Standard_Cost'!$D$15</f>
        <v>0</v>
      </c>
      <c r="U124" s="108">
        <f>N124*O124*'1. Standard_Cost'!$E$15</f>
        <v>0</v>
      </c>
      <c r="V124" s="260"/>
      <c r="W124" s="260"/>
      <c r="X124" s="260"/>
      <c r="Y124" s="108">
        <f>+V124*((X124*'1. Standard_Cost'!$B$19)+(W124*X124*'1. Standard_Cost'!$C$19))</f>
        <v>0</v>
      </c>
      <c r="Z124" s="260"/>
      <c r="AA124" s="260"/>
      <c r="AB124" s="108">
        <f>+Z124*'1. Standard_Cost'!$B$23+AA124*'1. Standard_Cost'!$C$23</f>
        <v>0</v>
      </c>
      <c r="AC124" s="261"/>
      <c r="AD124" s="262"/>
      <c r="AE124" s="108">
        <f>SUM(AD124,AC124,AB124,Y124,U124,T124,S124,R124)*'1. Standard_Cost'!$B$31</f>
        <v>0</v>
      </c>
      <c r="AF124" s="108">
        <f t="shared" si="134"/>
        <v>0</v>
      </c>
      <c r="AG124" s="260"/>
      <c r="AH124" s="260"/>
      <c r="AI124" s="260"/>
      <c r="AJ124" s="263"/>
      <c r="AK124" s="263"/>
      <c r="AL124" s="263"/>
      <c r="AM124" s="108">
        <f>AG124*'1. Standard_Cost'!$B$27+'Incremental_Cost Year 2'!AH168*'1. Standard_Cost'!$C$27+'Incremental_Cost Year 2'!AI168*'1. Standard_Cost'!$D$27+'Incremental_Cost Year 2'!AJ168+'Incremental_Cost Year 2'!AL168+AK124</f>
        <v>0</v>
      </c>
      <c r="AN124" s="108">
        <f>AM124*'1. Standard_Cost'!$C$31</f>
        <v>0</v>
      </c>
      <c r="AO124" s="125" t="s">
        <v>357</v>
      </c>
      <c r="AQ124" s="14">
        <f t="shared" si="135"/>
        <v>0</v>
      </c>
      <c r="AR124" s="14">
        <f t="shared" si="136"/>
        <v>0</v>
      </c>
      <c r="AS124" s="14">
        <f t="shared" si="137"/>
        <v>0</v>
      </c>
      <c r="AT124" s="14">
        <f t="shared" si="139"/>
        <v>0</v>
      </c>
      <c r="AU124" s="234"/>
      <c r="AV124" s="234"/>
      <c r="AW124" s="234"/>
      <c r="AX124" s="234"/>
      <c r="AY124" s="234"/>
      <c r="AZ124" s="234"/>
      <c r="BA124" s="234"/>
      <c r="BB124" s="16">
        <f t="shared" si="138"/>
        <v>0</v>
      </c>
    </row>
    <row r="125" spans="1:54" ht="27.6" outlineLevel="2">
      <c r="A125" s="98"/>
      <c r="B125" s="102"/>
      <c r="C125" s="23"/>
      <c r="D125" s="269"/>
      <c r="E125" s="269"/>
      <c r="F125" s="269"/>
      <c r="G125" s="269"/>
      <c r="H125" s="272"/>
      <c r="I125" s="258"/>
      <c r="J125" s="259"/>
      <c r="K125" s="259"/>
      <c r="L125" s="106" t="str">
        <f>IF(I125&lt;&gt;0,((VLOOKUP(I125,'1. Standard_Cost'!$B$4:$D$11,2)+VLOOKUP(I125,'1. Standard_Cost'!$B$4:$D$11,3))*J125*K125),"0")</f>
        <v>0</v>
      </c>
      <c r="M125" s="106">
        <f>L125*'1. Standard_Cost'!$F$4</f>
        <v>0</v>
      </c>
      <c r="N125" s="260"/>
      <c r="O125" s="260"/>
      <c r="P125" s="260"/>
      <c r="Q125" s="260"/>
      <c r="R125" s="108">
        <f>'1. Standard_Cost'!$B$15*N125*P125</f>
        <v>0</v>
      </c>
      <c r="S125" s="108">
        <f>N125*O125*P125*'1. Standard_Cost'!$C$15</f>
        <v>0</v>
      </c>
      <c r="T125" s="108">
        <f>N125*P125*Q125*'1. Standard_Cost'!$D$15</f>
        <v>0</v>
      </c>
      <c r="U125" s="108">
        <f>N125*O125*'1. Standard_Cost'!$E$15</f>
        <v>0</v>
      </c>
      <c r="V125" s="260"/>
      <c r="W125" s="260"/>
      <c r="X125" s="260"/>
      <c r="Y125" s="108">
        <f>+V125*((X125*'1. Standard_Cost'!$B$19)+(W125*X125*'1. Standard_Cost'!$C$19))</f>
        <v>0</v>
      </c>
      <c r="Z125" s="260"/>
      <c r="AA125" s="260"/>
      <c r="AB125" s="108">
        <f>+Z125*'1. Standard_Cost'!$B$23+AA125*'1. Standard_Cost'!$C$23</f>
        <v>0</v>
      </c>
      <c r="AC125" s="261"/>
      <c r="AD125" s="262"/>
      <c r="AE125" s="108">
        <f>SUM(AD125,AC125,AB125,Y125,U125,T125,S125,R125)*'1. Standard_Cost'!$B$31</f>
        <v>0</v>
      </c>
      <c r="AF125" s="108">
        <f t="shared" si="134"/>
        <v>0</v>
      </c>
      <c r="AG125" s="260"/>
      <c r="AH125" s="260"/>
      <c r="AI125" s="260"/>
      <c r="AJ125" s="263"/>
      <c r="AK125" s="263"/>
      <c r="AL125" s="263"/>
      <c r="AM125" s="108">
        <f>AG125*'1. Standard_Cost'!$B$27+'Incremental_Cost Year 8'!AH125*'1. Standard_Cost'!$C$27+'Incremental_Cost Year 8'!AI125*'1. Standard_Cost'!$D$27+'Incremental_Cost Year 8'!AJ125+'Incremental_Cost Year 8'!AL125+AK125</f>
        <v>0</v>
      </c>
      <c r="AN125" s="108">
        <f>AM125*'1. Standard_Cost'!$C$31</f>
        <v>0</v>
      </c>
      <c r="AO125" s="125" t="s">
        <v>358</v>
      </c>
      <c r="AQ125" s="14">
        <f t="shared" si="135"/>
        <v>0</v>
      </c>
      <c r="AR125" s="14">
        <f t="shared" si="136"/>
        <v>0</v>
      </c>
      <c r="AS125" s="14">
        <f t="shared" si="137"/>
        <v>0</v>
      </c>
      <c r="AT125" s="14">
        <f t="shared" si="139"/>
        <v>0</v>
      </c>
      <c r="AU125" s="234"/>
      <c r="AV125" s="234"/>
      <c r="AW125" s="234"/>
      <c r="AX125" s="234"/>
      <c r="AY125" s="234"/>
      <c r="AZ125" s="234"/>
      <c r="BA125" s="234"/>
      <c r="BB125" s="16">
        <f t="shared" si="138"/>
        <v>0</v>
      </c>
    </row>
    <row r="126" spans="1:54" ht="27.6" outlineLevel="2">
      <c r="A126" s="98"/>
      <c r="B126" s="102"/>
      <c r="C126" s="23"/>
      <c r="D126" s="269"/>
      <c r="E126" s="269"/>
      <c r="F126" s="269"/>
      <c r="G126" s="269"/>
      <c r="H126" s="272"/>
      <c r="I126" s="258"/>
      <c r="J126" s="259"/>
      <c r="K126" s="259"/>
      <c r="L126" s="106" t="str">
        <f>IF(I126&lt;&gt;0,((VLOOKUP(I126,'1. Standard_Cost'!$B$4:$D$11,2)+VLOOKUP(I126,'1. Standard_Cost'!$B$4:$D$11,3))*J126*K126),"0")</f>
        <v>0</v>
      </c>
      <c r="M126" s="106">
        <f>L126*'1. Standard_Cost'!$F$4</f>
        <v>0</v>
      </c>
      <c r="N126" s="260"/>
      <c r="O126" s="260"/>
      <c r="P126" s="260"/>
      <c r="Q126" s="260"/>
      <c r="R126" s="108">
        <f>'1. Standard_Cost'!$B$15*N126*P126</f>
        <v>0</v>
      </c>
      <c r="S126" s="108">
        <f>N126*O126*P126*'1. Standard_Cost'!$C$15</f>
        <v>0</v>
      </c>
      <c r="T126" s="108">
        <f>N126*P126*Q126*'1. Standard_Cost'!$D$15</f>
        <v>0</v>
      </c>
      <c r="U126" s="108">
        <f>N126*O126*'1. Standard_Cost'!$E$15</f>
        <v>0</v>
      </c>
      <c r="V126" s="260"/>
      <c r="W126" s="260"/>
      <c r="X126" s="260"/>
      <c r="Y126" s="108">
        <f>+V126*((X126*'1. Standard_Cost'!$B$19)+(W126*X126*'1. Standard_Cost'!$C$19))</f>
        <v>0</v>
      </c>
      <c r="Z126" s="260"/>
      <c r="AA126" s="260"/>
      <c r="AB126" s="108">
        <f>+Z126*'1. Standard_Cost'!$B$23+AA126*'1. Standard_Cost'!$C$23</f>
        <v>0</v>
      </c>
      <c r="AC126" s="261"/>
      <c r="AD126" s="262"/>
      <c r="AE126" s="108">
        <f>SUM(AD126,AC126,AB126,Y126,U126,T126,S126,R126)*'1. Standard_Cost'!$B$31</f>
        <v>0</v>
      </c>
      <c r="AF126" s="108">
        <f t="shared" si="134"/>
        <v>0</v>
      </c>
      <c r="AG126" s="260"/>
      <c r="AH126" s="260"/>
      <c r="AI126" s="260"/>
      <c r="AJ126" s="263"/>
      <c r="AK126" s="263"/>
      <c r="AL126" s="263"/>
      <c r="AM126" s="108">
        <f>AG126*'1. Standard_Cost'!$B$27+'Incremental_Cost Year 8'!AH126*'1. Standard_Cost'!$C$27+'Incremental_Cost Year 8'!AI126*'1. Standard_Cost'!$D$27+'Incremental_Cost Year 8'!AJ126+'Incremental_Cost Year 8'!AL126+AK126</f>
        <v>0</v>
      </c>
      <c r="AN126" s="108">
        <f>AM126*'1. Standard_Cost'!$C$31</f>
        <v>0</v>
      </c>
      <c r="AO126" s="125" t="s">
        <v>359</v>
      </c>
      <c r="AQ126" s="14">
        <f t="shared" si="135"/>
        <v>0</v>
      </c>
      <c r="AR126" s="14">
        <f t="shared" si="136"/>
        <v>0</v>
      </c>
      <c r="AS126" s="14">
        <f t="shared" si="137"/>
        <v>0</v>
      </c>
      <c r="AT126" s="14">
        <f t="shared" si="139"/>
        <v>0</v>
      </c>
      <c r="AU126" s="234">
        <f>AT126</f>
        <v>0</v>
      </c>
      <c r="AV126" s="234"/>
      <c r="AW126" s="234"/>
      <c r="AX126" s="234"/>
      <c r="AY126" s="234"/>
      <c r="AZ126" s="234"/>
      <c r="BA126" s="234"/>
      <c r="BB126" s="16">
        <f t="shared" si="138"/>
        <v>0</v>
      </c>
    </row>
    <row r="127" spans="1:54" ht="15.6" outlineLevel="2">
      <c r="A127" s="98"/>
      <c r="B127" s="102"/>
      <c r="C127" s="23"/>
      <c r="D127" s="269"/>
      <c r="E127" s="269"/>
      <c r="F127" s="174"/>
      <c r="G127" s="269"/>
      <c r="H127" s="272"/>
      <c r="I127" s="258"/>
      <c r="J127" s="259"/>
      <c r="K127" s="259"/>
      <c r="L127" s="106" t="str">
        <f>IF(I127&lt;&gt;0,((VLOOKUP(I127,'1. Standard_Cost'!$B$4:$D$11,2)+VLOOKUP(I127,'1. Standard_Cost'!$B$4:$D$11,3))*J127*K127),"0")</f>
        <v>0</v>
      </c>
      <c r="M127" s="106">
        <f>L127*'1. Standard_Cost'!$F$4</f>
        <v>0</v>
      </c>
      <c r="N127" s="260"/>
      <c r="O127" s="260"/>
      <c r="P127" s="260"/>
      <c r="Q127" s="260"/>
      <c r="R127" s="108">
        <f>'1. Standard_Cost'!$B$15*N127*P127</f>
        <v>0</v>
      </c>
      <c r="S127" s="108">
        <f>N127*O127*P127*'1. Standard_Cost'!$C$15</f>
        <v>0</v>
      </c>
      <c r="T127" s="108">
        <f>N127*P127*Q127*'1. Standard_Cost'!$D$15</f>
        <v>0</v>
      </c>
      <c r="U127" s="108">
        <f>N127*O127*'1. Standard_Cost'!$E$15</f>
        <v>0</v>
      </c>
      <c r="V127" s="260"/>
      <c r="W127" s="260"/>
      <c r="X127" s="260"/>
      <c r="Y127" s="108">
        <f>+V127*((X127*'1. Standard_Cost'!$B$19)+(W127*X127*'1. Standard_Cost'!$C$19))</f>
        <v>0</v>
      </c>
      <c r="Z127" s="260"/>
      <c r="AA127" s="260"/>
      <c r="AB127" s="108">
        <f>+Z127*'1. Standard_Cost'!$B$23+AA127*'1. Standard_Cost'!$C$23</f>
        <v>0</v>
      </c>
      <c r="AC127" s="261"/>
      <c r="AD127" s="262"/>
      <c r="AE127" s="108">
        <f>SUM(AD127,AC127,AB127,Y127,U127,T127,S127,R127)*'1. Standard_Cost'!$B$31</f>
        <v>0</v>
      </c>
      <c r="AF127" s="108">
        <f t="shared" si="134"/>
        <v>0</v>
      </c>
      <c r="AG127" s="260"/>
      <c r="AH127" s="260"/>
      <c r="AI127" s="260"/>
      <c r="AJ127" s="263"/>
      <c r="AK127" s="263"/>
      <c r="AL127" s="263"/>
      <c r="AM127" s="108">
        <f>AG127*'1. Standard_Cost'!$B$27+'Incremental_Cost Year 8'!AH127*'1. Standard_Cost'!$C$27+'Incremental_Cost Year 8'!AI127*'1. Standard_Cost'!$D$27+'Incremental_Cost Year 8'!AJ127+'Incremental_Cost Year 8'!AL127+AK127</f>
        <v>0</v>
      </c>
      <c r="AN127" s="108">
        <f>AM127*'1. Standard_Cost'!$C$31</f>
        <v>0</v>
      </c>
      <c r="AO127" s="125" t="s">
        <v>349</v>
      </c>
      <c r="AQ127" s="14">
        <f t="shared" si="135"/>
        <v>0</v>
      </c>
      <c r="AR127" s="14">
        <f t="shared" si="136"/>
        <v>0</v>
      </c>
      <c r="AS127" s="14">
        <f t="shared" si="137"/>
        <v>0</v>
      </c>
      <c r="AT127" s="14">
        <f t="shared" si="139"/>
        <v>0</v>
      </c>
      <c r="AU127" s="234">
        <f>AT127</f>
        <v>0</v>
      </c>
      <c r="AV127" s="234"/>
      <c r="AW127" s="234"/>
      <c r="AX127" s="234"/>
      <c r="AY127" s="234"/>
      <c r="AZ127" s="234"/>
      <c r="BA127" s="234"/>
      <c r="BB127" s="16">
        <f t="shared" si="138"/>
        <v>0</v>
      </c>
    </row>
    <row r="128" spans="1:54" ht="15.6" outlineLevel="2">
      <c r="A128" s="98"/>
      <c r="B128" s="102"/>
      <c r="C128" s="23"/>
      <c r="D128" s="269"/>
      <c r="E128" s="269"/>
      <c r="F128" s="174"/>
      <c r="G128" s="174"/>
      <c r="H128" s="272"/>
      <c r="I128" s="258"/>
      <c r="J128" s="259"/>
      <c r="K128" s="259"/>
      <c r="L128" s="106" t="str">
        <f>IF(I128&lt;&gt;0,((VLOOKUP(I128,'1. Standard_Cost'!$B$4:$D$11,2)+VLOOKUP(I128,'1. Standard_Cost'!$B$4:$D$11,3))*J128*K128),"0")</f>
        <v>0</v>
      </c>
      <c r="M128" s="106">
        <f>L128*'1. Standard_Cost'!$F$4</f>
        <v>0</v>
      </c>
      <c r="N128" s="260"/>
      <c r="O128" s="260"/>
      <c r="P128" s="260"/>
      <c r="Q128" s="260"/>
      <c r="R128" s="108">
        <f>'1. Standard_Cost'!$B$15*N128*P128</f>
        <v>0</v>
      </c>
      <c r="S128" s="108">
        <f>N128*O128*P128*'1. Standard_Cost'!$C$15</f>
        <v>0</v>
      </c>
      <c r="T128" s="108">
        <f>N128*P128*Q128*'1. Standard_Cost'!$D$15</f>
        <v>0</v>
      </c>
      <c r="U128" s="108">
        <f>N128*O128*'1. Standard_Cost'!$E$15</f>
        <v>0</v>
      </c>
      <c r="V128" s="260"/>
      <c r="W128" s="260"/>
      <c r="X128" s="260"/>
      <c r="Y128" s="108">
        <f>+V128*((X128*'1. Standard_Cost'!$B$19)+(W128*X128*'1. Standard_Cost'!$C$19))</f>
        <v>0</v>
      </c>
      <c r="Z128" s="260"/>
      <c r="AA128" s="260"/>
      <c r="AB128" s="108">
        <f>+Z128*'1. Standard_Cost'!$B$23+AA128*'1. Standard_Cost'!$C$23</f>
        <v>0</v>
      </c>
      <c r="AC128" s="261"/>
      <c r="AD128" s="262"/>
      <c r="AE128" s="108">
        <f>SUM(AD128,AC128,AB128,Y128,U128,T128,S128,R128)*'1. Standard_Cost'!$B$31</f>
        <v>0</v>
      </c>
      <c r="AF128" s="108">
        <f t="shared" si="134"/>
        <v>0</v>
      </c>
      <c r="AG128" s="260"/>
      <c r="AH128" s="260"/>
      <c r="AI128" s="260"/>
      <c r="AJ128" s="263"/>
      <c r="AK128" s="263"/>
      <c r="AL128" s="263"/>
      <c r="AM128" s="108">
        <f>AG128*'1. Standard_Cost'!$B$27+'Incremental_Cost Year 8'!AH128*'1. Standard_Cost'!$C$27+'Incremental_Cost Year 8'!AI128*'1. Standard_Cost'!$D$27+'Incremental_Cost Year 8'!AJ128+'Incremental_Cost Year 8'!AL128+AK128</f>
        <v>0</v>
      </c>
      <c r="AN128" s="108">
        <f>AM128*'1. Standard_Cost'!$C$31</f>
        <v>0</v>
      </c>
      <c r="AO128" s="125" t="s">
        <v>360</v>
      </c>
      <c r="AQ128" s="14">
        <f t="shared" si="135"/>
        <v>0</v>
      </c>
      <c r="AR128" s="14">
        <f t="shared" si="136"/>
        <v>0</v>
      </c>
      <c r="AS128" s="14">
        <f t="shared" si="137"/>
        <v>0</v>
      </c>
      <c r="AT128" s="14">
        <f t="shared" si="139"/>
        <v>0</v>
      </c>
      <c r="AU128" s="234"/>
      <c r="AV128" s="234"/>
      <c r="AW128" s="234"/>
      <c r="AX128" s="234"/>
      <c r="AY128" s="234"/>
      <c r="AZ128" s="234"/>
      <c r="BA128" s="234"/>
      <c r="BB128" s="16">
        <f t="shared" si="138"/>
        <v>0</v>
      </c>
    </row>
    <row r="129" spans="1:54" ht="55.2" outlineLevel="2">
      <c r="A129" s="98"/>
      <c r="B129" s="102"/>
      <c r="C129" s="23"/>
      <c r="D129" s="269"/>
      <c r="E129" s="269"/>
      <c r="F129" s="269"/>
      <c r="G129" s="269"/>
      <c r="H129" s="272"/>
      <c r="I129" s="258"/>
      <c r="J129" s="259"/>
      <c r="K129" s="259"/>
      <c r="L129" s="106" t="str">
        <f>IF(I129&lt;&gt;0,((VLOOKUP(I129,'1. Standard_Cost'!$B$4:$D$11,2)+VLOOKUP(I129,'1. Standard_Cost'!$B$4:$D$11,3))*J129*K129),"0")</f>
        <v>0</v>
      </c>
      <c r="M129" s="106">
        <f>L129*'1. Standard_Cost'!$F$4</f>
        <v>0</v>
      </c>
      <c r="N129" s="260"/>
      <c r="O129" s="260"/>
      <c r="P129" s="260"/>
      <c r="Q129" s="260"/>
      <c r="R129" s="108">
        <f>'1. Standard_Cost'!$B$15*N129*P129</f>
        <v>0</v>
      </c>
      <c r="S129" s="108">
        <f>N129*O129*P129*'1. Standard_Cost'!$C$15</f>
        <v>0</v>
      </c>
      <c r="T129" s="108">
        <f>N129*P129*Q129*'1. Standard_Cost'!$D$15</f>
        <v>0</v>
      </c>
      <c r="U129" s="108">
        <f>N129*O129*'1. Standard_Cost'!$E$15</f>
        <v>0</v>
      </c>
      <c r="V129" s="260"/>
      <c r="W129" s="260"/>
      <c r="X129" s="260"/>
      <c r="Y129" s="108">
        <f>+V129*((X129*'1. Standard_Cost'!$B$19)+(W129*X129*'1. Standard_Cost'!$C$19))</f>
        <v>0</v>
      </c>
      <c r="Z129" s="260"/>
      <c r="AA129" s="260"/>
      <c r="AB129" s="108">
        <f>+Z129*'1. Standard_Cost'!$B$23+AA129*'1. Standard_Cost'!$C$23</f>
        <v>0</v>
      </c>
      <c r="AC129" s="261"/>
      <c r="AD129" s="262"/>
      <c r="AE129" s="108">
        <f>SUM(AD129,AC129,AB129,Y129,U129,T129,S129,R129)*'1. Standard_Cost'!$B$31</f>
        <v>0</v>
      </c>
      <c r="AF129" s="108">
        <f t="shared" si="134"/>
        <v>0</v>
      </c>
      <c r="AG129" s="260"/>
      <c r="AH129" s="260"/>
      <c r="AI129" s="260"/>
      <c r="AJ129" s="263"/>
      <c r="AK129" s="263"/>
      <c r="AL129" s="263"/>
      <c r="AM129" s="108">
        <f>AG129*'1. Standard_Cost'!$B$27+'Incremental_Cost Year 8'!AH129*'1. Standard_Cost'!$C$27+'Incremental_Cost Year 8'!AI129*'1. Standard_Cost'!$D$27+'Incremental_Cost Year 8'!AJ129+'Incremental_Cost Year 8'!AL129+AK129</f>
        <v>0</v>
      </c>
      <c r="AN129" s="108">
        <f>AM129*'1. Standard_Cost'!$C$31</f>
        <v>0</v>
      </c>
      <c r="AO129" s="125" t="s">
        <v>361</v>
      </c>
      <c r="AQ129" s="14">
        <f t="shared" si="135"/>
        <v>0</v>
      </c>
      <c r="AR129" s="14">
        <f t="shared" si="136"/>
        <v>0</v>
      </c>
      <c r="AS129" s="14">
        <f t="shared" si="137"/>
        <v>0</v>
      </c>
      <c r="AT129" s="14">
        <f t="shared" si="139"/>
        <v>0</v>
      </c>
      <c r="AU129" s="234"/>
      <c r="AV129" s="234"/>
      <c r="AW129" s="234"/>
      <c r="AX129" s="234"/>
      <c r="AY129" s="234"/>
      <c r="AZ129" s="234"/>
      <c r="BA129" s="234"/>
      <c r="BB129" s="16">
        <f t="shared" si="138"/>
        <v>0</v>
      </c>
    </row>
    <row r="130" spans="1:54" ht="27.6" outlineLevel="2">
      <c r="A130" s="98"/>
      <c r="B130" s="102"/>
      <c r="C130" s="23"/>
      <c r="D130" s="269"/>
      <c r="E130" s="269"/>
      <c r="F130" s="174"/>
      <c r="G130" s="174"/>
      <c r="H130" s="272"/>
      <c r="I130" s="258"/>
      <c r="J130" s="259"/>
      <c r="K130" s="259"/>
      <c r="L130" s="106" t="str">
        <f>IF(I130&lt;&gt;0,((VLOOKUP(I130,'1. Standard_Cost'!$B$4:$D$11,2)+VLOOKUP(I130,'1. Standard_Cost'!$B$4:$D$11,3))*J130*K130),"0")</f>
        <v>0</v>
      </c>
      <c r="M130" s="106">
        <f>L130*'1. Standard_Cost'!$F$4</f>
        <v>0</v>
      </c>
      <c r="N130" s="260"/>
      <c r="O130" s="260"/>
      <c r="P130" s="260"/>
      <c r="Q130" s="260"/>
      <c r="R130" s="108">
        <f>'1. Standard_Cost'!$B$15*N130*P130</f>
        <v>0</v>
      </c>
      <c r="S130" s="108">
        <f>N130*O130*P130*'1. Standard_Cost'!$C$15</f>
        <v>0</v>
      </c>
      <c r="T130" s="108">
        <f>N130*P130*Q130*'1. Standard_Cost'!$D$15</f>
        <v>0</v>
      </c>
      <c r="U130" s="108">
        <f>N130*O130*'1. Standard_Cost'!$E$15</f>
        <v>0</v>
      </c>
      <c r="V130" s="260"/>
      <c r="W130" s="260"/>
      <c r="X130" s="260"/>
      <c r="Y130" s="108">
        <f>+V130*((X130*'1. Standard_Cost'!$B$19)+(W130*X130*'1. Standard_Cost'!$C$19))</f>
        <v>0</v>
      </c>
      <c r="Z130" s="260"/>
      <c r="AA130" s="260"/>
      <c r="AB130" s="108">
        <f>+Z130*'1. Standard_Cost'!$B$23+AA130*'1. Standard_Cost'!$C$23</f>
        <v>0</v>
      </c>
      <c r="AC130" s="261"/>
      <c r="AD130" s="262"/>
      <c r="AE130" s="108">
        <f>SUM(AD130,AC130,AB130,Y130,U130,T130,S130,R130)*'1. Standard_Cost'!$B$31</f>
        <v>0</v>
      </c>
      <c r="AF130" s="108">
        <f t="shared" si="134"/>
        <v>0</v>
      </c>
      <c r="AG130" s="260"/>
      <c r="AH130" s="260"/>
      <c r="AI130" s="260"/>
      <c r="AJ130" s="263"/>
      <c r="AK130" s="263"/>
      <c r="AL130" s="263"/>
      <c r="AM130" s="108">
        <f>AG130*'1. Standard_Cost'!$B$27+'Incremental_Cost Year 8'!AH130*'1. Standard_Cost'!$C$27+'Incremental_Cost Year 8'!AI130*'1. Standard_Cost'!$D$27+'Incremental_Cost Year 8'!AJ130+'Incremental_Cost Year 8'!AL130+AK130</f>
        <v>0</v>
      </c>
      <c r="AN130" s="108">
        <f>AM130*'1. Standard_Cost'!$C$31</f>
        <v>0</v>
      </c>
      <c r="AO130" s="125" t="s">
        <v>362</v>
      </c>
      <c r="AQ130" s="14">
        <f t="shared" si="135"/>
        <v>0</v>
      </c>
      <c r="AR130" s="14">
        <f t="shared" si="136"/>
        <v>0</v>
      </c>
      <c r="AS130" s="14">
        <f t="shared" si="137"/>
        <v>0</v>
      </c>
      <c r="AT130" s="14">
        <f t="shared" si="139"/>
        <v>0</v>
      </c>
      <c r="AU130" s="234"/>
      <c r="AV130" s="234"/>
      <c r="AW130" s="234"/>
      <c r="AX130" s="234"/>
      <c r="AY130" s="234"/>
      <c r="AZ130" s="234"/>
      <c r="BA130" s="234"/>
      <c r="BB130" s="16">
        <f t="shared" si="138"/>
        <v>0</v>
      </c>
    </row>
    <row r="131" spans="1:54" ht="113.4" customHeight="1" outlineLevel="2">
      <c r="A131" s="98"/>
      <c r="B131" s="102"/>
      <c r="C131" s="23"/>
      <c r="D131" s="269"/>
      <c r="E131" s="269"/>
      <c r="F131" s="269"/>
      <c r="G131" s="269"/>
      <c r="H131" s="160"/>
      <c r="I131" s="258"/>
      <c r="J131" s="259"/>
      <c r="K131" s="259"/>
      <c r="L131" s="106" t="str">
        <f>IF(I131&lt;&gt;0,((VLOOKUP(I131,'[1]1. Standard_Cost'!$B$4:$D$11,2)+VLOOKUP(I131,'[1]1. Standard_Cost'!$B$4:$D$11,3))*J131*K131),"0")</f>
        <v>0</v>
      </c>
      <c r="M131" s="106">
        <f>L131*'[1]1. Standard_Cost'!$F$4</f>
        <v>0</v>
      </c>
      <c r="N131" s="260"/>
      <c r="O131" s="260"/>
      <c r="P131" s="260"/>
      <c r="Q131" s="260"/>
      <c r="R131" s="108">
        <f>'[1]1. Standard_Cost'!$B$15*N131*P131</f>
        <v>0</v>
      </c>
      <c r="S131" s="108">
        <f>N131*O131*P131*'[1]1. Standard_Cost'!$C$15</f>
        <v>0</v>
      </c>
      <c r="T131" s="108">
        <f>N131*P131*Q131*'[1]1. Standard_Cost'!$D$15</f>
        <v>0</v>
      </c>
      <c r="U131" s="108">
        <f>N131*O131*'[1]1. Standard_Cost'!$E$15</f>
        <v>0</v>
      </c>
      <c r="V131" s="260"/>
      <c r="W131" s="260"/>
      <c r="X131" s="260"/>
      <c r="Y131" s="108">
        <f>+V131*((X131*'[1]1. Standard_Cost'!$B$19)+(W131*X131*'[1]1. Standard_Cost'!$C$19))</f>
        <v>0</v>
      </c>
      <c r="Z131" s="260"/>
      <c r="AA131" s="260"/>
      <c r="AB131" s="108">
        <f>+Z131*'[1]1. Standard_Cost'!$B$23+AA131*'[1]1. Standard_Cost'!$C$23</f>
        <v>0</v>
      </c>
      <c r="AC131" s="261"/>
      <c r="AD131" s="262"/>
      <c r="AE131" s="108">
        <f>SUM(AD131,AC131,AB131,Y131,U131,T131,S131,R131)*'[1]1. Standard_Cost'!$B$31</f>
        <v>0</v>
      </c>
      <c r="AF131" s="108">
        <f t="shared" si="134"/>
        <v>0</v>
      </c>
      <c r="AG131" s="260"/>
      <c r="AH131" s="260"/>
      <c r="AI131" s="260"/>
      <c r="AJ131" s="263"/>
      <c r="AK131" s="263"/>
      <c r="AL131" s="263"/>
      <c r="AM131" s="108">
        <f>AG131*'[1]1. Standard_Cost'!$B$27+'[1]Incremental_Cost Year 8'!AH130*'[1]1. Standard_Cost'!$C$27+'[1]Incremental_Cost Year 8'!AI130*'[1]1. Standard_Cost'!$D$27+'[1]Incremental_Cost Year 8'!AJ130+'[1]Incremental_Cost Year 8'!AL130+AK131</f>
        <v>0</v>
      </c>
      <c r="AN131" s="108">
        <f>AM131*'[1]1. Standard_Cost'!$C$31</f>
        <v>0</v>
      </c>
      <c r="AO131" s="125" t="s">
        <v>443</v>
      </c>
      <c r="AQ131" s="14">
        <f t="shared" si="135"/>
        <v>0</v>
      </c>
      <c r="AR131" s="14">
        <f t="shared" si="136"/>
        <v>0</v>
      </c>
      <c r="AS131" s="14">
        <f t="shared" si="137"/>
        <v>0</v>
      </c>
      <c r="AT131" s="14">
        <f t="shared" si="139"/>
        <v>0</v>
      </c>
      <c r="AU131" s="234"/>
      <c r="AV131" s="234"/>
      <c r="AW131" s="234"/>
      <c r="AX131" s="234"/>
      <c r="AY131" s="234"/>
      <c r="AZ131" s="234"/>
      <c r="BA131" s="234"/>
      <c r="BB131" s="16">
        <f t="shared" si="138"/>
        <v>0</v>
      </c>
    </row>
    <row r="132" spans="1:54" ht="15.6" outlineLevel="2">
      <c r="A132" s="98"/>
      <c r="B132" s="102"/>
      <c r="C132" s="23"/>
      <c r="D132" s="269"/>
      <c r="E132" s="269"/>
      <c r="F132" s="174"/>
      <c r="G132" s="174"/>
      <c r="H132" s="272"/>
      <c r="I132" s="258"/>
      <c r="J132" s="259"/>
      <c r="K132" s="259"/>
      <c r="L132" s="106" t="str">
        <f>IF(I132&lt;&gt;0,((VLOOKUP(I132,'1. Standard_Cost'!$B$4:$D$11,2)+VLOOKUP(I132,'1. Standard_Cost'!$B$4:$D$11,3))*J132*K132),"0")</f>
        <v>0</v>
      </c>
      <c r="M132" s="106">
        <f>L132*'1. Standard_Cost'!$F$4</f>
        <v>0</v>
      </c>
      <c r="N132" s="260"/>
      <c r="O132" s="260"/>
      <c r="P132" s="260"/>
      <c r="Q132" s="260"/>
      <c r="R132" s="108">
        <f>'1. Standard_Cost'!$B$15*N132*P132</f>
        <v>0</v>
      </c>
      <c r="S132" s="108">
        <f>N132*O132*P132*'1. Standard_Cost'!$C$15</f>
        <v>0</v>
      </c>
      <c r="T132" s="108">
        <f>N132*P132*Q132*'1. Standard_Cost'!$D$15</f>
        <v>0</v>
      </c>
      <c r="U132" s="108">
        <f>N132*O132*'1. Standard_Cost'!$E$15</f>
        <v>0</v>
      </c>
      <c r="V132" s="260"/>
      <c r="W132" s="260"/>
      <c r="X132" s="260"/>
      <c r="Y132" s="108">
        <f>+V132*((X132*'1. Standard_Cost'!$B$19)+(W132*X132*'1. Standard_Cost'!$C$19))</f>
        <v>0</v>
      </c>
      <c r="Z132" s="260"/>
      <c r="AA132" s="260"/>
      <c r="AB132" s="108">
        <f>+Z132*'1. Standard_Cost'!$B$23+AA132*'1. Standard_Cost'!$C$23</f>
        <v>0</v>
      </c>
      <c r="AC132" s="261"/>
      <c r="AD132" s="262"/>
      <c r="AE132" s="108">
        <f>SUM(AD132,AC132,AB132,Y132,U132,T132,S132,R132)*'1. Standard_Cost'!$B$31</f>
        <v>0</v>
      </c>
      <c r="AF132" s="108">
        <f t="shared" si="134"/>
        <v>0</v>
      </c>
      <c r="AG132" s="260"/>
      <c r="AH132" s="260"/>
      <c r="AI132" s="260"/>
      <c r="AJ132" s="263"/>
      <c r="AK132" s="263"/>
      <c r="AL132" s="263"/>
      <c r="AM132" s="108">
        <f>AG132*'1. Standard_Cost'!$B$27+'Incremental_Cost Year 8'!AH132*'1. Standard_Cost'!$C$27+'Incremental_Cost Year 8'!AI132*'1. Standard_Cost'!$D$27+'Incremental_Cost Year 8'!AJ132+'Incremental_Cost Year 8'!AL132+AK132</f>
        <v>0</v>
      </c>
      <c r="AN132" s="108">
        <f>AM132*'1. Standard_Cost'!$C$31</f>
        <v>0</v>
      </c>
      <c r="AO132" s="125" t="s">
        <v>363</v>
      </c>
      <c r="AQ132" s="14">
        <f t="shared" si="135"/>
        <v>0</v>
      </c>
      <c r="AR132" s="14">
        <f t="shared" si="136"/>
        <v>0</v>
      </c>
      <c r="AS132" s="14">
        <f t="shared" si="137"/>
        <v>0</v>
      </c>
      <c r="AT132" s="14">
        <f t="shared" si="139"/>
        <v>0</v>
      </c>
      <c r="AU132" s="234"/>
      <c r="AV132" s="234"/>
      <c r="AW132" s="234"/>
      <c r="AX132" s="234"/>
      <c r="AY132" s="234"/>
      <c r="AZ132" s="234"/>
      <c r="BA132" s="234"/>
      <c r="BB132" s="16">
        <f t="shared" si="138"/>
        <v>0</v>
      </c>
    </row>
    <row r="133" spans="1:54" ht="15.6" outlineLevel="2">
      <c r="A133" s="98"/>
      <c r="B133" s="102"/>
      <c r="C133" s="23"/>
      <c r="D133" s="269"/>
      <c r="E133" s="269"/>
      <c r="F133" s="174"/>
      <c r="G133" s="174"/>
      <c r="H133" s="272"/>
      <c r="I133" s="258"/>
      <c r="J133" s="259"/>
      <c r="K133" s="259"/>
      <c r="L133" s="106" t="str">
        <f>IF(I133&lt;&gt;0,((VLOOKUP(I133,'1. Standard_Cost'!$B$4:$D$11,2)+VLOOKUP(I133,'1. Standard_Cost'!$B$4:$D$11,3))*J133*K133),"0")</f>
        <v>0</v>
      </c>
      <c r="M133" s="106">
        <f>L133*'1. Standard_Cost'!$F$4</f>
        <v>0</v>
      </c>
      <c r="N133" s="260"/>
      <c r="O133" s="260"/>
      <c r="P133" s="260"/>
      <c r="Q133" s="260"/>
      <c r="R133" s="108">
        <f>'1. Standard_Cost'!$B$15*N133*P133</f>
        <v>0</v>
      </c>
      <c r="S133" s="108">
        <f>N133*O133*P133*'1. Standard_Cost'!$C$15</f>
        <v>0</v>
      </c>
      <c r="T133" s="108">
        <f>N133*P133*Q133*'1. Standard_Cost'!$D$15</f>
        <v>0</v>
      </c>
      <c r="U133" s="108">
        <f>N133*O133*'1. Standard_Cost'!$E$15</f>
        <v>0</v>
      </c>
      <c r="V133" s="260"/>
      <c r="W133" s="260"/>
      <c r="X133" s="260"/>
      <c r="Y133" s="108">
        <f>+V133*((X133*'1. Standard_Cost'!$B$19)+(W133*X133*'1. Standard_Cost'!$C$19))</f>
        <v>0</v>
      </c>
      <c r="Z133" s="260"/>
      <c r="AA133" s="260"/>
      <c r="AB133" s="108">
        <f>+Z133*'1. Standard_Cost'!$B$23+AA133*'1. Standard_Cost'!$C$23</f>
        <v>0</v>
      </c>
      <c r="AC133" s="261"/>
      <c r="AD133" s="262"/>
      <c r="AE133" s="108">
        <f>SUM(AD133,AC133,AB133,Y133,U133,T133,S133,R133)*'1. Standard_Cost'!$B$31</f>
        <v>0</v>
      </c>
      <c r="AF133" s="108">
        <f t="shared" si="134"/>
        <v>0</v>
      </c>
      <c r="AG133" s="260"/>
      <c r="AH133" s="260"/>
      <c r="AI133" s="260"/>
      <c r="AJ133" s="263"/>
      <c r="AK133" s="263"/>
      <c r="AL133" s="263"/>
      <c r="AM133" s="108">
        <f>AG133*'1. Standard_Cost'!$B$27+'Incremental_Cost Year 8'!AH133*'1. Standard_Cost'!$C$27+'Incremental_Cost Year 8'!AI133*'1. Standard_Cost'!$D$27+'Incremental_Cost Year 8'!AJ133+'Incremental_Cost Year 8'!AL133+AK133</f>
        <v>0</v>
      </c>
      <c r="AN133" s="108">
        <f>AM133*'1. Standard_Cost'!$C$31</f>
        <v>0</v>
      </c>
      <c r="AO133" s="125" t="s">
        <v>364</v>
      </c>
      <c r="AQ133" s="14">
        <f t="shared" si="135"/>
        <v>0</v>
      </c>
      <c r="AR133" s="14">
        <f t="shared" si="136"/>
        <v>0</v>
      </c>
      <c r="AS133" s="14">
        <f t="shared" si="137"/>
        <v>0</v>
      </c>
      <c r="AT133" s="14">
        <f t="shared" si="139"/>
        <v>0</v>
      </c>
      <c r="AU133" s="234"/>
      <c r="AV133" s="234"/>
      <c r="AW133" s="234"/>
      <c r="AX133" s="234"/>
      <c r="AY133" s="234"/>
      <c r="AZ133" s="234"/>
      <c r="BA133" s="234"/>
      <c r="BB133" s="16">
        <f t="shared" si="138"/>
        <v>0</v>
      </c>
    </row>
    <row r="134" spans="1:54" ht="15.6" outlineLevel="2">
      <c r="A134" s="98"/>
      <c r="B134" s="102"/>
      <c r="C134" s="23"/>
      <c r="D134" s="269"/>
      <c r="E134" s="269"/>
      <c r="F134" s="174"/>
      <c r="G134" s="174"/>
      <c r="H134" s="272"/>
      <c r="I134" s="258"/>
      <c r="J134" s="259"/>
      <c r="K134" s="259"/>
      <c r="L134" s="106" t="str">
        <f>IF(I134&lt;&gt;0,((VLOOKUP(I134,'1. Standard_Cost'!$B$4:$D$11,2)+VLOOKUP(I134,'1. Standard_Cost'!$B$4:$D$11,3))*J134*K134),"0")</f>
        <v>0</v>
      </c>
      <c r="M134" s="106">
        <f>L134*'1. Standard_Cost'!$F$4</f>
        <v>0</v>
      </c>
      <c r="N134" s="260"/>
      <c r="O134" s="260"/>
      <c r="P134" s="260"/>
      <c r="Q134" s="260"/>
      <c r="R134" s="108">
        <f>'1. Standard_Cost'!$B$15*N134*P134</f>
        <v>0</v>
      </c>
      <c r="S134" s="108">
        <f>N134*O134*P134*'1. Standard_Cost'!$C$15</f>
        <v>0</v>
      </c>
      <c r="T134" s="108">
        <f>N134*P134*Q134*'1. Standard_Cost'!$D$15</f>
        <v>0</v>
      </c>
      <c r="U134" s="108">
        <f>N134*O134*'1. Standard_Cost'!$E$15</f>
        <v>0</v>
      </c>
      <c r="V134" s="260"/>
      <c r="W134" s="260"/>
      <c r="X134" s="260"/>
      <c r="Y134" s="108">
        <f>+V134*((X134*'1. Standard_Cost'!$B$19)+(W134*X134*'1. Standard_Cost'!$C$19))</f>
        <v>0</v>
      </c>
      <c r="Z134" s="260"/>
      <c r="AA134" s="260"/>
      <c r="AB134" s="108">
        <f>+Z134*'1. Standard_Cost'!$B$23+AA134*'1. Standard_Cost'!$C$23</f>
        <v>0</v>
      </c>
      <c r="AC134" s="261"/>
      <c r="AD134" s="262"/>
      <c r="AE134" s="108">
        <f>SUM(AD134,AC134,AB134,Y134,U134,T134,S134,R134)*'1. Standard_Cost'!$B$31</f>
        <v>0</v>
      </c>
      <c r="AF134" s="108">
        <f t="shared" si="134"/>
        <v>0</v>
      </c>
      <c r="AG134" s="260"/>
      <c r="AH134" s="260"/>
      <c r="AI134" s="260"/>
      <c r="AJ134" s="263"/>
      <c r="AK134" s="263"/>
      <c r="AL134" s="263"/>
      <c r="AM134" s="108">
        <f>AG134*'1. Standard_Cost'!$B$27+'Incremental_Cost Year 2'!AH177*'1. Standard_Cost'!$C$27+'Incremental_Cost Year 2'!AI177*'1. Standard_Cost'!$D$27+'Incremental_Cost Year 2'!AJ177+'Incremental_Cost Year 2'!AL177+AK134</f>
        <v>0</v>
      </c>
      <c r="AN134" s="108">
        <f>AM134*'1. Standard_Cost'!$C$31</f>
        <v>0</v>
      </c>
      <c r="AO134" s="125" t="s">
        <v>365</v>
      </c>
      <c r="AQ134" s="14">
        <f t="shared" si="135"/>
        <v>0</v>
      </c>
      <c r="AR134" s="14">
        <f t="shared" si="136"/>
        <v>0</v>
      </c>
      <c r="AS134" s="14">
        <f t="shared" si="137"/>
        <v>0</v>
      </c>
      <c r="AT134" s="14">
        <f t="shared" si="139"/>
        <v>0</v>
      </c>
      <c r="AU134" s="234"/>
      <c r="AV134" s="234"/>
      <c r="AW134" s="234"/>
      <c r="AX134" s="234"/>
      <c r="AY134" s="234"/>
      <c r="AZ134" s="234"/>
      <c r="BA134" s="234"/>
      <c r="BB134" s="16">
        <f t="shared" si="138"/>
        <v>0</v>
      </c>
    </row>
    <row r="135" spans="1:54" ht="15.6" outlineLevel="2">
      <c r="A135" s="98"/>
      <c r="B135" s="102"/>
      <c r="C135" s="23"/>
      <c r="D135" s="269"/>
      <c r="E135" s="269"/>
      <c r="F135" s="251"/>
      <c r="G135" s="250"/>
      <c r="H135" s="176"/>
      <c r="I135" s="258"/>
      <c r="J135" s="259"/>
      <c r="K135" s="259"/>
      <c r="L135" s="106" t="str">
        <f>IF(I135&lt;&gt;0,((VLOOKUP(I135,'1. Standard_Cost'!$B$4:$D$11,2)+VLOOKUP(I135,'1. Standard_Cost'!$B$4:$D$11,3))*J135*K135),"0")</f>
        <v>0</v>
      </c>
      <c r="M135" s="106">
        <f>L135*'1. Standard_Cost'!$F$4</f>
        <v>0</v>
      </c>
      <c r="N135" s="260"/>
      <c r="O135" s="260"/>
      <c r="P135" s="260"/>
      <c r="Q135" s="260"/>
      <c r="R135" s="108">
        <f>'1. Standard_Cost'!$B$15*N135*P135</f>
        <v>0</v>
      </c>
      <c r="S135" s="108">
        <f>N135*O135*P135*'1. Standard_Cost'!$C$15</f>
        <v>0</v>
      </c>
      <c r="T135" s="108">
        <f>N135*P135*Q135*'1. Standard_Cost'!$D$15</f>
        <v>0</v>
      </c>
      <c r="U135" s="108">
        <f>N135*O135*'1. Standard_Cost'!$E$15</f>
        <v>0</v>
      </c>
      <c r="V135" s="260"/>
      <c r="W135" s="260"/>
      <c r="X135" s="260"/>
      <c r="Y135" s="108">
        <f>+V135*((X135*'1. Standard_Cost'!$B$19)+(W135*X135*'1. Standard_Cost'!$C$19))</f>
        <v>0</v>
      </c>
      <c r="Z135" s="260"/>
      <c r="AA135" s="260"/>
      <c r="AB135" s="108">
        <f>+Z135*'1. Standard_Cost'!$B$23+AA135*'1. Standard_Cost'!$C$23</f>
        <v>0</v>
      </c>
      <c r="AC135" s="261"/>
      <c r="AD135" s="262"/>
      <c r="AE135" s="108">
        <f>SUM(AD135,AC135,AB135,Y135,U135,T135,S135,R135)*'1. Standard_Cost'!$B$31</f>
        <v>0</v>
      </c>
      <c r="AF135" s="108">
        <f t="shared" si="134"/>
        <v>0</v>
      </c>
      <c r="AG135" s="260"/>
      <c r="AH135" s="260"/>
      <c r="AI135" s="260"/>
      <c r="AJ135" s="263"/>
      <c r="AK135" s="263"/>
      <c r="AL135" s="263"/>
      <c r="AM135" s="108">
        <f>AG135*'1. Standard_Cost'!$B$27+'Incremental_Cost Year 2'!AH178*'1. Standard_Cost'!$C$27+'Incremental_Cost Year 2'!AI178*'1. Standard_Cost'!$D$27+'Incremental_Cost Year 2'!AJ178+'Incremental_Cost Year 2'!AL178+AK135</f>
        <v>0</v>
      </c>
      <c r="AN135" s="108">
        <f>AM135*'1. Standard_Cost'!$C$31</f>
        <v>0</v>
      </c>
      <c r="AO135" s="125" t="s">
        <v>366</v>
      </c>
      <c r="AQ135" s="14">
        <f t="shared" si="135"/>
        <v>0</v>
      </c>
      <c r="AR135" s="14">
        <f t="shared" si="136"/>
        <v>0</v>
      </c>
      <c r="AS135" s="14">
        <f t="shared" si="137"/>
        <v>0</v>
      </c>
      <c r="AT135" s="14">
        <f t="shared" si="139"/>
        <v>0</v>
      </c>
      <c r="AU135" s="234"/>
      <c r="AV135" s="234"/>
      <c r="AW135" s="234"/>
      <c r="AX135" s="234"/>
      <c r="AY135" s="234"/>
      <c r="AZ135" s="234"/>
      <c r="BA135" s="234"/>
      <c r="BB135" s="16">
        <f t="shared" si="138"/>
        <v>0</v>
      </c>
    </row>
    <row r="136" spans="1:54" ht="27.6" outlineLevel="1">
      <c r="A136" s="98"/>
      <c r="B136" s="102"/>
      <c r="C136" s="23"/>
      <c r="D136" s="56" t="s">
        <v>47</v>
      </c>
      <c r="E136" s="56" t="s">
        <v>228</v>
      </c>
      <c r="F136" s="253">
        <v>2021</v>
      </c>
      <c r="G136" s="254">
        <v>2026</v>
      </c>
      <c r="H136" s="277" t="s">
        <v>227</v>
      </c>
      <c r="I136" s="264"/>
      <c r="J136" s="264"/>
      <c r="K136" s="264"/>
      <c r="L136" s="113">
        <f>SUM(L114:L135)</f>
        <v>0</v>
      </c>
      <c r="M136" s="113">
        <f>SUM(M114:M135)</f>
        <v>0</v>
      </c>
      <c r="N136" s="264"/>
      <c r="O136" s="264"/>
      <c r="P136" s="264"/>
      <c r="Q136" s="264"/>
      <c r="R136" s="113">
        <f>SUM(R114:R135)</f>
        <v>0</v>
      </c>
      <c r="S136" s="113">
        <f>SUM(S114:S135)</f>
        <v>0</v>
      </c>
      <c r="T136" s="113">
        <f>SUM(T114:T135)</f>
        <v>0</v>
      </c>
      <c r="U136" s="113">
        <f>SUM(U114:U135)</f>
        <v>0</v>
      </c>
      <c r="V136" s="264"/>
      <c r="W136" s="264"/>
      <c r="X136" s="264"/>
      <c r="Y136" s="113">
        <f>SUM(Y114:Y135)</f>
        <v>0</v>
      </c>
      <c r="Z136" s="264"/>
      <c r="AA136" s="264"/>
      <c r="AB136" s="113">
        <f>SUM(AB114:AB135)</f>
        <v>0</v>
      </c>
      <c r="AC136" s="265">
        <f>SUM(AC114:AC135)</f>
        <v>0</v>
      </c>
      <c r="AD136" s="265">
        <f>SUM(AD114:AD135)</f>
        <v>0</v>
      </c>
      <c r="AE136" s="113">
        <f>SUM(AE114:AE135)</f>
        <v>0</v>
      </c>
      <c r="AF136" s="113">
        <f>SUM(AF114:AF135)</f>
        <v>0</v>
      </c>
      <c r="AG136" s="264"/>
      <c r="AH136" s="264"/>
      <c r="AI136" s="264"/>
      <c r="AJ136" s="265">
        <f>SUM(AJ114:AJ135)</f>
        <v>0</v>
      </c>
      <c r="AK136" s="265">
        <f>SUM(AK114:AK135)</f>
        <v>0</v>
      </c>
      <c r="AL136" s="265">
        <f>SUM(AL114:AL135)</f>
        <v>0</v>
      </c>
      <c r="AM136" s="113">
        <f>SUM(AM114:AM135)</f>
        <v>0</v>
      </c>
      <c r="AN136" s="113">
        <f>SUM(AN114:AN135)</f>
        <v>0</v>
      </c>
      <c r="AO136" s="131"/>
      <c r="AP136" s="17"/>
      <c r="AQ136" s="113">
        <f t="shared" ref="AQ136:BB136" si="140">SUM(AQ114:AQ135)</f>
        <v>0</v>
      </c>
      <c r="AR136" s="113">
        <f t="shared" si="140"/>
        <v>0</v>
      </c>
      <c r="AS136" s="113">
        <f t="shared" si="140"/>
        <v>0</v>
      </c>
      <c r="AT136" s="113">
        <f t="shared" si="140"/>
        <v>0</v>
      </c>
      <c r="AU136" s="265">
        <f t="shared" si="140"/>
        <v>0</v>
      </c>
      <c r="AV136" s="265">
        <f t="shared" si="140"/>
        <v>0</v>
      </c>
      <c r="AW136" s="265">
        <f t="shared" si="140"/>
        <v>0</v>
      </c>
      <c r="AX136" s="265">
        <f t="shared" si="140"/>
        <v>0</v>
      </c>
      <c r="AY136" s="265">
        <f t="shared" si="140"/>
        <v>0</v>
      </c>
      <c r="AZ136" s="265">
        <f t="shared" si="140"/>
        <v>0</v>
      </c>
      <c r="BA136" s="265">
        <f t="shared" si="140"/>
        <v>0</v>
      </c>
      <c r="BB136" s="113">
        <f t="shared" si="140"/>
        <v>0</v>
      </c>
    </row>
    <row r="137" spans="1:54" ht="15.6" outlineLevel="2">
      <c r="A137" s="98"/>
      <c r="B137" s="102"/>
      <c r="C137" s="23"/>
      <c r="D137" s="269"/>
      <c r="E137" s="269"/>
      <c r="F137" s="174"/>
      <c r="G137" s="269"/>
      <c r="H137" s="272"/>
      <c r="I137" s="258"/>
      <c r="J137" s="259"/>
      <c r="K137" s="259"/>
      <c r="L137" s="106" t="str">
        <f>IF(I137&lt;&gt;0,((VLOOKUP(I137,'1. Standard_Cost'!$B$4:$D$11,2)+VLOOKUP(I137,'1. Standard_Cost'!$B$4:$D$11,3))*J137*K137),"0")</f>
        <v>0</v>
      </c>
      <c r="M137" s="106">
        <f>L137*'1. Standard_Cost'!$F$4</f>
        <v>0</v>
      </c>
      <c r="N137" s="260"/>
      <c r="O137" s="260"/>
      <c r="P137" s="260"/>
      <c r="Q137" s="260"/>
      <c r="R137" s="108">
        <f>'1. Standard_Cost'!$B$15*N137*P137</f>
        <v>0</v>
      </c>
      <c r="S137" s="108">
        <f>N137*O137*P137*'1. Standard_Cost'!$C$15</f>
        <v>0</v>
      </c>
      <c r="T137" s="108">
        <f>N137*P137*Q137*'1. Standard_Cost'!$D$15</f>
        <v>0</v>
      </c>
      <c r="U137" s="108">
        <f>N137*O137*'1. Standard_Cost'!$E$15</f>
        <v>0</v>
      </c>
      <c r="V137" s="260"/>
      <c r="W137" s="260"/>
      <c r="X137" s="260"/>
      <c r="Y137" s="108">
        <f>+V137*((X137*'1. Standard_Cost'!$B$19)+(W137*X137*'1. Standard_Cost'!$C$19))</f>
        <v>0</v>
      </c>
      <c r="Z137" s="260"/>
      <c r="AA137" s="260"/>
      <c r="AB137" s="108">
        <f>+Z137*'1. Standard_Cost'!$B$23+AA137*'1. Standard_Cost'!$C$23</f>
        <v>0</v>
      </c>
      <c r="AC137" s="261"/>
      <c r="AD137" s="262"/>
      <c r="AE137" s="108"/>
      <c r="AF137" s="108">
        <f t="shared" ref="AF137:AF138" si="141">SUM(AE137,AD137,AC137,AB137,Y137,U137,T137,S137,R137)</f>
        <v>0</v>
      </c>
      <c r="AG137" s="260"/>
      <c r="AH137" s="260"/>
      <c r="AI137" s="260"/>
      <c r="AJ137" s="263"/>
      <c r="AK137" s="263"/>
      <c r="AL137" s="263"/>
      <c r="AM137" s="108">
        <f>AG137*'1. Standard_Cost'!$B$27+'Incremental_Cost Year 2'!AH180*'1. Standard_Cost'!$C$27+'Incremental_Cost Year 2'!AI180*'1. Standard_Cost'!$D$27+'Incremental_Cost Year 2'!AJ180+'Incremental_Cost Year 2'!AL180+AK137</f>
        <v>0</v>
      </c>
      <c r="AN137" s="108">
        <f>AM137*'1. Standard_Cost'!$C$31</f>
        <v>0</v>
      </c>
      <c r="AO137" s="125" t="s">
        <v>367</v>
      </c>
      <c r="AQ137" s="14">
        <f t="shared" ref="AQ137:AQ138" si="142">L137+M137</f>
        <v>0</v>
      </c>
      <c r="AR137" s="14">
        <f t="shared" ref="AR137:AR138" si="143">AF137</f>
        <v>0</v>
      </c>
      <c r="AS137" s="14">
        <f t="shared" ref="AS137:AS138" si="144">AM137+AN137</f>
        <v>0</v>
      </c>
      <c r="AT137" s="14">
        <f t="shared" ref="AT137:AT138" si="145">SUM(AQ137,AR137,AS137)</f>
        <v>0</v>
      </c>
      <c r="AU137" s="234"/>
      <c r="AV137" s="234"/>
      <c r="AW137" s="234"/>
      <c r="AX137" s="234"/>
      <c r="AY137" s="234"/>
      <c r="AZ137" s="234"/>
      <c r="BA137" s="234"/>
      <c r="BB137" s="16">
        <f t="shared" ref="BB137:BB138" si="146">SUM(AU137:BA137)-AT137</f>
        <v>0</v>
      </c>
    </row>
    <row r="138" spans="1:54" ht="15.6" outlineLevel="2">
      <c r="A138" s="98"/>
      <c r="B138" s="102"/>
      <c r="C138" s="23"/>
      <c r="D138" s="269"/>
      <c r="E138" s="269"/>
      <c r="F138" s="174"/>
      <c r="G138" s="174"/>
      <c r="H138" s="272"/>
      <c r="I138" s="258"/>
      <c r="J138" s="259"/>
      <c r="K138" s="259"/>
      <c r="L138" s="106" t="str">
        <f>IF(I138&lt;&gt;0,((VLOOKUP(I138,'1. Standard_Cost'!$B$4:$D$11,2)+VLOOKUP(I138,'1. Standard_Cost'!$B$4:$D$11,3))*J138*K138),"0")</f>
        <v>0</v>
      </c>
      <c r="M138" s="106">
        <f>L138*'1. Standard_Cost'!$F$4</f>
        <v>0</v>
      </c>
      <c r="N138" s="260"/>
      <c r="O138" s="260"/>
      <c r="P138" s="260"/>
      <c r="Q138" s="260"/>
      <c r="R138" s="108">
        <f>'1. Standard_Cost'!$B$15*N138*P138</f>
        <v>0</v>
      </c>
      <c r="S138" s="108">
        <f>N138*O138*P138*'1. Standard_Cost'!$C$15</f>
        <v>0</v>
      </c>
      <c r="T138" s="108">
        <f>N138*P138*Q138*'1. Standard_Cost'!$D$15</f>
        <v>0</v>
      </c>
      <c r="U138" s="108">
        <f>N138*O138*'1. Standard_Cost'!$E$15</f>
        <v>0</v>
      </c>
      <c r="V138" s="260"/>
      <c r="W138" s="260"/>
      <c r="X138" s="260"/>
      <c r="Y138" s="108">
        <f>+V138*((X138*'1. Standard_Cost'!$B$19)+(W138*X138*'1. Standard_Cost'!$C$19))</f>
        <v>0</v>
      </c>
      <c r="Z138" s="260"/>
      <c r="AA138" s="260"/>
      <c r="AB138" s="108">
        <f>+Z138*'1. Standard_Cost'!$B$23+AA138*'1. Standard_Cost'!$C$23</f>
        <v>0</v>
      </c>
      <c r="AC138" s="261"/>
      <c r="AD138" s="262"/>
      <c r="AE138" s="108"/>
      <c r="AF138" s="108">
        <f t="shared" si="141"/>
        <v>0</v>
      </c>
      <c r="AG138" s="260"/>
      <c r="AH138" s="260"/>
      <c r="AI138" s="260"/>
      <c r="AJ138" s="263"/>
      <c r="AK138" s="263"/>
      <c r="AL138" s="263"/>
      <c r="AM138" s="108">
        <f>AG138*'1. Standard_Cost'!$B$27+'Incremental_Cost Year 2'!AH181*'1. Standard_Cost'!$C$27+'Incremental_Cost Year 2'!AI181*'1. Standard_Cost'!$D$27+'Incremental_Cost Year 2'!AJ181+'Incremental_Cost Year 2'!AL181+AK138</f>
        <v>0</v>
      </c>
      <c r="AN138" s="108">
        <f>AM138*'1. Standard_Cost'!$C$31</f>
        <v>0</v>
      </c>
      <c r="AO138" s="125" t="s">
        <v>349</v>
      </c>
      <c r="AQ138" s="14">
        <f t="shared" si="142"/>
        <v>0</v>
      </c>
      <c r="AR138" s="14">
        <f t="shared" si="143"/>
        <v>0</v>
      </c>
      <c r="AS138" s="14">
        <f t="shared" si="144"/>
        <v>0</v>
      </c>
      <c r="AT138" s="14">
        <f t="shared" si="145"/>
        <v>0</v>
      </c>
      <c r="AU138" s="234"/>
      <c r="AV138" s="234"/>
      <c r="AW138" s="234"/>
      <c r="AX138" s="234"/>
      <c r="AY138" s="234"/>
      <c r="AZ138" s="234"/>
      <c r="BA138" s="234"/>
      <c r="BB138" s="16">
        <f t="shared" si="146"/>
        <v>0</v>
      </c>
    </row>
    <row r="139" spans="1:54" ht="27.6" outlineLevel="1">
      <c r="A139" s="98"/>
      <c r="B139" s="102"/>
      <c r="C139" s="23"/>
      <c r="D139" s="56" t="s">
        <v>47</v>
      </c>
      <c r="E139" s="56" t="s">
        <v>231</v>
      </c>
      <c r="F139" s="253">
        <v>2022</v>
      </c>
      <c r="G139" s="254">
        <v>2023</v>
      </c>
      <c r="H139" s="277" t="s">
        <v>230</v>
      </c>
      <c r="I139" s="264"/>
      <c r="J139" s="264"/>
      <c r="K139" s="264"/>
      <c r="L139" s="113">
        <f>SUM(L137:L138)</f>
        <v>0</v>
      </c>
      <c r="M139" s="113">
        <f>SUM(M137:M138)</f>
        <v>0</v>
      </c>
      <c r="N139" s="264"/>
      <c r="O139" s="264"/>
      <c r="P139" s="264"/>
      <c r="Q139" s="264"/>
      <c r="R139" s="113">
        <f t="shared" ref="R139:U139" si="147">SUM(R137:R138)</f>
        <v>0</v>
      </c>
      <c r="S139" s="113">
        <f t="shared" si="147"/>
        <v>0</v>
      </c>
      <c r="T139" s="113">
        <f t="shared" si="147"/>
        <v>0</v>
      </c>
      <c r="U139" s="113">
        <f t="shared" si="147"/>
        <v>0</v>
      </c>
      <c r="V139" s="264"/>
      <c r="W139" s="264"/>
      <c r="X139" s="264"/>
      <c r="Y139" s="113">
        <f>SUM(Y137:Y138)</f>
        <v>0</v>
      </c>
      <c r="Z139" s="264"/>
      <c r="AA139" s="264"/>
      <c r="AB139" s="113">
        <f t="shared" ref="AB139:AF139" si="148">SUM(AB137:AB138)</f>
        <v>0</v>
      </c>
      <c r="AC139" s="265">
        <f t="shared" si="148"/>
        <v>0</v>
      </c>
      <c r="AD139" s="265">
        <f t="shared" si="148"/>
        <v>0</v>
      </c>
      <c r="AE139" s="113">
        <f t="shared" si="148"/>
        <v>0</v>
      </c>
      <c r="AF139" s="113">
        <f t="shared" si="148"/>
        <v>0</v>
      </c>
      <c r="AG139" s="264"/>
      <c r="AH139" s="264"/>
      <c r="AI139" s="264"/>
      <c r="AJ139" s="265">
        <f t="shared" ref="AJ139:AL139" si="149">SUM(AJ137:AJ138)</f>
        <v>0</v>
      </c>
      <c r="AK139" s="265">
        <f t="shared" si="149"/>
        <v>0</v>
      </c>
      <c r="AL139" s="265">
        <f t="shared" si="149"/>
        <v>0</v>
      </c>
      <c r="AM139" s="113">
        <f t="shared" ref="AM139:AN139" si="150">SUM(AM137:AM138)</f>
        <v>0</v>
      </c>
      <c r="AN139" s="113">
        <f t="shared" si="150"/>
        <v>0</v>
      </c>
      <c r="AO139" s="131"/>
      <c r="AP139" s="17"/>
      <c r="AQ139" s="113">
        <f t="shared" ref="AQ139:BB139" si="151">SUM(AQ137:AQ138)</f>
        <v>0</v>
      </c>
      <c r="AR139" s="113">
        <f t="shared" si="151"/>
        <v>0</v>
      </c>
      <c r="AS139" s="113">
        <f t="shared" si="151"/>
        <v>0</v>
      </c>
      <c r="AT139" s="113">
        <f t="shared" si="151"/>
        <v>0</v>
      </c>
      <c r="AU139" s="265">
        <f t="shared" si="151"/>
        <v>0</v>
      </c>
      <c r="AV139" s="265">
        <f t="shared" si="151"/>
        <v>0</v>
      </c>
      <c r="AW139" s="265">
        <f t="shared" si="151"/>
        <v>0</v>
      </c>
      <c r="AX139" s="265">
        <f t="shared" si="151"/>
        <v>0</v>
      </c>
      <c r="AY139" s="265">
        <f t="shared" si="151"/>
        <v>0</v>
      </c>
      <c r="AZ139" s="265">
        <f t="shared" si="151"/>
        <v>0</v>
      </c>
      <c r="BA139" s="265">
        <f t="shared" si="151"/>
        <v>0</v>
      </c>
      <c r="BB139" s="113">
        <f t="shared" si="151"/>
        <v>0</v>
      </c>
    </row>
    <row r="140" spans="1:54" ht="15.6" outlineLevel="2">
      <c r="A140" s="98"/>
      <c r="B140" s="102"/>
      <c r="C140" s="23"/>
      <c r="D140" s="269"/>
      <c r="E140" s="269"/>
      <c r="F140" s="269"/>
      <c r="G140" s="269"/>
      <c r="H140" s="272"/>
      <c r="I140" s="258"/>
      <c r="J140" s="259"/>
      <c r="K140" s="259"/>
      <c r="L140" s="106" t="str">
        <f>IF(I140&lt;&gt;0,((VLOOKUP(I140,'1. Standard_Cost'!$B$4:$D$11,2)+VLOOKUP(I140,'1. Standard_Cost'!$B$4:$D$11,3))*J140*K140),"0")</f>
        <v>0</v>
      </c>
      <c r="M140" s="106">
        <f>L140*'1. Standard_Cost'!$F$4</f>
        <v>0</v>
      </c>
      <c r="N140" s="260"/>
      <c r="O140" s="260"/>
      <c r="P140" s="260"/>
      <c r="Q140" s="260"/>
      <c r="R140" s="108">
        <f>'1. Standard_Cost'!$B$15*N140*P140</f>
        <v>0</v>
      </c>
      <c r="S140" s="108">
        <f>N140*O140*P140*'1. Standard_Cost'!$C$15</f>
        <v>0</v>
      </c>
      <c r="T140" s="108">
        <f>N140*P140*Q140*'1. Standard_Cost'!$D$15</f>
        <v>0</v>
      </c>
      <c r="U140" s="108">
        <f>N140*O140*'1. Standard_Cost'!$E$15</f>
        <v>0</v>
      </c>
      <c r="V140" s="260"/>
      <c r="W140" s="260"/>
      <c r="X140" s="260"/>
      <c r="Y140" s="108">
        <f>+V140*((X140*'1. Standard_Cost'!$B$19)+(W140*X140*'1. Standard_Cost'!$C$19))</f>
        <v>0</v>
      </c>
      <c r="Z140" s="260"/>
      <c r="AA140" s="260"/>
      <c r="AB140" s="108">
        <f>+Z140*'1. Standard_Cost'!$B$23+AA140*'1. Standard_Cost'!$C$23</f>
        <v>0</v>
      </c>
      <c r="AC140" s="261"/>
      <c r="AD140" s="262"/>
      <c r="AE140" s="108">
        <f>SUM(AD140,AC140,AB140,Y140,U140,T140,S140,R140)*'1. Standard_Cost'!$B$31</f>
        <v>0</v>
      </c>
      <c r="AF140" s="108">
        <f t="shared" ref="AF140:AF141" si="152">SUM(AE140,AD140,AC140,AB140,Y140,U140,T140,S140,R140)</f>
        <v>0</v>
      </c>
      <c r="AG140" s="260"/>
      <c r="AH140" s="260"/>
      <c r="AI140" s="260"/>
      <c r="AJ140" s="263"/>
      <c r="AK140" s="263"/>
      <c r="AL140" s="263"/>
      <c r="AM140" s="108">
        <f>AG140*'1. Standard_Cost'!$B$27+'Incremental_Cost Year 2'!AH183*'1. Standard_Cost'!$C$27+'Incremental_Cost Year 2'!AI183*'1. Standard_Cost'!$D$27+'Incremental_Cost Year 2'!AJ183+'Incremental_Cost Year 2'!AL183+AK140</f>
        <v>0</v>
      </c>
      <c r="AN140" s="108">
        <f>AM140*'1. Standard_Cost'!$C$31</f>
        <v>0</v>
      </c>
      <c r="AO140" s="125" t="s">
        <v>368</v>
      </c>
      <c r="AQ140" s="14">
        <f t="shared" ref="AQ140:AQ141" si="153">L140+M140</f>
        <v>0</v>
      </c>
      <c r="AR140" s="14">
        <f t="shared" ref="AR140:AR141" si="154">AF140</f>
        <v>0</v>
      </c>
      <c r="AS140" s="14">
        <f t="shared" ref="AS140:AS141" si="155">AM140+AN140</f>
        <v>0</v>
      </c>
      <c r="AT140" s="14">
        <f t="shared" ref="AT140:AT141" si="156">SUM(AQ140,AR140,AS140)</f>
        <v>0</v>
      </c>
      <c r="AU140" s="234"/>
      <c r="AV140" s="234"/>
      <c r="AW140" s="234"/>
      <c r="AX140" s="234"/>
      <c r="AY140" s="234"/>
      <c r="AZ140" s="234"/>
      <c r="BA140" s="234"/>
      <c r="BB140" s="16">
        <f t="shared" ref="BB140:BB141" si="157">SUM(AU140:BA140)-AT140</f>
        <v>0</v>
      </c>
    </row>
    <row r="141" spans="1:54" ht="15.6" outlineLevel="2">
      <c r="A141" s="98"/>
      <c r="B141" s="102"/>
      <c r="C141" s="23"/>
      <c r="D141" s="269"/>
      <c r="E141" s="269"/>
      <c r="F141" s="172"/>
      <c r="G141" s="173"/>
      <c r="H141" s="272"/>
      <c r="I141" s="258"/>
      <c r="J141" s="259"/>
      <c r="K141" s="259"/>
      <c r="L141" s="106" t="str">
        <f>IF(I141&lt;&gt;0,((VLOOKUP(I141,'1. Standard_Cost'!$B$4:$D$11,2)+VLOOKUP(I141,'1. Standard_Cost'!$B$4:$D$11,3))*J141*K141),"0")</f>
        <v>0</v>
      </c>
      <c r="M141" s="106">
        <f>L141*'1. Standard_Cost'!$F$4</f>
        <v>0</v>
      </c>
      <c r="N141" s="260"/>
      <c r="O141" s="260"/>
      <c r="P141" s="260"/>
      <c r="Q141" s="260"/>
      <c r="R141" s="108">
        <f>'1. Standard_Cost'!$B$15*N141*P141</f>
        <v>0</v>
      </c>
      <c r="S141" s="108">
        <f>N141*O141*P141*'1. Standard_Cost'!$C$15</f>
        <v>0</v>
      </c>
      <c r="T141" s="108">
        <f>N141*P141*Q141*'1. Standard_Cost'!$D$15</f>
        <v>0</v>
      </c>
      <c r="U141" s="108">
        <f>N141*O141*'1. Standard_Cost'!$E$15</f>
        <v>0</v>
      </c>
      <c r="V141" s="260"/>
      <c r="W141" s="260"/>
      <c r="X141" s="260"/>
      <c r="Y141" s="108">
        <f>+V141*((X141*'1. Standard_Cost'!$B$19)+(W141*X141*'1. Standard_Cost'!$C$19))</f>
        <v>0</v>
      </c>
      <c r="Z141" s="260"/>
      <c r="AA141" s="260"/>
      <c r="AB141" s="108">
        <f>+Z141*'1. Standard_Cost'!$B$23+AA141*'1. Standard_Cost'!$C$23</f>
        <v>0</v>
      </c>
      <c r="AC141" s="261"/>
      <c r="AD141" s="262"/>
      <c r="AE141" s="108">
        <f>SUM(AD141,AC141,AB141,Y141,U141,T141,S141,R141)*'1. Standard_Cost'!$B$31</f>
        <v>0</v>
      </c>
      <c r="AF141" s="108">
        <f t="shared" si="152"/>
        <v>0</v>
      </c>
      <c r="AG141" s="260"/>
      <c r="AH141" s="260"/>
      <c r="AI141" s="260"/>
      <c r="AJ141" s="263"/>
      <c r="AK141" s="263"/>
      <c r="AL141" s="263"/>
      <c r="AM141" s="108">
        <f>AG141*'1. Standard_Cost'!$B$27+'Incremental_Cost Year 2'!AH184*'1. Standard_Cost'!$C$27+'Incremental_Cost Year 2'!AI184*'1. Standard_Cost'!$D$27+'Incremental_Cost Year 2'!AJ184+'Incremental_Cost Year 2'!AL184+AK141</f>
        <v>0</v>
      </c>
      <c r="AN141" s="108">
        <f>AM141*'1. Standard_Cost'!$C$31</f>
        <v>0</v>
      </c>
      <c r="AO141" s="125" t="s">
        <v>369</v>
      </c>
      <c r="AQ141" s="14">
        <f t="shared" si="153"/>
        <v>0</v>
      </c>
      <c r="AR141" s="14">
        <f t="shared" si="154"/>
        <v>0</v>
      </c>
      <c r="AS141" s="14">
        <f t="shared" si="155"/>
        <v>0</v>
      </c>
      <c r="AT141" s="14">
        <f t="shared" si="156"/>
        <v>0</v>
      </c>
      <c r="AU141" s="234"/>
      <c r="AV141" s="234"/>
      <c r="AW141" s="234"/>
      <c r="AX141" s="234"/>
      <c r="AY141" s="234"/>
      <c r="AZ141" s="234"/>
      <c r="BA141" s="234"/>
      <c r="BB141" s="16">
        <f t="shared" si="157"/>
        <v>0</v>
      </c>
    </row>
    <row r="142" spans="1:54" ht="28.5" customHeight="1" outlineLevel="1">
      <c r="A142" s="98"/>
      <c r="B142" s="102"/>
      <c r="C142" s="23"/>
      <c r="D142" s="56" t="s">
        <v>47</v>
      </c>
      <c r="E142" s="56" t="s">
        <v>232</v>
      </c>
      <c r="F142" s="253">
        <v>2022</v>
      </c>
      <c r="G142" s="254">
        <v>2023</v>
      </c>
      <c r="H142" s="277" t="s">
        <v>230</v>
      </c>
      <c r="I142" s="264"/>
      <c r="J142" s="264"/>
      <c r="K142" s="264"/>
      <c r="L142" s="113">
        <f>SUM(L140:L141)</f>
        <v>0</v>
      </c>
      <c r="M142" s="113">
        <f>SUM(M140:M141)</f>
        <v>0</v>
      </c>
      <c r="N142" s="264"/>
      <c r="O142" s="264"/>
      <c r="P142" s="264"/>
      <c r="Q142" s="264"/>
      <c r="R142" s="113">
        <f t="shared" ref="R142:U142" si="158">SUM(R140:R141)</f>
        <v>0</v>
      </c>
      <c r="S142" s="113">
        <f t="shared" si="158"/>
        <v>0</v>
      </c>
      <c r="T142" s="113">
        <f t="shared" si="158"/>
        <v>0</v>
      </c>
      <c r="U142" s="113">
        <f t="shared" si="158"/>
        <v>0</v>
      </c>
      <c r="V142" s="264"/>
      <c r="W142" s="264"/>
      <c r="X142" s="264"/>
      <c r="Y142" s="113">
        <f>SUM(Y140:Y141)</f>
        <v>0</v>
      </c>
      <c r="Z142" s="264"/>
      <c r="AA142" s="264"/>
      <c r="AB142" s="113">
        <f t="shared" ref="AB142:AF142" si="159">SUM(AB140:AB141)</f>
        <v>0</v>
      </c>
      <c r="AC142" s="265">
        <f t="shared" si="159"/>
        <v>0</v>
      </c>
      <c r="AD142" s="265">
        <f t="shared" si="159"/>
        <v>0</v>
      </c>
      <c r="AE142" s="113">
        <f t="shared" si="159"/>
        <v>0</v>
      </c>
      <c r="AF142" s="113">
        <f t="shared" si="159"/>
        <v>0</v>
      </c>
      <c r="AG142" s="264"/>
      <c r="AH142" s="264"/>
      <c r="AI142" s="264"/>
      <c r="AJ142" s="265">
        <f t="shared" ref="AJ142:AL142" si="160">SUM(AJ140:AJ141)</f>
        <v>0</v>
      </c>
      <c r="AK142" s="265">
        <f t="shared" si="160"/>
        <v>0</v>
      </c>
      <c r="AL142" s="265">
        <f t="shared" si="160"/>
        <v>0</v>
      </c>
      <c r="AM142" s="113">
        <f t="shared" ref="AM142:AN142" si="161">SUM(AM140:AM141)</f>
        <v>0</v>
      </c>
      <c r="AN142" s="113">
        <f t="shared" si="161"/>
        <v>0</v>
      </c>
      <c r="AO142" s="131"/>
      <c r="AP142" s="17"/>
      <c r="AQ142" s="113">
        <f t="shared" ref="AQ142:BB142" si="162">SUM(AQ140:AQ141)</f>
        <v>0</v>
      </c>
      <c r="AR142" s="113">
        <f t="shared" si="162"/>
        <v>0</v>
      </c>
      <c r="AS142" s="113">
        <f t="shared" si="162"/>
        <v>0</v>
      </c>
      <c r="AT142" s="113">
        <f t="shared" si="162"/>
        <v>0</v>
      </c>
      <c r="AU142" s="265">
        <f t="shared" si="162"/>
        <v>0</v>
      </c>
      <c r="AV142" s="265">
        <f t="shared" si="162"/>
        <v>0</v>
      </c>
      <c r="AW142" s="265">
        <f t="shared" si="162"/>
        <v>0</v>
      </c>
      <c r="AX142" s="265">
        <f t="shared" si="162"/>
        <v>0</v>
      </c>
      <c r="AY142" s="265">
        <f t="shared" si="162"/>
        <v>0</v>
      </c>
      <c r="AZ142" s="265">
        <f t="shared" si="162"/>
        <v>0</v>
      </c>
      <c r="BA142" s="265">
        <f t="shared" si="162"/>
        <v>0</v>
      </c>
      <c r="BB142" s="113">
        <f t="shared" si="162"/>
        <v>0</v>
      </c>
    </row>
    <row r="143" spans="1:54" s="24" customFormat="1" ht="13.8" customHeight="1">
      <c r="A143" s="114"/>
      <c r="B143" s="115"/>
      <c r="C143" s="314" t="s">
        <v>233</v>
      </c>
      <c r="D143" s="314"/>
      <c r="E143" s="315"/>
      <c r="F143" s="246"/>
      <c r="G143" s="246"/>
      <c r="H143" s="278" t="s">
        <v>188</v>
      </c>
      <c r="I143" s="266"/>
      <c r="J143" s="266"/>
      <c r="K143" s="266"/>
      <c r="L143" s="117">
        <f>SUM(L168,L178)</f>
        <v>0</v>
      </c>
      <c r="M143" s="117">
        <f>SUM(M168,M178)</f>
        <v>0</v>
      </c>
      <c r="N143" s="266"/>
      <c r="O143" s="266"/>
      <c r="P143" s="266"/>
      <c r="Q143" s="266"/>
      <c r="R143" s="117">
        <f t="shared" ref="R143:U143" si="163">SUM(R168,R178)</f>
        <v>0</v>
      </c>
      <c r="S143" s="117">
        <f t="shared" si="163"/>
        <v>0</v>
      </c>
      <c r="T143" s="117">
        <f t="shared" si="163"/>
        <v>0</v>
      </c>
      <c r="U143" s="117">
        <f t="shared" si="163"/>
        <v>0</v>
      </c>
      <c r="V143" s="266"/>
      <c r="W143" s="266"/>
      <c r="X143" s="266"/>
      <c r="Y143" s="117">
        <f>SUM(Y168,Y178)</f>
        <v>0</v>
      </c>
      <c r="Z143" s="267"/>
      <c r="AA143" s="267"/>
      <c r="AB143" s="117">
        <f t="shared" ref="AB143:AF143" si="164">SUM(AB168,AB178)</f>
        <v>0</v>
      </c>
      <c r="AC143" s="267">
        <f t="shared" si="164"/>
        <v>0</v>
      </c>
      <c r="AD143" s="267">
        <f t="shared" si="164"/>
        <v>0</v>
      </c>
      <c r="AE143" s="117">
        <f t="shared" si="164"/>
        <v>0</v>
      </c>
      <c r="AF143" s="117">
        <f t="shared" si="164"/>
        <v>0</v>
      </c>
      <c r="AG143" s="266"/>
      <c r="AH143" s="266"/>
      <c r="AI143" s="266"/>
      <c r="AJ143" s="267">
        <f t="shared" ref="AJ143:AL143" si="165">SUM(AJ168,AJ178)</f>
        <v>0</v>
      </c>
      <c r="AK143" s="267">
        <f t="shared" si="165"/>
        <v>0</v>
      </c>
      <c r="AL143" s="267">
        <f t="shared" si="165"/>
        <v>0</v>
      </c>
      <c r="AM143" s="117">
        <f t="shared" ref="AM143:AN143" si="166">SUM(AM168,AM178)</f>
        <v>0</v>
      </c>
      <c r="AN143" s="117">
        <f t="shared" si="166"/>
        <v>0</v>
      </c>
      <c r="AO143" s="132"/>
      <c r="AP143" s="25"/>
      <c r="AQ143" s="117">
        <f t="shared" ref="AQ143:BB143" si="167">SUM(AQ168,AQ178)</f>
        <v>0</v>
      </c>
      <c r="AR143" s="117">
        <f t="shared" si="167"/>
        <v>0</v>
      </c>
      <c r="AS143" s="117">
        <f t="shared" si="167"/>
        <v>0</v>
      </c>
      <c r="AT143" s="117">
        <f t="shared" si="167"/>
        <v>0</v>
      </c>
      <c r="AU143" s="267">
        <f t="shared" si="167"/>
        <v>0</v>
      </c>
      <c r="AV143" s="267">
        <f t="shared" si="167"/>
        <v>0</v>
      </c>
      <c r="AW143" s="267">
        <f t="shared" si="167"/>
        <v>0</v>
      </c>
      <c r="AX143" s="267">
        <f t="shared" si="167"/>
        <v>0</v>
      </c>
      <c r="AY143" s="267">
        <f t="shared" si="167"/>
        <v>0</v>
      </c>
      <c r="AZ143" s="267">
        <f t="shared" si="167"/>
        <v>0</v>
      </c>
      <c r="BA143" s="267">
        <f t="shared" si="167"/>
        <v>0</v>
      </c>
      <c r="BB143" s="117">
        <f t="shared" si="167"/>
        <v>0</v>
      </c>
    </row>
    <row r="144" spans="1:54" ht="27.6" outlineLevel="2">
      <c r="A144" s="98"/>
      <c r="B144" s="102"/>
      <c r="C144" s="23"/>
      <c r="D144" s="257"/>
      <c r="E144" s="123"/>
      <c r="F144" s="249"/>
      <c r="G144" s="283"/>
      <c r="H144" s="272"/>
      <c r="I144" s="258"/>
      <c r="J144" s="259"/>
      <c r="K144" s="259"/>
      <c r="L144" s="106" t="str">
        <f>IF(I144&lt;&gt;0,((VLOOKUP(I144,'1. Standard_Cost'!$B$4:$D$11,2)+VLOOKUP(I144,'1. Standard_Cost'!$B$4:$D$11,3))*J144*K144),"0")</f>
        <v>0</v>
      </c>
      <c r="M144" s="106">
        <f>L144*'1. Standard_Cost'!$F$4</f>
        <v>0</v>
      </c>
      <c r="N144" s="260"/>
      <c r="O144" s="260"/>
      <c r="P144" s="260"/>
      <c r="Q144" s="162"/>
      <c r="R144" s="108">
        <f>'1. Standard_Cost'!$B$15*N144*P144</f>
        <v>0</v>
      </c>
      <c r="S144" s="108">
        <f>N144*O144*P144*'1. Standard_Cost'!$C$15</f>
        <v>0</v>
      </c>
      <c r="T144" s="108">
        <f>N144*P144*Q144*'1. Standard_Cost'!$D$15</f>
        <v>0</v>
      </c>
      <c r="U144" s="108">
        <f>N144*O144*'1. Standard_Cost'!$E$15</f>
        <v>0</v>
      </c>
      <c r="V144" s="260"/>
      <c r="W144" s="260"/>
      <c r="X144" s="260"/>
      <c r="Y144" s="108">
        <f>+V144*((X144*'1. Standard_Cost'!$B$19)+(W144*X144*'1. Standard_Cost'!$C$19))</f>
        <v>0</v>
      </c>
      <c r="Z144" s="260"/>
      <c r="AA144" s="260"/>
      <c r="AB144" s="108">
        <f>+Z144*'1. Standard_Cost'!$B$23+AA144*'1. Standard_Cost'!$C$23</f>
        <v>0</v>
      </c>
      <c r="AC144" s="261"/>
      <c r="AD144" s="262"/>
      <c r="AE144" s="108">
        <f>SUM(AD144,AC144,AB144,Y144,U144,T144,S144,R144)*'1. Standard_Cost'!$B$31</f>
        <v>0</v>
      </c>
      <c r="AF144" s="108">
        <f t="shared" ref="AF144:AF167" si="168">SUM(AE144,AD144,AC144,AB144,Y144,U144,T144,S144,R144)</f>
        <v>0</v>
      </c>
      <c r="AG144" s="260"/>
      <c r="AH144" s="260"/>
      <c r="AI144" s="260"/>
      <c r="AJ144" s="263"/>
      <c r="AK144" s="263"/>
      <c r="AL144" s="263"/>
      <c r="AM144" s="108">
        <f>AG144*'1. Standard_Cost'!$B$27+'Incremental_Cost Year 8'!AH144*'1. Standard_Cost'!$C$27+'Incremental_Cost Year 8'!AI144*'1. Standard_Cost'!$D$27+'Incremental_Cost Year 8'!AJ144+'Incremental_Cost Year 8'!AL144+AK144</f>
        <v>0</v>
      </c>
      <c r="AN144" s="108">
        <f>AM144*'1. Standard_Cost'!$C$31</f>
        <v>0</v>
      </c>
      <c r="AO144" s="125" t="s">
        <v>370</v>
      </c>
      <c r="AQ144" s="14">
        <f t="shared" ref="AQ144:AQ167" si="169">L144+M144</f>
        <v>0</v>
      </c>
      <c r="AR144" s="14">
        <f t="shared" ref="AR144:AR167" si="170">AF144</f>
        <v>0</v>
      </c>
      <c r="AS144" s="14">
        <f t="shared" ref="AS144:AS167" si="171">AM144+AN144</f>
        <v>0</v>
      </c>
      <c r="AT144" s="14">
        <f>SUM(AQ144,AR144,AS144)</f>
        <v>0</v>
      </c>
      <c r="AU144" s="234"/>
      <c r="AV144" s="234"/>
      <c r="AW144" s="234"/>
      <c r="AX144" s="234"/>
      <c r="AY144" s="234"/>
      <c r="AZ144" s="234"/>
      <c r="BA144" s="234"/>
      <c r="BB144" s="16">
        <f t="shared" ref="BB144:BB167" si="172">SUM(AU144:BA144)-AT144</f>
        <v>0</v>
      </c>
    </row>
    <row r="145" spans="1:54" ht="21.6" customHeight="1" outlineLevel="2">
      <c r="A145" s="98"/>
      <c r="B145" s="102"/>
      <c r="C145" s="23"/>
      <c r="D145" s="269"/>
      <c r="E145" s="271"/>
      <c r="F145" s="161"/>
      <c r="G145" s="161"/>
      <c r="H145" s="160"/>
      <c r="I145" s="258"/>
      <c r="J145" s="259"/>
      <c r="K145" s="259"/>
      <c r="L145" s="106" t="str">
        <f>IF(I145&lt;&gt;0,((VLOOKUP(I145,'1. Standard_Cost'!$B$4:$D$11,2)+VLOOKUP(I145,'1. Standard_Cost'!$B$4:$D$11,3))*J145*K145),"0")</f>
        <v>0</v>
      </c>
      <c r="M145" s="106">
        <f>L145*'1. Standard_Cost'!$F$4</f>
        <v>0</v>
      </c>
      <c r="N145" s="260"/>
      <c r="O145" s="260"/>
      <c r="P145" s="260"/>
      <c r="Q145" s="162"/>
      <c r="R145" s="108">
        <f>'[1]1. Standard_Cost'!$B$15*N145*P145</f>
        <v>0</v>
      </c>
      <c r="S145" s="108">
        <f>N145*O145*P145*'[1]1. Standard_Cost'!$C$15</f>
        <v>0</v>
      </c>
      <c r="T145" s="108">
        <f>N145*P145*Q145*'[1]1. Standard_Cost'!$D$15</f>
        <v>0</v>
      </c>
      <c r="U145" s="108">
        <f>N145*O145*'[1]1. Standard_Cost'!$E$15</f>
        <v>0</v>
      </c>
      <c r="V145" s="260"/>
      <c r="W145" s="260"/>
      <c r="X145" s="260"/>
      <c r="Y145" s="108">
        <f>+V145*((X145*'[1]1. Standard_Cost'!$B$19)+(W145*X145*'[1]1. Standard_Cost'!$C$19))</f>
        <v>0</v>
      </c>
      <c r="Z145" s="260"/>
      <c r="AA145" s="260"/>
      <c r="AB145" s="108">
        <f>+Z145*'[1]1. Standard_Cost'!$B$23+AA145*'[1]1. Standard_Cost'!$C$23</f>
        <v>0</v>
      </c>
      <c r="AC145" s="261"/>
      <c r="AD145" s="262"/>
      <c r="AE145" s="108">
        <f>SUM(AD145,AC145,AB145,Y145,U145,T145,S145,R145)*'[1]1. Standard_Cost'!$B$31</f>
        <v>0</v>
      </c>
      <c r="AF145" s="108">
        <f t="shared" si="168"/>
        <v>0</v>
      </c>
      <c r="AG145" s="260"/>
      <c r="AH145" s="260"/>
      <c r="AI145" s="260"/>
      <c r="AJ145" s="263"/>
      <c r="AK145" s="263"/>
      <c r="AL145" s="263"/>
      <c r="AM145" s="108">
        <f>AG145*'[1]1. Standard_Cost'!$B$27+'[1]Incremental_Cost Year 8'!AH145*'[1]1. Standard_Cost'!$C$27+'[1]Incremental_Cost Year 8'!AI145*'[1]1. Standard_Cost'!$D$27+'[1]Incremental_Cost Year 8'!AJ145+'[1]Incremental_Cost Year 8'!AL145+AK145</f>
        <v>0</v>
      </c>
      <c r="AN145" s="108">
        <f>AM145*'[1]1. Standard_Cost'!$C$31</f>
        <v>0</v>
      </c>
      <c r="AO145" s="125"/>
      <c r="AQ145" s="14">
        <f t="shared" si="169"/>
        <v>0</v>
      </c>
      <c r="AR145" s="14">
        <f t="shared" si="170"/>
        <v>0</v>
      </c>
      <c r="AS145" s="14">
        <f t="shared" si="171"/>
        <v>0</v>
      </c>
      <c r="AT145" s="14">
        <f>SUM(AQ145,AR145,AS145)</f>
        <v>0</v>
      </c>
      <c r="AU145" s="234"/>
      <c r="AV145" s="234"/>
      <c r="AW145" s="234"/>
      <c r="AX145" s="234"/>
      <c r="AY145" s="234"/>
      <c r="AZ145" s="234"/>
      <c r="BA145" s="234"/>
      <c r="BB145" s="16">
        <f t="shared" si="172"/>
        <v>0</v>
      </c>
    </row>
    <row r="146" spans="1:54" ht="19.95" customHeight="1" outlineLevel="2">
      <c r="A146" s="98"/>
      <c r="B146" s="102"/>
      <c r="C146" s="23"/>
      <c r="D146" s="269"/>
      <c r="E146" s="271"/>
      <c r="F146" s="161"/>
      <c r="G146" s="161"/>
      <c r="H146" s="160"/>
      <c r="I146" s="258"/>
      <c r="J146" s="259"/>
      <c r="K146" s="259"/>
      <c r="L146" s="106" t="str">
        <f>IF(I146&lt;&gt;0,((VLOOKUP(I146,'1. Standard_Cost'!$B$4:$D$11,2)+VLOOKUP(I146,'1. Standard_Cost'!$B$4:$D$11,3))*J146*K146),"0")</f>
        <v>0</v>
      </c>
      <c r="M146" s="106">
        <f>L146*'1. Standard_Cost'!$F$4</f>
        <v>0</v>
      </c>
      <c r="N146" s="260"/>
      <c r="O146" s="260"/>
      <c r="P146" s="260"/>
      <c r="Q146" s="162"/>
      <c r="R146" s="108">
        <f>'[1]1. Standard_Cost'!$B$15*N146*P146</f>
        <v>0</v>
      </c>
      <c r="S146" s="108">
        <f>N146*O146*P146*'[1]1. Standard_Cost'!$C$15</f>
        <v>0</v>
      </c>
      <c r="T146" s="108">
        <f>N146*P146*Q146*'[1]1. Standard_Cost'!$D$15</f>
        <v>0</v>
      </c>
      <c r="U146" s="108">
        <f>N146*O146*'[1]1. Standard_Cost'!$E$15</f>
        <v>0</v>
      </c>
      <c r="V146" s="260"/>
      <c r="W146" s="260"/>
      <c r="X146" s="260"/>
      <c r="Y146" s="108">
        <f>+V146*((X146*'[1]1. Standard_Cost'!$B$19)+(W146*X146*'[1]1. Standard_Cost'!$C$19))</f>
        <v>0</v>
      </c>
      <c r="Z146" s="260"/>
      <c r="AA146" s="260"/>
      <c r="AB146" s="108">
        <f>+Z146*'[1]1. Standard_Cost'!$B$23+AA146*'[1]1. Standard_Cost'!$C$23</f>
        <v>0</v>
      </c>
      <c r="AC146" s="261"/>
      <c r="AD146" s="262"/>
      <c r="AE146" s="108">
        <f>SUM(AD146,AC146,AB146,Y146,U146,T146,S146,R146)*'[1]1. Standard_Cost'!$B$31</f>
        <v>0</v>
      </c>
      <c r="AF146" s="108">
        <f t="shared" si="168"/>
        <v>0</v>
      </c>
      <c r="AG146" s="260"/>
      <c r="AH146" s="260"/>
      <c r="AI146" s="260"/>
      <c r="AJ146" s="263"/>
      <c r="AK146" s="263"/>
      <c r="AL146" s="263"/>
      <c r="AM146" s="108">
        <f>AG146*'[1]1. Standard_Cost'!$B$27+'[1]Incremental_Cost Year 8'!AH146*'[1]1. Standard_Cost'!$C$27+'[1]Incremental_Cost Year 8'!AI146*'[1]1. Standard_Cost'!$D$27+'[1]Incremental_Cost Year 8'!AJ146+'[1]Incremental_Cost Year 8'!AL146+AK146</f>
        <v>0</v>
      </c>
      <c r="AN146" s="108">
        <f>AM146*'[1]1. Standard_Cost'!$C$31</f>
        <v>0</v>
      </c>
      <c r="AO146" s="125"/>
      <c r="AQ146" s="14">
        <f t="shared" si="169"/>
        <v>0</v>
      </c>
      <c r="AR146" s="14">
        <f t="shared" si="170"/>
        <v>0</v>
      </c>
      <c r="AS146" s="14">
        <f t="shared" si="171"/>
        <v>0</v>
      </c>
      <c r="AT146" s="14">
        <f>SUM(AQ146,AR146,AS146)</f>
        <v>0</v>
      </c>
      <c r="AU146" s="234"/>
      <c r="AV146" s="234"/>
      <c r="AW146" s="234"/>
      <c r="AX146" s="234"/>
      <c r="AY146" s="234"/>
      <c r="AZ146" s="234"/>
      <c r="BA146" s="234"/>
      <c r="BB146" s="16">
        <f t="shared" si="172"/>
        <v>0</v>
      </c>
    </row>
    <row r="147" spans="1:54" ht="27.6" outlineLevel="2">
      <c r="A147" s="98"/>
      <c r="B147" s="102"/>
      <c r="C147" s="23"/>
      <c r="D147" s="269"/>
      <c r="E147" s="271"/>
      <c r="F147" s="250"/>
      <c r="G147" s="255"/>
      <c r="H147" s="272"/>
      <c r="I147" s="258"/>
      <c r="J147" s="259"/>
      <c r="K147" s="259"/>
      <c r="L147" s="106" t="str">
        <f>IF(I147&lt;&gt;0,((VLOOKUP(I147,'1. Standard_Cost'!$B$4:$D$11,2)+VLOOKUP(I147,'1. Standard_Cost'!$B$4:$D$11,3))*J147*K147),"0")</f>
        <v>0</v>
      </c>
      <c r="M147" s="106">
        <f>L147*'1. Standard_Cost'!$F$4</f>
        <v>0</v>
      </c>
      <c r="N147" s="260"/>
      <c r="O147" s="260"/>
      <c r="P147" s="260"/>
      <c r="Q147" s="260"/>
      <c r="R147" s="108">
        <f>'1. Standard_Cost'!$B$15*N147*P147</f>
        <v>0</v>
      </c>
      <c r="S147" s="108">
        <f>N147*O147*P147*'1. Standard_Cost'!$C$15</f>
        <v>0</v>
      </c>
      <c r="T147" s="108">
        <f>N147*P147*Q147*'1. Standard_Cost'!$D$15</f>
        <v>0</v>
      </c>
      <c r="U147" s="108">
        <f>N147*O147*'1. Standard_Cost'!$E$15</f>
        <v>0</v>
      </c>
      <c r="V147" s="260"/>
      <c r="W147" s="260"/>
      <c r="X147" s="260"/>
      <c r="Y147" s="108">
        <f>+V147*((X147*'1. Standard_Cost'!$B$19)+(W147*X147*'1. Standard_Cost'!$C$19))</f>
        <v>0</v>
      </c>
      <c r="Z147" s="260"/>
      <c r="AA147" s="260"/>
      <c r="AB147" s="108">
        <f>+Z147*'1. Standard_Cost'!$B$23+AA147*'1. Standard_Cost'!$C$23</f>
        <v>0</v>
      </c>
      <c r="AC147" s="261"/>
      <c r="AD147" s="262"/>
      <c r="AE147" s="108">
        <f>SUM(AD147,AC147,AB147,Y147,U147,T147,S147,R147)*'1. Standard_Cost'!$B$31</f>
        <v>0</v>
      </c>
      <c r="AF147" s="108">
        <f t="shared" si="168"/>
        <v>0</v>
      </c>
      <c r="AG147" s="260"/>
      <c r="AH147" s="260"/>
      <c r="AI147" s="260"/>
      <c r="AJ147" s="263"/>
      <c r="AK147" s="263"/>
      <c r="AL147" s="263"/>
      <c r="AM147" s="108">
        <f>AG147*'1. Standard_Cost'!$B$27+'Incremental_Cost Year 8'!AH147*'1. Standard_Cost'!$C$27+'Incremental_Cost Year 8'!AI147*'1. Standard_Cost'!$D$27+'Incremental_Cost Year 8'!AJ147+'Incremental_Cost Year 8'!AL147+AK147</f>
        <v>0</v>
      </c>
      <c r="AN147" s="108">
        <f>AM147*'1. Standard_Cost'!$C$31</f>
        <v>0</v>
      </c>
      <c r="AO147" s="125" t="s">
        <v>371</v>
      </c>
      <c r="AQ147" s="14">
        <f t="shared" si="169"/>
        <v>0</v>
      </c>
      <c r="AR147" s="14">
        <f t="shared" si="170"/>
        <v>0</v>
      </c>
      <c r="AS147" s="14">
        <f t="shared" si="171"/>
        <v>0</v>
      </c>
      <c r="AT147" s="14">
        <f t="shared" ref="AT147:AT167" si="173">SUM(AQ147,AR147,AS147)</f>
        <v>0</v>
      </c>
      <c r="AU147" s="234"/>
      <c r="AV147" s="234"/>
      <c r="AW147" s="234"/>
      <c r="AX147" s="234"/>
      <c r="AY147" s="234"/>
      <c r="AZ147" s="234"/>
      <c r="BA147" s="234"/>
      <c r="BB147" s="16">
        <f t="shared" si="172"/>
        <v>0</v>
      </c>
    </row>
    <row r="148" spans="1:54" ht="124.2" customHeight="1" outlineLevel="2">
      <c r="A148" s="98"/>
      <c r="B148" s="102"/>
      <c r="C148" s="23"/>
      <c r="D148" s="269"/>
      <c r="E148" s="271"/>
      <c r="F148" s="161"/>
      <c r="G148" s="161"/>
      <c r="H148" s="202"/>
      <c r="I148" s="258"/>
      <c r="J148" s="259"/>
      <c r="K148" s="259"/>
      <c r="L148" s="106" t="str">
        <f>IF(I148&lt;&gt;0,((VLOOKUP(I148,'1. Standard_Cost'!$B$4:$D$11,2)+VLOOKUP(I148,'1. Standard_Cost'!$B$4:$D$11,3))*J148*K148),"0")</f>
        <v>0</v>
      </c>
      <c r="M148" s="106">
        <f>L148*'1. Standard_Cost'!$F$4</f>
        <v>0</v>
      </c>
      <c r="N148" s="260"/>
      <c r="O148" s="260"/>
      <c r="P148" s="260"/>
      <c r="Q148" s="260"/>
      <c r="R148" s="108">
        <f>'[1]1. Standard_Cost'!$B$15*N148*P148</f>
        <v>0</v>
      </c>
      <c r="S148" s="108">
        <f>N148*O148*P148*'[1]1. Standard_Cost'!$C$15</f>
        <v>0</v>
      </c>
      <c r="T148" s="108">
        <f>N148*P148*Q148*'[1]1. Standard_Cost'!$D$15</f>
        <v>0</v>
      </c>
      <c r="U148" s="108">
        <f>N148*O148*'[1]1. Standard_Cost'!$E$15</f>
        <v>0</v>
      </c>
      <c r="V148" s="260"/>
      <c r="W148" s="260"/>
      <c r="X148" s="260"/>
      <c r="Y148" s="108">
        <f>+V148*((X148*'[1]1. Standard_Cost'!$B$19)+(W148*X148*'[1]1. Standard_Cost'!$C$19))</f>
        <v>0</v>
      </c>
      <c r="Z148" s="260"/>
      <c r="AA148" s="260"/>
      <c r="AB148" s="108">
        <f>+Z148*'[1]1. Standard_Cost'!$B$23+AA148*'[1]1. Standard_Cost'!$C$23</f>
        <v>0</v>
      </c>
      <c r="AC148" s="261"/>
      <c r="AD148" s="262"/>
      <c r="AE148" s="108">
        <v>0</v>
      </c>
      <c r="AF148" s="108">
        <f t="shared" si="168"/>
        <v>0</v>
      </c>
      <c r="AG148" s="260"/>
      <c r="AH148" s="260"/>
      <c r="AI148" s="260"/>
      <c r="AJ148" s="263"/>
      <c r="AK148" s="263"/>
      <c r="AL148" s="263"/>
      <c r="AM148" s="108">
        <f>AG148*'[1]1. Standard_Cost'!$B$27+'[1]Incremental_Cost Year 8'!AH148*'[1]1. Standard_Cost'!$C$27+'[1]Incremental_Cost Year 8'!AI148*'[1]1. Standard_Cost'!$D$27+'[1]Incremental_Cost Year 8'!AJ148+'[1]Incremental_Cost Year 8'!AL148+AK148</f>
        <v>0</v>
      </c>
      <c r="AN148" s="108">
        <f>AM148*'[1]1. Standard_Cost'!$C$31</f>
        <v>0</v>
      </c>
      <c r="AO148" s="163" t="s">
        <v>487</v>
      </c>
      <c r="AQ148" s="14">
        <f t="shared" si="169"/>
        <v>0</v>
      </c>
      <c r="AR148" s="14">
        <f t="shared" si="170"/>
        <v>0</v>
      </c>
      <c r="AS148" s="14">
        <f t="shared" si="171"/>
        <v>0</v>
      </c>
      <c r="AT148" s="14">
        <f t="shared" si="173"/>
        <v>0</v>
      </c>
      <c r="AU148" s="234"/>
      <c r="AV148" s="234"/>
      <c r="AW148" s="234"/>
      <c r="AX148" s="234"/>
      <c r="AY148" s="234"/>
      <c r="AZ148" s="234"/>
      <c r="BA148" s="234"/>
      <c r="BB148" s="16">
        <f t="shared" si="172"/>
        <v>0</v>
      </c>
    </row>
    <row r="149" spans="1:54" ht="27.6" outlineLevel="2">
      <c r="A149" s="98"/>
      <c r="B149" s="102"/>
      <c r="C149" s="23"/>
      <c r="D149" s="269"/>
      <c r="E149" s="271"/>
      <c r="F149" s="250"/>
      <c r="G149" s="255"/>
      <c r="H149" s="272"/>
      <c r="I149" s="258"/>
      <c r="J149" s="259"/>
      <c r="K149" s="259"/>
      <c r="L149" s="106" t="str">
        <f>IF(I149&lt;&gt;0,((VLOOKUP(I149,'1. Standard_Cost'!$B$4:$D$11,2)+VLOOKUP(I149,'1. Standard_Cost'!$B$4:$D$11,3))*J149*K149),"0")</f>
        <v>0</v>
      </c>
      <c r="M149" s="106">
        <f>L149*'1. Standard_Cost'!$F$4</f>
        <v>0</v>
      </c>
      <c r="N149" s="260"/>
      <c r="O149" s="260"/>
      <c r="P149" s="260"/>
      <c r="Q149" s="260"/>
      <c r="R149" s="108">
        <f>'1. Standard_Cost'!$B$15*N149*P149</f>
        <v>0</v>
      </c>
      <c r="S149" s="108">
        <f>N149*O149*P149*'1. Standard_Cost'!$C$15</f>
        <v>0</v>
      </c>
      <c r="T149" s="108">
        <f>N149*P149*Q149*'1. Standard_Cost'!$D$15</f>
        <v>0</v>
      </c>
      <c r="U149" s="108">
        <f>N149*O149*'1. Standard_Cost'!$E$15</f>
        <v>0</v>
      </c>
      <c r="V149" s="260"/>
      <c r="W149" s="260"/>
      <c r="X149" s="260"/>
      <c r="Y149" s="108">
        <f>+V149*((X149*'1. Standard_Cost'!$B$19)+(W149*X149*'1. Standard_Cost'!$C$19))</f>
        <v>0</v>
      </c>
      <c r="Z149" s="260"/>
      <c r="AA149" s="260"/>
      <c r="AB149" s="108">
        <f>+Z149*'1. Standard_Cost'!$B$23+AA149*'1. Standard_Cost'!$C$23</f>
        <v>0</v>
      </c>
      <c r="AC149" s="261"/>
      <c r="AD149" s="262"/>
      <c r="AE149" s="108">
        <f>SUM(AD149,AC149,AB149,Y149,U149,T149,S149,R149)*'1. Standard_Cost'!$B$31</f>
        <v>0</v>
      </c>
      <c r="AF149" s="108">
        <f t="shared" si="168"/>
        <v>0</v>
      </c>
      <c r="AG149" s="260"/>
      <c r="AH149" s="260"/>
      <c r="AI149" s="260"/>
      <c r="AJ149" s="263"/>
      <c r="AK149" s="263"/>
      <c r="AL149" s="263"/>
      <c r="AM149" s="108">
        <f>AG149*'1. Standard_Cost'!$B$27+'Incremental_Cost Year 8'!AH149*'1. Standard_Cost'!$C$27+'Incremental_Cost Year 8'!AI149*'1. Standard_Cost'!$D$27+'Incremental_Cost Year 8'!AJ149+'Incremental_Cost Year 8'!AL149+AK149</f>
        <v>0</v>
      </c>
      <c r="AN149" s="108">
        <f>AM149*'1. Standard_Cost'!$C$31</f>
        <v>0</v>
      </c>
      <c r="AO149" s="125" t="s">
        <v>372</v>
      </c>
      <c r="AQ149" s="14">
        <f t="shared" si="169"/>
        <v>0</v>
      </c>
      <c r="AR149" s="14">
        <f t="shared" si="170"/>
        <v>0</v>
      </c>
      <c r="AS149" s="14">
        <f t="shared" si="171"/>
        <v>0</v>
      </c>
      <c r="AT149" s="14">
        <f t="shared" si="173"/>
        <v>0</v>
      </c>
      <c r="AU149" s="234"/>
      <c r="AV149" s="234"/>
      <c r="AW149" s="234"/>
      <c r="AX149" s="234"/>
      <c r="AY149" s="234"/>
      <c r="AZ149" s="234"/>
      <c r="BA149" s="234"/>
      <c r="BB149" s="16">
        <f t="shared" si="172"/>
        <v>0</v>
      </c>
    </row>
    <row r="150" spans="1:54" ht="15.6" outlineLevel="2">
      <c r="A150" s="98"/>
      <c r="B150" s="102"/>
      <c r="C150" s="23"/>
      <c r="D150" s="269"/>
      <c r="E150" s="271"/>
      <c r="F150" s="250"/>
      <c r="G150" s="255"/>
      <c r="H150" s="272"/>
      <c r="I150" s="258"/>
      <c r="J150" s="259"/>
      <c r="K150" s="259"/>
      <c r="L150" s="106" t="str">
        <f>IF(I150&lt;&gt;0,((VLOOKUP(I150,'1. Standard_Cost'!$B$4:$D$11,2)+VLOOKUP(I150,'1. Standard_Cost'!$B$4:$D$11,3))*J150*K150),"0")</f>
        <v>0</v>
      </c>
      <c r="M150" s="106">
        <f>L150*'1. Standard_Cost'!$F$4</f>
        <v>0</v>
      </c>
      <c r="N150" s="260"/>
      <c r="O150" s="260"/>
      <c r="P150" s="260"/>
      <c r="Q150" s="260"/>
      <c r="R150" s="108">
        <f>'1. Standard_Cost'!$B$15*N150*P150</f>
        <v>0</v>
      </c>
      <c r="S150" s="108">
        <f>N150*O150*P150*'1. Standard_Cost'!$C$15</f>
        <v>0</v>
      </c>
      <c r="T150" s="108">
        <f>N150*P150*Q150*'1. Standard_Cost'!$D$15</f>
        <v>0</v>
      </c>
      <c r="U150" s="108">
        <f>N150*O150*'1. Standard_Cost'!$E$15</f>
        <v>0</v>
      </c>
      <c r="V150" s="260"/>
      <c r="W150" s="260"/>
      <c r="X150" s="260"/>
      <c r="Y150" s="108">
        <f>+V150*((X150*'1. Standard_Cost'!$B$19)+(W150*X150*'1. Standard_Cost'!$C$19))</f>
        <v>0</v>
      </c>
      <c r="Z150" s="260"/>
      <c r="AA150" s="260"/>
      <c r="AB150" s="108">
        <f>+Z150*'1. Standard_Cost'!$B$23+AA150*'1. Standard_Cost'!$C$23</f>
        <v>0</v>
      </c>
      <c r="AC150" s="261"/>
      <c r="AD150" s="262"/>
      <c r="AE150" s="108"/>
      <c r="AF150" s="108">
        <f t="shared" si="168"/>
        <v>0</v>
      </c>
      <c r="AG150" s="260"/>
      <c r="AH150" s="260"/>
      <c r="AI150" s="260"/>
      <c r="AJ150" s="263"/>
      <c r="AK150" s="263"/>
      <c r="AL150" s="263"/>
      <c r="AM150" s="108">
        <f>AG150*'1. Standard_Cost'!$B$27+'Incremental_Cost Year 8'!AH150*'1. Standard_Cost'!$C$27+'Incremental_Cost Year 8'!AI150*'1. Standard_Cost'!$D$27+'Incremental_Cost Year 8'!AJ150+'Incremental_Cost Year 8'!AL150+AK150</f>
        <v>0</v>
      </c>
      <c r="AN150" s="108">
        <f>AM150*'1. Standard_Cost'!$C$31</f>
        <v>0</v>
      </c>
      <c r="AO150" s="125" t="s">
        <v>373</v>
      </c>
      <c r="AQ150" s="14">
        <f t="shared" si="169"/>
        <v>0</v>
      </c>
      <c r="AR150" s="14">
        <f t="shared" si="170"/>
        <v>0</v>
      </c>
      <c r="AS150" s="14">
        <f t="shared" si="171"/>
        <v>0</v>
      </c>
      <c r="AT150" s="14">
        <f t="shared" si="173"/>
        <v>0</v>
      </c>
      <c r="AU150" s="234"/>
      <c r="AV150" s="234"/>
      <c r="AW150" s="234"/>
      <c r="AX150" s="234"/>
      <c r="AY150" s="234"/>
      <c r="AZ150" s="234"/>
      <c r="BA150" s="234"/>
      <c r="BB150" s="16">
        <f t="shared" si="172"/>
        <v>0</v>
      </c>
    </row>
    <row r="151" spans="1:54" ht="15.6" outlineLevel="2">
      <c r="A151" s="98"/>
      <c r="B151" s="102"/>
      <c r="C151" s="23"/>
      <c r="D151" s="269"/>
      <c r="E151" s="271"/>
      <c r="F151" s="250"/>
      <c r="G151" s="177"/>
      <c r="H151" s="272"/>
      <c r="I151" s="258"/>
      <c r="J151" s="259"/>
      <c r="K151" s="259"/>
      <c r="L151" s="106" t="str">
        <f>IF(I151&lt;&gt;0,((VLOOKUP(I151,'1. Standard_Cost'!$B$4:$D$11,2)+VLOOKUP(I151,'1. Standard_Cost'!$B$4:$D$11,3))*J151*K151),"0")</f>
        <v>0</v>
      </c>
      <c r="M151" s="106">
        <f>L151*'1. Standard_Cost'!$F$4</f>
        <v>0</v>
      </c>
      <c r="N151" s="260"/>
      <c r="O151" s="260"/>
      <c r="P151" s="260"/>
      <c r="Q151" s="260"/>
      <c r="R151" s="108">
        <f>'1. Standard_Cost'!$B$15*N151*P151</f>
        <v>0</v>
      </c>
      <c r="S151" s="108">
        <f>N151*O151*P151*'1. Standard_Cost'!$C$15</f>
        <v>0</v>
      </c>
      <c r="T151" s="108">
        <f>N151*P151*Q151*'1. Standard_Cost'!$D$15</f>
        <v>0</v>
      </c>
      <c r="U151" s="108">
        <f>N151*O151*'1. Standard_Cost'!$E$15</f>
        <v>0</v>
      </c>
      <c r="V151" s="260"/>
      <c r="W151" s="260"/>
      <c r="X151" s="260"/>
      <c r="Y151" s="108">
        <f>+V151*((X151*'1. Standard_Cost'!$B$19)+(W151*X151*'1. Standard_Cost'!$C$19))</f>
        <v>0</v>
      </c>
      <c r="Z151" s="260"/>
      <c r="AA151" s="260"/>
      <c r="AB151" s="108">
        <f>+Z151*'1. Standard_Cost'!$B$23+AA151*'1. Standard_Cost'!$C$23</f>
        <v>0</v>
      </c>
      <c r="AC151" s="261"/>
      <c r="AD151" s="262"/>
      <c r="AE151" s="108">
        <f>SUM(AD151,AC151,AB151,Y151,U151,T151,S151,R151)*'1. Standard_Cost'!$B$31</f>
        <v>0</v>
      </c>
      <c r="AF151" s="108">
        <f t="shared" si="168"/>
        <v>0</v>
      </c>
      <c r="AG151" s="260"/>
      <c r="AH151" s="260"/>
      <c r="AI151" s="260"/>
      <c r="AJ151" s="263"/>
      <c r="AK151" s="263"/>
      <c r="AL151" s="263"/>
      <c r="AM151" s="108">
        <f>AG151*'1. Standard_Cost'!$B$27+'Incremental_Cost Year 8'!AH151*'1. Standard_Cost'!$C$27+'Incremental_Cost Year 8'!AI151*'1. Standard_Cost'!$D$27+'Incremental_Cost Year 8'!AJ151+'Incremental_Cost Year 8'!AL151+AK151</f>
        <v>0</v>
      </c>
      <c r="AN151" s="108">
        <f>AM151*'1. Standard_Cost'!$C$31</f>
        <v>0</v>
      </c>
      <c r="AO151" s="125" t="s">
        <v>374</v>
      </c>
      <c r="AQ151" s="14">
        <f t="shared" si="169"/>
        <v>0</v>
      </c>
      <c r="AR151" s="14">
        <f t="shared" si="170"/>
        <v>0</v>
      </c>
      <c r="AS151" s="14">
        <f t="shared" si="171"/>
        <v>0</v>
      </c>
      <c r="AT151" s="14">
        <f t="shared" si="173"/>
        <v>0</v>
      </c>
      <c r="AU151" s="234"/>
      <c r="AV151" s="234"/>
      <c r="AW151" s="234"/>
      <c r="AX151" s="234"/>
      <c r="AY151" s="234"/>
      <c r="AZ151" s="234"/>
      <c r="BA151" s="234"/>
      <c r="BB151" s="16">
        <f t="shared" si="172"/>
        <v>0</v>
      </c>
    </row>
    <row r="152" spans="1:54" ht="41.4" customHeight="1" outlineLevel="2">
      <c r="A152" s="98"/>
      <c r="B152" s="102"/>
      <c r="C152" s="23"/>
      <c r="D152" s="269"/>
      <c r="E152" s="271"/>
      <c r="F152" s="161"/>
      <c r="G152" s="161"/>
      <c r="H152" s="164"/>
      <c r="I152" s="258"/>
      <c r="J152" s="259"/>
      <c r="K152" s="259"/>
      <c r="L152" s="106" t="str">
        <f>IF(I152&lt;&gt;0,((VLOOKUP(I152,'1. Standard_Cost'!$B$4:$D$11,2)+VLOOKUP(I152,'1. Standard_Cost'!$B$4:$D$11,3))*J152*K152),"0")</f>
        <v>0</v>
      </c>
      <c r="M152" s="106">
        <f>L152*'1. Standard_Cost'!$F$4</f>
        <v>0</v>
      </c>
      <c r="N152" s="260"/>
      <c r="O152" s="260"/>
      <c r="P152" s="260"/>
      <c r="Q152" s="260"/>
      <c r="R152" s="108">
        <f>'[1]1. Standard_Cost'!$B$15*N152*P152</f>
        <v>0</v>
      </c>
      <c r="S152" s="108">
        <f>N152*O152*P152*'[1]1. Standard_Cost'!$C$15</f>
        <v>0</v>
      </c>
      <c r="T152" s="108">
        <f>N152*P152*Q152*'[1]1. Standard_Cost'!$D$15</f>
        <v>0</v>
      </c>
      <c r="U152" s="108">
        <f>N152*O152*'[1]1. Standard_Cost'!$E$15</f>
        <v>0</v>
      </c>
      <c r="V152" s="260"/>
      <c r="W152" s="260"/>
      <c r="X152" s="260"/>
      <c r="Y152" s="108">
        <f>+V152*((X152*'[1]1. Standard_Cost'!$B$19)+(W152*X152*'[1]1. Standard_Cost'!$C$19))</f>
        <v>0</v>
      </c>
      <c r="Z152" s="260"/>
      <c r="AA152" s="260"/>
      <c r="AB152" s="108">
        <f>+Z152*'[1]1. Standard_Cost'!$B$23+AA152*'[1]1. Standard_Cost'!$C$23</f>
        <v>0</v>
      </c>
      <c r="AC152" s="261"/>
      <c r="AD152" s="262"/>
      <c r="AE152" s="108">
        <f>SUM(AD152,AC152,AB152,Y152,U152,T152,S152,R152)*'[1]1. Standard_Cost'!$B$31</f>
        <v>0</v>
      </c>
      <c r="AF152" s="108">
        <f t="shared" si="168"/>
        <v>0</v>
      </c>
      <c r="AG152" s="260"/>
      <c r="AH152" s="260"/>
      <c r="AI152" s="260"/>
      <c r="AJ152" s="263"/>
      <c r="AK152" s="263"/>
      <c r="AL152" s="263"/>
      <c r="AM152" s="108">
        <f>AG152*'[1]1. Standard_Cost'!$B$27+'[1]Incremental_Cost Year 8'!AH152*'[1]1. Standard_Cost'!$C$27+'[1]Incremental_Cost Year 8'!AI152*'[1]1. Standard_Cost'!$D$27+'[1]Incremental_Cost Year 8'!AJ152+'[1]Incremental_Cost Year 8'!AL152+AK152</f>
        <v>0</v>
      </c>
      <c r="AN152" s="108">
        <f>AM152*'[1]1. Standard_Cost'!$C$31</f>
        <v>0</v>
      </c>
      <c r="AO152" s="125" t="s">
        <v>374</v>
      </c>
      <c r="AQ152" s="14">
        <f t="shared" si="169"/>
        <v>0</v>
      </c>
      <c r="AR152" s="14">
        <f t="shared" si="170"/>
        <v>0</v>
      </c>
      <c r="AS152" s="14">
        <f t="shared" si="171"/>
        <v>0</v>
      </c>
      <c r="AT152" s="14">
        <f t="shared" si="173"/>
        <v>0</v>
      </c>
      <c r="AU152" s="234"/>
      <c r="AV152" s="234"/>
      <c r="AW152" s="234"/>
      <c r="AX152" s="234"/>
      <c r="AY152" s="234"/>
      <c r="AZ152" s="234"/>
      <c r="BA152" s="234"/>
      <c r="BB152" s="16">
        <f t="shared" si="172"/>
        <v>0</v>
      </c>
    </row>
    <row r="153" spans="1:54" ht="15.6" outlineLevel="2">
      <c r="A153" s="98"/>
      <c r="B153" s="102"/>
      <c r="C153" s="23"/>
      <c r="D153" s="269"/>
      <c r="E153" s="271"/>
      <c r="F153" s="250"/>
      <c r="G153" s="255"/>
      <c r="H153" s="272"/>
      <c r="I153" s="258"/>
      <c r="J153" s="259"/>
      <c r="K153" s="259"/>
      <c r="L153" s="106" t="str">
        <f>IF(I153&lt;&gt;0,((VLOOKUP(I153,'1. Standard_Cost'!$B$4:$D$11,2)+VLOOKUP(I153,'1. Standard_Cost'!$B$4:$D$11,3))*J153*K153),"0")</f>
        <v>0</v>
      </c>
      <c r="M153" s="106">
        <f>L153*'1. Standard_Cost'!$F$4</f>
        <v>0</v>
      </c>
      <c r="N153" s="260"/>
      <c r="O153" s="260"/>
      <c r="P153" s="260"/>
      <c r="Q153" s="260"/>
      <c r="R153" s="108">
        <f>'1. Standard_Cost'!$B$15*N153*P153</f>
        <v>0</v>
      </c>
      <c r="S153" s="108">
        <f>N153*O153*P153*'1. Standard_Cost'!$C$15</f>
        <v>0</v>
      </c>
      <c r="T153" s="108">
        <f>N153*P153*Q153*'1. Standard_Cost'!$D$15</f>
        <v>0</v>
      </c>
      <c r="U153" s="108">
        <f>N153*O153*'1. Standard_Cost'!$E$15</f>
        <v>0</v>
      </c>
      <c r="V153" s="260"/>
      <c r="W153" s="260"/>
      <c r="X153" s="260"/>
      <c r="Y153" s="108">
        <f>+V153*((X153*'1. Standard_Cost'!$B$19)+(W153*X153*'1. Standard_Cost'!$C$19))</f>
        <v>0</v>
      </c>
      <c r="Z153" s="260"/>
      <c r="AA153" s="260"/>
      <c r="AB153" s="108">
        <f>+Z153*'1. Standard_Cost'!$B$23+AA153*'1. Standard_Cost'!$C$23</f>
        <v>0</v>
      </c>
      <c r="AC153" s="261"/>
      <c r="AD153" s="262"/>
      <c r="AE153" s="108">
        <f>SUM(AD153,AC153,AB153,Y153,U153,T153,S153,R153)*'1. Standard_Cost'!$B$31</f>
        <v>0</v>
      </c>
      <c r="AF153" s="108">
        <f t="shared" si="168"/>
        <v>0</v>
      </c>
      <c r="AG153" s="260"/>
      <c r="AH153" s="260"/>
      <c r="AI153" s="260"/>
      <c r="AJ153" s="263"/>
      <c r="AK153" s="263"/>
      <c r="AL153" s="263"/>
      <c r="AM153" s="108">
        <f>AG153*'1. Standard_Cost'!$B$27+'Incremental_Cost Year 8'!AH153*'1. Standard_Cost'!$C$27+'Incremental_Cost Year 8'!AI153*'1. Standard_Cost'!$D$27+'Incremental_Cost Year 8'!AJ153+'Incremental_Cost Year 8'!AL153+AK153</f>
        <v>0</v>
      </c>
      <c r="AN153" s="108">
        <f>AM153*'1. Standard_Cost'!$C$31</f>
        <v>0</v>
      </c>
      <c r="AO153" s="125" t="s">
        <v>313</v>
      </c>
      <c r="AQ153" s="14">
        <f t="shared" si="169"/>
        <v>0</v>
      </c>
      <c r="AR153" s="14">
        <f t="shared" si="170"/>
        <v>0</v>
      </c>
      <c r="AS153" s="14">
        <f t="shared" si="171"/>
        <v>0</v>
      </c>
      <c r="AT153" s="14">
        <f t="shared" si="173"/>
        <v>0</v>
      </c>
      <c r="AU153" s="234"/>
      <c r="AV153" s="234"/>
      <c r="AW153" s="234"/>
      <c r="AX153" s="234"/>
      <c r="AY153" s="234"/>
      <c r="AZ153" s="234"/>
      <c r="BA153" s="234"/>
      <c r="BB153" s="16">
        <f t="shared" si="172"/>
        <v>0</v>
      </c>
    </row>
    <row r="154" spans="1:54" ht="15.6" outlineLevel="2">
      <c r="A154" s="98"/>
      <c r="B154" s="102"/>
      <c r="C154" s="23"/>
      <c r="D154" s="269"/>
      <c r="E154" s="271"/>
      <c r="F154" s="250"/>
      <c r="G154" s="255"/>
      <c r="H154" s="272"/>
      <c r="I154" s="258"/>
      <c r="J154" s="259"/>
      <c r="K154" s="259"/>
      <c r="L154" s="106" t="str">
        <f>IF(I154&lt;&gt;0,((VLOOKUP(I154,'1. Standard_Cost'!$B$4:$D$11,2)+VLOOKUP(I154,'1. Standard_Cost'!$B$4:$D$11,3))*J154*K154),"0")</f>
        <v>0</v>
      </c>
      <c r="M154" s="106">
        <f>L154*'1. Standard_Cost'!$F$4</f>
        <v>0</v>
      </c>
      <c r="N154" s="260"/>
      <c r="O154" s="260"/>
      <c r="P154" s="260"/>
      <c r="Q154" s="260"/>
      <c r="R154" s="108">
        <f>'1. Standard_Cost'!$B$15*N154*P154</f>
        <v>0</v>
      </c>
      <c r="S154" s="108">
        <f>N154*O154*P154*'1. Standard_Cost'!$C$15</f>
        <v>0</v>
      </c>
      <c r="T154" s="108">
        <f>N154*P154*Q154*'1. Standard_Cost'!$D$15</f>
        <v>0</v>
      </c>
      <c r="U154" s="108">
        <f>N154*O154*'1. Standard_Cost'!$E$15</f>
        <v>0</v>
      </c>
      <c r="V154" s="260"/>
      <c r="W154" s="260"/>
      <c r="X154" s="260"/>
      <c r="Y154" s="108">
        <f>+V154*((X154*'1. Standard_Cost'!$B$19)+(W154*X154*'1. Standard_Cost'!$C$19))</f>
        <v>0</v>
      </c>
      <c r="Z154" s="260"/>
      <c r="AA154" s="260"/>
      <c r="AB154" s="108">
        <f>+Z154*'1. Standard_Cost'!$B$23+AA154*'1. Standard_Cost'!$C$23</f>
        <v>0</v>
      </c>
      <c r="AC154" s="261"/>
      <c r="AD154" s="262"/>
      <c r="AE154" s="108">
        <f>SUM(AD154,AC154,AB154,Y154,U154,T154,S154,R154)*'1. Standard_Cost'!$B$31</f>
        <v>0</v>
      </c>
      <c r="AF154" s="108">
        <f t="shared" si="168"/>
        <v>0</v>
      </c>
      <c r="AG154" s="260"/>
      <c r="AH154" s="260"/>
      <c r="AI154" s="260"/>
      <c r="AJ154" s="263"/>
      <c r="AK154" s="263"/>
      <c r="AL154" s="263"/>
      <c r="AM154" s="108">
        <f>AG154*'1. Standard_Cost'!$B$27+'Incremental_Cost Year 8'!AH154*'1. Standard_Cost'!$C$27+'Incremental_Cost Year 8'!AI154*'1. Standard_Cost'!$D$27+'Incremental_Cost Year 8'!AJ154+'Incremental_Cost Year 8'!AL154+AK154</f>
        <v>0</v>
      </c>
      <c r="AN154" s="108">
        <f>AM154*'1. Standard_Cost'!$C$31</f>
        <v>0</v>
      </c>
      <c r="AO154" s="125" t="s">
        <v>375</v>
      </c>
      <c r="AQ154" s="14">
        <f t="shared" si="169"/>
        <v>0</v>
      </c>
      <c r="AR154" s="14">
        <f t="shared" si="170"/>
        <v>0</v>
      </c>
      <c r="AS154" s="14">
        <f t="shared" si="171"/>
        <v>0</v>
      </c>
      <c r="AT154" s="14">
        <f t="shared" si="173"/>
        <v>0</v>
      </c>
      <c r="AU154" s="234"/>
      <c r="AV154" s="234"/>
      <c r="AW154" s="234"/>
      <c r="AX154" s="234"/>
      <c r="AY154" s="234"/>
      <c r="AZ154" s="234"/>
      <c r="BA154" s="234"/>
      <c r="BB154" s="16">
        <f t="shared" si="172"/>
        <v>0</v>
      </c>
    </row>
    <row r="155" spans="1:54" ht="15.6" outlineLevel="2">
      <c r="A155" s="98"/>
      <c r="B155" s="102"/>
      <c r="C155" s="23"/>
      <c r="D155" s="269"/>
      <c r="E155" s="271"/>
      <c r="F155" s="250"/>
      <c r="G155" s="255"/>
      <c r="H155" s="165"/>
      <c r="I155" s="258"/>
      <c r="J155" s="259"/>
      <c r="K155" s="259"/>
      <c r="L155" s="106" t="str">
        <f>IF(I155&lt;&gt;0,((VLOOKUP(I155,'1. Standard_Cost'!$B$4:$D$11,2)+VLOOKUP(I155,'1. Standard_Cost'!$B$4:$D$11,3))*J155*K155),"0")</f>
        <v>0</v>
      </c>
      <c r="M155" s="106">
        <f>L155*'1. Standard_Cost'!$F$4</f>
        <v>0</v>
      </c>
      <c r="N155" s="260"/>
      <c r="O155" s="260"/>
      <c r="P155" s="260"/>
      <c r="Q155" s="260"/>
      <c r="R155" s="108">
        <f>'[1]1. Standard_Cost'!$B$15*N155*P155</f>
        <v>0</v>
      </c>
      <c r="S155" s="108">
        <f>N155*O155*P155*'[1]1. Standard_Cost'!$C$15</f>
        <v>0</v>
      </c>
      <c r="T155" s="108">
        <f>N155*P155*Q155*'[1]1. Standard_Cost'!$D$15</f>
        <v>0</v>
      </c>
      <c r="U155" s="108">
        <f>N155*O155*'[1]1. Standard_Cost'!$E$15</f>
        <v>0</v>
      </c>
      <c r="V155" s="260"/>
      <c r="W155" s="260"/>
      <c r="X155" s="260"/>
      <c r="Y155" s="108">
        <f>+V155*((X155*'[1]1. Standard_Cost'!$B$19)+(W155*X155*'[1]1. Standard_Cost'!$C$19))</f>
        <v>0</v>
      </c>
      <c r="Z155" s="260"/>
      <c r="AA155" s="260"/>
      <c r="AB155" s="108">
        <f>+Z155*'[1]1. Standard_Cost'!$B$23+AA155*'[1]1. Standard_Cost'!$C$23</f>
        <v>0</v>
      </c>
      <c r="AC155" s="261"/>
      <c r="AD155" s="262"/>
      <c r="AE155" s="108">
        <f>SUM(AD155,AC155,AB155,Y155,U155,T155,S155,R155)*'[1]1. Standard_Cost'!$B$31</f>
        <v>0</v>
      </c>
      <c r="AF155" s="108">
        <f t="shared" si="168"/>
        <v>0</v>
      </c>
      <c r="AG155" s="260"/>
      <c r="AH155" s="260"/>
      <c r="AI155" s="260"/>
      <c r="AJ155" s="263"/>
      <c r="AK155" s="263"/>
      <c r="AL155" s="263"/>
      <c r="AM155" s="108">
        <f>AG155*'[1]1. Standard_Cost'!$B$27+'[1]Incremental_Cost Year 8'!AH155*'[1]1. Standard_Cost'!$C$27+'[1]Incremental_Cost Year 8'!AI155*'[1]1. Standard_Cost'!$D$27+'[1]Incremental_Cost Year 8'!AJ155+'[1]Incremental_Cost Year 8'!AL155+AK155</f>
        <v>0</v>
      </c>
      <c r="AN155" s="108">
        <f>AM155*'[1]1. Standard_Cost'!$C$31</f>
        <v>0</v>
      </c>
      <c r="AO155" s="125" t="s">
        <v>376</v>
      </c>
      <c r="AQ155" s="14">
        <f t="shared" si="169"/>
        <v>0</v>
      </c>
      <c r="AR155" s="14">
        <f t="shared" si="170"/>
        <v>0</v>
      </c>
      <c r="AS155" s="14">
        <f t="shared" si="171"/>
        <v>0</v>
      </c>
      <c r="AT155" s="14">
        <f t="shared" si="173"/>
        <v>0</v>
      </c>
      <c r="AU155" s="234"/>
      <c r="AV155" s="234"/>
      <c r="AW155" s="234"/>
      <c r="AX155" s="234"/>
      <c r="AY155" s="234"/>
      <c r="AZ155" s="234"/>
      <c r="BA155" s="234"/>
      <c r="BB155" s="16">
        <f t="shared" si="172"/>
        <v>0</v>
      </c>
    </row>
    <row r="156" spans="1:54" ht="27.6" outlineLevel="2">
      <c r="A156" s="98"/>
      <c r="B156" s="102"/>
      <c r="C156" s="23"/>
      <c r="D156" s="269"/>
      <c r="E156" s="271"/>
      <c r="F156" s="250"/>
      <c r="G156" s="255"/>
      <c r="H156" s="272"/>
      <c r="I156" s="258"/>
      <c r="J156" s="259"/>
      <c r="K156" s="259"/>
      <c r="L156" s="106" t="str">
        <f>IF(I156&lt;&gt;0,((VLOOKUP(I156,'1. Standard_Cost'!$B$4:$D$11,2)+VLOOKUP(I156,'1. Standard_Cost'!$B$4:$D$11,3))*J156*K156),"0")</f>
        <v>0</v>
      </c>
      <c r="M156" s="106">
        <f>L156*'1. Standard_Cost'!$F$4</f>
        <v>0</v>
      </c>
      <c r="N156" s="260"/>
      <c r="O156" s="260"/>
      <c r="P156" s="260"/>
      <c r="Q156" s="260"/>
      <c r="R156" s="108">
        <f>'1. Standard_Cost'!$B$15*N156*P156</f>
        <v>0</v>
      </c>
      <c r="S156" s="108">
        <f>N156*O156*P156*'1. Standard_Cost'!$C$15</f>
        <v>0</v>
      </c>
      <c r="T156" s="108">
        <f>N156*P156*Q156*'1. Standard_Cost'!$D$15</f>
        <v>0</v>
      </c>
      <c r="U156" s="108">
        <f>N156*O156*'1. Standard_Cost'!$E$15</f>
        <v>0</v>
      </c>
      <c r="V156" s="260"/>
      <c r="W156" s="260"/>
      <c r="X156" s="260"/>
      <c r="Y156" s="108">
        <f>+V156*((X156*'1. Standard_Cost'!$B$19)+(W156*X156*'1. Standard_Cost'!$C$19))</f>
        <v>0</v>
      </c>
      <c r="Z156" s="260"/>
      <c r="AA156" s="260"/>
      <c r="AB156" s="108">
        <f>+Z156*'1. Standard_Cost'!$B$23+AA156*'1. Standard_Cost'!$C$23</f>
        <v>0</v>
      </c>
      <c r="AC156" s="261"/>
      <c r="AD156" s="262"/>
      <c r="AE156" s="108">
        <f>SUM(AD156,AC156,AB156,Y156,U156,T156,S156,R156)*'1. Standard_Cost'!$B$31</f>
        <v>0</v>
      </c>
      <c r="AF156" s="108">
        <f t="shared" si="168"/>
        <v>0</v>
      </c>
      <c r="AG156" s="260"/>
      <c r="AH156" s="260"/>
      <c r="AI156" s="260"/>
      <c r="AJ156" s="263"/>
      <c r="AK156" s="263"/>
      <c r="AL156" s="263"/>
      <c r="AM156" s="108">
        <f>AG156*'1. Standard_Cost'!$B$27+'Incremental_Cost Year 8'!AH156*'1. Standard_Cost'!$C$27+'Incremental_Cost Year 8'!AI156*'1. Standard_Cost'!$D$27+'Incremental_Cost Year 8'!AJ156+'Incremental_Cost Year 8'!AL156+AK156</f>
        <v>0</v>
      </c>
      <c r="AN156" s="108">
        <f>AM156*'1. Standard_Cost'!$C$31</f>
        <v>0</v>
      </c>
      <c r="AO156" s="125" t="s">
        <v>377</v>
      </c>
      <c r="AQ156" s="14">
        <f t="shared" si="169"/>
        <v>0</v>
      </c>
      <c r="AR156" s="14">
        <f t="shared" si="170"/>
        <v>0</v>
      </c>
      <c r="AS156" s="14">
        <f t="shared" si="171"/>
        <v>0</v>
      </c>
      <c r="AT156" s="14">
        <f t="shared" si="173"/>
        <v>0</v>
      </c>
      <c r="AU156" s="234"/>
      <c r="AV156" s="234"/>
      <c r="AW156" s="234"/>
      <c r="AX156" s="234"/>
      <c r="AY156" s="234"/>
      <c r="AZ156" s="234"/>
      <c r="BA156" s="234"/>
      <c r="BB156" s="16">
        <f t="shared" si="172"/>
        <v>0</v>
      </c>
    </row>
    <row r="157" spans="1:54" ht="15.6" outlineLevel="2">
      <c r="A157" s="98"/>
      <c r="B157" s="102"/>
      <c r="C157" s="23"/>
      <c r="D157" s="269"/>
      <c r="E157" s="271"/>
      <c r="F157" s="250"/>
      <c r="G157" s="255"/>
      <c r="H157" s="272"/>
      <c r="I157" s="258"/>
      <c r="J157" s="259"/>
      <c r="K157" s="259"/>
      <c r="L157" s="106" t="str">
        <f>IF(I157&lt;&gt;0,((VLOOKUP(I157,'1. Standard_Cost'!$B$4:$D$11,2)+VLOOKUP(I157,'1. Standard_Cost'!$B$4:$D$11,3))*J157*K157),"0")</f>
        <v>0</v>
      </c>
      <c r="M157" s="106">
        <f>L157*'1. Standard_Cost'!$F$4</f>
        <v>0</v>
      </c>
      <c r="N157" s="260"/>
      <c r="O157" s="260"/>
      <c r="P157" s="260"/>
      <c r="Q157" s="260"/>
      <c r="R157" s="108">
        <f>'1. Standard_Cost'!$B$15*N157*P157</f>
        <v>0</v>
      </c>
      <c r="S157" s="108">
        <f>N157*O157*P157*'1. Standard_Cost'!$C$15</f>
        <v>0</v>
      </c>
      <c r="T157" s="108">
        <f>N157*P157*Q157*'1. Standard_Cost'!$D$15</f>
        <v>0</v>
      </c>
      <c r="U157" s="108">
        <f>N157*O157*'1. Standard_Cost'!$E$15</f>
        <v>0</v>
      </c>
      <c r="V157" s="260"/>
      <c r="W157" s="260"/>
      <c r="X157" s="260"/>
      <c r="Y157" s="108">
        <f>+V157*((X157*'1. Standard_Cost'!$B$19)+(W157*X157*'1. Standard_Cost'!$C$19))</f>
        <v>0</v>
      </c>
      <c r="Z157" s="260"/>
      <c r="AA157" s="260"/>
      <c r="AB157" s="108">
        <f>+Z157*'1. Standard_Cost'!$B$23+AA157*'1. Standard_Cost'!$C$23</f>
        <v>0</v>
      </c>
      <c r="AC157" s="261"/>
      <c r="AD157" s="262"/>
      <c r="AE157" s="108">
        <f>SUM(AD157,AC157,AB157,Y157,U157,T157,S157,R157)*'1. Standard_Cost'!$B$31</f>
        <v>0</v>
      </c>
      <c r="AF157" s="108">
        <f t="shared" si="168"/>
        <v>0</v>
      </c>
      <c r="AG157" s="260"/>
      <c r="AH157" s="260"/>
      <c r="AI157" s="260"/>
      <c r="AJ157" s="263"/>
      <c r="AK157" s="263"/>
      <c r="AL157" s="263"/>
      <c r="AM157" s="108">
        <f>AG157*'1. Standard_Cost'!$B$27+'Incremental_Cost Year 8'!AH157*'1. Standard_Cost'!$C$27+'Incremental_Cost Year 8'!AI157*'1. Standard_Cost'!$D$27+'Incremental_Cost Year 8'!AJ157+'Incremental_Cost Year 8'!AL157+AK157</f>
        <v>0</v>
      </c>
      <c r="AN157" s="108">
        <f>AM157*'1. Standard_Cost'!$C$31</f>
        <v>0</v>
      </c>
      <c r="AO157" s="125" t="s">
        <v>378</v>
      </c>
      <c r="AQ157" s="14">
        <f t="shared" si="169"/>
        <v>0</v>
      </c>
      <c r="AR157" s="14">
        <f t="shared" si="170"/>
        <v>0</v>
      </c>
      <c r="AS157" s="14">
        <f t="shared" si="171"/>
        <v>0</v>
      </c>
      <c r="AT157" s="14">
        <f t="shared" si="173"/>
        <v>0</v>
      </c>
      <c r="AU157" s="234"/>
      <c r="AV157" s="234"/>
      <c r="AW157" s="234"/>
      <c r="AX157" s="234"/>
      <c r="AY157" s="234"/>
      <c r="AZ157" s="234"/>
      <c r="BA157" s="234"/>
      <c r="BB157" s="16">
        <f t="shared" si="172"/>
        <v>0</v>
      </c>
    </row>
    <row r="158" spans="1:54" ht="15.6" outlineLevel="2">
      <c r="A158" s="98"/>
      <c r="B158" s="102"/>
      <c r="C158" s="23"/>
      <c r="D158" s="269"/>
      <c r="E158" s="271"/>
      <c r="F158" s="250"/>
      <c r="G158" s="255"/>
      <c r="H158" s="272"/>
      <c r="I158" s="258"/>
      <c r="J158" s="259"/>
      <c r="K158" s="259"/>
      <c r="L158" s="106" t="str">
        <f>IF(I158&lt;&gt;0,((VLOOKUP(I158,'1. Standard_Cost'!$B$4:$D$11,2)+VLOOKUP(I158,'1. Standard_Cost'!$B$4:$D$11,3))*J158*K158),"0")</f>
        <v>0</v>
      </c>
      <c r="M158" s="106">
        <f>L158*'1. Standard_Cost'!$F$4</f>
        <v>0</v>
      </c>
      <c r="N158" s="260"/>
      <c r="O158" s="260"/>
      <c r="P158" s="260"/>
      <c r="Q158" s="260"/>
      <c r="R158" s="108">
        <f>'1. Standard_Cost'!$B$15*N158*P158</f>
        <v>0</v>
      </c>
      <c r="S158" s="108">
        <f>N158*O158*P158*'1. Standard_Cost'!$C$15</f>
        <v>0</v>
      </c>
      <c r="T158" s="108">
        <f>N158*P158*Q158*'1. Standard_Cost'!$D$15</f>
        <v>0</v>
      </c>
      <c r="U158" s="108">
        <f>N158*O158*'1. Standard_Cost'!$E$15</f>
        <v>0</v>
      </c>
      <c r="V158" s="260"/>
      <c r="W158" s="260"/>
      <c r="X158" s="260"/>
      <c r="Y158" s="108">
        <f>+V158*((X158*'1. Standard_Cost'!$B$19)+(W158*X158*'1. Standard_Cost'!$C$19))</f>
        <v>0</v>
      </c>
      <c r="Z158" s="260"/>
      <c r="AA158" s="260"/>
      <c r="AB158" s="108">
        <f>+Z158*'1. Standard_Cost'!$B$23+AA158*'1. Standard_Cost'!$C$23</f>
        <v>0</v>
      </c>
      <c r="AC158" s="261"/>
      <c r="AD158" s="262"/>
      <c r="AE158" s="108">
        <f>SUM(AD158,AC158,AB158,Y158,U158,T158,S158,R158)*'1. Standard_Cost'!$B$31</f>
        <v>0</v>
      </c>
      <c r="AF158" s="108">
        <f t="shared" si="168"/>
        <v>0</v>
      </c>
      <c r="AG158" s="260"/>
      <c r="AH158" s="260"/>
      <c r="AI158" s="260"/>
      <c r="AJ158" s="263"/>
      <c r="AK158" s="263"/>
      <c r="AL158" s="263"/>
      <c r="AM158" s="108">
        <f>AG158*'1. Standard_Cost'!$B$27+'Incremental_Cost Year 8'!AH158*'1. Standard_Cost'!$C$27+'Incremental_Cost Year 8'!AI158*'1. Standard_Cost'!$D$27+'Incremental_Cost Year 8'!AJ158+'Incremental_Cost Year 8'!AL158+AK158</f>
        <v>0</v>
      </c>
      <c r="AN158" s="108">
        <f>AM158*'1. Standard_Cost'!$C$31</f>
        <v>0</v>
      </c>
      <c r="AO158" s="125" t="s">
        <v>379</v>
      </c>
      <c r="AQ158" s="14">
        <f t="shared" si="169"/>
        <v>0</v>
      </c>
      <c r="AR158" s="14">
        <f t="shared" si="170"/>
        <v>0</v>
      </c>
      <c r="AS158" s="14">
        <f t="shared" si="171"/>
        <v>0</v>
      </c>
      <c r="AT158" s="14">
        <f t="shared" si="173"/>
        <v>0</v>
      </c>
      <c r="AU158" s="234"/>
      <c r="AV158" s="234"/>
      <c r="AW158" s="234"/>
      <c r="AX158" s="234"/>
      <c r="AY158" s="234"/>
      <c r="AZ158" s="234"/>
      <c r="BA158" s="234"/>
      <c r="BB158" s="16">
        <f t="shared" si="172"/>
        <v>0</v>
      </c>
    </row>
    <row r="159" spans="1:54" ht="15.6" outlineLevel="2">
      <c r="A159" s="98"/>
      <c r="B159" s="102"/>
      <c r="C159" s="23"/>
      <c r="D159" s="269"/>
      <c r="E159" s="271"/>
      <c r="F159" s="250"/>
      <c r="G159" s="255"/>
      <c r="H159" s="272"/>
      <c r="I159" s="258"/>
      <c r="J159" s="259"/>
      <c r="K159" s="259"/>
      <c r="L159" s="106" t="str">
        <f>IF(I159&lt;&gt;0,((VLOOKUP(I159,'1. Standard_Cost'!$B$4:$D$11,2)+VLOOKUP(I159,'1. Standard_Cost'!$B$4:$D$11,3))*J159*K159),"0")</f>
        <v>0</v>
      </c>
      <c r="M159" s="106">
        <f>L159*'1. Standard_Cost'!$F$4</f>
        <v>0</v>
      </c>
      <c r="N159" s="260"/>
      <c r="O159" s="260"/>
      <c r="P159" s="260"/>
      <c r="Q159" s="260"/>
      <c r="R159" s="108">
        <f>'1. Standard_Cost'!$B$15*N159*P159</f>
        <v>0</v>
      </c>
      <c r="S159" s="108">
        <f>N159*O159*P159*'1. Standard_Cost'!$C$15</f>
        <v>0</v>
      </c>
      <c r="T159" s="108">
        <f>N159*P159*Q159*'1. Standard_Cost'!$D$15</f>
        <v>0</v>
      </c>
      <c r="U159" s="108">
        <f>N159*O159*'1. Standard_Cost'!$E$15</f>
        <v>0</v>
      </c>
      <c r="V159" s="260"/>
      <c r="W159" s="260"/>
      <c r="X159" s="260"/>
      <c r="Y159" s="108">
        <f>+V159*((X159*'1. Standard_Cost'!$B$19)+(W159*X159*'1. Standard_Cost'!$C$19))</f>
        <v>0</v>
      </c>
      <c r="Z159" s="260"/>
      <c r="AA159" s="260"/>
      <c r="AB159" s="108">
        <f>+Z159*'1. Standard_Cost'!$B$23+AA159*'1. Standard_Cost'!$C$23</f>
        <v>0</v>
      </c>
      <c r="AC159" s="261"/>
      <c r="AD159" s="262"/>
      <c r="AE159" s="108">
        <f>SUM(AD159,AC159,AB159,Y159,U159,T159,S159,R159)*'1. Standard_Cost'!$B$31</f>
        <v>0</v>
      </c>
      <c r="AF159" s="108">
        <f t="shared" si="168"/>
        <v>0</v>
      </c>
      <c r="AG159" s="260"/>
      <c r="AH159" s="260"/>
      <c r="AI159" s="260"/>
      <c r="AJ159" s="263"/>
      <c r="AK159" s="263"/>
      <c r="AL159" s="263"/>
      <c r="AM159" s="108">
        <f>AG159*'1. Standard_Cost'!$B$27+'Incremental_Cost Year 8'!AH159*'1. Standard_Cost'!$C$27+'Incremental_Cost Year 8'!AI159*'1. Standard_Cost'!$D$27+'Incremental_Cost Year 8'!AJ159+'Incremental_Cost Year 8'!AL159+AK159</f>
        <v>0</v>
      </c>
      <c r="AN159" s="108">
        <f>AM159*'1. Standard_Cost'!$C$31</f>
        <v>0</v>
      </c>
      <c r="AO159" s="125" t="s">
        <v>380</v>
      </c>
      <c r="AQ159" s="14">
        <f t="shared" si="169"/>
        <v>0</v>
      </c>
      <c r="AR159" s="14">
        <f t="shared" si="170"/>
        <v>0</v>
      </c>
      <c r="AS159" s="14">
        <f t="shared" si="171"/>
        <v>0</v>
      </c>
      <c r="AT159" s="14">
        <f t="shared" si="173"/>
        <v>0</v>
      </c>
      <c r="AU159" s="234"/>
      <c r="AV159" s="234"/>
      <c r="AW159" s="234"/>
      <c r="AX159" s="234"/>
      <c r="AY159" s="234"/>
      <c r="AZ159" s="234"/>
      <c r="BA159" s="234"/>
      <c r="BB159" s="16">
        <f t="shared" si="172"/>
        <v>0</v>
      </c>
    </row>
    <row r="160" spans="1:54" ht="15.6" outlineLevel="2">
      <c r="A160" s="98"/>
      <c r="B160" s="102"/>
      <c r="C160" s="23"/>
      <c r="D160" s="269"/>
      <c r="E160" s="271"/>
      <c r="F160" s="250"/>
      <c r="G160" s="177"/>
      <c r="H160" s="272"/>
      <c r="I160" s="258"/>
      <c r="J160" s="259"/>
      <c r="K160" s="259"/>
      <c r="L160" s="106" t="str">
        <f>IF(I160&lt;&gt;0,((VLOOKUP(I160,'1. Standard_Cost'!$B$4:$D$11,2)+VLOOKUP(I160,'1. Standard_Cost'!$B$4:$D$11,3))*J160*K160),"0")</f>
        <v>0</v>
      </c>
      <c r="M160" s="106">
        <f>L160*'1. Standard_Cost'!$F$4</f>
        <v>0</v>
      </c>
      <c r="N160" s="260"/>
      <c r="O160" s="260"/>
      <c r="P160" s="260"/>
      <c r="Q160" s="260"/>
      <c r="R160" s="108">
        <f>'1. Standard_Cost'!$B$15*N160*P160</f>
        <v>0</v>
      </c>
      <c r="S160" s="108">
        <f>N160*O160*P160*'1. Standard_Cost'!$C$15</f>
        <v>0</v>
      </c>
      <c r="T160" s="108">
        <f>N160*P160*Q160*'1. Standard_Cost'!$D$15</f>
        <v>0</v>
      </c>
      <c r="U160" s="108">
        <f>N160*O160*'1. Standard_Cost'!$E$15</f>
        <v>0</v>
      </c>
      <c r="V160" s="260"/>
      <c r="W160" s="260"/>
      <c r="X160" s="260"/>
      <c r="Y160" s="108">
        <f>+V160*((X160*'1. Standard_Cost'!$B$19)+(W160*X160*'1. Standard_Cost'!$C$19))</f>
        <v>0</v>
      </c>
      <c r="Z160" s="260"/>
      <c r="AA160" s="260"/>
      <c r="AB160" s="108">
        <f>+Z160*'1. Standard_Cost'!$B$23+AA160*'1. Standard_Cost'!$C$23</f>
        <v>0</v>
      </c>
      <c r="AC160" s="261"/>
      <c r="AD160" s="262"/>
      <c r="AE160" s="108">
        <f>SUM(AD160,AC160,AB160,Y160,U160,T160,S160,R160)*'1. Standard_Cost'!$B$31</f>
        <v>0</v>
      </c>
      <c r="AF160" s="108">
        <f t="shared" si="168"/>
        <v>0</v>
      </c>
      <c r="AG160" s="260"/>
      <c r="AH160" s="260"/>
      <c r="AI160" s="260"/>
      <c r="AJ160" s="263"/>
      <c r="AK160" s="263"/>
      <c r="AL160" s="263"/>
      <c r="AM160" s="108">
        <f>AG160*'1. Standard_Cost'!$B$27+'Incremental_Cost Year 8'!AH160*'1. Standard_Cost'!$C$27+'Incremental_Cost Year 8'!AI160*'1. Standard_Cost'!$D$27+'Incremental_Cost Year 8'!AJ160+'Incremental_Cost Year 8'!AL160+AK160</f>
        <v>0</v>
      </c>
      <c r="AN160" s="108">
        <f>AM160*'1. Standard_Cost'!$C$31</f>
        <v>0</v>
      </c>
      <c r="AO160" s="125" t="s">
        <v>381</v>
      </c>
      <c r="AQ160" s="14">
        <f t="shared" si="169"/>
        <v>0</v>
      </c>
      <c r="AR160" s="14">
        <f t="shared" si="170"/>
        <v>0</v>
      </c>
      <c r="AS160" s="14">
        <f t="shared" si="171"/>
        <v>0</v>
      </c>
      <c r="AT160" s="14">
        <f t="shared" si="173"/>
        <v>0</v>
      </c>
      <c r="AU160" s="234"/>
      <c r="AV160" s="234"/>
      <c r="AW160" s="234"/>
      <c r="AX160" s="234"/>
      <c r="AY160" s="234"/>
      <c r="AZ160" s="234"/>
      <c r="BA160" s="234"/>
      <c r="BB160" s="16">
        <f t="shared" si="172"/>
        <v>0</v>
      </c>
    </row>
    <row r="161" spans="1:54" ht="15.6" outlineLevel="2">
      <c r="A161" s="98"/>
      <c r="B161" s="102"/>
      <c r="C161" s="23"/>
      <c r="D161" s="269"/>
      <c r="E161" s="271"/>
      <c r="F161" s="250"/>
      <c r="G161" s="255"/>
      <c r="H161" s="272"/>
      <c r="I161" s="258"/>
      <c r="J161" s="259"/>
      <c r="K161" s="259"/>
      <c r="L161" s="106" t="str">
        <f>IF(I161&lt;&gt;0,((VLOOKUP(I161,'1. Standard_Cost'!$B$4:$D$11,2)+VLOOKUP(I161,'1. Standard_Cost'!$B$4:$D$11,3))*J161*K161),"0")</f>
        <v>0</v>
      </c>
      <c r="M161" s="106">
        <f>L161*'1. Standard_Cost'!$F$4</f>
        <v>0</v>
      </c>
      <c r="N161" s="260"/>
      <c r="O161" s="260"/>
      <c r="P161" s="260"/>
      <c r="Q161" s="260"/>
      <c r="R161" s="108">
        <f>'1. Standard_Cost'!$B$15*N161*P161</f>
        <v>0</v>
      </c>
      <c r="S161" s="108">
        <f>N161*O161*P161*'1. Standard_Cost'!$C$15</f>
        <v>0</v>
      </c>
      <c r="T161" s="108">
        <f>N161*P161*Q161*'1. Standard_Cost'!$D$15</f>
        <v>0</v>
      </c>
      <c r="U161" s="108">
        <f>N161*O161*'1. Standard_Cost'!$E$15</f>
        <v>0</v>
      </c>
      <c r="V161" s="260"/>
      <c r="W161" s="260"/>
      <c r="X161" s="260"/>
      <c r="Y161" s="108">
        <f>+V161*((X161*'1. Standard_Cost'!$B$19)+(W161*X161*'1. Standard_Cost'!$C$19))</f>
        <v>0</v>
      </c>
      <c r="Z161" s="260"/>
      <c r="AA161" s="260"/>
      <c r="AB161" s="108">
        <f>+Z161*'1. Standard_Cost'!$B$23+AA161*'1. Standard_Cost'!$C$23</f>
        <v>0</v>
      </c>
      <c r="AC161" s="261"/>
      <c r="AD161" s="262"/>
      <c r="AE161" s="108">
        <f>SUM(AD161,AC161,AB161,Y161,U161,T161,S161,R161)*'1. Standard_Cost'!$B$31</f>
        <v>0</v>
      </c>
      <c r="AF161" s="108">
        <f t="shared" si="168"/>
        <v>0</v>
      </c>
      <c r="AG161" s="260"/>
      <c r="AH161" s="260"/>
      <c r="AI161" s="260"/>
      <c r="AJ161" s="263"/>
      <c r="AK161" s="263"/>
      <c r="AL161" s="263"/>
      <c r="AM161" s="108">
        <f>AG161*'1. Standard_Cost'!$B$27+'Incremental_Cost Year 8'!AH161*'1. Standard_Cost'!$C$27+'Incremental_Cost Year 8'!AI161*'1. Standard_Cost'!$D$27+'Incremental_Cost Year 8'!AJ161+'Incremental_Cost Year 8'!AL161+AK161</f>
        <v>0</v>
      </c>
      <c r="AN161" s="108">
        <f>AM161*'1. Standard_Cost'!$C$31</f>
        <v>0</v>
      </c>
      <c r="AO161" s="125" t="s">
        <v>277</v>
      </c>
      <c r="AQ161" s="14">
        <f t="shared" si="169"/>
        <v>0</v>
      </c>
      <c r="AR161" s="14">
        <f t="shared" si="170"/>
        <v>0</v>
      </c>
      <c r="AS161" s="14">
        <f t="shared" si="171"/>
        <v>0</v>
      </c>
      <c r="AT161" s="14">
        <f t="shared" si="173"/>
        <v>0</v>
      </c>
      <c r="AU161" s="234"/>
      <c r="AV161" s="234"/>
      <c r="AW161" s="234"/>
      <c r="AX161" s="234"/>
      <c r="AY161" s="234"/>
      <c r="AZ161" s="234"/>
      <c r="BA161" s="234"/>
      <c r="BB161" s="16">
        <f t="shared" si="172"/>
        <v>0</v>
      </c>
    </row>
    <row r="162" spans="1:54" ht="15.6" outlineLevel="2">
      <c r="A162" s="98"/>
      <c r="B162" s="102"/>
      <c r="C162" s="23"/>
      <c r="D162" s="251"/>
      <c r="E162" s="251"/>
      <c r="F162" s="251"/>
      <c r="G162" s="250"/>
      <c r="H162" s="272"/>
      <c r="I162" s="258"/>
      <c r="J162" s="259"/>
      <c r="K162" s="259"/>
      <c r="L162" s="106" t="str">
        <f>IF(I162&lt;&gt;0,((VLOOKUP(I162,'1. Standard_Cost'!$B$4:$D$11,2)+VLOOKUP(I162,'1. Standard_Cost'!$B$4:$D$11,3))*J162*K162),"0")</f>
        <v>0</v>
      </c>
      <c r="M162" s="106">
        <f>L162*'1. Standard_Cost'!$F$4</f>
        <v>0</v>
      </c>
      <c r="N162" s="260"/>
      <c r="O162" s="260"/>
      <c r="P162" s="260"/>
      <c r="Q162" s="260"/>
      <c r="R162" s="108">
        <f>'1. Standard_Cost'!$B$15*N162*P162</f>
        <v>0</v>
      </c>
      <c r="S162" s="108">
        <f>N162*O162*P162*'1. Standard_Cost'!$C$15</f>
        <v>0</v>
      </c>
      <c r="T162" s="108">
        <f>N162*P162*Q162*'1. Standard_Cost'!$D$15</f>
        <v>0</v>
      </c>
      <c r="U162" s="108">
        <f>N162*O162*'1. Standard_Cost'!$E$15</f>
        <v>0</v>
      </c>
      <c r="V162" s="260"/>
      <c r="W162" s="260"/>
      <c r="X162" s="260"/>
      <c r="Y162" s="108">
        <f>+V162*((X162*'1. Standard_Cost'!$B$19)+(W162*X162*'1. Standard_Cost'!$C$19))</f>
        <v>0</v>
      </c>
      <c r="Z162" s="260"/>
      <c r="AA162" s="260"/>
      <c r="AB162" s="108">
        <f>+Z162*'1. Standard_Cost'!$B$23+AA162*'1. Standard_Cost'!$C$23</f>
        <v>0</v>
      </c>
      <c r="AC162" s="261"/>
      <c r="AD162" s="262"/>
      <c r="AE162" s="108">
        <f>SUM(AD162,AC162,AB162,Y162,U162,T162,S162,R162)*'1. Standard_Cost'!$B$31</f>
        <v>0</v>
      </c>
      <c r="AF162" s="108">
        <f t="shared" si="168"/>
        <v>0</v>
      </c>
      <c r="AG162" s="260"/>
      <c r="AH162" s="260"/>
      <c r="AI162" s="260"/>
      <c r="AJ162" s="263"/>
      <c r="AK162" s="263"/>
      <c r="AL162" s="263"/>
      <c r="AM162" s="108">
        <f>AG162*'1. Standard_Cost'!$B$27+'Incremental_Cost Year 8'!AH162*'1. Standard_Cost'!$C$27+'Incremental_Cost Year 8'!AI162*'1. Standard_Cost'!$D$27+'Incremental_Cost Year 8'!AJ162+'Incremental_Cost Year 8'!AL162+AK162</f>
        <v>0</v>
      </c>
      <c r="AN162" s="108">
        <f>AM162*'1. Standard_Cost'!$C$31</f>
        <v>0</v>
      </c>
      <c r="AO162" s="125" t="s">
        <v>382</v>
      </c>
      <c r="AQ162" s="14">
        <f t="shared" si="169"/>
        <v>0</v>
      </c>
      <c r="AR162" s="14">
        <f t="shared" si="170"/>
        <v>0</v>
      </c>
      <c r="AS162" s="14">
        <f t="shared" si="171"/>
        <v>0</v>
      </c>
      <c r="AT162" s="14">
        <f t="shared" si="173"/>
        <v>0</v>
      </c>
      <c r="AU162" s="234"/>
      <c r="AV162" s="234"/>
      <c r="AW162" s="234"/>
      <c r="AX162" s="234"/>
      <c r="AY162" s="234"/>
      <c r="AZ162" s="234"/>
      <c r="BA162" s="234"/>
      <c r="BB162" s="16">
        <f t="shared" si="172"/>
        <v>0</v>
      </c>
    </row>
    <row r="163" spans="1:54" ht="32.25" customHeight="1" outlineLevel="2">
      <c r="A163" s="98"/>
      <c r="B163" s="102"/>
      <c r="C163" s="23"/>
      <c r="D163" s="251"/>
      <c r="E163" s="251"/>
      <c r="F163" s="251"/>
      <c r="G163" s="250"/>
      <c r="H163" s="272"/>
      <c r="I163" s="258"/>
      <c r="J163" s="259"/>
      <c r="K163" s="259"/>
      <c r="L163" s="106" t="str">
        <f>IF(I163&lt;&gt;0,((VLOOKUP(I163,'1. Standard_Cost'!$B$4:$D$11,2)+VLOOKUP(I163,'1. Standard_Cost'!$B$4:$D$11,3))*J163*K163),"0")</f>
        <v>0</v>
      </c>
      <c r="M163" s="106">
        <f>L163*'1. Standard_Cost'!$F$4</f>
        <v>0</v>
      </c>
      <c r="N163" s="260"/>
      <c r="O163" s="260"/>
      <c r="P163" s="260"/>
      <c r="Q163" s="260"/>
      <c r="R163" s="108">
        <f>'1. Standard_Cost'!$B$15*N163*P163</f>
        <v>0</v>
      </c>
      <c r="S163" s="108">
        <f>N163*O163*P163*'1. Standard_Cost'!$C$15</f>
        <v>0</v>
      </c>
      <c r="T163" s="108">
        <f>N163*P163*Q163*'1. Standard_Cost'!$D$15</f>
        <v>0</v>
      </c>
      <c r="U163" s="108">
        <f>N163*O163*'1. Standard_Cost'!$E$15</f>
        <v>0</v>
      </c>
      <c r="V163" s="260"/>
      <c r="W163" s="260"/>
      <c r="X163" s="260"/>
      <c r="Y163" s="108">
        <f>+V163*((X163*'1. Standard_Cost'!$B$19)+(W163*X163*'1. Standard_Cost'!$C$19))</f>
        <v>0</v>
      </c>
      <c r="Z163" s="260"/>
      <c r="AA163" s="260"/>
      <c r="AB163" s="108">
        <f>+Z163*'1. Standard_Cost'!$B$23+AA163*'1. Standard_Cost'!$C$23</f>
        <v>0</v>
      </c>
      <c r="AC163" s="261"/>
      <c r="AD163" s="262"/>
      <c r="AE163" s="108">
        <f>SUM(AD163,AC163,AB163,Y163,U163,T163,S163,R163)*'1. Standard_Cost'!$B$31</f>
        <v>0</v>
      </c>
      <c r="AF163" s="108">
        <f t="shared" si="168"/>
        <v>0</v>
      </c>
      <c r="AG163" s="260"/>
      <c r="AH163" s="260"/>
      <c r="AI163" s="260"/>
      <c r="AJ163" s="263"/>
      <c r="AK163" s="263"/>
      <c r="AL163" s="263"/>
      <c r="AM163" s="108">
        <f>AG163*'1. Standard_Cost'!$B$27+'Incremental_Cost Year 8'!AH163*'1. Standard_Cost'!$C$27+'Incremental_Cost Year 8'!AI163*'1. Standard_Cost'!$D$27+'Incremental_Cost Year 8'!AJ163+'Incremental_Cost Year 8'!AL163+AK163</f>
        <v>0</v>
      </c>
      <c r="AN163" s="108">
        <f>AM163*'1. Standard_Cost'!$C$31</f>
        <v>0</v>
      </c>
      <c r="AO163" s="125" t="s">
        <v>383</v>
      </c>
      <c r="AQ163" s="14">
        <f t="shared" si="169"/>
        <v>0</v>
      </c>
      <c r="AR163" s="14">
        <f t="shared" si="170"/>
        <v>0</v>
      </c>
      <c r="AS163" s="14">
        <f t="shared" si="171"/>
        <v>0</v>
      </c>
      <c r="AT163" s="14">
        <f t="shared" si="173"/>
        <v>0</v>
      </c>
      <c r="AU163" s="234"/>
      <c r="AV163" s="234"/>
      <c r="AW163" s="234"/>
      <c r="AX163" s="234"/>
      <c r="AY163" s="234"/>
      <c r="AZ163" s="234"/>
      <c r="BA163" s="234"/>
      <c r="BB163" s="16">
        <f t="shared" si="172"/>
        <v>0</v>
      </c>
    </row>
    <row r="164" spans="1:54" ht="45" customHeight="1" outlineLevel="2">
      <c r="A164" s="98"/>
      <c r="B164" s="102"/>
      <c r="C164" s="23"/>
      <c r="D164" s="251"/>
      <c r="E164" s="251"/>
      <c r="F164" s="251"/>
      <c r="G164" s="250"/>
      <c r="H164" s="272"/>
      <c r="I164" s="258"/>
      <c r="J164" s="259"/>
      <c r="K164" s="259"/>
      <c r="L164" s="106" t="str">
        <f>IF(I164&lt;&gt;0,((VLOOKUP(I164,'1. Standard_Cost'!$B$4:$D$11,2)+VLOOKUP(I164,'1. Standard_Cost'!$B$4:$D$11,3))*J164*K164),"0")</f>
        <v>0</v>
      </c>
      <c r="M164" s="106">
        <f>L164*'1. Standard_Cost'!$F$4</f>
        <v>0</v>
      </c>
      <c r="N164" s="260"/>
      <c r="O164" s="260"/>
      <c r="P164" s="260"/>
      <c r="Q164" s="260"/>
      <c r="R164" s="108">
        <f>'1. Standard_Cost'!$B$15*N164*P164</f>
        <v>0</v>
      </c>
      <c r="S164" s="108">
        <f>N164*O164*P164*'1. Standard_Cost'!$C$15</f>
        <v>0</v>
      </c>
      <c r="T164" s="108">
        <f>N164*P164*Q164*'1. Standard_Cost'!$D$15</f>
        <v>0</v>
      </c>
      <c r="U164" s="108">
        <f>N164*O164*'1. Standard_Cost'!$E$15</f>
        <v>0</v>
      </c>
      <c r="V164" s="260"/>
      <c r="W164" s="260"/>
      <c r="X164" s="260"/>
      <c r="Y164" s="108">
        <f>+V164*((X164*'1. Standard_Cost'!$B$19)+(W164*X164*'1. Standard_Cost'!$C$19))</f>
        <v>0</v>
      </c>
      <c r="Z164" s="260"/>
      <c r="AA164" s="260"/>
      <c r="AB164" s="108">
        <f>+Z164*'1. Standard_Cost'!$B$23+AA164*'1. Standard_Cost'!$C$23</f>
        <v>0</v>
      </c>
      <c r="AC164" s="261"/>
      <c r="AD164" s="262"/>
      <c r="AE164" s="108">
        <f>SUM(AD164,AC164,AB164,Y164,U164,T164,S164,R164)*'1. Standard_Cost'!$B$31</f>
        <v>0</v>
      </c>
      <c r="AF164" s="108">
        <f t="shared" si="168"/>
        <v>0</v>
      </c>
      <c r="AG164" s="260"/>
      <c r="AH164" s="260"/>
      <c r="AI164" s="260"/>
      <c r="AJ164" s="263"/>
      <c r="AK164" s="263"/>
      <c r="AL164" s="263"/>
      <c r="AM164" s="108">
        <f>AG164*'1. Standard_Cost'!$B$27+'Incremental_Cost Year 8'!AH164*'1. Standard_Cost'!$C$27+'Incremental_Cost Year 8'!AI164*'1. Standard_Cost'!$D$27+'Incremental_Cost Year 8'!AJ164+'Incremental_Cost Year 8'!AL164+AK164</f>
        <v>0</v>
      </c>
      <c r="AN164" s="108">
        <f>AM164*'1. Standard_Cost'!$C$31</f>
        <v>0</v>
      </c>
      <c r="AO164" s="125" t="s">
        <v>384</v>
      </c>
      <c r="AQ164" s="14">
        <f t="shared" si="169"/>
        <v>0</v>
      </c>
      <c r="AR164" s="14">
        <f t="shared" si="170"/>
        <v>0</v>
      </c>
      <c r="AS164" s="14">
        <f t="shared" si="171"/>
        <v>0</v>
      </c>
      <c r="AT164" s="14">
        <f t="shared" si="173"/>
        <v>0</v>
      </c>
      <c r="AU164" s="234"/>
      <c r="AV164" s="234"/>
      <c r="AW164" s="234"/>
      <c r="AX164" s="234"/>
      <c r="AY164" s="234"/>
      <c r="AZ164" s="234"/>
      <c r="BA164" s="234"/>
      <c r="BB164" s="16">
        <f t="shared" si="172"/>
        <v>0</v>
      </c>
    </row>
    <row r="165" spans="1:54" ht="41.4" outlineLevel="2">
      <c r="A165" s="98"/>
      <c r="B165" s="102"/>
      <c r="C165" s="23"/>
      <c r="D165" s="251"/>
      <c r="E165" s="251"/>
      <c r="F165" s="251"/>
      <c r="G165" s="250"/>
      <c r="H165" s="272"/>
      <c r="I165" s="258"/>
      <c r="J165" s="259"/>
      <c r="K165" s="259"/>
      <c r="L165" s="106" t="str">
        <f>IF(I165&lt;&gt;0,((VLOOKUP(I165,'1. Standard_Cost'!$B$4:$D$11,2)+VLOOKUP(I165,'1. Standard_Cost'!$B$4:$D$11,3))*J165*K165),"0")</f>
        <v>0</v>
      </c>
      <c r="M165" s="106">
        <f>L165*'1. Standard_Cost'!$F$4</f>
        <v>0</v>
      </c>
      <c r="N165" s="260"/>
      <c r="O165" s="260"/>
      <c r="P165" s="260"/>
      <c r="Q165" s="260"/>
      <c r="R165" s="108">
        <f>'1. Standard_Cost'!$B$15*N165*P165</f>
        <v>0</v>
      </c>
      <c r="S165" s="108">
        <f>N165*O165*P165*'1. Standard_Cost'!$C$15</f>
        <v>0</v>
      </c>
      <c r="T165" s="108">
        <f>N165*P165*Q165*'1. Standard_Cost'!$D$15</f>
        <v>0</v>
      </c>
      <c r="U165" s="108">
        <f>N165*O165*'1. Standard_Cost'!$E$15</f>
        <v>0</v>
      </c>
      <c r="V165" s="260"/>
      <c r="W165" s="260"/>
      <c r="X165" s="260"/>
      <c r="Y165" s="108">
        <f>+V165*((X165*'1. Standard_Cost'!$B$19)+(W165*X165*'1. Standard_Cost'!$C$19))</f>
        <v>0</v>
      </c>
      <c r="Z165" s="260"/>
      <c r="AA165" s="260"/>
      <c r="AB165" s="108">
        <f>+Z165*'1. Standard_Cost'!$B$23+AA165*'1. Standard_Cost'!$C$23</f>
        <v>0</v>
      </c>
      <c r="AC165" s="261"/>
      <c r="AD165" s="262"/>
      <c r="AE165" s="108">
        <f>SUM(AD165,AC165,AB165,Y165,U165,T165,S165,R165)*'1. Standard_Cost'!$B$31</f>
        <v>0</v>
      </c>
      <c r="AF165" s="108">
        <f t="shared" si="168"/>
        <v>0</v>
      </c>
      <c r="AG165" s="260"/>
      <c r="AH165" s="260"/>
      <c r="AI165" s="260"/>
      <c r="AJ165" s="263"/>
      <c r="AK165" s="263"/>
      <c r="AL165" s="263"/>
      <c r="AM165" s="108">
        <f>AG165*'1. Standard_Cost'!$B$27+'Incremental_Cost Year 8'!AH165*'1. Standard_Cost'!$C$27+'Incremental_Cost Year 8'!AI165*'1. Standard_Cost'!$D$27+'Incremental_Cost Year 8'!AJ165+'Incremental_Cost Year 8'!AL165+AK165</f>
        <v>0</v>
      </c>
      <c r="AN165" s="108">
        <f>AM165*'1. Standard_Cost'!$C$31</f>
        <v>0</v>
      </c>
      <c r="AO165" s="125" t="s">
        <v>385</v>
      </c>
      <c r="AQ165" s="14">
        <f t="shared" si="169"/>
        <v>0</v>
      </c>
      <c r="AR165" s="14">
        <f t="shared" si="170"/>
        <v>0</v>
      </c>
      <c r="AS165" s="14">
        <f t="shared" si="171"/>
        <v>0</v>
      </c>
      <c r="AT165" s="14">
        <f t="shared" si="173"/>
        <v>0</v>
      </c>
      <c r="AU165" s="234"/>
      <c r="AV165" s="234"/>
      <c r="AW165" s="234"/>
      <c r="AX165" s="234"/>
      <c r="AY165" s="234"/>
      <c r="AZ165" s="234"/>
      <c r="BA165" s="234"/>
      <c r="BB165" s="16">
        <f t="shared" si="172"/>
        <v>0</v>
      </c>
    </row>
    <row r="166" spans="1:54" ht="161.4" customHeight="1" outlineLevel="2">
      <c r="A166" s="98"/>
      <c r="B166" s="102"/>
      <c r="C166" s="23"/>
      <c r="D166" s="251"/>
      <c r="E166" s="251"/>
      <c r="F166" s="161"/>
      <c r="G166" s="161"/>
      <c r="H166" s="166"/>
      <c r="I166" s="258"/>
      <c r="J166" s="259"/>
      <c r="K166" s="259"/>
      <c r="L166" s="106" t="str">
        <f>IF(I166&lt;&gt;0,((VLOOKUP(I166,'1. Standard_Cost'!$B$4:$D$11,2)+VLOOKUP(I166,'1. Standard_Cost'!$B$4:$D$11,3))*J166*K166),"0")</f>
        <v>0</v>
      </c>
      <c r="M166" s="106">
        <f>L166*'1. Standard_Cost'!$F$4</f>
        <v>0</v>
      </c>
      <c r="N166" s="260"/>
      <c r="O166" s="260"/>
      <c r="P166" s="260"/>
      <c r="Q166" s="260"/>
      <c r="R166" s="108">
        <f>'[1]1. Standard_Cost'!$B$15*N166*P166</f>
        <v>0</v>
      </c>
      <c r="S166" s="108">
        <f>N166*O166*P166*'[1]1. Standard_Cost'!$C$15</f>
        <v>0</v>
      </c>
      <c r="T166" s="108">
        <f>N166*P166*Q166*'[1]1. Standard_Cost'!$D$15</f>
        <v>0</v>
      </c>
      <c r="U166" s="108">
        <f>N166*O166*'[1]1. Standard_Cost'!$E$15</f>
        <v>0</v>
      </c>
      <c r="V166" s="260"/>
      <c r="W166" s="260"/>
      <c r="X166" s="260"/>
      <c r="Y166" s="108">
        <f>+V166*((X166*'[1]1. Standard_Cost'!$B$19)+(W166*X166*'[1]1. Standard_Cost'!$C$19))</f>
        <v>0</v>
      </c>
      <c r="Z166" s="260"/>
      <c r="AA166" s="260"/>
      <c r="AB166" s="108">
        <f>+Z166*'[1]1. Standard_Cost'!$B$23+AA166*'[1]1. Standard_Cost'!$C$23</f>
        <v>0</v>
      </c>
      <c r="AC166" s="261"/>
      <c r="AD166" s="262"/>
      <c r="AE166" s="108">
        <f>SUM(AD166,AC166,AB166,Y166,U166,T166,S166,R166)*'[1]1. Standard_Cost'!$B$31</f>
        <v>0</v>
      </c>
      <c r="AF166" s="108">
        <f t="shared" si="168"/>
        <v>0</v>
      </c>
      <c r="AG166" s="260"/>
      <c r="AH166" s="260"/>
      <c r="AI166" s="260"/>
      <c r="AJ166" s="263"/>
      <c r="AK166" s="263"/>
      <c r="AL166" s="263"/>
      <c r="AM166" s="108">
        <f>AG166*'[1]1. Standard_Cost'!$B$27+'[1]Incremental_Cost Year 8'!AH166*'[1]1. Standard_Cost'!$C$27+'[1]Incremental_Cost Year 8'!AI166*'[1]1. Standard_Cost'!$D$27+'[1]Incremental_Cost Year 8'!AJ166+'[1]Incremental_Cost Year 8'!AL166+AK166</f>
        <v>0</v>
      </c>
      <c r="AN166" s="108">
        <f>AM166*'[1]1. Standard_Cost'!$C$31</f>
        <v>0</v>
      </c>
      <c r="AO166" s="163" t="s">
        <v>509</v>
      </c>
      <c r="AQ166" s="14">
        <f t="shared" si="169"/>
        <v>0</v>
      </c>
      <c r="AR166" s="14">
        <f t="shared" si="170"/>
        <v>0</v>
      </c>
      <c r="AS166" s="14">
        <f t="shared" si="171"/>
        <v>0</v>
      </c>
      <c r="AT166" s="14">
        <f t="shared" si="173"/>
        <v>0</v>
      </c>
      <c r="AU166" s="234"/>
      <c r="AV166" s="234"/>
      <c r="AW166" s="234"/>
      <c r="AX166" s="234"/>
      <c r="AY166" s="234"/>
      <c r="AZ166" s="234"/>
      <c r="BA166" s="234"/>
      <c r="BB166" s="16">
        <f t="shared" si="172"/>
        <v>0</v>
      </c>
    </row>
    <row r="167" spans="1:54" ht="32.25" customHeight="1" outlineLevel="2">
      <c r="A167" s="98"/>
      <c r="B167" s="102"/>
      <c r="C167" s="23"/>
      <c r="D167" s="251"/>
      <c r="E167" s="251"/>
      <c r="F167" s="251"/>
      <c r="G167" s="250"/>
      <c r="H167" s="272"/>
      <c r="I167" s="258"/>
      <c r="J167" s="259"/>
      <c r="K167" s="259"/>
      <c r="L167" s="106" t="str">
        <f>IF(I167&lt;&gt;0,((VLOOKUP(I167,'1. Standard_Cost'!$B$4:$D$11,2)+VLOOKUP(I167,'1. Standard_Cost'!$B$4:$D$11,3))*J167*K167),"0")</f>
        <v>0</v>
      </c>
      <c r="M167" s="106">
        <f>L167*'1. Standard_Cost'!$F$4</f>
        <v>0</v>
      </c>
      <c r="N167" s="260"/>
      <c r="O167" s="260"/>
      <c r="P167" s="260"/>
      <c r="Q167" s="260"/>
      <c r="R167" s="108">
        <f>'1. Standard_Cost'!$B$15*N167*P167</f>
        <v>0</v>
      </c>
      <c r="S167" s="108">
        <f>N167*O167*P167*'1. Standard_Cost'!$C$15</f>
        <v>0</v>
      </c>
      <c r="T167" s="108">
        <f>N167*P167*Q167*'1. Standard_Cost'!$D$15</f>
        <v>0</v>
      </c>
      <c r="U167" s="108">
        <f>N167*O167*'1. Standard_Cost'!$E$15</f>
        <v>0</v>
      </c>
      <c r="V167" s="260"/>
      <c r="W167" s="260"/>
      <c r="X167" s="260"/>
      <c r="Y167" s="108">
        <f>+V167*((X167*'1. Standard_Cost'!$B$19)+(W167*X167*'1. Standard_Cost'!$C$19))</f>
        <v>0</v>
      </c>
      <c r="Z167" s="260"/>
      <c r="AA167" s="260"/>
      <c r="AB167" s="108">
        <f>+Z167*'1. Standard_Cost'!$B$23+AA167*'1. Standard_Cost'!$C$23</f>
        <v>0</v>
      </c>
      <c r="AC167" s="261"/>
      <c r="AD167" s="262"/>
      <c r="AE167" s="108">
        <f>SUM(AD167,AC167,AB167,Y167,U167,T167,S167,R167)*'1. Standard_Cost'!$B$31</f>
        <v>0</v>
      </c>
      <c r="AF167" s="108">
        <f t="shared" si="168"/>
        <v>0</v>
      </c>
      <c r="AG167" s="260"/>
      <c r="AH167" s="260"/>
      <c r="AI167" s="260"/>
      <c r="AJ167" s="263"/>
      <c r="AK167" s="263"/>
      <c r="AL167" s="263"/>
      <c r="AM167" s="108">
        <f>AG167*'1. Standard_Cost'!$B$27+'Incremental_Cost Year 8'!AH167*'1. Standard_Cost'!$C$27+'Incremental_Cost Year 8'!AI167*'1. Standard_Cost'!$D$27+'Incremental_Cost Year 8'!AJ167+'Incremental_Cost Year 8'!AL167+AK167</f>
        <v>0</v>
      </c>
      <c r="AN167" s="108">
        <f>AM167*'1. Standard_Cost'!$C$31</f>
        <v>0</v>
      </c>
      <c r="AO167" s="137" t="s">
        <v>386</v>
      </c>
      <c r="AQ167" s="14">
        <f t="shared" si="169"/>
        <v>0</v>
      </c>
      <c r="AR167" s="14">
        <f t="shared" si="170"/>
        <v>0</v>
      </c>
      <c r="AS167" s="14">
        <f t="shared" si="171"/>
        <v>0</v>
      </c>
      <c r="AT167" s="14">
        <f t="shared" si="173"/>
        <v>0</v>
      </c>
      <c r="AU167" s="234"/>
      <c r="AV167" s="234"/>
      <c r="AW167" s="234"/>
      <c r="AX167" s="234"/>
      <c r="AY167" s="234"/>
      <c r="AZ167" s="234"/>
      <c r="BA167" s="234"/>
      <c r="BB167" s="16">
        <f t="shared" si="172"/>
        <v>0</v>
      </c>
    </row>
    <row r="168" spans="1:54" ht="27.6" outlineLevel="1">
      <c r="A168" s="98"/>
      <c r="B168" s="102"/>
      <c r="C168" s="23"/>
      <c r="D168" s="56" t="s">
        <v>47</v>
      </c>
      <c r="E168" s="56" t="s">
        <v>234</v>
      </c>
      <c r="F168" s="253">
        <v>2021</v>
      </c>
      <c r="G168" s="254">
        <v>2026</v>
      </c>
      <c r="H168" s="279" t="s">
        <v>189</v>
      </c>
      <c r="I168" s="264"/>
      <c r="J168" s="264"/>
      <c r="K168" s="264"/>
      <c r="L168" s="113">
        <f>SUM(L144:L167)</f>
        <v>0</v>
      </c>
      <c r="M168" s="113">
        <f>SUM(M144:M167)</f>
        <v>0</v>
      </c>
      <c r="N168" s="264"/>
      <c r="O168" s="264"/>
      <c r="P168" s="264"/>
      <c r="Q168" s="264"/>
      <c r="R168" s="113">
        <f t="shared" ref="R168:U168" si="174">SUM(R144:R167)</f>
        <v>0</v>
      </c>
      <c r="S168" s="113">
        <f t="shared" si="174"/>
        <v>0</v>
      </c>
      <c r="T168" s="113">
        <f t="shared" si="174"/>
        <v>0</v>
      </c>
      <c r="U168" s="113">
        <f t="shared" si="174"/>
        <v>0</v>
      </c>
      <c r="V168" s="264"/>
      <c r="W168" s="264"/>
      <c r="X168" s="264"/>
      <c r="Y168" s="113">
        <f>SUM(Y144:Y167)</f>
        <v>0</v>
      </c>
      <c r="Z168" s="265"/>
      <c r="AA168" s="264"/>
      <c r="AB168" s="113">
        <f t="shared" ref="AB168:AF168" si="175">SUM(AB144:AB167)</f>
        <v>0</v>
      </c>
      <c r="AC168" s="265">
        <f t="shared" si="175"/>
        <v>0</v>
      </c>
      <c r="AD168" s="265">
        <f t="shared" si="175"/>
        <v>0</v>
      </c>
      <c r="AE168" s="113">
        <f t="shared" si="175"/>
        <v>0</v>
      </c>
      <c r="AF168" s="113">
        <f t="shared" si="175"/>
        <v>0</v>
      </c>
      <c r="AG168" s="264"/>
      <c r="AH168" s="264"/>
      <c r="AI168" s="264"/>
      <c r="AJ168" s="265">
        <f t="shared" ref="AJ168:AL168" si="176">SUM(AJ144:AJ167)</f>
        <v>0</v>
      </c>
      <c r="AK168" s="265">
        <f t="shared" si="176"/>
        <v>0</v>
      </c>
      <c r="AL168" s="265">
        <f t="shared" si="176"/>
        <v>0</v>
      </c>
      <c r="AM168" s="113">
        <f t="shared" ref="AM168:AN168" si="177">SUM(AM144:AM167)</f>
        <v>0</v>
      </c>
      <c r="AN168" s="113">
        <f t="shared" si="177"/>
        <v>0</v>
      </c>
      <c r="AO168" s="131"/>
      <c r="AP168" s="17"/>
      <c r="AQ168" s="113">
        <f t="shared" ref="AQ168:BB168" si="178">SUM(AQ144:AQ167)</f>
        <v>0</v>
      </c>
      <c r="AR168" s="113">
        <f t="shared" si="178"/>
        <v>0</v>
      </c>
      <c r="AS168" s="113">
        <f t="shared" si="178"/>
        <v>0</v>
      </c>
      <c r="AT168" s="113">
        <f t="shared" si="178"/>
        <v>0</v>
      </c>
      <c r="AU168" s="265">
        <f t="shared" si="178"/>
        <v>0</v>
      </c>
      <c r="AV168" s="265">
        <f t="shared" si="178"/>
        <v>0</v>
      </c>
      <c r="AW168" s="265">
        <f t="shared" si="178"/>
        <v>0</v>
      </c>
      <c r="AX168" s="265">
        <f t="shared" si="178"/>
        <v>0</v>
      </c>
      <c r="AY168" s="265">
        <f t="shared" si="178"/>
        <v>0</v>
      </c>
      <c r="AZ168" s="265">
        <f t="shared" si="178"/>
        <v>0</v>
      </c>
      <c r="BA168" s="265">
        <f t="shared" si="178"/>
        <v>0</v>
      </c>
      <c r="BB168" s="113">
        <f t="shared" si="178"/>
        <v>0</v>
      </c>
    </row>
    <row r="169" spans="1:54" ht="15.6" outlineLevel="2">
      <c r="A169" s="98"/>
      <c r="B169" s="102"/>
      <c r="C169" s="23"/>
      <c r="D169" s="257"/>
      <c r="E169" s="123"/>
      <c r="F169" s="249"/>
      <c r="G169" s="283"/>
      <c r="H169" s="272"/>
      <c r="I169" s="258"/>
      <c r="J169" s="259"/>
      <c r="K169" s="259"/>
      <c r="L169" s="106" t="str">
        <f>IF(I169&lt;&gt;0,((VLOOKUP(I169,'1. Standard_Cost'!$B$4:$D$11,2)+VLOOKUP(I169,'1. Standard_Cost'!$B$4:$D$11,3))*J169*K169),"0")</f>
        <v>0</v>
      </c>
      <c r="M169" s="106">
        <f>L169*'1. Standard_Cost'!$F$4</f>
        <v>0</v>
      </c>
      <c r="N169" s="260"/>
      <c r="O169" s="260"/>
      <c r="P169" s="260"/>
      <c r="Q169" s="260"/>
      <c r="R169" s="108">
        <f>'1. Standard_Cost'!$B$15*N169*P169</f>
        <v>0</v>
      </c>
      <c r="S169" s="108">
        <f>N169*O169*P169*'1. Standard_Cost'!$C$15</f>
        <v>0</v>
      </c>
      <c r="T169" s="108">
        <f>N169*P169*Q169*'1. Standard_Cost'!$D$15</f>
        <v>0</v>
      </c>
      <c r="U169" s="108">
        <f>N169*O169*'1. Standard_Cost'!$E$15</f>
        <v>0</v>
      </c>
      <c r="V169" s="260"/>
      <c r="W169" s="260"/>
      <c r="X169" s="260"/>
      <c r="Y169" s="108">
        <f>+V169*((X169*'1. Standard_Cost'!$B$19)+(W169*X169*'1. Standard_Cost'!$C$19))</f>
        <v>0</v>
      </c>
      <c r="Z169" s="260"/>
      <c r="AA169" s="260"/>
      <c r="AB169" s="108">
        <f>+Z169*'1. Standard_Cost'!$B$23+AA169*'1. Standard_Cost'!$C$23</f>
        <v>0</v>
      </c>
      <c r="AC169" s="261"/>
      <c r="AD169" s="262"/>
      <c r="AE169" s="108">
        <f>SUM(AD169,AC169,AB169,Y169,U169,T169,S169,R169)*'1. Standard_Cost'!$B$31</f>
        <v>0</v>
      </c>
      <c r="AF169" s="108">
        <f t="shared" ref="AF169:AF177" si="179">SUM(AE169,AD169,AC169,AB169,Y169,U169,T169,S169,R169)</f>
        <v>0</v>
      </c>
      <c r="AG169" s="260"/>
      <c r="AH169" s="260"/>
      <c r="AI169" s="260"/>
      <c r="AJ169" s="263"/>
      <c r="AK169" s="263"/>
      <c r="AL169" s="263"/>
      <c r="AM169" s="108">
        <f>AG169*'1. Standard_Cost'!$B$27+'Incremental_Cost Year 8'!AH169*'1. Standard_Cost'!$C$27+'Incremental_Cost Year 8'!AI169*'1. Standard_Cost'!$D$27+'Incremental_Cost Year 8'!AJ169+'Incremental_Cost Year 8'!AL169+AK169</f>
        <v>0</v>
      </c>
      <c r="AN169" s="108">
        <f>AM169*'1. Standard_Cost'!$C$31</f>
        <v>0</v>
      </c>
      <c r="AO169" s="125" t="s">
        <v>387</v>
      </c>
      <c r="AQ169" s="14">
        <f t="shared" ref="AQ169:AQ177" si="180">L169+M169</f>
        <v>0</v>
      </c>
      <c r="AR169" s="14">
        <f t="shared" ref="AR169:AR177" si="181">AF169</f>
        <v>0</v>
      </c>
      <c r="AS169" s="14">
        <f t="shared" ref="AS169:AS177" si="182">AM169+AN169</f>
        <v>0</v>
      </c>
      <c r="AT169" s="14">
        <f>SUM(AQ169,AR169,AS169)</f>
        <v>0</v>
      </c>
      <c r="AU169" s="234"/>
      <c r="AV169" s="234"/>
      <c r="AW169" s="234"/>
      <c r="AX169" s="234"/>
      <c r="AY169" s="234"/>
      <c r="AZ169" s="234"/>
      <c r="BA169" s="234"/>
      <c r="BB169" s="16">
        <f t="shared" ref="BB169:BB177" si="183">SUM(AU169:BA169)-AT169</f>
        <v>0</v>
      </c>
    </row>
    <row r="170" spans="1:54" ht="15.6" outlineLevel="2">
      <c r="A170" s="98"/>
      <c r="B170" s="102"/>
      <c r="C170" s="23"/>
      <c r="D170" s="269"/>
      <c r="E170" s="271"/>
      <c r="F170" s="250"/>
      <c r="G170" s="255"/>
      <c r="H170" s="272"/>
      <c r="I170" s="258"/>
      <c r="J170" s="259"/>
      <c r="K170" s="259"/>
      <c r="L170" s="106" t="str">
        <f>IF(I170&lt;&gt;0,((VLOOKUP(I170,'1. Standard_Cost'!$B$4:$D$11,2)+VLOOKUP(I170,'1. Standard_Cost'!$B$4:$D$11,3))*J170*K170),"0")</f>
        <v>0</v>
      </c>
      <c r="M170" s="106">
        <f>L170*'1. Standard_Cost'!$F$4</f>
        <v>0</v>
      </c>
      <c r="N170" s="260"/>
      <c r="O170" s="260"/>
      <c r="P170" s="260"/>
      <c r="Q170" s="260"/>
      <c r="R170" s="108">
        <f>'1. Standard_Cost'!$B$15*N170*P170</f>
        <v>0</v>
      </c>
      <c r="S170" s="108">
        <f>N170*O170*P170*'1. Standard_Cost'!$C$15</f>
        <v>0</v>
      </c>
      <c r="T170" s="108">
        <f>N170*P170*Q170*'1. Standard_Cost'!$D$15</f>
        <v>0</v>
      </c>
      <c r="U170" s="108">
        <f>N170*O170*'1. Standard_Cost'!$E$15</f>
        <v>0</v>
      </c>
      <c r="V170" s="260"/>
      <c r="W170" s="260"/>
      <c r="X170" s="260"/>
      <c r="Y170" s="108">
        <f>+V170*((X170*'1. Standard_Cost'!$B$19)+(W170*X170*'1. Standard_Cost'!$C$19))</f>
        <v>0</v>
      </c>
      <c r="Z170" s="260"/>
      <c r="AA170" s="260"/>
      <c r="AB170" s="108">
        <f>+Z170*'1. Standard_Cost'!$B$23+AA170*'1. Standard_Cost'!$C$23</f>
        <v>0</v>
      </c>
      <c r="AC170" s="261"/>
      <c r="AD170" s="262"/>
      <c r="AE170" s="108">
        <f>SUM(AD170,AC170,AB170,Y170,U170,T170,S170,R170)*'1. Standard_Cost'!$B$31</f>
        <v>0</v>
      </c>
      <c r="AF170" s="108">
        <f t="shared" si="179"/>
        <v>0</v>
      </c>
      <c r="AG170" s="260"/>
      <c r="AH170" s="260"/>
      <c r="AI170" s="260"/>
      <c r="AJ170" s="263"/>
      <c r="AK170" s="263"/>
      <c r="AL170" s="263"/>
      <c r="AM170" s="108">
        <f>AG170*'1. Standard_Cost'!$B$27+'Incremental_Cost Year 8'!AH170*'1. Standard_Cost'!$C$27+'Incremental_Cost Year 8'!AI170*'1. Standard_Cost'!$D$27+'Incremental_Cost Year 8'!AJ170+'Incremental_Cost Year 8'!AL170+AK170</f>
        <v>0</v>
      </c>
      <c r="AN170" s="108">
        <f>AM170*'1. Standard_Cost'!$C$31</f>
        <v>0</v>
      </c>
      <c r="AO170" s="125" t="s">
        <v>388</v>
      </c>
      <c r="AQ170" s="14">
        <f t="shared" si="180"/>
        <v>0</v>
      </c>
      <c r="AR170" s="14">
        <f t="shared" si="181"/>
        <v>0</v>
      </c>
      <c r="AS170" s="14">
        <f t="shared" si="182"/>
        <v>0</v>
      </c>
      <c r="AT170" s="14">
        <f t="shared" ref="AT170:AT177" si="184">SUM(AQ170,AR170,AS170)</f>
        <v>0</v>
      </c>
      <c r="AU170" s="234"/>
      <c r="AV170" s="234"/>
      <c r="AW170" s="234"/>
      <c r="AX170" s="234"/>
      <c r="AY170" s="234"/>
      <c r="AZ170" s="234"/>
      <c r="BA170" s="234"/>
      <c r="BB170" s="16">
        <f t="shared" si="183"/>
        <v>0</v>
      </c>
    </row>
    <row r="171" spans="1:54" ht="27.6" outlineLevel="2">
      <c r="A171" s="98"/>
      <c r="B171" s="102"/>
      <c r="C171" s="23"/>
      <c r="D171" s="269"/>
      <c r="E171" s="271"/>
      <c r="F171" s="250"/>
      <c r="G171" s="255"/>
      <c r="H171" s="272"/>
      <c r="I171" s="258"/>
      <c r="J171" s="259"/>
      <c r="K171" s="259"/>
      <c r="L171" s="106" t="str">
        <f>IF(I171&lt;&gt;0,((VLOOKUP(I171,'1. Standard_Cost'!$B$4:$D$11,2)+VLOOKUP(I171,'1. Standard_Cost'!$B$4:$D$11,3))*J171*K171),"0")</f>
        <v>0</v>
      </c>
      <c r="M171" s="106">
        <f>L171*'1. Standard_Cost'!$F$4</f>
        <v>0</v>
      </c>
      <c r="N171" s="260"/>
      <c r="O171" s="260"/>
      <c r="P171" s="260"/>
      <c r="Q171" s="260"/>
      <c r="R171" s="108">
        <f>'1. Standard_Cost'!$B$15*N171*P171</f>
        <v>0</v>
      </c>
      <c r="S171" s="108">
        <f>N171*O171*P171*'1. Standard_Cost'!$C$15</f>
        <v>0</v>
      </c>
      <c r="T171" s="108">
        <f>N171*P171*Q171*'1. Standard_Cost'!$D$15</f>
        <v>0</v>
      </c>
      <c r="U171" s="108">
        <f>N171*O171*'1. Standard_Cost'!$E$15</f>
        <v>0</v>
      </c>
      <c r="V171" s="260"/>
      <c r="W171" s="260"/>
      <c r="X171" s="260"/>
      <c r="Y171" s="108">
        <f>+V171*((X171*'1. Standard_Cost'!$B$19)+(W171*X171*'1. Standard_Cost'!$C$19))</f>
        <v>0</v>
      </c>
      <c r="Z171" s="260"/>
      <c r="AA171" s="260"/>
      <c r="AB171" s="108">
        <f>+Z171*'1. Standard_Cost'!$B$23+AA171*'1. Standard_Cost'!$C$23</f>
        <v>0</v>
      </c>
      <c r="AC171" s="261"/>
      <c r="AD171" s="262"/>
      <c r="AE171" s="108">
        <f>SUM(AD171,AC171,AB171,Y171,U171,T171,S171,R171)*'1. Standard_Cost'!$B$31</f>
        <v>0</v>
      </c>
      <c r="AF171" s="108">
        <f t="shared" si="179"/>
        <v>0</v>
      </c>
      <c r="AG171" s="260"/>
      <c r="AH171" s="260"/>
      <c r="AI171" s="260"/>
      <c r="AJ171" s="263"/>
      <c r="AK171" s="263"/>
      <c r="AL171" s="263"/>
      <c r="AM171" s="108">
        <f>AG171*'1. Standard_Cost'!$B$27+'Incremental_Cost Year 8'!AH171*'1. Standard_Cost'!$C$27+'Incremental_Cost Year 8'!AI171*'1. Standard_Cost'!$D$27+'Incremental_Cost Year 8'!AJ171+'Incremental_Cost Year 8'!AL171+AK171</f>
        <v>0</v>
      </c>
      <c r="AN171" s="108">
        <f>AM171*'1. Standard_Cost'!$C$31</f>
        <v>0</v>
      </c>
      <c r="AO171" s="125" t="s">
        <v>389</v>
      </c>
      <c r="AQ171" s="14">
        <f t="shared" si="180"/>
        <v>0</v>
      </c>
      <c r="AR171" s="14">
        <f t="shared" si="181"/>
        <v>0</v>
      </c>
      <c r="AS171" s="14">
        <f t="shared" si="182"/>
        <v>0</v>
      </c>
      <c r="AT171" s="14">
        <f t="shared" si="184"/>
        <v>0</v>
      </c>
      <c r="AU171" s="234"/>
      <c r="AV171" s="234"/>
      <c r="AW171" s="234"/>
      <c r="AX171" s="234"/>
      <c r="AY171" s="234"/>
      <c r="AZ171" s="234"/>
      <c r="BA171" s="234"/>
      <c r="BB171" s="16">
        <f t="shared" si="183"/>
        <v>0</v>
      </c>
    </row>
    <row r="172" spans="1:54" ht="15.6" outlineLevel="2">
      <c r="A172" s="98"/>
      <c r="B172" s="102"/>
      <c r="C172" s="23"/>
      <c r="D172" s="269"/>
      <c r="E172" s="271"/>
      <c r="F172" s="250"/>
      <c r="G172" s="255"/>
      <c r="H172" s="272"/>
      <c r="I172" s="258"/>
      <c r="J172" s="259"/>
      <c r="K172" s="259"/>
      <c r="L172" s="106" t="str">
        <f>IF(I172&lt;&gt;0,((VLOOKUP(I172,'1. Standard_Cost'!$B$4:$D$11,2)+VLOOKUP(I172,'1. Standard_Cost'!$B$4:$D$11,3))*J172*K172),"0")</f>
        <v>0</v>
      </c>
      <c r="M172" s="106">
        <f>L172*'1. Standard_Cost'!$F$4</f>
        <v>0</v>
      </c>
      <c r="N172" s="260"/>
      <c r="O172" s="260"/>
      <c r="P172" s="260"/>
      <c r="Q172" s="260"/>
      <c r="R172" s="108">
        <f>'1. Standard_Cost'!$B$15*N172*P172</f>
        <v>0</v>
      </c>
      <c r="S172" s="108">
        <f>N172*O172*P172*'1. Standard_Cost'!$C$15</f>
        <v>0</v>
      </c>
      <c r="T172" s="108">
        <f>N172*P172*Q172*'1. Standard_Cost'!$D$15</f>
        <v>0</v>
      </c>
      <c r="U172" s="108">
        <f>N172*O172*'1. Standard_Cost'!$E$15</f>
        <v>0</v>
      </c>
      <c r="V172" s="260"/>
      <c r="W172" s="260"/>
      <c r="X172" s="260"/>
      <c r="Y172" s="108">
        <f>+V172*((X172*'1. Standard_Cost'!$B$19)+(W172*X172*'1. Standard_Cost'!$C$19))</f>
        <v>0</v>
      </c>
      <c r="Z172" s="260"/>
      <c r="AA172" s="260"/>
      <c r="AB172" s="108">
        <f>+Z172*'1. Standard_Cost'!$B$23+AA172*'1. Standard_Cost'!$C$23</f>
        <v>0</v>
      </c>
      <c r="AC172" s="261"/>
      <c r="AD172" s="262"/>
      <c r="AE172" s="108">
        <f>SUM(AD172,AC172,AB172,Y172,U172,T172,S172,R172)*'1. Standard_Cost'!$B$31</f>
        <v>0</v>
      </c>
      <c r="AF172" s="108">
        <f t="shared" si="179"/>
        <v>0</v>
      </c>
      <c r="AG172" s="260"/>
      <c r="AH172" s="260"/>
      <c r="AI172" s="260"/>
      <c r="AJ172" s="263"/>
      <c r="AK172" s="263"/>
      <c r="AL172" s="263"/>
      <c r="AM172" s="108">
        <f>AG172*'1. Standard_Cost'!$B$27+'Incremental_Cost Year 8'!AH172*'1. Standard_Cost'!$C$27+'Incremental_Cost Year 8'!AI172*'1. Standard_Cost'!$D$27+'Incremental_Cost Year 8'!AJ172+'Incremental_Cost Year 8'!AL172+AK172</f>
        <v>0</v>
      </c>
      <c r="AN172" s="108">
        <f>AM172*'1. Standard_Cost'!$C$31</f>
        <v>0</v>
      </c>
      <c r="AO172" s="125" t="s">
        <v>390</v>
      </c>
      <c r="AQ172" s="14">
        <f t="shared" si="180"/>
        <v>0</v>
      </c>
      <c r="AR172" s="14">
        <f t="shared" si="181"/>
        <v>0</v>
      </c>
      <c r="AS172" s="14">
        <f t="shared" si="182"/>
        <v>0</v>
      </c>
      <c r="AT172" s="14">
        <f t="shared" si="184"/>
        <v>0</v>
      </c>
      <c r="AU172" s="234"/>
      <c r="AV172" s="234"/>
      <c r="AW172" s="234"/>
      <c r="AX172" s="234"/>
      <c r="AY172" s="234"/>
      <c r="AZ172" s="234"/>
      <c r="BA172" s="234"/>
      <c r="BB172" s="16">
        <f t="shared" si="183"/>
        <v>0</v>
      </c>
    </row>
    <row r="173" spans="1:54" ht="15.6" outlineLevel="2">
      <c r="A173" s="98"/>
      <c r="B173" s="102"/>
      <c r="C173" s="23"/>
      <c r="D173" s="269"/>
      <c r="E173" s="271"/>
      <c r="F173" s="250"/>
      <c r="G173" s="255"/>
      <c r="H173" s="272"/>
      <c r="I173" s="258"/>
      <c r="J173" s="259"/>
      <c r="K173" s="259"/>
      <c r="L173" s="106" t="str">
        <f>IF(I173&lt;&gt;0,((VLOOKUP(I173,'1. Standard_Cost'!$B$4:$D$11,2)+VLOOKUP(I173,'1. Standard_Cost'!$B$4:$D$11,3))*J173*K173),"0")</f>
        <v>0</v>
      </c>
      <c r="M173" s="106">
        <f>L173*'1. Standard_Cost'!$F$4</f>
        <v>0</v>
      </c>
      <c r="N173" s="260"/>
      <c r="O173" s="260"/>
      <c r="P173" s="260"/>
      <c r="Q173" s="260"/>
      <c r="R173" s="108">
        <f>'1. Standard_Cost'!$B$15*N173*P173</f>
        <v>0</v>
      </c>
      <c r="S173" s="108">
        <f>N173*O173*P173*'1. Standard_Cost'!$C$15</f>
        <v>0</v>
      </c>
      <c r="T173" s="108">
        <f>N173*P173*Q173*'1. Standard_Cost'!$D$15</f>
        <v>0</v>
      </c>
      <c r="U173" s="108">
        <f>N173*O173*'1. Standard_Cost'!$E$15</f>
        <v>0</v>
      </c>
      <c r="V173" s="260"/>
      <c r="W173" s="260"/>
      <c r="X173" s="260"/>
      <c r="Y173" s="108">
        <f>+V173*((X173*'1. Standard_Cost'!$B$19)+(W173*X173*'1. Standard_Cost'!$C$19))</f>
        <v>0</v>
      </c>
      <c r="Z173" s="260"/>
      <c r="AA173" s="260"/>
      <c r="AB173" s="108">
        <f>+Z173*'1. Standard_Cost'!$B$23+AA173*'1. Standard_Cost'!$C$23</f>
        <v>0</v>
      </c>
      <c r="AC173" s="261"/>
      <c r="AD173" s="262"/>
      <c r="AE173" s="108">
        <f>SUM(AD173,AC173,AB173,Y173,U173,T173,S173,R173)*'1. Standard_Cost'!$B$31</f>
        <v>0</v>
      </c>
      <c r="AF173" s="108">
        <f t="shared" si="179"/>
        <v>0</v>
      </c>
      <c r="AG173" s="260"/>
      <c r="AH173" s="260"/>
      <c r="AI173" s="260"/>
      <c r="AJ173" s="263"/>
      <c r="AK173" s="263"/>
      <c r="AL173" s="263"/>
      <c r="AM173" s="108">
        <f>AG173*'1. Standard_Cost'!$B$27+'Incremental_Cost Year 8'!AH173*'1. Standard_Cost'!$C$27+'Incremental_Cost Year 8'!AI173*'1. Standard_Cost'!$D$27+'Incremental_Cost Year 8'!AJ173+'Incremental_Cost Year 8'!AL173+AK173</f>
        <v>0</v>
      </c>
      <c r="AN173" s="108">
        <f>AM173*'1. Standard_Cost'!$C$31</f>
        <v>0</v>
      </c>
      <c r="AO173" s="125" t="s">
        <v>391</v>
      </c>
      <c r="AQ173" s="14">
        <f t="shared" si="180"/>
        <v>0</v>
      </c>
      <c r="AR173" s="14">
        <f t="shared" si="181"/>
        <v>0</v>
      </c>
      <c r="AS173" s="14">
        <f t="shared" si="182"/>
        <v>0</v>
      </c>
      <c r="AT173" s="14">
        <f t="shared" si="184"/>
        <v>0</v>
      </c>
      <c r="AU173" s="234"/>
      <c r="AV173" s="234"/>
      <c r="AW173" s="234"/>
      <c r="AX173" s="234"/>
      <c r="AY173" s="234"/>
      <c r="AZ173" s="234"/>
      <c r="BA173" s="234"/>
      <c r="BB173" s="16">
        <f t="shared" si="183"/>
        <v>0</v>
      </c>
    </row>
    <row r="174" spans="1:54" ht="15.6" outlineLevel="2">
      <c r="A174" s="98"/>
      <c r="B174" s="102"/>
      <c r="C174" s="23"/>
      <c r="D174" s="269"/>
      <c r="E174" s="271"/>
      <c r="F174" s="250"/>
      <c r="G174" s="255"/>
      <c r="H174" s="272"/>
      <c r="I174" s="258"/>
      <c r="J174" s="259"/>
      <c r="K174" s="259"/>
      <c r="L174" s="106" t="str">
        <f>IF(I174&lt;&gt;0,((VLOOKUP(I174,'1. Standard_Cost'!$B$4:$D$11,2)+VLOOKUP(I174,'1. Standard_Cost'!$B$4:$D$11,3))*J174*K174),"0")</f>
        <v>0</v>
      </c>
      <c r="M174" s="106">
        <f>L174*'1. Standard_Cost'!$F$4</f>
        <v>0</v>
      </c>
      <c r="N174" s="260"/>
      <c r="O174" s="260"/>
      <c r="P174" s="260"/>
      <c r="Q174" s="260"/>
      <c r="R174" s="108">
        <f>'1. Standard_Cost'!$B$15*N174*P174</f>
        <v>0</v>
      </c>
      <c r="S174" s="108">
        <f>N174*O174*P174*'1. Standard_Cost'!$C$15</f>
        <v>0</v>
      </c>
      <c r="T174" s="108">
        <f>N174*P174*Q174*'1. Standard_Cost'!$D$15</f>
        <v>0</v>
      </c>
      <c r="U174" s="108">
        <f>N174*O174*'1. Standard_Cost'!$E$15</f>
        <v>0</v>
      </c>
      <c r="V174" s="260"/>
      <c r="W174" s="260"/>
      <c r="X174" s="260"/>
      <c r="Y174" s="108">
        <f>+V174*((X174*'1. Standard_Cost'!$B$19)+(W174*X174*'1. Standard_Cost'!$C$19))</f>
        <v>0</v>
      </c>
      <c r="Z174" s="260"/>
      <c r="AA174" s="260"/>
      <c r="AB174" s="108">
        <f>+Z174*'1. Standard_Cost'!$B$23+AA174*'1. Standard_Cost'!$C$23</f>
        <v>0</v>
      </c>
      <c r="AC174" s="261"/>
      <c r="AD174" s="262"/>
      <c r="AE174" s="108">
        <f>SUM(AD174,AC174,AB174,Y174,U174,T174,S174,R174)*'1. Standard_Cost'!$B$31</f>
        <v>0</v>
      </c>
      <c r="AF174" s="108">
        <f t="shared" si="179"/>
        <v>0</v>
      </c>
      <c r="AG174" s="260"/>
      <c r="AH174" s="260"/>
      <c r="AI174" s="260"/>
      <c r="AJ174" s="263"/>
      <c r="AK174" s="263"/>
      <c r="AL174" s="263"/>
      <c r="AM174" s="108">
        <f>AG174*'1. Standard_Cost'!$B$27+'Incremental_Cost Year 8'!AH174*'1. Standard_Cost'!$C$27+'Incremental_Cost Year 8'!AI174*'1. Standard_Cost'!$D$27+'Incremental_Cost Year 8'!AJ174+'Incremental_Cost Year 8'!AL174+AK174</f>
        <v>0</v>
      </c>
      <c r="AN174" s="108">
        <f>AM174*'1. Standard_Cost'!$C$31</f>
        <v>0</v>
      </c>
      <c r="AO174" s="125" t="s">
        <v>392</v>
      </c>
      <c r="AQ174" s="14">
        <f t="shared" si="180"/>
        <v>0</v>
      </c>
      <c r="AR174" s="14">
        <f t="shared" si="181"/>
        <v>0</v>
      </c>
      <c r="AS174" s="14">
        <f t="shared" si="182"/>
        <v>0</v>
      </c>
      <c r="AT174" s="14">
        <f t="shared" si="184"/>
        <v>0</v>
      </c>
      <c r="AU174" s="234"/>
      <c r="AV174" s="234"/>
      <c r="AW174" s="234"/>
      <c r="AX174" s="234"/>
      <c r="AY174" s="234"/>
      <c r="AZ174" s="234"/>
      <c r="BA174" s="234"/>
      <c r="BB174" s="16">
        <f t="shared" si="183"/>
        <v>0</v>
      </c>
    </row>
    <row r="175" spans="1:54" ht="27.6" outlineLevel="2">
      <c r="A175" s="98"/>
      <c r="B175" s="102"/>
      <c r="C175" s="23"/>
      <c r="D175" s="269"/>
      <c r="E175" s="271"/>
      <c r="F175" s="250"/>
      <c r="G175" s="255"/>
      <c r="H175" s="272"/>
      <c r="I175" s="258"/>
      <c r="J175" s="259"/>
      <c r="K175" s="259"/>
      <c r="L175" s="106" t="str">
        <f>IF(I175&lt;&gt;0,((VLOOKUP(I175,'1. Standard_Cost'!$B$4:$D$11,2)+VLOOKUP(I175,'1. Standard_Cost'!$B$4:$D$11,3))*J175*K175),"0")</f>
        <v>0</v>
      </c>
      <c r="M175" s="106">
        <f>L175*'1. Standard_Cost'!$F$4</f>
        <v>0</v>
      </c>
      <c r="N175" s="260"/>
      <c r="O175" s="260"/>
      <c r="P175" s="260"/>
      <c r="Q175" s="260"/>
      <c r="R175" s="108">
        <f>'1. Standard_Cost'!$B$15*N175*P175</f>
        <v>0</v>
      </c>
      <c r="S175" s="108">
        <f>N175*O175*P175*'1. Standard_Cost'!$C$15</f>
        <v>0</v>
      </c>
      <c r="T175" s="108">
        <f>N175*P175*Q175*'1. Standard_Cost'!$D$15</f>
        <v>0</v>
      </c>
      <c r="U175" s="108">
        <f>N175*O175*'1. Standard_Cost'!$E$15</f>
        <v>0</v>
      </c>
      <c r="V175" s="260"/>
      <c r="W175" s="260"/>
      <c r="X175" s="260"/>
      <c r="Y175" s="108">
        <f>+V175*((X175*'1. Standard_Cost'!$B$19)+(W175*X175*'1. Standard_Cost'!$C$19))</f>
        <v>0</v>
      </c>
      <c r="Z175" s="260"/>
      <c r="AA175" s="260"/>
      <c r="AB175" s="108">
        <f>+Z175*'1. Standard_Cost'!$B$23+AA175*'1. Standard_Cost'!$C$23</f>
        <v>0</v>
      </c>
      <c r="AC175" s="261"/>
      <c r="AD175" s="262"/>
      <c r="AE175" s="108">
        <f>SUM(AD175,AC175,AB175,Y175,U175,T175,S175,R175)*'1. Standard_Cost'!$B$31</f>
        <v>0</v>
      </c>
      <c r="AF175" s="108">
        <f t="shared" si="179"/>
        <v>0</v>
      </c>
      <c r="AG175" s="260"/>
      <c r="AH175" s="260"/>
      <c r="AI175" s="260"/>
      <c r="AJ175" s="263"/>
      <c r="AK175" s="263"/>
      <c r="AL175" s="263"/>
      <c r="AM175" s="108">
        <f>AG175*'1. Standard_Cost'!$B$27+'Incremental_Cost Year 8'!AH175*'1. Standard_Cost'!$C$27+'Incremental_Cost Year 8'!AI175*'1. Standard_Cost'!$D$27+'Incremental_Cost Year 8'!AJ175+'Incremental_Cost Year 8'!AL175+AK175</f>
        <v>0</v>
      </c>
      <c r="AN175" s="108">
        <f>AM175*'1. Standard_Cost'!$C$31</f>
        <v>0</v>
      </c>
      <c r="AO175" s="125" t="s">
        <v>393</v>
      </c>
      <c r="AQ175" s="14">
        <f t="shared" si="180"/>
        <v>0</v>
      </c>
      <c r="AR175" s="14">
        <f t="shared" si="181"/>
        <v>0</v>
      </c>
      <c r="AS175" s="14">
        <f t="shared" si="182"/>
        <v>0</v>
      </c>
      <c r="AT175" s="14">
        <f t="shared" si="184"/>
        <v>0</v>
      </c>
      <c r="AU175" s="234"/>
      <c r="AV175" s="234"/>
      <c r="AW175" s="234"/>
      <c r="AX175" s="234"/>
      <c r="AY175" s="234"/>
      <c r="AZ175" s="234"/>
      <c r="BA175" s="234"/>
      <c r="BB175" s="16">
        <f t="shared" si="183"/>
        <v>0</v>
      </c>
    </row>
    <row r="176" spans="1:54" ht="25.2" customHeight="1" outlineLevel="2">
      <c r="A176" s="98"/>
      <c r="B176" s="102"/>
      <c r="C176" s="23"/>
      <c r="D176" s="269"/>
      <c r="E176" s="271"/>
      <c r="F176" s="271"/>
      <c r="G176" s="167"/>
      <c r="H176" s="272"/>
      <c r="I176" s="258"/>
      <c r="J176" s="259"/>
      <c r="K176" s="259"/>
      <c r="L176" s="106" t="str">
        <f>IF(I176&lt;&gt;0,((VLOOKUP(I176,'[1]1. Standard_Cost'!$B$4:$D$11,2)+VLOOKUP(I176,'[1]1. Standard_Cost'!$B$4:$D$11,3))*J176*K176),"0")</f>
        <v>0</v>
      </c>
      <c r="M176" s="106">
        <f>L176*'[1]1. Standard_Cost'!$F$4</f>
        <v>0</v>
      </c>
      <c r="N176" s="260"/>
      <c r="O176" s="260"/>
      <c r="P176" s="260"/>
      <c r="Q176" s="260"/>
      <c r="R176" s="108">
        <f>'[1]1. Standard_Cost'!$B$15*N176*P176</f>
        <v>0</v>
      </c>
      <c r="S176" s="108">
        <f>N176*O176*P176*'[1]1. Standard_Cost'!$C$15</f>
        <v>0</v>
      </c>
      <c r="T176" s="108">
        <f>N176*P176*Q176*'[1]1. Standard_Cost'!$D$15</f>
        <v>0</v>
      </c>
      <c r="U176" s="108">
        <f>N176*O176*'[1]1. Standard_Cost'!$E$15</f>
        <v>0</v>
      </c>
      <c r="V176" s="260"/>
      <c r="W176" s="260"/>
      <c r="X176" s="260"/>
      <c r="Y176" s="108">
        <f>+V176*((X176*'[1]1. Standard_Cost'!$B$19)+(W176*X176*'[1]1. Standard_Cost'!$C$19))</f>
        <v>0</v>
      </c>
      <c r="Z176" s="260"/>
      <c r="AA176" s="260"/>
      <c r="AB176" s="108">
        <f>+Z176*'[1]1. Standard_Cost'!$B$23+AA176*'[1]1. Standard_Cost'!$C$23</f>
        <v>0</v>
      </c>
      <c r="AC176" s="261"/>
      <c r="AD176" s="262"/>
      <c r="AE176" s="108">
        <f>SUM(AD176,AC176,AB176,Y176,U176,T176,S176,R176)*'[1]1. Standard_Cost'!$B$31</f>
        <v>0</v>
      </c>
      <c r="AF176" s="108">
        <f t="shared" si="179"/>
        <v>0</v>
      </c>
      <c r="AG176" s="260"/>
      <c r="AH176" s="260"/>
      <c r="AI176" s="260"/>
      <c r="AJ176" s="263"/>
      <c r="AK176" s="263"/>
      <c r="AL176" s="263"/>
      <c r="AM176" s="108">
        <f>AG176*'[1]1. Standard_Cost'!$B$27+'[1]Incremental_Cost Year 8'!AH176*'[1]1. Standard_Cost'!$C$27+'[1]Incremental_Cost Year 8'!AI176*'[1]1. Standard_Cost'!$D$27+'[1]Incremental_Cost Year 8'!AJ176+'[1]Incremental_Cost Year 8'!AL176+AK176</f>
        <v>0</v>
      </c>
      <c r="AN176" s="108">
        <f>AM176*'[1]1. Standard_Cost'!$C$31</f>
        <v>0</v>
      </c>
      <c r="AO176" s="125" t="s">
        <v>393</v>
      </c>
      <c r="AQ176" s="14">
        <f t="shared" si="180"/>
        <v>0</v>
      </c>
      <c r="AR176" s="14">
        <f t="shared" si="181"/>
        <v>0</v>
      </c>
      <c r="AS176" s="14">
        <f t="shared" si="182"/>
        <v>0</v>
      </c>
      <c r="AT176" s="14">
        <f t="shared" si="184"/>
        <v>0</v>
      </c>
      <c r="AU176" s="234"/>
      <c r="AV176" s="234"/>
      <c r="AW176" s="234"/>
      <c r="AX176" s="234"/>
      <c r="AY176" s="234"/>
      <c r="AZ176" s="234"/>
      <c r="BA176" s="234"/>
      <c r="BB176" s="16">
        <f t="shared" si="183"/>
        <v>0</v>
      </c>
    </row>
    <row r="177" spans="1:54" ht="27.6" outlineLevel="2">
      <c r="A177" s="98"/>
      <c r="B177" s="102"/>
      <c r="C177" s="23"/>
      <c r="D177" s="269"/>
      <c r="E177" s="271"/>
      <c r="F177" s="250"/>
      <c r="G177" s="255"/>
      <c r="H177" s="272"/>
      <c r="I177" s="258"/>
      <c r="J177" s="259"/>
      <c r="K177" s="259"/>
      <c r="L177" s="106" t="str">
        <f>IF(I177&lt;&gt;0,((VLOOKUP(I177,'1. Standard_Cost'!$B$4:$D$11,2)+VLOOKUP(I177,'1. Standard_Cost'!$B$4:$D$11,3))*J177*K177),"0")</f>
        <v>0</v>
      </c>
      <c r="M177" s="106">
        <f>L177*'1. Standard_Cost'!$F$4</f>
        <v>0</v>
      </c>
      <c r="N177" s="260"/>
      <c r="O177" s="260"/>
      <c r="P177" s="260"/>
      <c r="Q177" s="260"/>
      <c r="R177" s="108">
        <f>'1. Standard_Cost'!$B$15*N177*P177</f>
        <v>0</v>
      </c>
      <c r="S177" s="108">
        <f>N177*O177*P177*'1. Standard_Cost'!$C$15</f>
        <v>0</v>
      </c>
      <c r="T177" s="108">
        <f>N177*P177*Q177*'1. Standard_Cost'!$D$15</f>
        <v>0</v>
      </c>
      <c r="U177" s="108">
        <f>N177*O177*'1. Standard_Cost'!$E$15</f>
        <v>0</v>
      </c>
      <c r="V177" s="260"/>
      <c r="W177" s="260"/>
      <c r="X177" s="260"/>
      <c r="Y177" s="108">
        <f>+V177*((X177*'1. Standard_Cost'!$B$19)+(W177*X177*'1. Standard_Cost'!$C$19))</f>
        <v>0</v>
      </c>
      <c r="Z177" s="260"/>
      <c r="AA177" s="260"/>
      <c r="AB177" s="108">
        <f>+Z177*'1. Standard_Cost'!$B$23+AA177*'1. Standard_Cost'!$C$23</f>
        <v>0</v>
      </c>
      <c r="AC177" s="261"/>
      <c r="AD177" s="262"/>
      <c r="AE177" s="108">
        <f>SUM(AD177,AC177,AB177,Y177,U177,T177,S177,R177)*'1. Standard_Cost'!$B$31</f>
        <v>0</v>
      </c>
      <c r="AF177" s="108">
        <f t="shared" si="179"/>
        <v>0</v>
      </c>
      <c r="AG177" s="260"/>
      <c r="AH177" s="260"/>
      <c r="AI177" s="260"/>
      <c r="AJ177" s="263"/>
      <c r="AK177" s="263"/>
      <c r="AL177" s="263"/>
      <c r="AM177" s="108">
        <f>AG177*'1. Standard_Cost'!$B$27+'Incremental_Cost Year 8'!AH177*'1. Standard_Cost'!$C$27+'Incremental_Cost Year 8'!AI177*'1. Standard_Cost'!$D$27+'Incremental_Cost Year 8'!AJ177+'Incremental_Cost Year 8'!AL177+AK177</f>
        <v>0</v>
      </c>
      <c r="AN177" s="108">
        <f>AM177*'1. Standard_Cost'!$C$31</f>
        <v>0</v>
      </c>
      <c r="AO177" s="125" t="s">
        <v>394</v>
      </c>
      <c r="AQ177" s="14">
        <f t="shared" si="180"/>
        <v>0</v>
      </c>
      <c r="AR177" s="14">
        <f t="shared" si="181"/>
        <v>0</v>
      </c>
      <c r="AS177" s="14">
        <f t="shared" si="182"/>
        <v>0</v>
      </c>
      <c r="AT177" s="14">
        <f t="shared" si="184"/>
        <v>0</v>
      </c>
      <c r="AU177" s="234"/>
      <c r="AV177" s="234"/>
      <c r="AW177" s="234"/>
      <c r="AX177" s="234"/>
      <c r="AY177" s="234"/>
      <c r="AZ177" s="234"/>
      <c r="BA177" s="234"/>
      <c r="BB177" s="16">
        <f t="shared" si="183"/>
        <v>0</v>
      </c>
    </row>
    <row r="178" spans="1:54" ht="27.6" outlineLevel="1">
      <c r="A178" s="98"/>
      <c r="B178" s="102"/>
      <c r="C178" s="23"/>
      <c r="D178" s="56" t="s">
        <v>47</v>
      </c>
      <c r="E178" s="56" t="s">
        <v>239</v>
      </c>
      <c r="F178" s="253">
        <v>2021</v>
      </c>
      <c r="G178" s="254">
        <v>2026</v>
      </c>
      <c r="H178" s="279" t="s">
        <v>240</v>
      </c>
      <c r="I178" s="264"/>
      <c r="J178" s="264"/>
      <c r="K178" s="264"/>
      <c r="L178" s="113">
        <f>SUM(L169:L177)</f>
        <v>0</v>
      </c>
      <c r="M178" s="113">
        <f>SUM(M169:M177)</f>
        <v>0</v>
      </c>
      <c r="N178" s="264"/>
      <c r="O178" s="264"/>
      <c r="P178" s="264"/>
      <c r="Q178" s="264"/>
      <c r="R178" s="113">
        <f>SUM(R169:R177)</f>
        <v>0</v>
      </c>
      <c r="S178" s="113">
        <f>SUM(S169:S177)</f>
        <v>0</v>
      </c>
      <c r="T178" s="113">
        <f>SUM(T169:T177)</f>
        <v>0</v>
      </c>
      <c r="U178" s="113">
        <f>SUM(U169:U177)</f>
        <v>0</v>
      </c>
      <c r="V178" s="264"/>
      <c r="W178" s="264"/>
      <c r="X178" s="264"/>
      <c r="Y178" s="113">
        <f>SUM(Y169:Y177)</f>
        <v>0</v>
      </c>
      <c r="Z178" s="265"/>
      <c r="AA178" s="264"/>
      <c r="AB178" s="113">
        <f>SUM(AB169:AB177)</f>
        <v>0</v>
      </c>
      <c r="AC178" s="265">
        <f>SUM(AC169:AC177)</f>
        <v>0</v>
      </c>
      <c r="AD178" s="265">
        <f>SUM(AD169:AD177)</f>
        <v>0</v>
      </c>
      <c r="AE178" s="113">
        <f>SUM(AE169:AE177)</f>
        <v>0</v>
      </c>
      <c r="AF178" s="113">
        <f>SUM(AF169:AF177)</f>
        <v>0</v>
      </c>
      <c r="AG178" s="264"/>
      <c r="AH178" s="264"/>
      <c r="AI178" s="264"/>
      <c r="AJ178" s="265">
        <f>SUM(AJ169:AJ177)</f>
        <v>0</v>
      </c>
      <c r="AK178" s="265">
        <f>SUM(AK169:AK177)</f>
        <v>0</v>
      </c>
      <c r="AL178" s="265">
        <f>SUM(AL169:AL177)</f>
        <v>0</v>
      </c>
      <c r="AM178" s="113">
        <f>SUM(AM169:AM177)</f>
        <v>0</v>
      </c>
      <c r="AN178" s="113">
        <f>SUM(AN169:AN177)</f>
        <v>0</v>
      </c>
      <c r="AO178" s="131"/>
      <c r="AP178" s="17"/>
      <c r="AQ178" s="113">
        <f t="shared" ref="AQ178:BB178" si="185">SUM(AQ169:AQ177)</f>
        <v>0</v>
      </c>
      <c r="AR178" s="113">
        <f t="shared" si="185"/>
        <v>0</v>
      </c>
      <c r="AS178" s="113">
        <f t="shared" si="185"/>
        <v>0</v>
      </c>
      <c r="AT178" s="113">
        <f t="shared" si="185"/>
        <v>0</v>
      </c>
      <c r="AU178" s="265">
        <f t="shared" si="185"/>
        <v>0</v>
      </c>
      <c r="AV178" s="265">
        <f t="shared" si="185"/>
        <v>0</v>
      </c>
      <c r="AW178" s="265">
        <f t="shared" si="185"/>
        <v>0</v>
      </c>
      <c r="AX178" s="265">
        <f t="shared" si="185"/>
        <v>0</v>
      </c>
      <c r="AY178" s="265">
        <f t="shared" si="185"/>
        <v>0</v>
      </c>
      <c r="AZ178" s="265">
        <f t="shared" si="185"/>
        <v>0</v>
      </c>
      <c r="BA178" s="265">
        <f t="shared" si="185"/>
        <v>0</v>
      </c>
      <c r="BB178" s="113">
        <f t="shared" si="185"/>
        <v>0</v>
      </c>
    </row>
    <row r="179" spans="1:54" s="24" customFormat="1" ht="13.8" customHeight="1">
      <c r="A179" s="114"/>
      <c r="B179" s="115"/>
      <c r="C179" s="314" t="s">
        <v>241</v>
      </c>
      <c r="D179" s="314"/>
      <c r="E179" s="315"/>
      <c r="F179" s="246"/>
      <c r="G179" s="246"/>
      <c r="H179" s="278" t="s">
        <v>242</v>
      </c>
      <c r="I179" s="266"/>
      <c r="J179" s="266"/>
      <c r="K179" s="266"/>
      <c r="L179" s="117">
        <f>SUM(L201)</f>
        <v>0</v>
      </c>
      <c r="M179" s="117">
        <f>SUM(M201)</f>
        <v>0</v>
      </c>
      <c r="N179" s="266"/>
      <c r="O179" s="266"/>
      <c r="P179" s="266"/>
      <c r="Q179" s="266"/>
      <c r="R179" s="117">
        <f t="shared" ref="R179:U179" si="186">SUM(R201)</f>
        <v>0</v>
      </c>
      <c r="S179" s="117">
        <f t="shared" si="186"/>
        <v>0</v>
      </c>
      <c r="T179" s="117">
        <f t="shared" si="186"/>
        <v>0</v>
      </c>
      <c r="U179" s="117">
        <f t="shared" si="186"/>
        <v>0</v>
      </c>
      <c r="V179" s="266"/>
      <c r="W179" s="266"/>
      <c r="X179" s="266"/>
      <c r="Y179" s="117">
        <f>SUM(Y201)</f>
        <v>0</v>
      </c>
      <c r="Z179" s="267"/>
      <c r="AA179" s="267"/>
      <c r="AB179" s="117">
        <f t="shared" ref="AB179:AF179" si="187">SUM(AB201)</f>
        <v>0</v>
      </c>
      <c r="AC179" s="267">
        <f t="shared" ref="AC179:AD179" si="188">SUM(AC201)</f>
        <v>0</v>
      </c>
      <c r="AD179" s="267">
        <f t="shared" si="188"/>
        <v>0</v>
      </c>
      <c r="AE179" s="117">
        <f t="shared" si="187"/>
        <v>0</v>
      </c>
      <c r="AF179" s="117">
        <f t="shared" si="187"/>
        <v>0</v>
      </c>
      <c r="AG179" s="266"/>
      <c r="AH179" s="266"/>
      <c r="AI179" s="266"/>
      <c r="AJ179" s="267">
        <f t="shared" ref="AJ179:AL179" si="189">SUM(AJ201)</f>
        <v>0</v>
      </c>
      <c r="AK179" s="267">
        <f t="shared" si="189"/>
        <v>0</v>
      </c>
      <c r="AL179" s="267">
        <f t="shared" si="189"/>
        <v>0</v>
      </c>
      <c r="AM179" s="117">
        <f t="shared" ref="AM179:AN179" si="190">SUM(AM201)</f>
        <v>0</v>
      </c>
      <c r="AN179" s="117">
        <f t="shared" si="190"/>
        <v>0</v>
      </c>
      <c r="AO179" s="132"/>
      <c r="AP179" s="25"/>
      <c r="AQ179" s="117">
        <f t="shared" ref="AQ179:BB179" si="191">SUM(AQ201)</f>
        <v>0</v>
      </c>
      <c r="AR179" s="117">
        <f t="shared" si="191"/>
        <v>0</v>
      </c>
      <c r="AS179" s="117">
        <f t="shared" si="191"/>
        <v>0</v>
      </c>
      <c r="AT179" s="117">
        <f t="shared" si="191"/>
        <v>0</v>
      </c>
      <c r="AU179" s="267">
        <f t="shared" ref="AU179:BA179" si="192">SUM(AU201)</f>
        <v>0</v>
      </c>
      <c r="AV179" s="267">
        <f t="shared" si="192"/>
        <v>0</v>
      </c>
      <c r="AW179" s="267">
        <f t="shared" si="192"/>
        <v>0</v>
      </c>
      <c r="AX179" s="267">
        <f t="shared" si="192"/>
        <v>0</v>
      </c>
      <c r="AY179" s="267">
        <f t="shared" si="192"/>
        <v>0</v>
      </c>
      <c r="AZ179" s="267">
        <f t="shared" si="192"/>
        <v>0</v>
      </c>
      <c r="BA179" s="267">
        <f t="shared" si="192"/>
        <v>0</v>
      </c>
      <c r="BB179" s="117">
        <f t="shared" si="191"/>
        <v>0</v>
      </c>
    </row>
    <row r="180" spans="1:54" ht="15.6" outlineLevel="2">
      <c r="A180" s="98"/>
      <c r="B180" s="102"/>
      <c r="C180" s="23"/>
      <c r="D180" s="257"/>
      <c r="E180" s="123"/>
      <c r="F180" s="249"/>
      <c r="G180" s="283"/>
      <c r="H180" s="272"/>
      <c r="I180" s="258"/>
      <c r="J180" s="259"/>
      <c r="K180" s="259"/>
      <c r="L180" s="106" t="str">
        <f>IF(I180&lt;&gt;0,((VLOOKUP(I180,'1. Standard_Cost'!$B$4:$D$11,2)+VLOOKUP(I180,'1. Standard_Cost'!$B$4:$D$11,3))*J180*K180),"0")</f>
        <v>0</v>
      </c>
      <c r="M180" s="106">
        <f>L180*'1. Standard_Cost'!$F$4</f>
        <v>0</v>
      </c>
      <c r="N180" s="260"/>
      <c r="O180" s="260"/>
      <c r="P180" s="260"/>
      <c r="Q180" s="260"/>
      <c r="R180" s="108">
        <f>'1. Standard_Cost'!$B$15*N180*P180</f>
        <v>0</v>
      </c>
      <c r="S180" s="108">
        <f>N180*O180*P180*'1. Standard_Cost'!$C$15</f>
        <v>0</v>
      </c>
      <c r="T180" s="108">
        <f>N180*P180*Q180*'1. Standard_Cost'!$D$15</f>
        <v>0</v>
      </c>
      <c r="U180" s="108">
        <f>N180*O180*'1. Standard_Cost'!$E$15</f>
        <v>0</v>
      </c>
      <c r="V180" s="260"/>
      <c r="W180" s="260"/>
      <c r="X180" s="260"/>
      <c r="Y180" s="108">
        <f>+V180*((X180*'1. Standard_Cost'!$B$19)+(W180*X180*'1. Standard_Cost'!$C$19))</f>
        <v>0</v>
      </c>
      <c r="Z180" s="260"/>
      <c r="AA180" s="260"/>
      <c r="AB180" s="108">
        <f>+Z180*'1. Standard_Cost'!$B$23+AA180*'1. Standard_Cost'!$C$23</f>
        <v>0</v>
      </c>
      <c r="AC180" s="261"/>
      <c r="AD180" s="262"/>
      <c r="AE180" s="108">
        <f>SUM(AD180,AC180,AB180,Y180,U180,T180,S180,R180)*'1. Standard_Cost'!$B$31</f>
        <v>0</v>
      </c>
      <c r="AF180" s="108">
        <f t="shared" ref="AF180:AF200" si="193">SUM(AE180,AD180,AC180,AB180,Y180,U180,T180,S180,R180)</f>
        <v>0</v>
      </c>
      <c r="AG180" s="260"/>
      <c r="AH180" s="260"/>
      <c r="AI180" s="260"/>
      <c r="AJ180" s="263"/>
      <c r="AK180" s="263"/>
      <c r="AL180" s="263"/>
      <c r="AM180" s="108">
        <f>AG180*'1. Standard_Cost'!$B$27+'Incremental_Cost Year 8'!AH180*'1. Standard_Cost'!$C$27+'Incremental_Cost Year 8'!AI180*'1. Standard_Cost'!$D$27+'Incremental_Cost Year 8'!AJ180+'Incremental_Cost Year 8'!AL180+AK180</f>
        <v>0</v>
      </c>
      <c r="AN180" s="108">
        <f>AM180*'1. Standard_Cost'!$C$31</f>
        <v>0</v>
      </c>
      <c r="AO180" s="125" t="s">
        <v>395</v>
      </c>
      <c r="AQ180" s="14">
        <f t="shared" ref="AQ180:AQ200" si="194">L180+M180</f>
        <v>0</v>
      </c>
      <c r="AR180" s="14">
        <f t="shared" ref="AR180:AR200" si="195">AF180</f>
        <v>0</v>
      </c>
      <c r="AS180" s="14">
        <f t="shared" ref="AS180:AS200" si="196">AM180+AN180</f>
        <v>0</v>
      </c>
      <c r="AT180" s="14">
        <f>SUM(AQ180,AR180,AS180)</f>
        <v>0</v>
      </c>
      <c r="AU180" s="234"/>
      <c r="AV180" s="234"/>
      <c r="AW180" s="234"/>
      <c r="AX180" s="234"/>
      <c r="AY180" s="234"/>
      <c r="AZ180" s="234"/>
      <c r="BA180" s="234"/>
      <c r="BB180" s="16">
        <f t="shared" ref="BB180:BB200" si="197">SUM(AU180:BA180)-AT180</f>
        <v>0</v>
      </c>
    </row>
    <row r="181" spans="1:54" ht="27.6" outlineLevel="2">
      <c r="A181" s="98"/>
      <c r="B181" s="102"/>
      <c r="C181" s="23"/>
      <c r="D181" s="269"/>
      <c r="E181" s="271"/>
      <c r="F181" s="250"/>
      <c r="G181" s="255"/>
      <c r="H181" s="272"/>
      <c r="I181" s="258"/>
      <c r="J181" s="259"/>
      <c r="K181" s="259"/>
      <c r="L181" s="106" t="str">
        <f>IF(I181&lt;&gt;0,((VLOOKUP(I181,'1. Standard_Cost'!$B$4:$D$11,2)+VLOOKUP(I181,'1. Standard_Cost'!$B$4:$D$11,3))*J181*K181),"0")</f>
        <v>0</v>
      </c>
      <c r="M181" s="106">
        <f>L181*'1. Standard_Cost'!$F$4</f>
        <v>0</v>
      </c>
      <c r="N181" s="260"/>
      <c r="O181" s="260"/>
      <c r="P181" s="260"/>
      <c r="Q181" s="260"/>
      <c r="R181" s="108">
        <f>'1. Standard_Cost'!$B$15*N181*P181</f>
        <v>0</v>
      </c>
      <c r="S181" s="108">
        <f>N181*O181*P181*'1. Standard_Cost'!$C$15</f>
        <v>0</v>
      </c>
      <c r="T181" s="108">
        <f>N181*P181*Q181*'1. Standard_Cost'!$D$15</f>
        <v>0</v>
      </c>
      <c r="U181" s="108">
        <f>N181*O181*'1. Standard_Cost'!$E$15</f>
        <v>0</v>
      </c>
      <c r="V181" s="260"/>
      <c r="W181" s="260"/>
      <c r="X181" s="260"/>
      <c r="Y181" s="108">
        <f>+V181*((X181*'1. Standard_Cost'!$B$19)+(W181*X181*'1. Standard_Cost'!$C$19))</f>
        <v>0</v>
      </c>
      <c r="Z181" s="260"/>
      <c r="AA181" s="260"/>
      <c r="AB181" s="108">
        <f>+Z181*'1. Standard_Cost'!$B$23+AA181*'1. Standard_Cost'!$C$23</f>
        <v>0</v>
      </c>
      <c r="AC181" s="261"/>
      <c r="AD181" s="262"/>
      <c r="AE181" s="108">
        <f>SUM(AD181,AC181,AB181,Y181,U181,T181,S181,R181)*'1. Standard_Cost'!$B$31</f>
        <v>0</v>
      </c>
      <c r="AF181" s="108">
        <f t="shared" si="193"/>
        <v>0</v>
      </c>
      <c r="AG181" s="260"/>
      <c r="AH181" s="260"/>
      <c r="AI181" s="260"/>
      <c r="AJ181" s="263"/>
      <c r="AK181" s="263"/>
      <c r="AL181" s="263"/>
      <c r="AM181" s="108">
        <f>AG181*'1. Standard_Cost'!$B$27+'Incremental_Cost Year 8'!AH181*'1. Standard_Cost'!$C$27+'Incremental_Cost Year 8'!AI181*'1. Standard_Cost'!$D$27+'Incremental_Cost Year 8'!AJ181+'Incremental_Cost Year 8'!AL181+AK181</f>
        <v>0</v>
      </c>
      <c r="AN181" s="108">
        <f>AM181*'1. Standard_Cost'!$C$31</f>
        <v>0</v>
      </c>
      <c r="AO181" s="125" t="s">
        <v>396</v>
      </c>
      <c r="AQ181" s="14">
        <f t="shared" si="194"/>
        <v>0</v>
      </c>
      <c r="AR181" s="14">
        <f t="shared" si="195"/>
        <v>0</v>
      </c>
      <c r="AS181" s="14">
        <f t="shared" si="196"/>
        <v>0</v>
      </c>
      <c r="AT181" s="14">
        <f t="shared" ref="AT181:AT200" si="198">SUM(AQ181,AR181,AS181)</f>
        <v>0</v>
      </c>
      <c r="AU181" s="234"/>
      <c r="AV181" s="234"/>
      <c r="AW181" s="234"/>
      <c r="AX181" s="234"/>
      <c r="AY181" s="234"/>
      <c r="AZ181" s="234"/>
      <c r="BA181" s="234"/>
      <c r="BB181" s="16">
        <f t="shared" si="197"/>
        <v>0</v>
      </c>
    </row>
    <row r="182" spans="1:54" ht="15.6" outlineLevel="2">
      <c r="A182" s="98"/>
      <c r="B182" s="102"/>
      <c r="C182" s="23"/>
      <c r="D182" s="269"/>
      <c r="E182" s="271"/>
      <c r="F182" s="250"/>
      <c r="G182" s="255"/>
      <c r="H182" s="272"/>
      <c r="I182" s="258"/>
      <c r="J182" s="259"/>
      <c r="K182" s="259"/>
      <c r="L182" s="106" t="str">
        <f>IF(I182&lt;&gt;0,((VLOOKUP(I182,'1. Standard_Cost'!$B$4:$D$11,2)+VLOOKUP(I182,'1. Standard_Cost'!$B$4:$D$11,3))*J182*K182),"0")</f>
        <v>0</v>
      </c>
      <c r="M182" s="106">
        <f>L182*'1. Standard_Cost'!$F$4</f>
        <v>0</v>
      </c>
      <c r="N182" s="260"/>
      <c r="O182" s="260"/>
      <c r="P182" s="260"/>
      <c r="Q182" s="260"/>
      <c r="R182" s="108">
        <f>'1. Standard_Cost'!$B$15*N182*P182</f>
        <v>0</v>
      </c>
      <c r="S182" s="108">
        <f>N182*O182*P182*'1. Standard_Cost'!$C$15</f>
        <v>0</v>
      </c>
      <c r="T182" s="108">
        <f>N182*P182*Q182*'1. Standard_Cost'!$D$15</f>
        <v>0</v>
      </c>
      <c r="U182" s="108">
        <f>N182*O182*'1. Standard_Cost'!$E$15</f>
        <v>0</v>
      </c>
      <c r="V182" s="260"/>
      <c r="W182" s="260"/>
      <c r="X182" s="260"/>
      <c r="Y182" s="108">
        <f>+V182*((X182*'1. Standard_Cost'!$B$19)+(W182*X182*'1. Standard_Cost'!$C$19))</f>
        <v>0</v>
      </c>
      <c r="Z182" s="260"/>
      <c r="AA182" s="260"/>
      <c r="AB182" s="108">
        <f>+Z182*'1. Standard_Cost'!$B$23+AA182*'1. Standard_Cost'!$C$23</f>
        <v>0</v>
      </c>
      <c r="AC182" s="261"/>
      <c r="AD182" s="262"/>
      <c r="AE182" s="108">
        <f>SUM(AD182,AC182,AB182,Y182,U182,T182,S182,R182)*'1. Standard_Cost'!$B$31</f>
        <v>0</v>
      </c>
      <c r="AF182" s="108">
        <f t="shared" si="193"/>
        <v>0</v>
      </c>
      <c r="AG182" s="260"/>
      <c r="AH182" s="260"/>
      <c r="AI182" s="260"/>
      <c r="AJ182" s="263"/>
      <c r="AK182" s="263"/>
      <c r="AL182" s="263"/>
      <c r="AM182" s="108">
        <f>AG182*'1. Standard_Cost'!$B$27+'Incremental_Cost Year 8'!AH182*'1. Standard_Cost'!$C$27+'Incremental_Cost Year 8'!AI182*'1. Standard_Cost'!$D$27+'Incremental_Cost Year 8'!AJ182+'Incremental_Cost Year 8'!AL182+AK182</f>
        <v>0</v>
      </c>
      <c r="AN182" s="108">
        <f>AM182*'1. Standard_Cost'!$C$31</f>
        <v>0</v>
      </c>
      <c r="AO182" s="125" t="s">
        <v>397</v>
      </c>
      <c r="AQ182" s="14">
        <f t="shared" si="194"/>
        <v>0</v>
      </c>
      <c r="AR182" s="14">
        <f t="shared" si="195"/>
        <v>0</v>
      </c>
      <c r="AS182" s="14">
        <f t="shared" si="196"/>
        <v>0</v>
      </c>
      <c r="AT182" s="14">
        <f t="shared" si="198"/>
        <v>0</v>
      </c>
      <c r="AU182" s="234"/>
      <c r="AV182" s="234"/>
      <c r="AW182" s="234"/>
      <c r="AX182" s="234"/>
      <c r="AY182" s="234"/>
      <c r="AZ182" s="234"/>
      <c r="BA182" s="234"/>
      <c r="BB182" s="16">
        <f t="shared" si="197"/>
        <v>0</v>
      </c>
    </row>
    <row r="183" spans="1:54" ht="15.6" outlineLevel="2">
      <c r="A183" s="98"/>
      <c r="B183" s="102"/>
      <c r="C183" s="23"/>
      <c r="D183" s="269"/>
      <c r="E183" s="271"/>
      <c r="F183" s="250"/>
      <c r="G183" s="255"/>
      <c r="H183" s="272"/>
      <c r="I183" s="258"/>
      <c r="J183" s="259"/>
      <c r="K183" s="259"/>
      <c r="L183" s="106" t="str">
        <f>IF(I183&lt;&gt;0,((VLOOKUP(I183,'1. Standard_Cost'!$B$4:$D$11,2)+VLOOKUP(I183,'1. Standard_Cost'!$B$4:$D$11,3))*J183*K183),"0")</f>
        <v>0</v>
      </c>
      <c r="M183" s="106">
        <f>L183*'1. Standard_Cost'!$F$4</f>
        <v>0</v>
      </c>
      <c r="N183" s="260"/>
      <c r="O183" s="260"/>
      <c r="P183" s="260"/>
      <c r="Q183" s="260"/>
      <c r="R183" s="108">
        <f>'1. Standard_Cost'!$B$15*N183*P183</f>
        <v>0</v>
      </c>
      <c r="S183" s="108">
        <f>N183*O183*P183*'1. Standard_Cost'!$C$15</f>
        <v>0</v>
      </c>
      <c r="T183" s="108">
        <f>N183*P183*Q183*'1. Standard_Cost'!$D$15</f>
        <v>0</v>
      </c>
      <c r="U183" s="108">
        <f>N183*O183*'1. Standard_Cost'!$E$15</f>
        <v>0</v>
      </c>
      <c r="V183" s="260"/>
      <c r="W183" s="260"/>
      <c r="X183" s="260"/>
      <c r="Y183" s="108">
        <f>+V183*((X183*'1. Standard_Cost'!$B$19)+(W183*X183*'1. Standard_Cost'!$C$19))</f>
        <v>0</v>
      </c>
      <c r="Z183" s="260"/>
      <c r="AA183" s="260"/>
      <c r="AB183" s="108">
        <f>+Z183*'1. Standard_Cost'!$B$23+AA183*'1. Standard_Cost'!$C$23</f>
        <v>0</v>
      </c>
      <c r="AC183" s="261"/>
      <c r="AD183" s="262"/>
      <c r="AE183" s="108">
        <f>SUM(AD183,AC183,AB183,Y183,U183,T183,S183,R183)*'1. Standard_Cost'!$B$31</f>
        <v>0</v>
      </c>
      <c r="AF183" s="108">
        <f t="shared" si="193"/>
        <v>0</v>
      </c>
      <c r="AG183" s="260"/>
      <c r="AH183" s="260"/>
      <c r="AI183" s="260"/>
      <c r="AJ183" s="263"/>
      <c r="AK183" s="263"/>
      <c r="AL183" s="263"/>
      <c r="AM183" s="108">
        <f>AG183*'1. Standard_Cost'!$B$27+'Incremental_Cost Year 8'!AH183*'1. Standard_Cost'!$C$27+'Incremental_Cost Year 8'!AI183*'1. Standard_Cost'!$D$27+'Incremental_Cost Year 8'!AJ183+'Incremental_Cost Year 8'!AL183+AK183</f>
        <v>0</v>
      </c>
      <c r="AN183" s="108">
        <f>AM183*'1. Standard_Cost'!$C$31</f>
        <v>0</v>
      </c>
      <c r="AO183" s="125" t="s">
        <v>398</v>
      </c>
      <c r="AQ183" s="14">
        <f t="shared" si="194"/>
        <v>0</v>
      </c>
      <c r="AR183" s="14">
        <f t="shared" si="195"/>
        <v>0</v>
      </c>
      <c r="AS183" s="14">
        <f t="shared" si="196"/>
        <v>0</v>
      </c>
      <c r="AT183" s="14">
        <f t="shared" si="198"/>
        <v>0</v>
      </c>
      <c r="AU183" s="234"/>
      <c r="AV183" s="234"/>
      <c r="AW183" s="234"/>
      <c r="AX183" s="234"/>
      <c r="AY183" s="234"/>
      <c r="AZ183" s="234"/>
      <c r="BA183" s="234"/>
      <c r="BB183" s="16">
        <f t="shared" si="197"/>
        <v>0</v>
      </c>
    </row>
    <row r="184" spans="1:54" ht="15.6" outlineLevel="2">
      <c r="A184" s="98"/>
      <c r="B184" s="102"/>
      <c r="C184" s="23"/>
      <c r="D184" s="269"/>
      <c r="E184" s="271"/>
      <c r="F184" s="250"/>
      <c r="G184" s="255"/>
      <c r="H184" s="272"/>
      <c r="I184" s="258"/>
      <c r="J184" s="259"/>
      <c r="K184" s="259"/>
      <c r="L184" s="106" t="str">
        <f>IF(I184&lt;&gt;0,((VLOOKUP(I184,'1. Standard_Cost'!$B$4:$D$11,2)+VLOOKUP(I184,'1. Standard_Cost'!$B$4:$D$11,3))*J184*K184),"0")</f>
        <v>0</v>
      </c>
      <c r="M184" s="106">
        <f>L184*'1. Standard_Cost'!$F$4</f>
        <v>0</v>
      </c>
      <c r="N184" s="260"/>
      <c r="O184" s="260"/>
      <c r="P184" s="260"/>
      <c r="Q184" s="260"/>
      <c r="R184" s="108">
        <f>'1. Standard_Cost'!$B$15*N184*P184</f>
        <v>0</v>
      </c>
      <c r="S184" s="108">
        <f>N184*O184*P184*'1. Standard_Cost'!$C$15</f>
        <v>0</v>
      </c>
      <c r="T184" s="108">
        <f>N184*P184*Q184*'1. Standard_Cost'!$D$15</f>
        <v>0</v>
      </c>
      <c r="U184" s="108">
        <f>N184*O184*'1. Standard_Cost'!$E$15</f>
        <v>0</v>
      </c>
      <c r="V184" s="260"/>
      <c r="W184" s="260"/>
      <c r="X184" s="260"/>
      <c r="Y184" s="108">
        <f>+V184*((X184*'1. Standard_Cost'!$B$19)+(W184*X184*'1. Standard_Cost'!$C$19))</f>
        <v>0</v>
      </c>
      <c r="Z184" s="260"/>
      <c r="AA184" s="260"/>
      <c r="AB184" s="108">
        <f>+Z184*'1. Standard_Cost'!$B$23+AA184*'1. Standard_Cost'!$C$23</f>
        <v>0</v>
      </c>
      <c r="AC184" s="261"/>
      <c r="AD184" s="262"/>
      <c r="AE184" s="108">
        <f>SUM(AD184,AC184,AB184,Y184,U184,T184,S184,R184)*'1. Standard_Cost'!$B$31</f>
        <v>0</v>
      </c>
      <c r="AF184" s="108">
        <f t="shared" si="193"/>
        <v>0</v>
      </c>
      <c r="AG184" s="260"/>
      <c r="AH184" s="260"/>
      <c r="AI184" s="260"/>
      <c r="AJ184" s="263"/>
      <c r="AK184" s="263"/>
      <c r="AL184" s="263"/>
      <c r="AM184" s="108">
        <f>AG184*'1. Standard_Cost'!$B$27+'Incremental_Cost Year 8'!AH184*'1. Standard_Cost'!$C$27+'Incremental_Cost Year 8'!AI184*'1. Standard_Cost'!$D$27+'Incremental_Cost Year 8'!AJ184+'Incremental_Cost Year 8'!AL184+AK184</f>
        <v>0</v>
      </c>
      <c r="AN184" s="108">
        <f>AM184*'1. Standard_Cost'!$C$31</f>
        <v>0</v>
      </c>
      <c r="AO184" s="125" t="s">
        <v>399</v>
      </c>
      <c r="AQ184" s="14">
        <f t="shared" si="194"/>
        <v>0</v>
      </c>
      <c r="AR184" s="14">
        <f t="shared" si="195"/>
        <v>0</v>
      </c>
      <c r="AS184" s="14">
        <f t="shared" si="196"/>
        <v>0</v>
      </c>
      <c r="AT184" s="14">
        <f t="shared" si="198"/>
        <v>0</v>
      </c>
      <c r="AU184" s="234"/>
      <c r="AV184" s="234"/>
      <c r="AW184" s="234"/>
      <c r="AX184" s="234"/>
      <c r="AY184" s="234"/>
      <c r="AZ184" s="234"/>
      <c r="BA184" s="234"/>
      <c r="BB184" s="16">
        <f t="shared" si="197"/>
        <v>0</v>
      </c>
    </row>
    <row r="185" spans="1:54" ht="15.6" outlineLevel="2">
      <c r="A185" s="98"/>
      <c r="B185" s="102"/>
      <c r="C185" s="23"/>
      <c r="D185" s="269"/>
      <c r="E185" s="271"/>
      <c r="F185" s="250"/>
      <c r="G185" s="255"/>
      <c r="H185" s="272"/>
      <c r="I185" s="258"/>
      <c r="J185" s="259"/>
      <c r="K185" s="259"/>
      <c r="L185" s="106" t="str">
        <f>IF(I185&lt;&gt;0,((VLOOKUP(I185,'1. Standard_Cost'!$B$4:$D$11,2)+VLOOKUP(I185,'1. Standard_Cost'!$B$4:$D$11,3))*J185*K185),"0")</f>
        <v>0</v>
      </c>
      <c r="M185" s="106">
        <f>L185*'1. Standard_Cost'!$F$4</f>
        <v>0</v>
      </c>
      <c r="N185" s="260"/>
      <c r="O185" s="260"/>
      <c r="P185" s="260"/>
      <c r="Q185" s="260"/>
      <c r="R185" s="108">
        <f>'1. Standard_Cost'!$B$15*N185*P185</f>
        <v>0</v>
      </c>
      <c r="S185" s="108">
        <f>N185*O185*P185*'1. Standard_Cost'!$C$15</f>
        <v>0</v>
      </c>
      <c r="T185" s="108">
        <f>N185*P185*Q185*'1. Standard_Cost'!$D$15</f>
        <v>0</v>
      </c>
      <c r="U185" s="108">
        <f>N185*O185*'1. Standard_Cost'!$E$15</f>
        <v>0</v>
      </c>
      <c r="V185" s="260"/>
      <c r="W185" s="260"/>
      <c r="X185" s="260"/>
      <c r="Y185" s="108">
        <f>+V185*((X185*'1. Standard_Cost'!$B$19)+(W185*X185*'1. Standard_Cost'!$C$19))</f>
        <v>0</v>
      </c>
      <c r="Z185" s="260"/>
      <c r="AA185" s="260"/>
      <c r="AB185" s="108">
        <f>+Z185*'1. Standard_Cost'!$B$23+AA185*'1. Standard_Cost'!$C$23</f>
        <v>0</v>
      </c>
      <c r="AC185" s="261"/>
      <c r="AD185" s="262"/>
      <c r="AE185" s="108">
        <f>SUM(AD185,AC185,AB185,Y185,U185,T185,S185,R185)*'1. Standard_Cost'!$B$31</f>
        <v>0</v>
      </c>
      <c r="AF185" s="108">
        <f t="shared" si="193"/>
        <v>0</v>
      </c>
      <c r="AG185" s="260"/>
      <c r="AH185" s="260"/>
      <c r="AI185" s="260"/>
      <c r="AJ185" s="263"/>
      <c r="AK185" s="263"/>
      <c r="AL185" s="263"/>
      <c r="AM185" s="108">
        <f>AG185*'1. Standard_Cost'!$B$27+'Incremental_Cost Year 8'!AH185*'1. Standard_Cost'!$C$27+'Incremental_Cost Year 8'!AI185*'1. Standard_Cost'!$D$27+'Incremental_Cost Year 8'!AJ185+'Incremental_Cost Year 8'!AL185+AK185</f>
        <v>0</v>
      </c>
      <c r="AN185" s="108">
        <f>AM185*'1. Standard_Cost'!$C$31</f>
        <v>0</v>
      </c>
      <c r="AO185" s="125" t="s">
        <v>400</v>
      </c>
      <c r="AQ185" s="14">
        <f t="shared" si="194"/>
        <v>0</v>
      </c>
      <c r="AR185" s="14">
        <f t="shared" si="195"/>
        <v>0</v>
      </c>
      <c r="AS185" s="14">
        <f t="shared" si="196"/>
        <v>0</v>
      </c>
      <c r="AT185" s="14">
        <f t="shared" si="198"/>
        <v>0</v>
      </c>
      <c r="AU185" s="234"/>
      <c r="AV185" s="234"/>
      <c r="AW185" s="234"/>
      <c r="AX185" s="234"/>
      <c r="AY185" s="234"/>
      <c r="AZ185" s="234"/>
      <c r="BA185" s="234"/>
      <c r="BB185" s="16">
        <f t="shared" si="197"/>
        <v>0</v>
      </c>
    </row>
    <row r="186" spans="1:54" ht="15.6" outlineLevel="2">
      <c r="A186" s="98"/>
      <c r="B186" s="102"/>
      <c r="C186" s="23"/>
      <c r="D186" s="269"/>
      <c r="E186" s="271"/>
      <c r="F186" s="250"/>
      <c r="G186" s="255"/>
      <c r="H186" s="272"/>
      <c r="I186" s="258"/>
      <c r="J186" s="259"/>
      <c r="K186" s="259"/>
      <c r="L186" s="106" t="str">
        <f>IF(I186&lt;&gt;0,((VLOOKUP(I186,'1. Standard_Cost'!$B$4:$D$11,2)+VLOOKUP(I186,'1. Standard_Cost'!$B$4:$D$11,3))*J186*K186),"0")</f>
        <v>0</v>
      </c>
      <c r="M186" s="106">
        <f>L186*'1. Standard_Cost'!$F$4</f>
        <v>0</v>
      </c>
      <c r="N186" s="260"/>
      <c r="O186" s="260"/>
      <c r="P186" s="260"/>
      <c r="Q186" s="260"/>
      <c r="R186" s="108">
        <f>'1. Standard_Cost'!$B$15*N186*P186</f>
        <v>0</v>
      </c>
      <c r="S186" s="108">
        <f>N186*O186*P186*'1. Standard_Cost'!$C$15</f>
        <v>0</v>
      </c>
      <c r="T186" s="108">
        <f>N186*P186*Q186*'1. Standard_Cost'!$D$15</f>
        <v>0</v>
      </c>
      <c r="U186" s="108">
        <f>N186*O186*'1. Standard_Cost'!$E$15</f>
        <v>0</v>
      </c>
      <c r="V186" s="260"/>
      <c r="W186" s="260"/>
      <c r="X186" s="260"/>
      <c r="Y186" s="108">
        <f>+V186*((X186*'1. Standard_Cost'!$B$19)+(W186*X186*'1. Standard_Cost'!$C$19))</f>
        <v>0</v>
      </c>
      <c r="Z186" s="260"/>
      <c r="AA186" s="260"/>
      <c r="AB186" s="108">
        <f>+Z186*'1. Standard_Cost'!$B$23+AA186*'1. Standard_Cost'!$C$23</f>
        <v>0</v>
      </c>
      <c r="AC186" s="261"/>
      <c r="AD186" s="262"/>
      <c r="AE186" s="108">
        <f>SUM(AD186,AC186,AB186,Y186,U186,T186,S186,R186)*'1. Standard_Cost'!$B$31</f>
        <v>0</v>
      </c>
      <c r="AF186" s="108">
        <f t="shared" si="193"/>
        <v>0</v>
      </c>
      <c r="AG186" s="260"/>
      <c r="AH186" s="260"/>
      <c r="AI186" s="260"/>
      <c r="AJ186" s="263"/>
      <c r="AK186" s="263"/>
      <c r="AL186" s="263"/>
      <c r="AM186" s="108">
        <f>AG186*'1. Standard_Cost'!$B$27+'Incremental_Cost Year 8'!AH186*'1. Standard_Cost'!$C$27+'Incremental_Cost Year 8'!AI186*'1. Standard_Cost'!$D$27+'Incremental_Cost Year 8'!AJ186+'Incremental_Cost Year 8'!AL186+AK186</f>
        <v>0</v>
      </c>
      <c r="AN186" s="108">
        <f>AM186*'1. Standard_Cost'!$C$31</f>
        <v>0</v>
      </c>
      <c r="AO186" s="125" t="s">
        <v>401</v>
      </c>
      <c r="AQ186" s="14">
        <f t="shared" si="194"/>
        <v>0</v>
      </c>
      <c r="AR186" s="14">
        <f t="shared" si="195"/>
        <v>0</v>
      </c>
      <c r="AS186" s="14">
        <f t="shared" si="196"/>
        <v>0</v>
      </c>
      <c r="AT186" s="14">
        <f t="shared" si="198"/>
        <v>0</v>
      </c>
      <c r="AU186" s="234"/>
      <c r="AV186" s="234"/>
      <c r="AW186" s="234"/>
      <c r="AX186" s="234"/>
      <c r="AY186" s="234"/>
      <c r="AZ186" s="234"/>
      <c r="BA186" s="234"/>
      <c r="BB186" s="16">
        <f t="shared" si="197"/>
        <v>0</v>
      </c>
    </row>
    <row r="187" spans="1:54" ht="15.6" outlineLevel="2">
      <c r="A187" s="98"/>
      <c r="B187" s="102"/>
      <c r="C187" s="23"/>
      <c r="D187" s="269"/>
      <c r="E187" s="271"/>
      <c r="F187" s="250"/>
      <c r="G187" s="255"/>
      <c r="H187" s="272"/>
      <c r="I187" s="258"/>
      <c r="J187" s="259"/>
      <c r="K187" s="259"/>
      <c r="L187" s="106" t="str">
        <f>IF(I187&lt;&gt;0,((VLOOKUP(I187,'1. Standard_Cost'!$B$4:$D$11,2)+VLOOKUP(I187,'1. Standard_Cost'!$B$4:$D$11,3))*J187*K187),"0")</f>
        <v>0</v>
      </c>
      <c r="M187" s="106">
        <f>L187*'1. Standard_Cost'!$F$4</f>
        <v>0</v>
      </c>
      <c r="N187" s="260"/>
      <c r="O187" s="260"/>
      <c r="P187" s="260"/>
      <c r="Q187" s="260"/>
      <c r="R187" s="108">
        <f>'1. Standard_Cost'!$B$15*N187*P187</f>
        <v>0</v>
      </c>
      <c r="S187" s="108">
        <f>N187*O187*P187*'1. Standard_Cost'!$C$15</f>
        <v>0</v>
      </c>
      <c r="T187" s="108">
        <f>N187*P187*Q187*'1. Standard_Cost'!$D$15</f>
        <v>0</v>
      </c>
      <c r="U187" s="108">
        <f>N187*O187*'1. Standard_Cost'!$E$15</f>
        <v>0</v>
      </c>
      <c r="V187" s="260"/>
      <c r="W187" s="260"/>
      <c r="X187" s="260"/>
      <c r="Y187" s="108">
        <f>+V187*((X187*'1. Standard_Cost'!$B$19)+(W187*X187*'1. Standard_Cost'!$C$19))</f>
        <v>0</v>
      </c>
      <c r="Z187" s="260"/>
      <c r="AA187" s="260"/>
      <c r="AB187" s="108">
        <f>+Z187*'1. Standard_Cost'!$B$23+AA187*'1. Standard_Cost'!$C$23</f>
        <v>0</v>
      </c>
      <c r="AC187" s="261"/>
      <c r="AD187" s="262"/>
      <c r="AE187" s="108">
        <f>SUM(AD187,AC187,AB187,Y187,U187,T187,S187,R187)*'1. Standard_Cost'!$B$31</f>
        <v>0</v>
      </c>
      <c r="AF187" s="108">
        <f t="shared" si="193"/>
        <v>0</v>
      </c>
      <c r="AG187" s="260"/>
      <c r="AH187" s="260"/>
      <c r="AI187" s="260"/>
      <c r="AJ187" s="263"/>
      <c r="AK187" s="263"/>
      <c r="AL187" s="263"/>
      <c r="AM187" s="108">
        <f>AG187*'1. Standard_Cost'!$B$27+'Incremental_Cost Year 8'!AH187*'1. Standard_Cost'!$C$27+'Incremental_Cost Year 8'!AI187*'1. Standard_Cost'!$D$27+'Incremental_Cost Year 8'!AJ187+'Incremental_Cost Year 8'!AL187+AK187</f>
        <v>0</v>
      </c>
      <c r="AN187" s="108">
        <f>AM187*'1. Standard_Cost'!$C$31</f>
        <v>0</v>
      </c>
      <c r="AO187" s="125" t="s">
        <v>402</v>
      </c>
      <c r="AQ187" s="14">
        <f t="shared" si="194"/>
        <v>0</v>
      </c>
      <c r="AR187" s="14">
        <f t="shared" si="195"/>
        <v>0</v>
      </c>
      <c r="AS187" s="14">
        <f t="shared" si="196"/>
        <v>0</v>
      </c>
      <c r="AT187" s="14">
        <f t="shared" si="198"/>
        <v>0</v>
      </c>
      <c r="AU187" s="234"/>
      <c r="AV187" s="234"/>
      <c r="AW187" s="234"/>
      <c r="AX187" s="234"/>
      <c r="AY187" s="234"/>
      <c r="AZ187" s="234"/>
      <c r="BA187" s="234"/>
      <c r="BB187" s="16">
        <f t="shared" si="197"/>
        <v>0</v>
      </c>
    </row>
    <row r="188" spans="1:54" ht="15.6" outlineLevel="2">
      <c r="A188" s="98"/>
      <c r="B188" s="102"/>
      <c r="C188" s="23"/>
      <c r="D188" s="269"/>
      <c r="E188" s="271"/>
      <c r="F188" s="250"/>
      <c r="G188" s="177"/>
      <c r="H188" s="272"/>
      <c r="I188" s="258"/>
      <c r="J188" s="259"/>
      <c r="K188" s="259"/>
      <c r="L188" s="106" t="str">
        <f>IF(I188&lt;&gt;0,((VLOOKUP(I188,'1. Standard_Cost'!$B$4:$D$11,2)+VLOOKUP(I188,'1. Standard_Cost'!$B$4:$D$11,3))*J188*K188),"0")</f>
        <v>0</v>
      </c>
      <c r="M188" s="106">
        <f>L188*'1. Standard_Cost'!$F$4</f>
        <v>0</v>
      </c>
      <c r="N188" s="260"/>
      <c r="O188" s="260"/>
      <c r="P188" s="260"/>
      <c r="Q188" s="260"/>
      <c r="R188" s="108">
        <f>'1. Standard_Cost'!$B$15*N188*P188</f>
        <v>0</v>
      </c>
      <c r="S188" s="108">
        <f>N188*O188*P188*'1. Standard_Cost'!$C$15</f>
        <v>0</v>
      </c>
      <c r="T188" s="108">
        <f>N188*P188*Q188*'1. Standard_Cost'!$D$15</f>
        <v>0</v>
      </c>
      <c r="U188" s="108">
        <f>N188*O188*'1. Standard_Cost'!$E$15</f>
        <v>0</v>
      </c>
      <c r="V188" s="260"/>
      <c r="W188" s="260"/>
      <c r="X188" s="260"/>
      <c r="Y188" s="108">
        <f>+V188*((X188*'1. Standard_Cost'!$B$19)+(W188*X188*'1. Standard_Cost'!$C$19))</f>
        <v>0</v>
      </c>
      <c r="Z188" s="260"/>
      <c r="AA188" s="260"/>
      <c r="AB188" s="108">
        <f>+Z188*'1. Standard_Cost'!$B$23+AA188*'1. Standard_Cost'!$C$23</f>
        <v>0</v>
      </c>
      <c r="AC188" s="261"/>
      <c r="AD188" s="262"/>
      <c r="AE188" s="108">
        <f>SUM(AD188,AC188,AB188,Y188,U188,T188,S188,R188)*'1. Standard_Cost'!$B$31</f>
        <v>0</v>
      </c>
      <c r="AF188" s="108">
        <f t="shared" si="193"/>
        <v>0</v>
      </c>
      <c r="AG188" s="260"/>
      <c r="AH188" s="260"/>
      <c r="AI188" s="260"/>
      <c r="AJ188" s="263"/>
      <c r="AK188" s="263"/>
      <c r="AL188" s="263"/>
      <c r="AM188" s="108">
        <f>AG188*'1. Standard_Cost'!$B$27+'Incremental_Cost Year 8'!AH188*'1. Standard_Cost'!$C$27+'Incremental_Cost Year 8'!AI188*'1. Standard_Cost'!$D$27+'Incremental_Cost Year 8'!AJ188+'Incremental_Cost Year 8'!AL188+AK188</f>
        <v>0</v>
      </c>
      <c r="AN188" s="108">
        <f>AM188*'1. Standard_Cost'!$C$31</f>
        <v>0</v>
      </c>
      <c r="AO188" s="125" t="s">
        <v>335</v>
      </c>
      <c r="AQ188" s="14">
        <f t="shared" si="194"/>
        <v>0</v>
      </c>
      <c r="AR188" s="14">
        <f t="shared" si="195"/>
        <v>0</v>
      </c>
      <c r="AS188" s="14">
        <f t="shared" si="196"/>
        <v>0</v>
      </c>
      <c r="AT188" s="14">
        <f t="shared" si="198"/>
        <v>0</v>
      </c>
      <c r="AU188" s="234"/>
      <c r="AV188" s="234"/>
      <c r="AW188" s="234"/>
      <c r="AX188" s="234"/>
      <c r="AY188" s="234"/>
      <c r="AZ188" s="234"/>
      <c r="BA188" s="234"/>
      <c r="BB188" s="16">
        <f t="shared" si="197"/>
        <v>0</v>
      </c>
    </row>
    <row r="189" spans="1:54" ht="15.6" outlineLevel="2">
      <c r="A189" s="98"/>
      <c r="B189" s="102"/>
      <c r="C189" s="23"/>
      <c r="D189" s="269"/>
      <c r="E189" s="271"/>
      <c r="F189" s="250"/>
      <c r="G189" s="177"/>
      <c r="H189" s="272"/>
      <c r="I189" s="258"/>
      <c r="J189" s="259"/>
      <c r="K189" s="259"/>
      <c r="L189" s="106" t="str">
        <f>IF(I189&lt;&gt;0,((VLOOKUP(I189,'1. Standard_Cost'!$B$4:$D$11,2)+VLOOKUP(I189,'1. Standard_Cost'!$B$4:$D$11,3))*J189*K189),"0")</f>
        <v>0</v>
      </c>
      <c r="M189" s="106">
        <f>L189*'1. Standard_Cost'!$F$4</f>
        <v>0</v>
      </c>
      <c r="N189" s="260"/>
      <c r="O189" s="260"/>
      <c r="P189" s="260"/>
      <c r="Q189" s="260"/>
      <c r="R189" s="108">
        <f>'1. Standard_Cost'!$B$15*N189*P189</f>
        <v>0</v>
      </c>
      <c r="S189" s="108">
        <f>N189*O189*P189*'1. Standard_Cost'!$C$15</f>
        <v>0</v>
      </c>
      <c r="T189" s="108">
        <f>N189*P189*Q189*'1. Standard_Cost'!$D$15</f>
        <v>0</v>
      </c>
      <c r="U189" s="108">
        <f>N189*O189*'1. Standard_Cost'!$E$15</f>
        <v>0</v>
      </c>
      <c r="V189" s="260"/>
      <c r="W189" s="260"/>
      <c r="X189" s="260"/>
      <c r="Y189" s="108">
        <f>+V189*((X189*'1. Standard_Cost'!$B$19)+(W189*X189*'1. Standard_Cost'!$C$19))</f>
        <v>0</v>
      </c>
      <c r="Z189" s="260"/>
      <c r="AA189" s="260"/>
      <c r="AB189" s="108">
        <f>+Z189*'1. Standard_Cost'!$B$23+AA189*'1. Standard_Cost'!$C$23</f>
        <v>0</v>
      </c>
      <c r="AC189" s="261"/>
      <c r="AD189" s="262"/>
      <c r="AE189" s="108">
        <f>SUM(AD189,AC189,AB189,Y189,U189,T189,S189,R189)*'1. Standard_Cost'!$B$31</f>
        <v>0</v>
      </c>
      <c r="AF189" s="108">
        <f t="shared" si="193"/>
        <v>0</v>
      </c>
      <c r="AG189" s="260"/>
      <c r="AH189" s="260"/>
      <c r="AI189" s="260"/>
      <c r="AJ189" s="263"/>
      <c r="AK189" s="263"/>
      <c r="AL189" s="263"/>
      <c r="AM189" s="108">
        <f>AG189*'1. Standard_Cost'!$B$27+'Incremental_Cost Year 8'!AH189*'1. Standard_Cost'!$C$27+'Incremental_Cost Year 8'!AI189*'1. Standard_Cost'!$D$27+'Incremental_Cost Year 8'!AJ189+'Incremental_Cost Year 8'!AL189+AK189</f>
        <v>0</v>
      </c>
      <c r="AN189" s="108">
        <f>AM189*'1. Standard_Cost'!$C$31</f>
        <v>0</v>
      </c>
      <c r="AO189" s="125" t="s">
        <v>403</v>
      </c>
      <c r="AQ189" s="14">
        <f t="shared" si="194"/>
        <v>0</v>
      </c>
      <c r="AR189" s="14">
        <f t="shared" si="195"/>
        <v>0</v>
      </c>
      <c r="AS189" s="14">
        <f t="shared" si="196"/>
        <v>0</v>
      </c>
      <c r="AT189" s="14">
        <f t="shared" si="198"/>
        <v>0</v>
      </c>
      <c r="AU189" s="234"/>
      <c r="AV189" s="234"/>
      <c r="AW189" s="234"/>
      <c r="AX189" s="234"/>
      <c r="AY189" s="234"/>
      <c r="AZ189" s="234"/>
      <c r="BA189" s="234"/>
      <c r="BB189" s="16">
        <f t="shared" si="197"/>
        <v>0</v>
      </c>
    </row>
    <row r="190" spans="1:54" ht="27.6" outlineLevel="2">
      <c r="A190" s="98"/>
      <c r="B190" s="102"/>
      <c r="C190" s="23"/>
      <c r="D190" s="269"/>
      <c r="E190" s="271"/>
      <c r="F190" s="250"/>
      <c r="G190" s="255"/>
      <c r="H190" s="272"/>
      <c r="I190" s="258"/>
      <c r="J190" s="259"/>
      <c r="K190" s="259"/>
      <c r="L190" s="106" t="str">
        <f>IF(I190&lt;&gt;0,((VLOOKUP(I190,'1. Standard_Cost'!$B$4:$D$11,2)+VLOOKUP(I190,'1. Standard_Cost'!$B$4:$D$11,3))*J190*K190),"0")</f>
        <v>0</v>
      </c>
      <c r="M190" s="106">
        <f>L190*'1. Standard_Cost'!$F$4</f>
        <v>0</v>
      </c>
      <c r="N190" s="260"/>
      <c r="O190" s="260"/>
      <c r="P190" s="260"/>
      <c r="Q190" s="260"/>
      <c r="R190" s="108">
        <f>'1. Standard_Cost'!$B$15*N190*P190</f>
        <v>0</v>
      </c>
      <c r="S190" s="108">
        <f>N190*O190*P190*'1. Standard_Cost'!$C$15</f>
        <v>0</v>
      </c>
      <c r="T190" s="108">
        <f>N190*P190*Q190*'1. Standard_Cost'!$D$15</f>
        <v>0</v>
      </c>
      <c r="U190" s="108">
        <f>N190*O190*'1. Standard_Cost'!$E$15</f>
        <v>0</v>
      </c>
      <c r="V190" s="260"/>
      <c r="W190" s="260"/>
      <c r="X190" s="260"/>
      <c r="Y190" s="108">
        <f>+V190*((X190*'1. Standard_Cost'!$B$19)+(W190*X190*'1. Standard_Cost'!$C$19))</f>
        <v>0</v>
      </c>
      <c r="Z190" s="260"/>
      <c r="AA190" s="260"/>
      <c r="AB190" s="108">
        <f>+Z190*'1. Standard_Cost'!$B$23+AA190*'1. Standard_Cost'!$C$23</f>
        <v>0</v>
      </c>
      <c r="AC190" s="261"/>
      <c r="AD190" s="262"/>
      <c r="AE190" s="108">
        <f>SUM(AD190,AC190,AB190,Y190,U190,T190,S190,R190)*'1. Standard_Cost'!$B$31</f>
        <v>0</v>
      </c>
      <c r="AF190" s="108">
        <f t="shared" si="193"/>
        <v>0</v>
      </c>
      <c r="AG190" s="260"/>
      <c r="AH190" s="260"/>
      <c r="AI190" s="260"/>
      <c r="AJ190" s="263"/>
      <c r="AK190" s="263"/>
      <c r="AL190" s="263"/>
      <c r="AM190" s="108">
        <f>AG190*'1. Standard_Cost'!$B$27+'Incremental_Cost Year 8'!AH190*'1. Standard_Cost'!$C$27+'Incremental_Cost Year 8'!AI190*'1. Standard_Cost'!$D$27+'Incremental_Cost Year 8'!AJ190+'Incremental_Cost Year 8'!AL190+AK190</f>
        <v>0</v>
      </c>
      <c r="AN190" s="108">
        <f>AM190*'1. Standard_Cost'!$C$31</f>
        <v>0</v>
      </c>
      <c r="AO190" s="125" t="s">
        <v>404</v>
      </c>
      <c r="AQ190" s="14">
        <f t="shared" si="194"/>
        <v>0</v>
      </c>
      <c r="AR190" s="14">
        <f t="shared" si="195"/>
        <v>0</v>
      </c>
      <c r="AS190" s="14">
        <f t="shared" si="196"/>
        <v>0</v>
      </c>
      <c r="AT190" s="14">
        <f t="shared" si="198"/>
        <v>0</v>
      </c>
      <c r="AU190" s="234"/>
      <c r="AV190" s="234"/>
      <c r="AW190" s="234"/>
      <c r="AX190" s="234"/>
      <c r="AY190" s="234"/>
      <c r="AZ190" s="234"/>
      <c r="BA190" s="234"/>
      <c r="BB190" s="16">
        <f t="shared" si="197"/>
        <v>0</v>
      </c>
    </row>
    <row r="191" spans="1:54" ht="27.6" outlineLevel="2">
      <c r="A191" s="98"/>
      <c r="B191" s="102"/>
      <c r="C191" s="23"/>
      <c r="D191" s="269"/>
      <c r="E191" s="271"/>
      <c r="F191" s="250"/>
      <c r="G191" s="255"/>
      <c r="H191" s="272"/>
      <c r="I191" s="258"/>
      <c r="J191" s="259"/>
      <c r="K191" s="259"/>
      <c r="L191" s="106" t="str">
        <f>IF(I191&lt;&gt;0,((VLOOKUP(I191,'1. Standard_Cost'!$B$4:$D$11,2)+VLOOKUP(I191,'1. Standard_Cost'!$B$4:$D$11,3))*J191*K191),"0")</f>
        <v>0</v>
      </c>
      <c r="M191" s="106">
        <f>L191*'1. Standard_Cost'!$F$4</f>
        <v>0</v>
      </c>
      <c r="N191" s="260"/>
      <c r="O191" s="260"/>
      <c r="P191" s="260"/>
      <c r="Q191" s="260"/>
      <c r="R191" s="108">
        <f>'1. Standard_Cost'!$B$15*N191*P191</f>
        <v>0</v>
      </c>
      <c r="S191" s="108">
        <f>N191*O191*P191*'1. Standard_Cost'!$C$15</f>
        <v>0</v>
      </c>
      <c r="T191" s="108">
        <f>N191*P191*Q191*'1. Standard_Cost'!$D$15</f>
        <v>0</v>
      </c>
      <c r="U191" s="108">
        <f>N191*O191*'1. Standard_Cost'!$E$15</f>
        <v>0</v>
      </c>
      <c r="V191" s="260"/>
      <c r="W191" s="260"/>
      <c r="X191" s="260"/>
      <c r="Y191" s="108">
        <f>+V191*((X191*'1. Standard_Cost'!$B$19)+(W191*X191*'1. Standard_Cost'!$C$19))</f>
        <v>0</v>
      </c>
      <c r="Z191" s="260"/>
      <c r="AA191" s="260"/>
      <c r="AB191" s="108">
        <f>+Z191*'1. Standard_Cost'!$B$23+AA191*'1. Standard_Cost'!$C$23</f>
        <v>0</v>
      </c>
      <c r="AC191" s="261"/>
      <c r="AD191" s="262"/>
      <c r="AE191" s="108">
        <f>SUM(AD191,AC191,AB191,Y191,U191,T191,S191,R191)*'1. Standard_Cost'!$B$31</f>
        <v>0</v>
      </c>
      <c r="AF191" s="108">
        <f t="shared" si="193"/>
        <v>0</v>
      </c>
      <c r="AG191" s="260"/>
      <c r="AH191" s="260"/>
      <c r="AI191" s="260"/>
      <c r="AJ191" s="263"/>
      <c r="AK191" s="263"/>
      <c r="AL191" s="263"/>
      <c r="AM191" s="108">
        <f>AG191*'1. Standard_Cost'!$B$27+'Incremental_Cost Year 8'!AH191*'1. Standard_Cost'!$C$27+'Incremental_Cost Year 8'!AI191*'1. Standard_Cost'!$D$27+'Incremental_Cost Year 8'!AJ191+'Incremental_Cost Year 8'!AL191+AK191</f>
        <v>0</v>
      </c>
      <c r="AN191" s="108">
        <f>AM191*'1. Standard_Cost'!$C$31</f>
        <v>0</v>
      </c>
      <c r="AO191" s="125" t="s">
        <v>405</v>
      </c>
      <c r="AQ191" s="14">
        <f t="shared" si="194"/>
        <v>0</v>
      </c>
      <c r="AR191" s="14">
        <f t="shared" si="195"/>
        <v>0</v>
      </c>
      <c r="AS191" s="14">
        <f t="shared" si="196"/>
        <v>0</v>
      </c>
      <c r="AT191" s="14">
        <f t="shared" si="198"/>
        <v>0</v>
      </c>
      <c r="AU191" s="234"/>
      <c r="AV191" s="234"/>
      <c r="AW191" s="234"/>
      <c r="AX191" s="234"/>
      <c r="AY191" s="234"/>
      <c r="AZ191" s="234"/>
      <c r="BA191" s="234"/>
      <c r="BB191" s="16">
        <f t="shared" si="197"/>
        <v>0</v>
      </c>
    </row>
    <row r="192" spans="1:54" ht="15.6" outlineLevel="2">
      <c r="A192" s="98"/>
      <c r="B192" s="102"/>
      <c r="C192" s="23"/>
      <c r="D192" s="269"/>
      <c r="E192" s="271"/>
      <c r="F192" s="250"/>
      <c r="G192" s="255"/>
      <c r="H192" s="272"/>
      <c r="I192" s="258"/>
      <c r="J192" s="259"/>
      <c r="K192" s="259"/>
      <c r="L192" s="106" t="str">
        <f>IF(I192&lt;&gt;0,((VLOOKUP(I192,'1. Standard_Cost'!$B$4:$D$11,2)+VLOOKUP(I192,'1. Standard_Cost'!$B$4:$D$11,3))*J192*K192),"0")</f>
        <v>0</v>
      </c>
      <c r="M192" s="106">
        <f>L192*'1. Standard_Cost'!$F$4</f>
        <v>0</v>
      </c>
      <c r="N192" s="260"/>
      <c r="O192" s="260"/>
      <c r="P192" s="260"/>
      <c r="Q192" s="260"/>
      <c r="R192" s="108">
        <f>'1. Standard_Cost'!$B$15*N192*P192</f>
        <v>0</v>
      </c>
      <c r="S192" s="108">
        <f>N192*O192*P192*'1. Standard_Cost'!$C$15</f>
        <v>0</v>
      </c>
      <c r="T192" s="108">
        <f>N192*P192*Q192*'1. Standard_Cost'!$D$15</f>
        <v>0</v>
      </c>
      <c r="U192" s="108">
        <f>N192*O192*'1. Standard_Cost'!$E$15</f>
        <v>0</v>
      </c>
      <c r="V192" s="260"/>
      <c r="W192" s="260"/>
      <c r="X192" s="260"/>
      <c r="Y192" s="108">
        <f>+V192*((X192*'1. Standard_Cost'!$B$19)+(W192*X192*'1. Standard_Cost'!$C$19))</f>
        <v>0</v>
      </c>
      <c r="Z192" s="260"/>
      <c r="AA192" s="260"/>
      <c r="AB192" s="108">
        <f>+Z192*'1. Standard_Cost'!$B$23+AA192*'1. Standard_Cost'!$C$23</f>
        <v>0</v>
      </c>
      <c r="AC192" s="261"/>
      <c r="AD192" s="262"/>
      <c r="AE192" s="108">
        <f>SUM(AD192,AC192,AB192,Y192,U192,T192,S192,R192)*'1. Standard_Cost'!$B$31</f>
        <v>0</v>
      </c>
      <c r="AF192" s="108">
        <f t="shared" si="193"/>
        <v>0</v>
      </c>
      <c r="AG192" s="260"/>
      <c r="AH192" s="260"/>
      <c r="AI192" s="260"/>
      <c r="AJ192" s="263"/>
      <c r="AK192" s="263"/>
      <c r="AL192" s="263"/>
      <c r="AM192" s="108">
        <f>AG192*'1. Standard_Cost'!$B$27+'Incremental_Cost Year 8'!AH192*'1. Standard_Cost'!$C$27+'Incremental_Cost Year 8'!AI192*'1. Standard_Cost'!$D$27+'Incremental_Cost Year 8'!AJ192+'Incremental_Cost Year 8'!AL192+AK192</f>
        <v>0</v>
      </c>
      <c r="AN192" s="108">
        <f>AM192*'1. Standard_Cost'!$C$31</f>
        <v>0</v>
      </c>
      <c r="AO192" s="125" t="s">
        <v>406</v>
      </c>
      <c r="AQ192" s="14">
        <f t="shared" si="194"/>
        <v>0</v>
      </c>
      <c r="AR192" s="14">
        <f t="shared" si="195"/>
        <v>0</v>
      </c>
      <c r="AS192" s="14">
        <f t="shared" si="196"/>
        <v>0</v>
      </c>
      <c r="AT192" s="14">
        <f t="shared" si="198"/>
        <v>0</v>
      </c>
      <c r="AU192" s="234"/>
      <c r="AV192" s="234"/>
      <c r="AW192" s="234"/>
      <c r="AX192" s="234"/>
      <c r="AY192" s="234"/>
      <c r="AZ192" s="234"/>
      <c r="BA192" s="234"/>
      <c r="BB192" s="16">
        <f t="shared" si="197"/>
        <v>0</v>
      </c>
    </row>
    <row r="193" spans="1:54" ht="15.6" outlineLevel="2">
      <c r="A193" s="98"/>
      <c r="B193" s="102"/>
      <c r="C193" s="23"/>
      <c r="D193" s="269"/>
      <c r="E193" s="271"/>
      <c r="F193" s="250"/>
      <c r="G193" s="255"/>
      <c r="H193" s="272"/>
      <c r="I193" s="258"/>
      <c r="J193" s="259"/>
      <c r="K193" s="259"/>
      <c r="L193" s="106" t="str">
        <f>IF(I193&lt;&gt;0,((VLOOKUP(I193,'1. Standard_Cost'!$B$4:$D$11,2)+VLOOKUP(I193,'1. Standard_Cost'!$B$4:$D$11,3))*J193*K193),"0")</f>
        <v>0</v>
      </c>
      <c r="M193" s="106">
        <f>L193*'1. Standard_Cost'!$F$4</f>
        <v>0</v>
      </c>
      <c r="N193" s="260"/>
      <c r="O193" s="260"/>
      <c r="P193" s="260"/>
      <c r="Q193" s="260"/>
      <c r="R193" s="108">
        <f>'1. Standard_Cost'!$B$15*N193*P193</f>
        <v>0</v>
      </c>
      <c r="S193" s="108">
        <f>N193*O193*P193*'1. Standard_Cost'!$C$15</f>
        <v>0</v>
      </c>
      <c r="T193" s="108">
        <f>N193*P193*Q193*'1. Standard_Cost'!$D$15</f>
        <v>0</v>
      </c>
      <c r="U193" s="108">
        <f>N193*O193*'1. Standard_Cost'!$E$15</f>
        <v>0</v>
      </c>
      <c r="V193" s="260"/>
      <c r="W193" s="260"/>
      <c r="X193" s="260"/>
      <c r="Y193" s="108">
        <f>+V193*((X193*'1. Standard_Cost'!$B$19)+(W193*X193*'1. Standard_Cost'!$C$19))</f>
        <v>0</v>
      </c>
      <c r="Z193" s="260"/>
      <c r="AA193" s="260"/>
      <c r="AB193" s="108">
        <f>+Z193*'1. Standard_Cost'!$B$23+AA193*'1. Standard_Cost'!$C$23</f>
        <v>0</v>
      </c>
      <c r="AC193" s="261"/>
      <c r="AD193" s="262"/>
      <c r="AE193" s="108">
        <f>SUM(AD193,AC193,AB193,Y193,U193,T193,S193,R193)*'1. Standard_Cost'!$B$31</f>
        <v>0</v>
      </c>
      <c r="AF193" s="108">
        <f t="shared" si="193"/>
        <v>0</v>
      </c>
      <c r="AG193" s="260"/>
      <c r="AH193" s="260"/>
      <c r="AI193" s="260"/>
      <c r="AJ193" s="263"/>
      <c r="AK193" s="263"/>
      <c r="AL193" s="263"/>
      <c r="AM193" s="108">
        <f>AG193*'1. Standard_Cost'!$B$27+'Incremental_Cost Year 8'!AH193*'1. Standard_Cost'!$C$27+'Incremental_Cost Year 8'!AI193*'1. Standard_Cost'!$D$27+'Incremental_Cost Year 8'!AJ193+'Incremental_Cost Year 8'!AL193+AK193</f>
        <v>0</v>
      </c>
      <c r="AN193" s="108">
        <f>AM193*'1. Standard_Cost'!$C$31</f>
        <v>0</v>
      </c>
      <c r="AO193" s="125" t="s">
        <v>407</v>
      </c>
      <c r="AQ193" s="14">
        <f t="shared" si="194"/>
        <v>0</v>
      </c>
      <c r="AR193" s="14">
        <f t="shared" si="195"/>
        <v>0</v>
      </c>
      <c r="AS193" s="14">
        <f t="shared" si="196"/>
        <v>0</v>
      </c>
      <c r="AT193" s="14">
        <f t="shared" si="198"/>
        <v>0</v>
      </c>
      <c r="AU193" s="234"/>
      <c r="AV193" s="234"/>
      <c r="AW193" s="234"/>
      <c r="AX193" s="234"/>
      <c r="AY193" s="234"/>
      <c r="AZ193" s="234"/>
      <c r="BA193" s="234"/>
      <c r="BB193" s="16">
        <f t="shared" si="197"/>
        <v>0</v>
      </c>
    </row>
    <row r="194" spans="1:54" ht="36" customHeight="1" outlineLevel="2">
      <c r="A194" s="98"/>
      <c r="B194" s="102"/>
      <c r="C194" s="23"/>
      <c r="D194" s="251"/>
      <c r="E194" s="251"/>
      <c r="F194" s="251"/>
      <c r="G194" s="250"/>
      <c r="H194" s="272"/>
      <c r="I194" s="258"/>
      <c r="J194" s="259"/>
      <c r="K194" s="259"/>
      <c r="L194" s="106" t="str">
        <f>IF(I194&lt;&gt;0,((VLOOKUP(I194,'1. Standard_Cost'!$B$4:$D$11,2)+VLOOKUP(I194,'1. Standard_Cost'!$B$4:$D$11,3))*J194*K194),"0")</f>
        <v>0</v>
      </c>
      <c r="M194" s="106">
        <f>L194*'1. Standard_Cost'!$F$4</f>
        <v>0</v>
      </c>
      <c r="N194" s="260"/>
      <c r="O194" s="260"/>
      <c r="P194" s="260"/>
      <c r="Q194" s="260"/>
      <c r="R194" s="108">
        <f>'1. Standard_Cost'!$B$15*N194*P194</f>
        <v>0</v>
      </c>
      <c r="S194" s="108">
        <f>N194*O194*P194*'1. Standard_Cost'!$C$15</f>
        <v>0</v>
      </c>
      <c r="T194" s="108">
        <f>N194*P194*Q194*'1. Standard_Cost'!$D$15</f>
        <v>0</v>
      </c>
      <c r="U194" s="108">
        <f>N194*O194*'1. Standard_Cost'!$E$15</f>
        <v>0</v>
      </c>
      <c r="V194" s="260"/>
      <c r="W194" s="260"/>
      <c r="X194" s="260"/>
      <c r="Y194" s="108">
        <f>+V194*((X194*'1. Standard_Cost'!$B$19)+(W194*X194*'1. Standard_Cost'!$C$19))</f>
        <v>0</v>
      </c>
      <c r="Z194" s="260"/>
      <c r="AA194" s="260"/>
      <c r="AB194" s="108">
        <f>+Z194*'1. Standard_Cost'!$B$23+AA194*'1. Standard_Cost'!$C$23</f>
        <v>0</v>
      </c>
      <c r="AC194" s="261"/>
      <c r="AD194" s="262"/>
      <c r="AE194" s="108">
        <f>SUM(AD194,AC194,AB194,Y194,U194,T194,S194,R194)*'1. Standard_Cost'!$B$31</f>
        <v>0</v>
      </c>
      <c r="AF194" s="108">
        <f t="shared" si="193"/>
        <v>0</v>
      </c>
      <c r="AG194" s="260"/>
      <c r="AH194" s="260"/>
      <c r="AI194" s="260"/>
      <c r="AJ194" s="263"/>
      <c r="AK194" s="263"/>
      <c r="AL194" s="263"/>
      <c r="AM194" s="108">
        <f>AG194*'1. Standard_Cost'!$B$27+'Incremental_Cost Year 8'!AH194*'1. Standard_Cost'!$C$27+'Incremental_Cost Year 8'!AI194*'1. Standard_Cost'!$D$27+'Incremental_Cost Year 8'!AJ194+'Incremental_Cost Year 8'!AL194+AK194</f>
        <v>0</v>
      </c>
      <c r="AN194" s="108">
        <f>AM194*'1. Standard_Cost'!$C$31</f>
        <v>0</v>
      </c>
      <c r="AO194" s="125" t="s">
        <v>408</v>
      </c>
      <c r="AQ194" s="14">
        <f t="shared" si="194"/>
        <v>0</v>
      </c>
      <c r="AR194" s="14">
        <f t="shared" si="195"/>
        <v>0</v>
      </c>
      <c r="AS194" s="14">
        <f t="shared" si="196"/>
        <v>0</v>
      </c>
      <c r="AT194" s="14">
        <f t="shared" si="198"/>
        <v>0</v>
      </c>
      <c r="AU194" s="234"/>
      <c r="AV194" s="234"/>
      <c r="AW194" s="234"/>
      <c r="AX194" s="234"/>
      <c r="AY194" s="234"/>
      <c r="AZ194" s="234"/>
      <c r="BA194" s="234"/>
      <c r="BB194" s="16">
        <f t="shared" si="197"/>
        <v>0</v>
      </c>
    </row>
    <row r="195" spans="1:54" ht="28.95" customHeight="1" outlineLevel="2">
      <c r="A195" s="98"/>
      <c r="B195" s="102"/>
      <c r="C195" s="23"/>
      <c r="D195" s="251"/>
      <c r="E195" s="251"/>
      <c r="F195" s="269"/>
      <c r="G195" s="271"/>
      <c r="H195" s="272"/>
      <c r="I195" s="258"/>
      <c r="J195" s="259"/>
      <c r="K195" s="259"/>
      <c r="L195" s="106" t="str">
        <f>IF(I195&lt;&gt;0,((VLOOKUP(I195,'[1]1. Standard_Cost'!$B$4:$D$11,2)+VLOOKUP(I195,'[1]1. Standard_Cost'!$B$4:$D$11,3))*J195*K195),"0")</f>
        <v>0</v>
      </c>
      <c r="M195" s="106">
        <f>L195*'[1]1. Standard_Cost'!$F$4</f>
        <v>0</v>
      </c>
      <c r="N195" s="260"/>
      <c r="O195" s="260"/>
      <c r="P195" s="260"/>
      <c r="Q195" s="260"/>
      <c r="R195" s="108">
        <f>'[1]1. Standard_Cost'!$B$15*N195*P195</f>
        <v>0</v>
      </c>
      <c r="S195" s="108">
        <f>N195*O195*P195*'[1]1. Standard_Cost'!$C$15</f>
        <v>0</v>
      </c>
      <c r="T195" s="108">
        <f>N195*P195*Q195*'[1]1. Standard_Cost'!$D$15</f>
        <v>0</v>
      </c>
      <c r="U195" s="108">
        <f>N195*O195*'[1]1. Standard_Cost'!$E$15</f>
        <v>0</v>
      </c>
      <c r="V195" s="260"/>
      <c r="W195" s="260"/>
      <c r="X195" s="260"/>
      <c r="Y195" s="108">
        <f>+V195*((X195*'[1]1. Standard_Cost'!$B$19)+(W195*X195*'[1]1. Standard_Cost'!$C$19))</f>
        <v>0</v>
      </c>
      <c r="Z195" s="260"/>
      <c r="AA195" s="260"/>
      <c r="AB195" s="108">
        <f>+Z195*'[1]1. Standard_Cost'!$B$23+AA195*'[1]1. Standard_Cost'!$C$23</f>
        <v>0</v>
      </c>
      <c r="AC195" s="261"/>
      <c r="AD195" s="262"/>
      <c r="AE195" s="108">
        <f>SUM(AD195,AC195,AB195,Y195,U195,T195,S195,R195)*'[1]1. Standard_Cost'!$B$31</f>
        <v>0</v>
      </c>
      <c r="AF195" s="108">
        <f t="shared" si="193"/>
        <v>0</v>
      </c>
      <c r="AG195" s="260"/>
      <c r="AH195" s="260"/>
      <c r="AI195" s="260"/>
      <c r="AJ195" s="263"/>
      <c r="AK195" s="263"/>
      <c r="AL195" s="263"/>
      <c r="AM195" s="108">
        <f>AG195*'[1]1. Standard_Cost'!$B$27+'[1]Incremental_Cost Year 8'!AH195*'[1]1. Standard_Cost'!$C$27+'[1]Incremental_Cost Year 8'!AI195*'[1]1. Standard_Cost'!$D$27+'[1]Incremental_Cost Year 8'!AJ195+'[1]Incremental_Cost Year 8'!AL195+AK195</f>
        <v>0</v>
      </c>
      <c r="AN195" s="108">
        <f>AM195*'[1]1. Standard_Cost'!$C$31</f>
        <v>0</v>
      </c>
      <c r="AO195" s="125" t="s">
        <v>408</v>
      </c>
      <c r="AQ195" s="14">
        <f t="shared" si="194"/>
        <v>0</v>
      </c>
      <c r="AR195" s="14">
        <f t="shared" si="195"/>
        <v>0</v>
      </c>
      <c r="AS195" s="14">
        <f t="shared" si="196"/>
        <v>0</v>
      </c>
      <c r="AT195" s="14">
        <f t="shared" si="198"/>
        <v>0</v>
      </c>
      <c r="AU195" s="234"/>
      <c r="AV195" s="234"/>
      <c r="AW195" s="234"/>
      <c r="AX195" s="234"/>
      <c r="AY195" s="234"/>
      <c r="AZ195" s="234"/>
      <c r="BA195" s="234"/>
      <c r="BB195" s="16">
        <f t="shared" si="197"/>
        <v>0</v>
      </c>
    </row>
    <row r="196" spans="1:54" ht="32.25" customHeight="1" outlineLevel="2">
      <c r="A196" s="98"/>
      <c r="B196" s="102"/>
      <c r="C196" s="23"/>
      <c r="D196" s="251"/>
      <c r="E196" s="251"/>
      <c r="F196" s="251"/>
      <c r="G196" s="250"/>
      <c r="H196" s="272"/>
      <c r="I196" s="258"/>
      <c r="J196" s="259"/>
      <c r="K196" s="259"/>
      <c r="L196" s="106" t="str">
        <f>IF(I196&lt;&gt;0,((VLOOKUP(I196,'1. Standard_Cost'!$B$4:$D$11,2)+VLOOKUP(I196,'1. Standard_Cost'!$B$4:$D$11,3))*J196*K196),"0")</f>
        <v>0</v>
      </c>
      <c r="M196" s="106">
        <f>L196*'1. Standard_Cost'!$F$4</f>
        <v>0</v>
      </c>
      <c r="N196" s="260"/>
      <c r="O196" s="260"/>
      <c r="P196" s="260"/>
      <c r="Q196" s="260"/>
      <c r="R196" s="108">
        <f>'1. Standard_Cost'!$B$15*N196*P196</f>
        <v>0</v>
      </c>
      <c r="S196" s="108">
        <f>N196*O196*P196*'1. Standard_Cost'!$C$15</f>
        <v>0</v>
      </c>
      <c r="T196" s="108">
        <f>N196*P196*Q196*'1. Standard_Cost'!$D$15</f>
        <v>0</v>
      </c>
      <c r="U196" s="108">
        <f>N196*O196*'1. Standard_Cost'!$E$15</f>
        <v>0</v>
      </c>
      <c r="V196" s="260"/>
      <c r="W196" s="260"/>
      <c r="X196" s="260"/>
      <c r="Y196" s="108">
        <f>+V196*((X196*'1. Standard_Cost'!$B$19)+(W196*X196*'1. Standard_Cost'!$C$19))</f>
        <v>0</v>
      </c>
      <c r="Z196" s="260"/>
      <c r="AA196" s="260"/>
      <c r="AB196" s="108">
        <f>+Z196*'1. Standard_Cost'!$B$23+AA196*'1. Standard_Cost'!$C$23</f>
        <v>0</v>
      </c>
      <c r="AC196" s="261"/>
      <c r="AD196" s="262"/>
      <c r="AE196" s="108">
        <f>SUM(AD196,AC196,AB196,Y196,U196,T196,S196,R196)*'1. Standard_Cost'!$B$31</f>
        <v>0</v>
      </c>
      <c r="AF196" s="108">
        <f t="shared" si="193"/>
        <v>0</v>
      </c>
      <c r="AG196" s="260"/>
      <c r="AH196" s="260"/>
      <c r="AI196" s="260"/>
      <c r="AJ196" s="263"/>
      <c r="AK196" s="263"/>
      <c r="AL196" s="263"/>
      <c r="AM196" s="108">
        <f>AG196*'1. Standard_Cost'!$B$27+'Incremental_Cost Year 8'!AH196*'1. Standard_Cost'!$C$27+'Incremental_Cost Year 8'!AI196*'1. Standard_Cost'!$D$27+'Incremental_Cost Year 8'!AJ196+'Incremental_Cost Year 8'!AL196+AK196</f>
        <v>0</v>
      </c>
      <c r="AN196" s="108">
        <f>AM196*'1. Standard_Cost'!$C$31</f>
        <v>0</v>
      </c>
      <c r="AO196" s="125" t="s">
        <v>409</v>
      </c>
      <c r="AQ196" s="14">
        <f t="shared" si="194"/>
        <v>0</v>
      </c>
      <c r="AR196" s="14">
        <f t="shared" si="195"/>
        <v>0</v>
      </c>
      <c r="AS196" s="14">
        <f t="shared" si="196"/>
        <v>0</v>
      </c>
      <c r="AT196" s="14">
        <f t="shared" si="198"/>
        <v>0</v>
      </c>
      <c r="AU196" s="234"/>
      <c r="AV196" s="234"/>
      <c r="AW196" s="234"/>
      <c r="AX196" s="234"/>
      <c r="AY196" s="234"/>
      <c r="AZ196" s="234"/>
      <c r="BA196" s="234"/>
      <c r="BB196" s="16">
        <f t="shared" si="197"/>
        <v>0</v>
      </c>
    </row>
    <row r="197" spans="1:54" ht="45" customHeight="1" outlineLevel="2">
      <c r="A197" s="98"/>
      <c r="B197" s="102"/>
      <c r="C197" s="23"/>
      <c r="D197" s="251"/>
      <c r="E197" s="251"/>
      <c r="F197" s="251"/>
      <c r="G197" s="250"/>
      <c r="H197" s="272"/>
      <c r="I197" s="258"/>
      <c r="J197" s="259"/>
      <c r="K197" s="259"/>
      <c r="L197" s="106" t="str">
        <f>IF(I197&lt;&gt;0,((VLOOKUP(I197,'1. Standard_Cost'!$B$4:$D$11,2)+VLOOKUP(I197,'1. Standard_Cost'!$B$4:$D$11,3))*J197*K197),"0")</f>
        <v>0</v>
      </c>
      <c r="M197" s="106">
        <f>L197*'1. Standard_Cost'!$F$4</f>
        <v>0</v>
      </c>
      <c r="N197" s="260"/>
      <c r="O197" s="260"/>
      <c r="P197" s="260"/>
      <c r="Q197" s="260"/>
      <c r="R197" s="108">
        <f>'1. Standard_Cost'!$B$15*N197*P197</f>
        <v>0</v>
      </c>
      <c r="S197" s="108">
        <f>N197*O197*P197*'1. Standard_Cost'!$C$15</f>
        <v>0</v>
      </c>
      <c r="T197" s="108">
        <f>N197*P197*Q197*'1. Standard_Cost'!$D$15</f>
        <v>0</v>
      </c>
      <c r="U197" s="108">
        <f>N197*O197*'1. Standard_Cost'!$E$15</f>
        <v>0</v>
      </c>
      <c r="V197" s="260"/>
      <c r="W197" s="260"/>
      <c r="X197" s="260"/>
      <c r="Y197" s="108">
        <f>+V197*((X197*'1. Standard_Cost'!$B$19)+(W197*X197*'1. Standard_Cost'!$C$19))</f>
        <v>0</v>
      </c>
      <c r="Z197" s="260"/>
      <c r="AA197" s="260"/>
      <c r="AB197" s="108">
        <f>+Z197*'1. Standard_Cost'!$B$23+AA197*'1. Standard_Cost'!$C$23</f>
        <v>0</v>
      </c>
      <c r="AC197" s="261"/>
      <c r="AD197" s="262"/>
      <c r="AE197" s="108">
        <f>SUM(AD197,AC197,AB197,Y197,U197,T197,S197,R197)*'1. Standard_Cost'!$B$31</f>
        <v>0</v>
      </c>
      <c r="AF197" s="108">
        <f t="shared" si="193"/>
        <v>0</v>
      </c>
      <c r="AG197" s="260"/>
      <c r="AH197" s="260"/>
      <c r="AI197" s="260"/>
      <c r="AJ197" s="263"/>
      <c r="AK197" s="263"/>
      <c r="AL197" s="263"/>
      <c r="AM197" s="108">
        <f>AG197*'1. Standard_Cost'!$B$27+'Incremental_Cost Year 8'!AH197*'1. Standard_Cost'!$C$27+'Incremental_Cost Year 8'!AI197*'1. Standard_Cost'!$D$27+'Incremental_Cost Year 8'!AJ197+'Incremental_Cost Year 8'!AL197+AK197</f>
        <v>0</v>
      </c>
      <c r="AN197" s="108">
        <f>AM197*'1. Standard_Cost'!$C$31</f>
        <v>0</v>
      </c>
      <c r="AO197" s="125" t="s">
        <v>410</v>
      </c>
      <c r="AQ197" s="14">
        <f t="shared" si="194"/>
        <v>0</v>
      </c>
      <c r="AR197" s="14">
        <f t="shared" si="195"/>
        <v>0</v>
      </c>
      <c r="AS197" s="14">
        <f t="shared" si="196"/>
        <v>0</v>
      </c>
      <c r="AT197" s="14">
        <f t="shared" si="198"/>
        <v>0</v>
      </c>
      <c r="AU197" s="234"/>
      <c r="AV197" s="234"/>
      <c r="AW197" s="234"/>
      <c r="AX197" s="234"/>
      <c r="AY197" s="234"/>
      <c r="AZ197" s="234"/>
      <c r="BA197" s="234"/>
      <c r="BB197" s="16">
        <f t="shared" si="197"/>
        <v>0</v>
      </c>
    </row>
    <row r="198" spans="1:54" ht="34.950000000000003" customHeight="1" outlineLevel="2">
      <c r="A198" s="98"/>
      <c r="B198" s="102"/>
      <c r="C198" s="23"/>
      <c r="D198" s="251"/>
      <c r="E198" s="251"/>
      <c r="F198" s="269"/>
      <c r="G198" s="271"/>
      <c r="H198" s="272"/>
      <c r="I198" s="258"/>
      <c r="J198" s="259"/>
      <c r="K198" s="259"/>
      <c r="L198" s="106" t="str">
        <f>IF(I198&lt;&gt;0,((VLOOKUP(I198,'[1]1. Standard_Cost'!$B$4:$D$11,2)+VLOOKUP(I198,'[1]1. Standard_Cost'!$B$4:$D$11,3))*J198*K198),"0")</f>
        <v>0</v>
      </c>
      <c r="M198" s="106">
        <f>L198*'[1]1. Standard_Cost'!$F$4</f>
        <v>0</v>
      </c>
      <c r="N198" s="260"/>
      <c r="O198" s="260"/>
      <c r="P198" s="260"/>
      <c r="Q198" s="260"/>
      <c r="R198" s="108">
        <f>'[1]1. Standard_Cost'!$B$15*N198*P198</f>
        <v>0</v>
      </c>
      <c r="S198" s="108">
        <f>N198*O198*P198*'[1]1. Standard_Cost'!$C$15</f>
        <v>0</v>
      </c>
      <c r="T198" s="108">
        <f>N198*P198*Q198*'[1]1. Standard_Cost'!$D$15</f>
        <v>0</v>
      </c>
      <c r="U198" s="108">
        <f>N198*O198*'[1]1. Standard_Cost'!$E$15</f>
        <v>0</v>
      </c>
      <c r="V198" s="260"/>
      <c r="W198" s="260"/>
      <c r="X198" s="260"/>
      <c r="Y198" s="108">
        <f>+V198*((X198*'[1]1. Standard_Cost'!$B$19)+(W198*X198*'[1]1. Standard_Cost'!$C$19))</f>
        <v>0</v>
      </c>
      <c r="Z198" s="260"/>
      <c r="AA198" s="260"/>
      <c r="AB198" s="108">
        <f>+Z198*'[1]1. Standard_Cost'!$B$23+AA198*'[1]1. Standard_Cost'!$C$23</f>
        <v>0</v>
      </c>
      <c r="AC198" s="261"/>
      <c r="AD198" s="262"/>
      <c r="AE198" s="108">
        <f>SUM(AD198,AC198,AB198,Y198,U198,T198,S198,R198)*'[1]1. Standard_Cost'!$B$31</f>
        <v>0</v>
      </c>
      <c r="AF198" s="108">
        <f t="shared" si="193"/>
        <v>0</v>
      </c>
      <c r="AG198" s="260"/>
      <c r="AH198" s="260"/>
      <c r="AI198" s="260"/>
      <c r="AJ198" s="263"/>
      <c r="AK198" s="263"/>
      <c r="AL198" s="263"/>
      <c r="AM198" s="108">
        <f>AG198*'[1]1. Standard_Cost'!$B$27+'[1]Incremental_Cost Year 8'!AH197*'[1]1. Standard_Cost'!$C$27+'[1]Incremental_Cost Year 8'!AI197*'[1]1. Standard_Cost'!$D$27+'[1]Incremental_Cost Year 8'!AJ197+'[1]Incremental_Cost Year 8'!AL197+AK198</f>
        <v>0</v>
      </c>
      <c r="AN198" s="108">
        <f>AM198*'[1]1. Standard_Cost'!$C$31</f>
        <v>0</v>
      </c>
      <c r="AO198" s="125" t="s">
        <v>410</v>
      </c>
      <c r="AQ198" s="14">
        <f t="shared" si="194"/>
        <v>0</v>
      </c>
      <c r="AR198" s="14">
        <f t="shared" si="195"/>
        <v>0</v>
      </c>
      <c r="AS198" s="14">
        <f t="shared" si="196"/>
        <v>0</v>
      </c>
      <c r="AT198" s="14">
        <f t="shared" si="198"/>
        <v>0</v>
      </c>
      <c r="AU198" s="234"/>
      <c r="AV198" s="234"/>
      <c r="AW198" s="234"/>
      <c r="AX198" s="234"/>
      <c r="AY198" s="234"/>
      <c r="AZ198" s="234"/>
      <c r="BA198" s="234"/>
      <c r="BB198" s="16">
        <f t="shared" si="197"/>
        <v>0</v>
      </c>
    </row>
    <row r="199" spans="1:54" ht="15.6" outlineLevel="2">
      <c r="A199" s="98"/>
      <c r="B199" s="102"/>
      <c r="C199" s="23"/>
      <c r="D199" s="251"/>
      <c r="E199" s="251"/>
      <c r="F199" s="251"/>
      <c r="G199" s="250"/>
      <c r="H199" s="272"/>
      <c r="I199" s="258"/>
      <c r="J199" s="259"/>
      <c r="K199" s="259"/>
      <c r="L199" s="106" t="str">
        <f>IF(I199&lt;&gt;0,((VLOOKUP(I199,'1. Standard_Cost'!$B$4:$D$11,2)+VLOOKUP(I199,'1. Standard_Cost'!$B$4:$D$11,3))*J199*K199),"0")</f>
        <v>0</v>
      </c>
      <c r="M199" s="106">
        <f>L199*'1. Standard_Cost'!$F$4</f>
        <v>0</v>
      </c>
      <c r="N199" s="260"/>
      <c r="O199" s="260"/>
      <c r="P199" s="260"/>
      <c r="Q199" s="260"/>
      <c r="R199" s="108">
        <f>'1. Standard_Cost'!$B$15*N199*P199</f>
        <v>0</v>
      </c>
      <c r="S199" s="108">
        <f>N199*O199*P199*'1. Standard_Cost'!$C$15</f>
        <v>0</v>
      </c>
      <c r="T199" s="108">
        <f>N199*P199*Q199*'1. Standard_Cost'!$D$15</f>
        <v>0</v>
      </c>
      <c r="U199" s="108">
        <f>N199*O199*'1. Standard_Cost'!$E$15</f>
        <v>0</v>
      </c>
      <c r="V199" s="260"/>
      <c r="W199" s="260"/>
      <c r="X199" s="260"/>
      <c r="Y199" s="108">
        <f>+V199*((X199*'1. Standard_Cost'!$B$19)+(W199*X199*'1. Standard_Cost'!$C$19))</f>
        <v>0</v>
      </c>
      <c r="Z199" s="260"/>
      <c r="AA199" s="260"/>
      <c r="AB199" s="108">
        <f>+Z199*'1. Standard_Cost'!$B$23+AA199*'1. Standard_Cost'!$C$23</f>
        <v>0</v>
      </c>
      <c r="AC199" s="261"/>
      <c r="AD199" s="262"/>
      <c r="AE199" s="108">
        <f>SUM(AD199,AC199,AB199,Y199,U199,T199,S199,R199)*'1. Standard_Cost'!$B$31</f>
        <v>0</v>
      </c>
      <c r="AF199" s="108">
        <f t="shared" si="193"/>
        <v>0</v>
      </c>
      <c r="AG199" s="260"/>
      <c r="AH199" s="260"/>
      <c r="AI199" s="260"/>
      <c r="AJ199" s="263"/>
      <c r="AK199" s="263"/>
      <c r="AL199" s="263"/>
      <c r="AM199" s="108">
        <f>AG199*'1. Standard_Cost'!$B$27+'Incremental_Cost Year 8'!AH199*'1. Standard_Cost'!$C$27+'Incremental_Cost Year 8'!AI199*'1. Standard_Cost'!$D$27+'Incremental_Cost Year 8'!AJ199+'Incremental_Cost Year 8'!AL199+AK199</f>
        <v>0</v>
      </c>
      <c r="AN199" s="108">
        <f>AM199*'1. Standard_Cost'!$C$31</f>
        <v>0</v>
      </c>
      <c r="AO199" s="125" t="s">
        <v>411</v>
      </c>
      <c r="AQ199" s="14">
        <f t="shared" si="194"/>
        <v>0</v>
      </c>
      <c r="AR199" s="14">
        <f t="shared" si="195"/>
        <v>0</v>
      </c>
      <c r="AS199" s="14">
        <f t="shared" si="196"/>
        <v>0</v>
      </c>
      <c r="AT199" s="14">
        <f t="shared" si="198"/>
        <v>0</v>
      </c>
      <c r="AU199" s="234"/>
      <c r="AV199" s="234"/>
      <c r="AW199" s="234"/>
      <c r="AX199" s="234"/>
      <c r="AY199" s="234"/>
      <c r="AZ199" s="234"/>
      <c r="BA199" s="234"/>
      <c r="BB199" s="16">
        <f t="shared" si="197"/>
        <v>0</v>
      </c>
    </row>
    <row r="200" spans="1:54" ht="32.25" customHeight="1" outlineLevel="2">
      <c r="A200" s="98"/>
      <c r="B200" s="102"/>
      <c r="C200" s="23"/>
      <c r="D200" s="251"/>
      <c r="E200" s="251"/>
      <c r="F200" s="172"/>
      <c r="G200" s="250"/>
      <c r="H200" s="272"/>
      <c r="I200" s="258"/>
      <c r="J200" s="259"/>
      <c r="K200" s="259"/>
      <c r="L200" s="106" t="str">
        <f>IF(I200&lt;&gt;0,((VLOOKUP(I200,'1. Standard_Cost'!$B$4:$D$11,2)+VLOOKUP(I200,'1. Standard_Cost'!$B$4:$D$11,3))*J200*K200),"0")</f>
        <v>0</v>
      </c>
      <c r="M200" s="106">
        <f>L200*'1. Standard_Cost'!$F$4</f>
        <v>0</v>
      </c>
      <c r="N200" s="260"/>
      <c r="O200" s="260"/>
      <c r="P200" s="260"/>
      <c r="Q200" s="260"/>
      <c r="R200" s="108">
        <f>'1. Standard_Cost'!$B$15*N200*P200</f>
        <v>0</v>
      </c>
      <c r="S200" s="108">
        <f>N200*O200*P200*'1. Standard_Cost'!$C$15</f>
        <v>0</v>
      </c>
      <c r="T200" s="108">
        <f>N200*P200*Q200*'1. Standard_Cost'!$D$15</f>
        <v>0</v>
      </c>
      <c r="U200" s="108">
        <f>N200*O200*'1. Standard_Cost'!$E$15</f>
        <v>0</v>
      </c>
      <c r="V200" s="260"/>
      <c r="W200" s="260"/>
      <c r="X200" s="260"/>
      <c r="Y200" s="108">
        <f>+V200*((X200*'1. Standard_Cost'!$B$19)+(W200*X200*'1. Standard_Cost'!$C$19))</f>
        <v>0</v>
      </c>
      <c r="Z200" s="260"/>
      <c r="AA200" s="260"/>
      <c r="AB200" s="108">
        <f>+Z200*'1. Standard_Cost'!$B$23+AA200*'1. Standard_Cost'!$C$23</f>
        <v>0</v>
      </c>
      <c r="AC200" s="261"/>
      <c r="AD200" s="262"/>
      <c r="AE200" s="108">
        <f>SUM(AD200,AC200,AB200,Y200,U200,T200,S200,R200)*'1. Standard_Cost'!$B$31</f>
        <v>0</v>
      </c>
      <c r="AF200" s="108">
        <f t="shared" si="193"/>
        <v>0</v>
      </c>
      <c r="AG200" s="260"/>
      <c r="AH200" s="260"/>
      <c r="AI200" s="260"/>
      <c r="AJ200" s="263"/>
      <c r="AK200" s="263"/>
      <c r="AL200" s="263"/>
      <c r="AM200" s="108">
        <f>AG200*'1. Standard_Cost'!$B$27+'Incremental_Cost Year 8'!AH200*'1. Standard_Cost'!$C$27+'Incremental_Cost Year 8'!AI200*'1. Standard_Cost'!$D$27+'Incremental_Cost Year 8'!AJ200+'Incremental_Cost Year 8'!AL200+AK200</f>
        <v>0</v>
      </c>
      <c r="AN200" s="108">
        <f>AM200*'1. Standard_Cost'!$C$31</f>
        <v>0</v>
      </c>
      <c r="AO200" s="137" t="s">
        <v>412</v>
      </c>
      <c r="AQ200" s="14">
        <f t="shared" si="194"/>
        <v>0</v>
      </c>
      <c r="AR200" s="14">
        <f t="shared" si="195"/>
        <v>0</v>
      </c>
      <c r="AS200" s="14">
        <f t="shared" si="196"/>
        <v>0</v>
      </c>
      <c r="AT200" s="14">
        <f t="shared" si="198"/>
        <v>0</v>
      </c>
      <c r="AU200" s="234"/>
      <c r="AV200" s="234"/>
      <c r="AW200" s="234"/>
      <c r="AX200" s="234"/>
      <c r="AY200" s="234"/>
      <c r="AZ200" s="234"/>
      <c r="BA200" s="234"/>
      <c r="BB200" s="16">
        <f t="shared" si="197"/>
        <v>0</v>
      </c>
    </row>
    <row r="201" spans="1:54" ht="27.6" outlineLevel="1">
      <c r="A201" s="98"/>
      <c r="B201" s="102"/>
      <c r="C201" s="23"/>
      <c r="D201" s="56" t="s">
        <v>47</v>
      </c>
      <c r="E201" s="56" t="s">
        <v>243</v>
      </c>
      <c r="F201" s="253"/>
      <c r="G201" s="254"/>
      <c r="H201" s="279" t="s">
        <v>244</v>
      </c>
      <c r="I201" s="264"/>
      <c r="J201" s="264"/>
      <c r="K201" s="264"/>
      <c r="L201" s="113">
        <f>SUM(L180:L200)</f>
        <v>0</v>
      </c>
      <c r="M201" s="113">
        <f>SUM(M180:M200)</f>
        <v>0</v>
      </c>
      <c r="N201" s="264"/>
      <c r="O201" s="264"/>
      <c r="P201" s="264"/>
      <c r="Q201" s="264"/>
      <c r="R201" s="113">
        <f>SUM(R180:R200)</f>
        <v>0</v>
      </c>
      <c r="S201" s="113">
        <f>SUM(S180:S200)</f>
        <v>0</v>
      </c>
      <c r="T201" s="113">
        <f>SUM(T180:T200)</f>
        <v>0</v>
      </c>
      <c r="U201" s="113">
        <f>SUM(U180:U200)</f>
        <v>0</v>
      </c>
      <c r="V201" s="264"/>
      <c r="W201" s="264"/>
      <c r="X201" s="264"/>
      <c r="Y201" s="113">
        <f>SUM(Y180:Y200)</f>
        <v>0</v>
      </c>
      <c r="Z201" s="265"/>
      <c r="AA201" s="264"/>
      <c r="AB201" s="113">
        <f>SUM(AB180:AB200)</f>
        <v>0</v>
      </c>
      <c r="AC201" s="265">
        <f>SUM(AC180:AC200)</f>
        <v>0</v>
      </c>
      <c r="AD201" s="265">
        <f>SUM(AD180:AD200)</f>
        <v>0</v>
      </c>
      <c r="AE201" s="113">
        <f>SUM(AE180:AE200)</f>
        <v>0</v>
      </c>
      <c r="AF201" s="113">
        <f>SUM(AF180:AF200)</f>
        <v>0</v>
      </c>
      <c r="AG201" s="264"/>
      <c r="AH201" s="264"/>
      <c r="AI201" s="264"/>
      <c r="AJ201" s="265">
        <f>SUM(AJ180:AJ200)</f>
        <v>0</v>
      </c>
      <c r="AK201" s="265">
        <f>SUM(AK180:AK200)</f>
        <v>0</v>
      </c>
      <c r="AL201" s="265">
        <f>SUM(AL180:AL200)</f>
        <v>0</v>
      </c>
      <c r="AM201" s="113">
        <f>SUM(AM180:AM200)</f>
        <v>0</v>
      </c>
      <c r="AN201" s="113">
        <f>SUM(AN180:AN200)</f>
        <v>0</v>
      </c>
      <c r="AO201" s="131"/>
      <c r="AP201" s="17"/>
      <c r="AQ201" s="113">
        <f t="shared" ref="AQ201:BB201" si="199">SUM(AQ180:AQ200)</f>
        <v>0</v>
      </c>
      <c r="AR201" s="113">
        <f t="shared" si="199"/>
        <v>0</v>
      </c>
      <c r="AS201" s="113">
        <f t="shared" si="199"/>
        <v>0</v>
      </c>
      <c r="AT201" s="113">
        <f t="shared" si="199"/>
        <v>0</v>
      </c>
      <c r="AU201" s="265">
        <f t="shared" si="199"/>
        <v>0</v>
      </c>
      <c r="AV201" s="265">
        <f t="shared" si="199"/>
        <v>0</v>
      </c>
      <c r="AW201" s="265">
        <f t="shared" si="199"/>
        <v>0</v>
      </c>
      <c r="AX201" s="265">
        <f t="shared" si="199"/>
        <v>0</v>
      </c>
      <c r="AY201" s="265">
        <f t="shared" si="199"/>
        <v>0</v>
      </c>
      <c r="AZ201" s="265">
        <f t="shared" si="199"/>
        <v>0</v>
      </c>
      <c r="BA201" s="265">
        <f t="shared" si="199"/>
        <v>0</v>
      </c>
      <c r="BB201" s="113">
        <f t="shared" si="199"/>
        <v>0</v>
      </c>
    </row>
    <row r="202" spans="1:54" s="24" customFormat="1" ht="13.8" customHeight="1">
      <c r="A202" s="114"/>
      <c r="B202" s="115"/>
      <c r="C202" s="314" t="s">
        <v>246</v>
      </c>
      <c r="D202" s="314"/>
      <c r="E202" s="315"/>
      <c r="F202" s="246"/>
      <c r="G202" s="246"/>
      <c r="H202" s="278" t="s">
        <v>245</v>
      </c>
      <c r="I202" s="266"/>
      <c r="J202" s="266"/>
      <c r="K202" s="266"/>
      <c r="L202" s="117">
        <f>SUM(L222)</f>
        <v>0</v>
      </c>
      <c r="M202" s="117">
        <f>SUM(M222)</f>
        <v>0</v>
      </c>
      <c r="N202" s="266"/>
      <c r="O202" s="266"/>
      <c r="P202" s="266"/>
      <c r="Q202" s="266"/>
      <c r="R202" s="117">
        <f t="shared" ref="R202:U202" si="200">SUM(R222)</f>
        <v>0</v>
      </c>
      <c r="S202" s="117">
        <f t="shared" si="200"/>
        <v>0</v>
      </c>
      <c r="T202" s="117">
        <f t="shared" si="200"/>
        <v>0</v>
      </c>
      <c r="U202" s="117">
        <f t="shared" si="200"/>
        <v>0</v>
      </c>
      <c r="V202" s="266"/>
      <c r="W202" s="266"/>
      <c r="X202" s="266"/>
      <c r="Y202" s="117">
        <f>SUM(Y222)</f>
        <v>0</v>
      </c>
      <c r="Z202" s="267"/>
      <c r="AA202" s="267"/>
      <c r="AB202" s="117">
        <f t="shared" ref="AB202:AF202" si="201">SUM(AB222)</f>
        <v>0</v>
      </c>
      <c r="AC202" s="267">
        <f t="shared" ref="AC202:AD202" si="202">SUM(AC222)</f>
        <v>0</v>
      </c>
      <c r="AD202" s="267">
        <f t="shared" si="202"/>
        <v>0</v>
      </c>
      <c r="AE202" s="117">
        <f t="shared" si="201"/>
        <v>0</v>
      </c>
      <c r="AF202" s="117">
        <f t="shared" si="201"/>
        <v>0</v>
      </c>
      <c r="AG202" s="266"/>
      <c r="AH202" s="266"/>
      <c r="AI202" s="266"/>
      <c r="AJ202" s="267">
        <f t="shared" ref="AJ202:AL202" si="203">SUM(AJ222)</f>
        <v>0</v>
      </c>
      <c r="AK202" s="267">
        <f t="shared" si="203"/>
        <v>0</v>
      </c>
      <c r="AL202" s="267">
        <f t="shared" si="203"/>
        <v>0</v>
      </c>
      <c r="AM202" s="117">
        <f t="shared" ref="AM202:AN202" si="204">SUM(AM222)</f>
        <v>0</v>
      </c>
      <c r="AN202" s="117">
        <f t="shared" si="204"/>
        <v>0</v>
      </c>
      <c r="AO202" s="132"/>
      <c r="AP202" s="25"/>
      <c r="AQ202" s="117">
        <f t="shared" ref="AQ202:BB202" si="205">SUM(AQ222)</f>
        <v>0</v>
      </c>
      <c r="AR202" s="117">
        <f t="shared" si="205"/>
        <v>0</v>
      </c>
      <c r="AS202" s="117">
        <f t="shared" si="205"/>
        <v>0</v>
      </c>
      <c r="AT202" s="117">
        <f t="shared" si="205"/>
        <v>0</v>
      </c>
      <c r="AU202" s="267">
        <f t="shared" ref="AU202:BA202" si="206">SUM(AU222)</f>
        <v>0</v>
      </c>
      <c r="AV202" s="267">
        <f t="shared" si="206"/>
        <v>0</v>
      </c>
      <c r="AW202" s="267">
        <f t="shared" si="206"/>
        <v>0</v>
      </c>
      <c r="AX202" s="267">
        <f t="shared" si="206"/>
        <v>0</v>
      </c>
      <c r="AY202" s="267">
        <f t="shared" si="206"/>
        <v>0</v>
      </c>
      <c r="AZ202" s="267">
        <f t="shared" si="206"/>
        <v>0</v>
      </c>
      <c r="BA202" s="267">
        <f t="shared" si="206"/>
        <v>0</v>
      </c>
      <c r="BB202" s="117">
        <f t="shared" si="205"/>
        <v>0</v>
      </c>
    </row>
    <row r="203" spans="1:54" ht="41.4" outlineLevel="2">
      <c r="A203" s="98"/>
      <c r="B203" s="102"/>
      <c r="C203" s="23"/>
      <c r="D203" s="257"/>
      <c r="E203" s="123"/>
      <c r="F203" s="249"/>
      <c r="G203" s="283"/>
      <c r="H203" s="272"/>
      <c r="I203" s="258"/>
      <c r="J203" s="259"/>
      <c r="K203" s="259"/>
      <c r="L203" s="106" t="str">
        <f>IF(I203&lt;&gt;0,((VLOOKUP(I203,'1. Standard_Cost'!$B$4:$D$11,2)+VLOOKUP(I203,'1. Standard_Cost'!$B$4:$D$11,3))*J203*K203),"0")</f>
        <v>0</v>
      </c>
      <c r="M203" s="106">
        <f>L203*'1. Standard_Cost'!$F$4</f>
        <v>0</v>
      </c>
      <c r="N203" s="260"/>
      <c r="O203" s="260"/>
      <c r="P203" s="260"/>
      <c r="Q203" s="260"/>
      <c r="R203" s="108">
        <f>'1. Standard_Cost'!$B$15*N203*P203</f>
        <v>0</v>
      </c>
      <c r="S203" s="108">
        <f>N203*O203*P203*'1. Standard_Cost'!$C$15</f>
        <v>0</v>
      </c>
      <c r="T203" s="108">
        <f>N203*P203*Q203*'1. Standard_Cost'!$D$15</f>
        <v>0</v>
      </c>
      <c r="U203" s="108">
        <f>N203*O203*'1. Standard_Cost'!$E$15</f>
        <v>0</v>
      </c>
      <c r="V203" s="260"/>
      <c r="W203" s="260"/>
      <c r="X203" s="260"/>
      <c r="Y203" s="108">
        <f>+V203*((X203*'1. Standard_Cost'!$B$19)+(W203*X203*'1. Standard_Cost'!$C$19))</f>
        <v>0</v>
      </c>
      <c r="Z203" s="260"/>
      <c r="AA203" s="260"/>
      <c r="AB203" s="108">
        <f>+Z203*'1. Standard_Cost'!$B$23+AA203*'1. Standard_Cost'!$C$23</f>
        <v>0</v>
      </c>
      <c r="AC203" s="261"/>
      <c r="AD203" s="262"/>
      <c r="AE203" s="108">
        <f>SUM(AD203,AC203,AB203,Y203,U203,T203,S203,R203)*'1. Standard_Cost'!$B$31</f>
        <v>0</v>
      </c>
      <c r="AF203" s="108">
        <f t="shared" ref="AF203:AF221" si="207">SUM(AE203,AD203,AC203,AB203,Y203,U203,T203,S203,R203)</f>
        <v>0</v>
      </c>
      <c r="AG203" s="260"/>
      <c r="AH203" s="260"/>
      <c r="AI203" s="260"/>
      <c r="AJ203" s="263"/>
      <c r="AK203" s="263"/>
      <c r="AL203" s="263"/>
      <c r="AM203" s="108">
        <f>AG203*'1. Standard_Cost'!$B$27+'Incremental_Cost Year 8'!AH203*'1. Standard_Cost'!$C$27+'Incremental_Cost Year 8'!AI203*'1. Standard_Cost'!$D$27+'Incremental_Cost Year 8'!AJ203+'Incremental_Cost Year 8'!AL203+AK203</f>
        <v>0</v>
      </c>
      <c r="AN203" s="108">
        <f>AM203*'1. Standard_Cost'!$C$31</f>
        <v>0</v>
      </c>
      <c r="AO203" s="125" t="s">
        <v>413</v>
      </c>
      <c r="AQ203" s="14">
        <f t="shared" ref="AQ203:AQ221" si="208">L203+M203</f>
        <v>0</v>
      </c>
      <c r="AR203" s="14">
        <f t="shared" ref="AR203:AR221" si="209">AF203</f>
        <v>0</v>
      </c>
      <c r="AS203" s="14">
        <f t="shared" ref="AS203:AS221" si="210">AM203+AN203</f>
        <v>0</v>
      </c>
      <c r="AT203" s="14">
        <f>SUM(AQ203,AR203,AS203)</f>
        <v>0</v>
      </c>
      <c r="AU203" s="234"/>
      <c r="AV203" s="234"/>
      <c r="AW203" s="234"/>
      <c r="AX203" s="234"/>
      <c r="AY203" s="234"/>
      <c r="AZ203" s="234"/>
      <c r="BA203" s="234"/>
      <c r="BB203" s="16">
        <f t="shared" ref="BB203:BB221" si="211">SUM(AU203:BA203)-AT203</f>
        <v>0</v>
      </c>
    </row>
    <row r="204" spans="1:54" ht="69" outlineLevel="2">
      <c r="A204" s="98"/>
      <c r="B204" s="102"/>
      <c r="C204" s="23"/>
      <c r="D204" s="269"/>
      <c r="E204" s="271"/>
      <c r="F204" s="250"/>
      <c r="G204" s="255"/>
      <c r="H204" s="272"/>
      <c r="I204" s="258"/>
      <c r="J204" s="259"/>
      <c r="K204" s="259"/>
      <c r="L204" s="106" t="str">
        <f>IF(I204&lt;&gt;0,((VLOOKUP(I204,'1. Standard_Cost'!$B$4:$D$11,2)+VLOOKUP(I204,'1. Standard_Cost'!$B$4:$D$11,3))*J204*K204),"0")</f>
        <v>0</v>
      </c>
      <c r="M204" s="106">
        <f>L204*'1. Standard_Cost'!$F$4</f>
        <v>0</v>
      </c>
      <c r="N204" s="260"/>
      <c r="O204" s="260"/>
      <c r="P204" s="260"/>
      <c r="Q204" s="260"/>
      <c r="R204" s="108">
        <f>'1. Standard_Cost'!$B$15*N204*P204</f>
        <v>0</v>
      </c>
      <c r="S204" s="108">
        <f>N204*O204*P204*'1. Standard_Cost'!$C$15</f>
        <v>0</v>
      </c>
      <c r="T204" s="108">
        <f>N204*P204*Q204*'1. Standard_Cost'!$D$15</f>
        <v>0</v>
      </c>
      <c r="U204" s="108">
        <f>N204*O204*'1. Standard_Cost'!$E$15</f>
        <v>0</v>
      </c>
      <c r="V204" s="260"/>
      <c r="W204" s="260"/>
      <c r="X204" s="260"/>
      <c r="Y204" s="108">
        <f>+V204*((X204*'1. Standard_Cost'!$B$19)+(W204*X204*'1. Standard_Cost'!$C$19))</f>
        <v>0</v>
      </c>
      <c r="Z204" s="260"/>
      <c r="AA204" s="260"/>
      <c r="AB204" s="108">
        <f>+Z204*'1. Standard_Cost'!$B$23+AA204*'1. Standard_Cost'!$C$23</f>
        <v>0</v>
      </c>
      <c r="AC204" s="261"/>
      <c r="AD204" s="262"/>
      <c r="AE204" s="108">
        <f>SUM(AD204,AC204,AB204,Y204,U204,T204,S204,R204)*'1. Standard_Cost'!$B$31</f>
        <v>0</v>
      </c>
      <c r="AF204" s="108">
        <f t="shared" si="207"/>
        <v>0</v>
      </c>
      <c r="AG204" s="260"/>
      <c r="AH204" s="260"/>
      <c r="AI204" s="260"/>
      <c r="AJ204" s="263"/>
      <c r="AK204" s="263"/>
      <c r="AL204" s="263"/>
      <c r="AM204" s="108">
        <f>AG204*'1. Standard_Cost'!$B$27+'Incremental_Cost Year 8'!AH204*'1. Standard_Cost'!$C$27+'Incremental_Cost Year 8'!AI204*'1. Standard_Cost'!$D$27+'Incremental_Cost Year 8'!AJ204+'Incremental_Cost Year 8'!AL204+AK204</f>
        <v>0</v>
      </c>
      <c r="AN204" s="108">
        <f>AM204*'1. Standard_Cost'!$C$31</f>
        <v>0</v>
      </c>
      <c r="AO204" s="125" t="s">
        <v>414</v>
      </c>
      <c r="AQ204" s="14">
        <f t="shared" si="208"/>
        <v>0</v>
      </c>
      <c r="AR204" s="14">
        <f t="shared" si="209"/>
        <v>0</v>
      </c>
      <c r="AS204" s="14">
        <f t="shared" si="210"/>
        <v>0</v>
      </c>
      <c r="AT204" s="14">
        <f t="shared" ref="AT204:AT221" si="212">SUM(AQ204,AR204,AS204)</f>
        <v>0</v>
      </c>
      <c r="AU204" s="234"/>
      <c r="AV204" s="234"/>
      <c r="AW204" s="234"/>
      <c r="AX204" s="234"/>
      <c r="AY204" s="234"/>
      <c r="AZ204" s="234"/>
      <c r="BA204" s="234"/>
      <c r="BB204" s="16">
        <f t="shared" si="211"/>
        <v>0</v>
      </c>
    </row>
    <row r="205" spans="1:54" ht="31.2" customHeight="1" outlineLevel="2">
      <c r="A205" s="98"/>
      <c r="B205" s="102"/>
      <c r="C205" s="23"/>
      <c r="D205" s="269"/>
      <c r="E205" s="271"/>
      <c r="F205" s="271"/>
      <c r="G205" s="167"/>
      <c r="H205" s="272"/>
      <c r="I205" s="258"/>
      <c r="J205" s="259"/>
      <c r="K205" s="259"/>
      <c r="L205" s="106" t="str">
        <f>IF(I205&lt;&gt;0,((VLOOKUP(I205,'[1]1. Standard_Cost'!$B$4:$D$11,2)+VLOOKUP(I205,'[1]1. Standard_Cost'!$B$4:$D$11,3))*J205*K205),"0")</f>
        <v>0</v>
      </c>
      <c r="M205" s="106">
        <f>L205*'[1]1. Standard_Cost'!$F$4</f>
        <v>0</v>
      </c>
      <c r="N205" s="260"/>
      <c r="O205" s="260"/>
      <c r="P205" s="260"/>
      <c r="Q205" s="260"/>
      <c r="R205" s="108">
        <f>'[1]1. Standard_Cost'!$B$15*N205*P205</f>
        <v>0</v>
      </c>
      <c r="S205" s="108">
        <f>N205*O205*P205*'[1]1. Standard_Cost'!$C$15</f>
        <v>0</v>
      </c>
      <c r="T205" s="108">
        <f>N205*P205*Q205*'[1]1. Standard_Cost'!$D$15</f>
        <v>0</v>
      </c>
      <c r="U205" s="108">
        <f>N205*O205*'[1]1. Standard_Cost'!$E$15</f>
        <v>0</v>
      </c>
      <c r="V205" s="260"/>
      <c r="W205" s="260"/>
      <c r="X205" s="260"/>
      <c r="Y205" s="108">
        <f>+V205*((X205*'[1]1. Standard_Cost'!$B$19)+(W205*X205*'[1]1. Standard_Cost'!$C$19))</f>
        <v>0</v>
      </c>
      <c r="Z205" s="260"/>
      <c r="AA205" s="260"/>
      <c r="AB205" s="108">
        <f>+Z205*'[1]1. Standard_Cost'!$B$23+AA205*'[1]1. Standard_Cost'!$C$23</f>
        <v>0</v>
      </c>
      <c r="AC205" s="261"/>
      <c r="AD205" s="262"/>
      <c r="AE205" s="108">
        <f>SUM(AD205,AC205,AB205,Y205,U205,T205,S205,R205)*'[1]1. Standard_Cost'!$B$31</f>
        <v>0</v>
      </c>
      <c r="AF205" s="108">
        <f t="shared" si="207"/>
        <v>0</v>
      </c>
      <c r="AG205" s="260"/>
      <c r="AH205" s="260"/>
      <c r="AI205" s="260"/>
      <c r="AJ205" s="263"/>
      <c r="AK205" s="263"/>
      <c r="AL205" s="263"/>
      <c r="AM205" s="108">
        <f>AG205*'[1]1. Standard_Cost'!$B$27+'[1]Incremental_Cost Year 8'!AH205*'[1]1. Standard_Cost'!$C$27+'[1]Incremental_Cost Year 8'!AI205*'[1]1. Standard_Cost'!$D$27+'[1]Incremental_Cost Year 8'!AJ205+'[1]Incremental_Cost Year 8'!AL205+AK205</f>
        <v>0</v>
      </c>
      <c r="AN205" s="108">
        <f>AM205*'[1]1. Standard_Cost'!$C$31</f>
        <v>0</v>
      </c>
      <c r="AO205" s="125"/>
      <c r="AQ205" s="14">
        <f t="shared" si="208"/>
        <v>0</v>
      </c>
      <c r="AR205" s="14">
        <f t="shared" si="209"/>
        <v>0</v>
      </c>
      <c r="AS205" s="14">
        <f t="shared" si="210"/>
        <v>0</v>
      </c>
      <c r="AT205" s="14">
        <f t="shared" si="212"/>
        <v>0</v>
      </c>
      <c r="AU205" s="234"/>
      <c r="AV205" s="234"/>
      <c r="AW205" s="234"/>
      <c r="AX205" s="234"/>
      <c r="AY205" s="234"/>
      <c r="AZ205" s="234"/>
      <c r="BA205" s="234"/>
      <c r="BB205" s="16">
        <f t="shared" si="211"/>
        <v>0</v>
      </c>
    </row>
    <row r="206" spans="1:54" ht="27.6" outlineLevel="2">
      <c r="A206" s="98"/>
      <c r="B206" s="102"/>
      <c r="C206" s="23"/>
      <c r="D206" s="269"/>
      <c r="E206" s="271"/>
      <c r="F206" s="250"/>
      <c r="G206" s="255"/>
      <c r="H206" s="272"/>
      <c r="I206" s="258"/>
      <c r="J206" s="259"/>
      <c r="K206" s="259"/>
      <c r="L206" s="106" t="str">
        <f>IF(I206&lt;&gt;0,((VLOOKUP(I206,'1. Standard_Cost'!$B$4:$D$11,2)+VLOOKUP(I206,'1. Standard_Cost'!$B$4:$D$11,3))*J206*K206),"0")</f>
        <v>0</v>
      </c>
      <c r="M206" s="106">
        <f>L206*'1. Standard_Cost'!$F$4</f>
        <v>0</v>
      </c>
      <c r="N206" s="260"/>
      <c r="O206" s="260"/>
      <c r="P206" s="260"/>
      <c r="Q206" s="260"/>
      <c r="R206" s="108">
        <f>'1. Standard_Cost'!$B$15*N206*P206</f>
        <v>0</v>
      </c>
      <c r="S206" s="108">
        <f>N206*O206*P206*'1. Standard_Cost'!$C$15</f>
        <v>0</v>
      </c>
      <c r="T206" s="108">
        <f>N206*P206*Q206*'1. Standard_Cost'!$D$15</f>
        <v>0</v>
      </c>
      <c r="U206" s="108">
        <f>N206*O206*'1. Standard_Cost'!$E$15</f>
        <v>0</v>
      </c>
      <c r="V206" s="260"/>
      <c r="W206" s="260"/>
      <c r="X206" s="260"/>
      <c r="Y206" s="108">
        <f>+V206*((X206*'1. Standard_Cost'!$B$19)+(W206*X206*'1. Standard_Cost'!$C$19))</f>
        <v>0</v>
      </c>
      <c r="Z206" s="260"/>
      <c r="AA206" s="260"/>
      <c r="AB206" s="108">
        <f>+Z206*'1. Standard_Cost'!$B$23+AA206*'1. Standard_Cost'!$C$23</f>
        <v>0</v>
      </c>
      <c r="AC206" s="261"/>
      <c r="AD206" s="262"/>
      <c r="AE206" s="108">
        <f>SUM(AD206,AC206,AB206,Y206,U206,T206,S206,R206)*'1. Standard_Cost'!$B$31</f>
        <v>0</v>
      </c>
      <c r="AF206" s="108">
        <f t="shared" si="207"/>
        <v>0</v>
      </c>
      <c r="AG206" s="260"/>
      <c r="AH206" s="260"/>
      <c r="AI206" s="260"/>
      <c r="AJ206" s="263"/>
      <c r="AK206" s="263"/>
      <c r="AL206" s="263"/>
      <c r="AM206" s="108">
        <f>AG206*'1. Standard_Cost'!$B$27+'Incremental_Cost Year 8'!AH206*'1. Standard_Cost'!$C$27+'Incremental_Cost Year 8'!AI206*'1. Standard_Cost'!$D$27+'Incremental_Cost Year 8'!AJ206+'Incremental_Cost Year 8'!AL206+AK206</f>
        <v>0</v>
      </c>
      <c r="AN206" s="108">
        <f>AM206*'1. Standard_Cost'!$C$31</f>
        <v>0</v>
      </c>
      <c r="AO206" s="125" t="s">
        <v>415</v>
      </c>
      <c r="AQ206" s="14">
        <f t="shared" si="208"/>
        <v>0</v>
      </c>
      <c r="AR206" s="14">
        <f t="shared" si="209"/>
        <v>0</v>
      </c>
      <c r="AS206" s="14">
        <f t="shared" si="210"/>
        <v>0</v>
      </c>
      <c r="AT206" s="14">
        <f t="shared" si="212"/>
        <v>0</v>
      </c>
      <c r="AU206" s="234"/>
      <c r="AV206" s="234"/>
      <c r="AW206" s="234"/>
      <c r="AX206" s="234"/>
      <c r="AY206" s="234"/>
      <c r="AZ206" s="234"/>
      <c r="BA206" s="234"/>
      <c r="BB206" s="16">
        <f t="shared" si="211"/>
        <v>0</v>
      </c>
    </row>
    <row r="207" spans="1:54" ht="36" customHeight="1" outlineLevel="2">
      <c r="A207" s="98"/>
      <c r="B207" s="102"/>
      <c r="C207" s="23"/>
      <c r="D207" s="269"/>
      <c r="E207" s="271"/>
      <c r="F207" s="250"/>
      <c r="G207" s="255"/>
      <c r="H207" s="272"/>
      <c r="I207" s="258"/>
      <c r="J207" s="259"/>
      <c r="K207" s="259"/>
      <c r="L207" s="106" t="str">
        <f>IF(I207&lt;&gt;0,((VLOOKUP(I207,'1. Standard_Cost'!$B$4:$D$11,2)+VLOOKUP(I207,'1. Standard_Cost'!$B$4:$D$11,3))*J207*K207),"0")</f>
        <v>0</v>
      </c>
      <c r="M207" s="106">
        <f>L207*'1. Standard_Cost'!$F$4</f>
        <v>0</v>
      </c>
      <c r="N207" s="260"/>
      <c r="O207" s="260"/>
      <c r="P207" s="260"/>
      <c r="Q207" s="260"/>
      <c r="R207" s="108">
        <f>'1. Standard_Cost'!$B$15*N207*P207</f>
        <v>0</v>
      </c>
      <c r="S207" s="108">
        <f>N207*O207*P207*'1. Standard_Cost'!$C$15</f>
        <v>0</v>
      </c>
      <c r="T207" s="108">
        <f>N207*P207*Q207*'1. Standard_Cost'!$D$15</f>
        <v>0</v>
      </c>
      <c r="U207" s="108">
        <f>N207*O207*'1. Standard_Cost'!$E$15</f>
        <v>0</v>
      </c>
      <c r="V207" s="260"/>
      <c r="W207" s="260"/>
      <c r="X207" s="260"/>
      <c r="Y207" s="108">
        <f>+V207*((X207*'1. Standard_Cost'!$B$19)+(W207*X207*'1. Standard_Cost'!$C$19))</f>
        <v>0</v>
      </c>
      <c r="Z207" s="260"/>
      <c r="AA207" s="260"/>
      <c r="AB207" s="108">
        <f>+Z207*'1. Standard_Cost'!$B$23+AA207*'1. Standard_Cost'!$C$23</f>
        <v>0</v>
      </c>
      <c r="AC207" s="261"/>
      <c r="AD207" s="262"/>
      <c r="AE207" s="108">
        <f>SUM(AD207,AC207,AB207,Y207,U207,T207,S207,R207)*'1. Standard_Cost'!$B$31</f>
        <v>0</v>
      </c>
      <c r="AF207" s="108">
        <f t="shared" si="207"/>
        <v>0</v>
      </c>
      <c r="AG207" s="260"/>
      <c r="AH207" s="260"/>
      <c r="AI207" s="260"/>
      <c r="AJ207" s="263"/>
      <c r="AK207" s="263"/>
      <c r="AL207" s="263"/>
      <c r="AM207" s="108">
        <f>AG207*'1. Standard_Cost'!$B$27+'Incremental_Cost Year 8'!AH207*'1. Standard_Cost'!$C$27+'Incremental_Cost Year 8'!AI207*'1. Standard_Cost'!$D$27+'Incremental_Cost Year 8'!AJ207+'Incremental_Cost Year 8'!AL207+AK207</f>
        <v>0</v>
      </c>
      <c r="AN207" s="108">
        <f>AM207*'1. Standard_Cost'!$C$31</f>
        <v>0</v>
      </c>
      <c r="AO207" s="125" t="s">
        <v>416</v>
      </c>
      <c r="AQ207" s="14">
        <f t="shared" si="208"/>
        <v>0</v>
      </c>
      <c r="AR207" s="14">
        <f t="shared" si="209"/>
        <v>0</v>
      </c>
      <c r="AS207" s="14">
        <f t="shared" si="210"/>
        <v>0</v>
      </c>
      <c r="AT207" s="14">
        <f t="shared" si="212"/>
        <v>0</v>
      </c>
      <c r="AU207" s="234"/>
      <c r="AV207" s="234"/>
      <c r="AW207" s="234"/>
      <c r="AX207" s="234"/>
      <c r="AY207" s="234"/>
      <c r="AZ207" s="234"/>
      <c r="BA207" s="234"/>
      <c r="BB207" s="16">
        <f t="shared" si="211"/>
        <v>0</v>
      </c>
    </row>
    <row r="208" spans="1:54" ht="27.6" outlineLevel="2">
      <c r="A208" s="98"/>
      <c r="B208" s="102"/>
      <c r="C208" s="23"/>
      <c r="D208" s="269"/>
      <c r="E208" s="271"/>
      <c r="F208" s="250"/>
      <c r="G208" s="255"/>
      <c r="H208" s="272"/>
      <c r="I208" s="258"/>
      <c r="J208" s="259"/>
      <c r="K208" s="259"/>
      <c r="L208" s="106" t="str">
        <f>IF(I208&lt;&gt;0,((VLOOKUP(I208,'1. Standard_Cost'!$B$4:$D$11,2)+VLOOKUP(I208,'1. Standard_Cost'!$B$4:$D$11,3))*J208*K208),"0")</f>
        <v>0</v>
      </c>
      <c r="M208" s="106">
        <f>L208*'1. Standard_Cost'!$F$4</f>
        <v>0</v>
      </c>
      <c r="N208" s="260"/>
      <c r="O208" s="260"/>
      <c r="P208" s="260"/>
      <c r="Q208" s="260"/>
      <c r="R208" s="108">
        <f>'1. Standard_Cost'!$B$15*N208*P208</f>
        <v>0</v>
      </c>
      <c r="S208" s="108">
        <f>N208*O208*P208*'1. Standard_Cost'!$C$15</f>
        <v>0</v>
      </c>
      <c r="T208" s="108">
        <f>N208*P208*Q208*'1. Standard_Cost'!$D$15</f>
        <v>0</v>
      </c>
      <c r="U208" s="108">
        <f>N208*O208*'1. Standard_Cost'!$E$15</f>
        <v>0</v>
      </c>
      <c r="V208" s="260"/>
      <c r="W208" s="260"/>
      <c r="X208" s="260"/>
      <c r="Y208" s="108">
        <f>+V208*((X208*'1. Standard_Cost'!$B$19)+(W208*X208*'1. Standard_Cost'!$C$19))</f>
        <v>0</v>
      </c>
      <c r="Z208" s="260"/>
      <c r="AA208" s="260"/>
      <c r="AB208" s="108">
        <f>+Z208*'1. Standard_Cost'!$B$23+AA208*'1. Standard_Cost'!$C$23</f>
        <v>0</v>
      </c>
      <c r="AC208" s="261"/>
      <c r="AD208" s="262"/>
      <c r="AE208" s="108">
        <f>SUM(AD208,AC208,AB208,Y208,U208,T208,S208,R208)*'1. Standard_Cost'!$B$31</f>
        <v>0</v>
      </c>
      <c r="AF208" s="108">
        <f t="shared" si="207"/>
        <v>0</v>
      </c>
      <c r="AG208" s="260"/>
      <c r="AH208" s="260"/>
      <c r="AI208" s="260"/>
      <c r="AJ208" s="263"/>
      <c r="AK208" s="263"/>
      <c r="AL208" s="263"/>
      <c r="AM208" s="108">
        <f>AG208*'1. Standard_Cost'!$B$27+'Incremental_Cost Year 8'!AH208*'1. Standard_Cost'!$C$27+'Incremental_Cost Year 8'!AI208*'1. Standard_Cost'!$D$27+'Incremental_Cost Year 8'!AJ208+'Incremental_Cost Year 8'!AL208+AK208</f>
        <v>0</v>
      </c>
      <c r="AN208" s="108">
        <f>AM208*'1. Standard_Cost'!$C$31</f>
        <v>0</v>
      </c>
      <c r="AO208" s="125" t="s">
        <v>417</v>
      </c>
      <c r="AQ208" s="14">
        <f t="shared" si="208"/>
        <v>0</v>
      </c>
      <c r="AR208" s="14">
        <f t="shared" si="209"/>
        <v>0</v>
      </c>
      <c r="AS208" s="14">
        <f t="shared" si="210"/>
        <v>0</v>
      </c>
      <c r="AT208" s="14">
        <f t="shared" si="212"/>
        <v>0</v>
      </c>
      <c r="AU208" s="234"/>
      <c r="AV208" s="234"/>
      <c r="AW208" s="234"/>
      <c r="AX208" s="234"/>
      <c r="AY208" s="234"/>
      <c r="AZ208" s="234"/>
      <c r="BA208" s="234"/>
      <c r="BB208" s="16">
        <f t="shared" si="211"/>
        <v>0</v>
      </c>
    </row>
    <row r="209" spans="1:54" ht="15.6" outlineLevel="2">
      <c r="A209" s="98"/>
      <c r="B209" s="102"/>
      <c r="C209" s="23"/>
      <c r="D209" s="269"/>
      <c r="E209" s="271"/>
      <c r="F209" s="271"/>
      <c r="G209" s="167"/>
      <c r="H209" s="272"/>
      <c r="I209" s="258"/>
      <c r="J209" s="259"/>
      <c r="K209" s="259"/>
      <c r="L209" s="106" t="str">
        <f>IF(I209&lt;&gt;0,((VLOOKUP(I209,'[1]1. Standard_Cost'!$B$4:$D$11,2)+VLOOKUP(I209,'[1]1. Standard_Cost'!$B$4:$D$11,3))*J209*K209),"0")</f>
        <v>0</v>
      </c>
      <c r="M209" s="106">
        <f>L209*'[1]1. Standard_Cost'!$F$4</f>
        <v>0</v>
      </c>
      <c r="N209" s="260"/>
      <c r="O209" s="260"/>
      <c r="P209" s="260"/>
      <c r="Q209" s="260"/>
      <c r="R209" s="108">
        <f>'[1]1. Standard_Cost'!$B$15*N209*P209</f>
        <v>0</v>
      </c>
      <c r="S209" s="108">
        <f>N209*O209*P209*'[1]1. Standard_Cost'!$C$15</f>
        <v>0</v>
      </c>
      <c r="T209" s="108">
        <f>N209*P209*Q209*'[1]1. Standard_Cost'!$D$15</f>
        <v>0</v>
      </c>
      <c r="U209" s="108">
        <f>N209*O209*'[1]1. Standard_Cost'!$E$15</f>
        <v>0</v>
      </c>
      <c r="V209" s="260"/>
      <c r="W209" s="260"/>
      <c r="X209" s="260"/>
      <c r="Y209" s="108">
        <f>+V209*((X209*'[1]1. Standard_Cost'!$B$19)+(W209*X209*'[1]1. Standard_Cost'!$C$19))</f>
        <v>0</v>
      </c>
      <c r="Z209" s="260"/>
      <c r="AA209" s="260"/>
      <c r="AB209" s="108">
        <f>+Z209*'[1]1. Standard_Cost'!$B$23+AA209*'[1]1. Standard_Cost'!$C$23</f>
        <v>0</v>
      </c>
      <c r="AC209" s="261"/>
      <c r="AD209" s="262"/>
      <c r="AE209" s="108">
        <f>SUM(AD209,AC209,AB209,Y209,U209,T209,S209,R209)*'[1]1. Standard_Cost'!$B$31</f>
        <v>0</v>
      </c>
      <c r="AF209" s="108">
        <f t="shared" si="207"/>
        <v>0</v>
      </c>
      <c r="AG209" s="260"/>
      <c r="AH209" s="260"/>
      <c r="AI209" s="260"/>
      <c r="AJ209" s="263"/>
      <c r="AK209" s="263"/>
      <c r="AL209" s="263"/>
      <c r="AM209" s="108">
        <f>AG209*'[1]1. Standard_Cost'!$B$27+'[1]Incremental_Cost Year 8'!AH209*'[1]1. Standard_Cost'!$C$27+'[1]Incremental_Cost Year 8'!AI209*'[1]1. Standard_Cost'!$D$27+'[1]Incremental_Cost Year 8'!AJ209+'[1]Incremental_Cost Year 8'!AL209+AK209</f>
        <v>0</v>
      </c>
      <c r="AN209" s="108">
        <f>AM209*'[1]1. Standard_Cost'!$C$31</f>
        <v>0</v>
      </c>
      <c r="AO209" s="125" t="s">
        <v>418</v>
      </c>
      <c r="AQ209" s="14">
        <f t="shared" si="208"/>
        <v>0</v>
      </c>
      <c r="AR209" s="14">
        <f t="shared" si="209"/>
        <v>0</v>
      </c>
      <c r="AS209" s="14">
        <f t="shared" si="210"/>
        <v>0</v>
      </c>
      <c r="AT209" s="14">
        <f t="shared" si="212"/>
        <v>0</v>
      </c>
      <c r="AU209" s="234"/>
      <c r="AV209" s="234"/>
      <c r="AW209" s="234"/>
      <c r="AX209" s="234"/>
      <c r="AY209" s="234"/>
      <c r="AZ209" s="234"/>
      <c r="BA209" s="234"/>
      <c r="BB209" s="16">
        <f t="shared" si="211"/>
        <v>0</v>
      </c>
    </row>
    <row r="210" spans="1:54" ht="15.6" outlineLevel="2">
      <c r="A210" s="98"/>
      <c r="B210" s="102"/>
      <c r="C210" s="23"/>
      <c r="D210" s="269"/>
      <c r="E210" s="271"/>
      <c r="F210" s="250"/>
      <c r="G210" s="255"/>
      <c r="H210" s="272"/>
      <c r="I210" s="258"/>
      <c r="J210" s="259"/>
      <c r="K210" s="259"/>
      <c r="L210" s="106" t="str">
        <f>IF(I210&lt;&gt;0,((VLOOKUP(I210,'1. Standard_Cost'!$B$4:$D$11,2)+VLOOKUP(I210,'1. Standard_Cost'!$B$4:$D$11,3))*J210*K210),"0")</f>
        <v>0</v>
      </c>
      <c r="M210" s="106">
        <f>L210*'1. Standard_Cost'!$F$4</f>
        <v>0</v>
      </c>
      <c r="N210" s="260"/>
      <c r="O210" s="260"/>
      <c r="P210" s="260"/>
      <c r="Q210" s="260"/>
      <c r="R210" s="108">
        <f>'1. Standard_Cost'!$B$15*N210*P210</f>
        <v>0</v>
      </c>
      <c r="S210" s="108">
        <f>N210*O210*P210*'1. Standard_Cost'!$C$15</f>
        <v>0</v>
      </c>
      <c r="T210" s="108">
        <f>N210*P210*Q210*'1. Standard_Cost'!$D$15</f>
        <v>0</v>
      </c>
      <c r="U210" s="108">
        <f>N210*O210*'1. Standard_Cost'!$E$15</f>
        <v>0</v>
      </c>
      <c r="V210" s="260"/>
      <c r="W210" s="260"/>
      <c r="X210" s="260"/>
      <c r="Y210" s="108">
        <f>+V210*((X210*'1. Standard_Cost'!$B$19)+(W210*X210*'1. Standard_Cost'!$C$19))</f>
        <v>0</v>
      </c>
      <c r="Z210" s="260"/>
      <c r="AA210" s="260"/>
      <c r="AB210" s="108">
        <f>+Z210*'1. Standard_Cost'!$B$23+AA210*'1. Standard_Cost'!$C$23</f>
        <v>0</v>
      </c>
      <c r="AC210" s="261"/>
      <c r="AD210" s="262"/>
      <c r="AE210" s="108">
        <f>SUM(AD210,AC210,AB210,Y210,U210,T210,S210,R210)*'1. Standard_Cost'!$B$31</f>
        <v>0</v>
      </c>
      <c r="AF210" s="108">
        <f t="shared" si="207"/>
        <v>0</v>
      </c>
      <c r="AG210" s="260"/>
      <c r="AH210" s="260"/>
      <c r="AI210" s="260"/>
      <c r="AJ210" s="263"/>
      <c r="AK210" s="263"/>
      <c r="AL210" s="263"/>
      <c r="AM210" s="108">
        <f>AG210*'1. Standard_Cost'!$B$27+'Incremental_Cost Year 8'!AH210*'1. Standard_Cost'!$C$27+'Incremental_Cost Year 8'!AI210*'1. Standard_Cost'!$D$27+'Incremental_Cost Year 8'!AJ210+'Incremental_Cost Year 8'!AL210+AK210</f>
        <v>0</v>
      </c>
      <c r="AN210" s="108">
        <f>AM210*'1. Standard_Cost'!$C$31</f>
        <v>0</v>
      </c>
      <c r="AO210" s="125" t="s">
        <v>418</v>
      </c>
      <c r="AQ210" s="14">
        <f t="shared" si="208"/>
        <v>0</v>
      </c>
      <c r="AR210" s="14">
        <f t="shared" si="209"/>
        <v>0</v>
      </c>
      <c r="AS210" s="14">
        <f t="shared" si="210"/>
        <v>0</v>
      </c>
      <c r="AT210" s="14">
        <f t="shared" si="212"/>
        <v>0</v>
      </c>
      <c r="AU210" s="234"/>
      <c r="AV210" s="234"/>
      <c r="AW210" s="234"/>
      <c r="AX210" s="234"/>
      <c r="AY210" s="234"/>
      <c r="AZ210" s="234"/>
      <c r="BA210" s="234"/>
      <c r="BB210" s="16">
        <f t="shared" si="211"/>
        <v>0</v>
      </c>
    </row>
    <row r="211" spans="1:54" ht="41.4" outlineLevel="2">
      <c r="A211" s="98"/>
      <c r="B211" s="102"/>
      <c r="C211" s="23"/>
      <c r="D211" s="269"/>
      <c r="E211" s="271"/>
      <c r="F211" s="250"/>
      <c r="G211" s="255"/>
      <c r="H211" s="272"/>
      <c r="I211" s="258"/>
      <c r="J211" s="259"/>
      <c r="K211" s="259"/>
      <c r="L211" s="106" t="str">
        <f>IF(I211&lt;&gt;0,((VLOOKUP(I211,'1. Standard_Cost'!$B$4:$D$11,2)+VLOOKUP(I211,'1. Standard_Cost'!$B$4:$D$11,3))*J211*K211),"0")</f>
        <v>0</v>
      </c>
      <c r="M211" s="106">
        <f>L211*'1. Standard_Cost'!$F$4</f>
        <v>0</v>
      </c>
      <c r="N211" s="260"/>
      <c r="O211" s="260"/>
      <c r="P211" s="260"/>
      <c r="Q211" s="260"/>
      <c r="R211" s="108">
        <f>'1. Standard_Cost'!$B$15*N211*P211</f>
        <v>0</v>
      </c>
      <c r="S211" s="108">
        <f>N211*O211*P211*'1. Standard_Cost'!$C$15</f>
        <v>0</v>
      </c>
      <c r="T211" s="108">
        <f>N211*P211*Q211*'1. Standard_Cost'!$D$15</f>
        <v>0</v>
      </c>
      <c r="U211" s="108">
        <f>N211*O211*'1. Standard_Cost'!$E$15</f>
        <v>0</v>
      </c>
      <c r="V211" s="260"/>
      <c r="W211" s="260"/>
      <c r="X211" s="260"/>
      <c r="Y211" s="108">
        <f>+V211*((X211*'1. Standard_Cost'!$B$19)+(W211*X211*'1. Standard_Cost'!$C$19))</f>
        <v>0</v>
      </c>
      <c r="Z211" s="260"/>
      <c r="AA211" s="260"/>
      <c r="AB211" s="108">
        <f>+Z211*'1. Standard_Cost'!$B$23+AA211*'1. Standard_Cost'!$C$23</f>
        <v>0</v>
      </c>
      <c r="AC211" s="261"/>
      <c r="AD211" s="262"/>
      <c r="AE211" s="108">
        <f>SUM(AD211,AC211,AB211,Y211,U211,T211,S211,R211)*'1. Standard_Cost'!$B$31</f>
        <v>0</v>
      </c>
      <c r="AF211" s="108">
        <f t="shared" si="207"/>
        <v>0</v>
      </c>
      <c r="AG211" s="260"/>
      <c r="AH211" s="260"/>
      <c r="AI211" s="260"/>
      <c r="AJ211" s="263"/>
      <c r="AK211" s="263"/>
      <c r="AL211" s="263"/>
      <c r="AM211" s="108">
        <f>AG211*'1. Standard_Cost'!$B$27+'Incremental_Cost Year 8'!AH211*'1. Standard_Cost'!$C$27+'Incremental_Cost Year 8'!AI211*'1. Standard_Cost'!$D$27+'Incremental_Cost Year 8'!AJ211+'Incremental_Cost Year 8'!AL211+AK211</f>
        <v>0</v>
      </c>
      <c r="AN211" s="108">
        <f>AM211*'1. Standard_Cost'!$C$31</f>
        <v>0</v>
      </c>
      <c r="AO211" s="125" t="s">
        <v>419</v>
      </c>
      <c r="AQ211" s="14">
        <f t="shared" si="208"/>
        <v>0</v>
      </c>
      <c r="AR211" s="14">
        <f t="shared" si="209"/>
        <v>0</v>
      </c>
      <c r="AS211" s="14">
        <f t="shared" si="210"/>
        <v>0</v>
      </c>
      <c r="AT211" s="14">
        <f t="shared" si="212"/>
        <v>0</v>
      </c>
      <c r="AU211" s="234"/>
      <c r="AV211" s="234"/>
      <c r="AW211" s="234"/>
      <c r="AX211" s="234"/>
      <c r="AY211" s="234"/>
      <c r="AZ211" s="234"/>
      <c r="BA211" s="234"/>
      <c r="BB211" s="16">
        <f t="shared" si="211"/>
        <v>0</v>
      </c>
    </row>
    <row r="212" spans="1:54" ht="15.6" outlineLevel="2">
      <c r="A212" s="98"/>
      <c r="B212" s="102"/>
      <c r="C212" s="23"/>
      <c r="D212" s="269"/>
      <c r="E212" s="271"/>
      <c r="F212" s="250"/>
      <c r="G212" s="255"/>
      <c r="H212" s="272"/>
      <c r="I212" s="258"/>
      <c r="J212" s="259"/>
      <c r="K212" s="259"/>
      <c r="L212" s="106" t="str">
        <f>IF(I212&lt;&gt;0,((VLOOKUP(I212,'1. Standard_Cost'!$B$4:$D$11,2)+VLOOKUP(I212,'1. Standard_Cost'!$B$4:$D$11,3))*J212*K212),"0")</f>
        <v>0</v>
      </c>
      <c r="M212" s="106">
        <f>L212*'1. Standard_Cost'!$F$4</f>
        <v>0</v>
      </c>
      <c r="N212" s="260"/>
      <c r="O212" s="260"/>
      <c r="P212" s="260"/>
      <c r="Q212" s="260"/>
      <c r="R212" s="108">
        <f>'1. Standard_Cost'!$B$15*N212*P212</f>
        <v>0</v>
      </c>
      <c r="S212" s="108">
        <f>N212*O212*P212*'1. Standard_Cost'!$C$15</f>
        <v>0</v>
      </c>
      <c r="T212" s="108">
        <f>N212*P212*Q212*'1. Standard_Cost'!$D$15</f>
        <v>0</v>
      </c>
      <c r="U212" s="108">
        <f>N212*O212*'1. Standard_Cost'!$E$15</f>
        <v>0</v>
      </c>
      <c r="V212" s="260"/>
      <c r="W212" s="260"/>
      <c r="X212" s="260"/>
      <c r="Y212" s="108">
        <f>+V212*((X212*'1. Standard_Cost'!$B$19)+(W212*X212*'1. Standard_Cost'!$C$19))</f>
        <v>0</v>
      </c>
      <c r="Z212" s="260"/>
      <c r="AA212" s="260"/>
      <c r="AB212" s="108">
        <f>+Z212*'1. Standard_Cost'!$B$23+AA212*'1. Standard_Cost'!$C$23</f>
        <v>0</v>
      </c>
      <c r="AC212" s="261"/>
      <c r="AD212" s="262"/>
      <c r="AE212" s="108">
        <f>SUM(AD212,AC212,AB212,Y212,U212,T212,S212,R212)*'1. Standard_Cost'!$B$31</f>
        <v>0</v>
      </c>
      <c r="AF212" s="108">
        <f t="shared" si="207"/>
        <v>0</v>
      </c>
      <c r="AG212" s="260"/>
      <c r="AH212" s="260"/>
      <c r="AI212" s="260"/>
      <c r="AJ212" s="263"/>
      <c r="AK212" s="263"/>
      <c r="AL212" s="263"/>
      <c r="AM212" s="108">
        <f>AG212*'1. Standard_Cost'!$B$27+'Incremental_Cost Year 8'!AH212*'1. Standard_Cost'!$C$27+'Incremental_Cost Year 8'!AI212*'1. Standard_Cost'!$D$27+'Incremental_Cost Year 8'!AJ212+'Incremental_Cost Year 8'!AL212+AK212</f>
        <v>0</v>
      </c>
      <c r="AN212" s="108">
        <f>AM212*'1. Standard_Cost'!$C$31</f>
        <v>0</v>
      </c>
      <c r="AO212" s="125" t="s">
        <v>300</v>
      </c>
      <c r="AQ212" s="14">
        <f t="shared" si="208"/>
        <v>0</v>
      </c>
      <c r="AR212" s="14">
        <f t="shared" si="209"/>
        <v>0</v>
      </c>
      <c r="AS212" s="14">
        <f t="shared" si="210"/>
        <v>0</v>
      </c>
      <c r="AT212" s="14">
        <f t="shared" si="212"/>
        <v>0</v>
      </c>
      <c r="AU212" s="234"/>
      <c r="AV212" s="234"/>
      <c r="AW212" s="234"/>
      <c r="AX212" s="234"/>
      <c r="AY212" s="234"/>
      <c r="AZ212" s="234"/>
      <c r="BA212" s="234"/>
      <c r="BB212" s="16">
        <f t="shared" si="211"/>
        <v>0</v>
      </c>
    </row>
    <row r="213" spans="1:54" ht="15.6" outlineLevel="2">
      <c r="A213" s="98"/>
      <c r="B213" s="102"/>
      <c r="C213" s="23"/>
      <c r="D213" s="269"/>
      <c r="E213" s="271"/>
      <c r="F213" s="250"/>
      <c r="G213" s="255"/>
      <c r="H213" s="272"/>
      <c r="I213" s="258"/>
      <c r="J213" s="259"/>
      <c r="K213" s="259"/>
      <c r="L213" s="106" t="str">
        <f>IF(I213&lt;&gt;0,((VLOOKUP(I213,'1. Standard_Cost'!$B$4:$D$11,2)+VLOOKUP(I213,'1. Standard_Cost'!$B$4:$D$11,3))*J213*K213),"0")</f>
        <v>0</v>
      </c>
      <c r="M213" s="106">
        <f>L213*'1. Standard_Cost'!$F$4</f>
        <v>0</v>
      </c>
      <c r="N213" s="260"/>
      <c r="O213" s="260"/>
      <c r="P213" s="260"/>
      <c r="Q213" s="260"/>
      <c r="R213" s="108">
        <f>'1. Standard_Cost'!$B$15*N213*P213</f>
        <v>0</v>
      </c>
      <c r="S213" s="108">
        <f>N213*O213*P213*'1. Standard_Cost'!$C$15</f>
        <v>0</v>
      </c>
      <c r="T213" s="108">
        <f>N213*P213*Q213*'1. Standard_Cost'!$D$15</f>
        <v>0</v>
      </c>
      <c r="U213" s="108">
        <f>N213*O213*'1. Standard_Cost'!$E$15</f>
        <v>0</v>
      </c>
      <c r="V213" s="260"/>
      <c r="W213" s="260"/>
      <c r="X213" s="260"/>
      <c r="Y213" s="108">
        <f>+V213*((X213*'1. Standard_Cost'!$B$19)+(W213*X213*'1. Standard_Cost'!$C$19))</f>
        <v>0</v>
      </c>
      <c r="Z213" s="260"/>
      <c r="AA213" s="260"/>
      <c r="AB213" s="108">
        <f>+Z213*'1. Standard_Cost'!$B$23+AA213*'1. Standard_Cost'!$C$23</f>
        <v>0</v>
      </c>
      <c r="AC213" s="261"/>
      <c r="AD213" s="262"/>
      <c r="AE213" s="108">
        <f>SUM(AD213,AC213,AB213,Y213,U213,T213,S213,R213)*'1. Standard_Cost'!$B$31</f>
        <v>0</v>
      </c>
      <c r="AF213" s="108">
        <f t="shared" si="207"/>
        <v>0</v>
      </c>
      <c r="AG213" s="260"/>
      <c r="AH213" s="260"/>
      <c r="AI213" s="260"/>
      <c r="AJ213" s="263"/>
      <c r="AK213" s="263"/>
      <c r="AL213" s="263"/>
      <c r="AM213" s="108">
        <f>AG213*'1. Standard_Cost'!$B$27+'Incremental_Cost Year 8'!AH213*'1. Standard_Cost'!$C$27+'Incremental_Cost Year 8'!AI213*'1. Standard_Cost'!$D$27+'Incremental_Cost Year 8'!AJ213+'Incremental_Cost Year 8'!AL213+AK213</f>
        <v>0</v>
      </c>
      <c r="AN213" s="108">
        <f>AM213*'1. Standard_Cost'!$C$31</f>
        <v>0</v>
      </c>
      <c r="AO213" s="125" t="s">
        <v>420</v>
      </c>
      <c r="AQ213" s="14">
        <f t="shared" si="208"/>
        <v>0</v>
      </c>
      <c r="AR213" s="14">
        <f t="shared" si="209"/>
        <v>0</v>
      </c>
      <c r="AS213" s="14">
        <f t="shared" si="210"/>
        <v>0</v>
      </c>
      <c r="AT213" s="14">
        <f t="shared" si="212"/>
        <v>0</v>
      </c>
      <c r="AU213" s="234"/>
      <c r="AV213" s="234"/>
      <c r="AW213" s="234"/>
      <c r="AX213" s="234"/>
      <c r="AY213" s="234"/>
      <c r="AZ213" s="234"/>
      <c r="BA213" s="234"/>
      <c r="BB213" s="16">
        <f t="shared" si="211"/>
        <v>0</v>
      </c>
    </row>
    <row r="214" spans="1:54" ht="21" customHeight="1" outlineLevel="2">
      <c r="A214" s="98"/>
      <c r="B214" s="102"/>
      <c r="C214" s="23"/>
      <c r="D214" s="269"/>
      <c r="E214" s="271"/>
      <c r="F214" s="271"/>
      <c r="G214" s="167"/>
      <c r="H214" s="168"/>
      <c r="I214" s="258"/>
      <c r="J214" s="259"/>
      <c r="K214" s="259"/>
      <c r="L214" s="106" t="str">
        <f>IF(I214&lt;&gt;0,((VLOOKUP(I214,'[1]1. Standard_Cost'!$B$4:$D$11,2)+VLOOKUP(I214,'[1]1. Standard_Cost'!$B$4:$D$11,3))*J214*K214),"0")</f>
        <v>0</v>
      </c>
      <c r="M214" s="106">
        <f>L214*'[1]1. Standard_Cost'!$F$4</f>
        <v>0</v>
      </c>
      <c r="N214" s="260"/>
      <c r="O214" s="260"/>
      <c r="P214" s="260"/>
      <c r="Q214" s="260"/>
      <c r="R214" s="108">
        <f>'[1]1. Standard_Cost'!$B$15*N214*P214</f>
        <v>0</v>
      </c>
      <c r="S214" s="108">
        <f>N214*O214*P214*'[1]1. Standard_Cost'!$C$15</f>
        <v>0</v>
      </c>
      <c r="T214" s="108">
        <f>N214*P214*Q214*'[1]1. Standard_Cost'!$D$15</f>
        <v>0</v>
      </c>
      <c r="U214" s="108">
        <f>N214*O214*'[1]1. Standard_Cost'!$E$15</f>
        <v>0</v>
      </c>
      <c r="V214" s="260"/>
      <c r="W214" s="260"/>
      <c r="X214" s="260"/>
      <c r="Y214" s="108">
        <f>+V214*((X214*'[1]1. Standard_Cost'!$B$19)+(W214*X214*'[1]1. Standard_Cost'!$C$19))</f>
        <v>0</v>
      </c>
      <c r="Z214" s="260"/>
      <c r="AA214" s="260"/>
      <c r="AB214" s="108">
        <f>+Z214*'[1]1. Standard_Cost'!$B$23+AA214*'[1]1. Standard_Cost'!$C$23</f>
        <v>0</v>
      </c>
      <c r="AC214" s="261"/>
      <c r="AD214" s="262"/>
      <c r="AE214" s="108">
        <f>SUM(AD214,AC214,AB214,Y214,U214,T214,S214,R214)*'[1]1. Standard_Cost'!$B$31</f>
        <v>0</v>
      </c>
      <c r="AF214" s="108">
        <f t="shared" si="207"/>
        <v>0</v>
      </c>
      <c r="AG214" s="260"/>
      <c r="AH214" s="260"/>
      <c r="AI214" s="260"/>
      <c r="AJ214" s="263"/>
      <c r="AK214" s="263"/>
      <c r="AL214" s="263"/>
      <c r="AM214" s="108">
        <f>AG214*'[1]1. Standard_Cost'!$B$27+'[1]Incremental_Cost Year 8'!AH214*'[1]1. Standard_Cost'!$C$27+'[1]Incremental_Cost Year 8'!AI214*'[1]1. Standard_Cost'!$D$27+'[1]Incremental_Cost Year 8'!AJ214+'[1]Incremental_Cost Year 8'!AL214+AK214</f>
        <v>0</v>
      </c>
      <c r="AN214" s="108">
        <f>AM214*'[1]1. Standard_Cost'!$C$31</f>
        <v>0</v>
      </c>
      <c r="AO214" s="125" t="s">
        <v>421</v>
      </c>
      <c r="AQ214" s="14">
        <f t="shared" si="208"/>
        <v>0</v>
      </c>
      <c r="AR214" s="14">
        <f t="shared" si="209"/>
        <v>0</v>
      </c>
      <c r="AS214" s="14">
        <f t="shared" si="210"/>
        <v>0</v>
      </c>
      <c r="AT214" s="14">
        <f t="shared" si="212"/>
        <v>0</v>
      </c>
      <c r="AU214" s="234"/>
      <c r="AV214" s="234"/>
      <c r="AW214" s="234"/>
      <c r="AX214" s="234"/>
      <c r="AY214" s="234"/>
      <c r="AZ214" s="234"/>
      <c r="BA214" s="234"/>
      <c r="BB214" s="16">
        <f t="shared" si="211"/>
        <v>0</v>
      </c>
    </row>
    <row r="215" spans="1:54" ht="15.6" outlineLevel="2">
      <c r="A215" s="98"/>
      <c r="B215" s="102"/>
      <c r="C215" s="23"/>
      <c r="D215" s="269"/>
      <c r="E215" s="271"/>
      <c r="F215" s="250"/>
      <c r="G215" s="255"/>
      <c r="H215" s="272"/>
      <c r="I215" s="258"/>
      <c r="J215" s="259"/>
      <c r="K215" s="259"/>
      <c r="L215" s="106" t="str">
        <f>IF(I215&lt;&gt;0,((VLOOKUP(I215,'1. Standard_Cost'!$B$4:$D$11,2)+VLOOKUP(I215,'1. Standard_Cost'!$B$4:$D$11,3))*J215*K215),"0")</f>
        <v>0</v>
      </c>
      <c r="M215" s="106">
        <f>L215*'1. Standard_Cost'!$F$4</f>
        <v>0</v>
      </c>
      <c r="N215" s="260"/>
      <c r="O215" s="260"/>
      <c r="P215" s="260"/>
      <c r="Q215" s="260"/>
      <c r="R215" s="108">
        <f>'1. Standard_Cost'!$B$15*N215*P215</f>
        <v>0</v>
      </c>
      <c r="S215" s="108">
        <f>N215*O215*P215*'1. Standard_Cost'!$C$15</f>
        <v>0</v>
      </c>
      <c r="T215" s="108">
        <f>N215*P215*Q215*'1. Standard_Cost'!$D$15</f>
        <v>0</v>
      </c>
      <c r="U215" s="108">
        <f>N215*O215*'1. Standard_Cost'!$E$15</f>
        <v>0</v>
      </c>
      <c r="V215" s="260"/>
      <c r="W215" s="260"/>
      <c r="X215" s="260"/>
      <c r="Y215" s="108">
        <f>+V215*((X215*'1. Standard_Cost'!$B$19)+(W215*X215*'1. Standard_Cost'!$C$19))</f>
        <v>0</v>
      </c>
      <c r="Z215" s="260"/>
      <c r="AA215" s="260"/>
      <c r="AB215" s="108">
        <f>+Z215*'1. Standard_Cost'!$B$23+AA215*'1. Standard_Cost'!$C$23</f>
        <v>0</v>
      </c>
      <c r="AC215" s="261"/>
      <c r="AD215" s="262"/>
      <c r="AE215" s="108">
        <f>SUM(AD215,AC215,AB215,Y215,U215,T215,S215,R215)*'1. Standard_Cost'!$B$31</f>
        <v>0</v>
      </c>
      <c r="AF215" s="108">
        <f t="shared" si="207"/>
        <v>0</v>
      </c>
      <c r="AG215" s="260"/>
      <c r="AH215" s="260"/>
      <c r="AI215" s="260"/>
      <c r="AJ215" s="263"/>
      <c r="AK215" s="263"/>
      <c r="AL215" s="263"/>
      <c r="AM215" s="108">
        <f>AG215*'1. Standard_Cost'!$B$27+'Incremental_Cost Year 8'!AH215*'1. Standard_Cost'!$C$27+'Incremental_Cost Year 8'!AI215*'1. Standard_Cost'!$D$27+'Incremental_Cost Year 8'!AJ215+'Incremental_Cost Year 8'!AL215+AK215</f>
        <v>0</v>
      </c>
      <c r="AN215" s="108">
        <f>AM215*'1. Standard_Cost'!$C$31</f>
        <v>0</v>
      </c>
      <c r="AO215" s="125" t="s">
        <v>421</v>
      </c>
      <c r="AQ215" s="14">
        <f t="shared" si="208"/>
        <v>0</v>
      </c>
      <c r="AR215" s="14">
        <f t="shared" si="209"/>
        <v>0</v>
      </c>
      <c r="AS215" s="14">
        <f t="shared" si="210"/>
        <v>0</v>
      </c>
      <c r="AT215" s="14">
        <f t="shared" si="212"/>
        <v>0</v>
      </c>
      <c r="AU215" s="234"/>
      <c r="AV215" s="234"/>
      <c r="AW215" s="234"/>
      <c r="AX215" s="234"/>
      <c r="AY215" s="234"/>
      <c r="AZ215" s="234"/>
      <c r="BA215" s="234"/>
      <c r="BB215" s="16">
        <f t="shared" si="211"/>
        <v>0</v>
      </c>
    </row>
    <row r="216" spans="1:54" ht="41.4" outlineLevel="2">
      <c r="A216" s="98"/>
      <c r="B216" s="102"/>
      <c r="C216" s="23"/>
      <c r="D216" s="269"/>
      <c r="E216" s="271"/>
      <c r="F216" s="250"/>
      <c r="G216" s="255"/>
      <c r="H216" s="272"/>
      <c r="I216" s="258"/>
      <c r="J216" s="259"/>
      <c r="K216" s="259"/>
      <c r="L216" s="106" t="str">
        <f>IF(I216&lt;&gt;0,((VLOOKUP(I216,'1. Standard_Cost'!$B$4:$D$11,2)+VLOOKUP(I216,'1. Standard_Cost'!$B$4:$D$11,3))*J216*K216),"0")</f>
        <v>0</v>
      </c>
      <c r="M216" s="106">
        <f>L216*'1. Standard_Cost'!$F$4</f>
        <v>0</v>
      </c>
      <c r="N216" s="260"/>
      <c r="O216" s="260"/>
      <c r="P216" s="260"/>
      <c r="Q216" s="260"/>
      <c r="R216" s="108">
        <f>'1. Standard_Cost'!$B$15*N216*P216</f>
        <v>0</v>
      </c>
      <c r="S216" s="108">
        <f>N216*O216*P216*'1. Standard_Cost'!$C$15</f>
        <v>0</v>
      </c>
      <c r="T216" s="108">
        <f>N216*P216*Q216*'1. Standard_Cost'!$D$15</f>
        <v>0</v>
      </c>
      <c r="U216" s="108">
        <f>N216*O216*'1. Standard_Cost'!$E$15</f>
        <v>0</v>
      </c>
      <c r="V216" s="260"/>
      <c r="W216" s="260"/>
      <c r="X216" s="260"/>
      <c r="Y216" s="108">
        <f>+V216*((X216*'1. Standard_Cost'!$B$19)+(W216*X216*'1. Standard_Cost'!$C$19))</f>
        <v>0</v>
      </c>
      <c r="Z216" s="260"/>
      <c r="AA216" s="260"/>
      <c r="AB216" s="108">
        <f>+Z216*'1. Standard_Cost'!$B$23+AA216*'1. Standard_Cost'!$C$23</f>
        <v>0</v>
      </c>
      <c r="AC216" s="261"/>
      <c r="AD216" s="262"/>
      <c r="AE216" s="108">
        <f>SUM(AD216,AC216,AB216,Y216,U216,T216,S216,R216)*'1. Standard_Cost'!$B$31</f>
        <v>0</v>
      </c>
      <c r="AF216" s="108">
        <f t="shared" si="207"/>
        <v>0</v>
      </c>
      <c r="AG216" s="260"/>
      <c r="AH216" s="260"/>
      <c r="AI216" s="260"/>
      <c r="AJ216" s="263"/>
      <c r="AK216" s="263"/>
      <c r="AL216" s="263"/>
      <c r="AM216" s="108">
        <f>AG216*'1. Standard_Cost'!$B$27+'Incremental_Cost Year 8'!AH216*'1. Standard_Cost'!$C$27+'Incremental_Cost Year 8'!AI216*'1. Standard_Cost'!$D$27+'Incremental_Cost Year 8'!AJ216+'Incremental_Cost Year 8'!AL216+AK216</f>
        <v>0</v>
      </c>
      <c r="AN216" s="108">
        <f>AM216*'1. Standard_Cost'!$C$31</f>
        <v>0</v>
      </c>
      <c r="AO216" s="125" t="s">
        <v>422</v>
      </c>
      <c r="AQ216" s="14">
        <f t="shared" si="208"/>
        <v>0</v>
      </c>
      <c r="AR216" s="14">
        <f t="shared" si="209"/>
        <v>0</v>
      </c>
      <c r="AS216" s="14">
        <f t="shared" si="210"/>
        <v>0</v>
      </c>
      <c r="AT216" s="14">
        <f t="shared" si="212"/>
        <v>0</v>
      </c>
      <c r="AU216" s="234"/>
      <c r="AV216" s="234"/>
      <c r="AW216" s="234"/>
      <c r="AX216" s="234"/>
      <c r="AY216" s="234"/>
      <c r="AZ216" s="234"/>
      <c r="BA216" s="234"/>
      <c r="BB216" s="16">
        <f t="shared" si="211"/>
        <v>0</v>
      </c>
    </row>
    <row r="217" spans="1:54" ht="15.6" outlineLevel="2">
      <c r="A217" s="98"/>
      <c r="B217" s="102"/>
      <c r="C217" s="23"/>
      <c r="D217" s="269"/>
      <c r="E217" s="271"/>
      <c r="F217" s="250"/>
      <c r="G217" s="255"/>
      <c r="H217" s="272"/>
      <c r="I217" s="258"/>
      <c r="J217" s="259"/>
      <c r="K217" s="259"/>
      <c r="L217" s="106" t="str">
        <f>IF(I217&lt;&gt;0,((VLOOKUP(I217,'1. Standard_Cost'!$B$4:$D$11,2)+VLOOKUP(I217,'1. Standard_Cost'!$B$4:$D$11,3))*J217*K217),"0")</f>
        <v>0</v>
      </c>
      <c r="M217" s="106">
        <f>L217*'1. Standard_Cost'!$F$4</f>
        <v>0</v>
      </c>
      <c r="N217" s="260"/>
      <c r="O217" s="260"/>
      <c r="P217" s="260"/>
      <c r="Q217" s="260"/>
      <c r="R217" s="108">
        <f>'1. Standard_Cost'!$B$15*N217*P217</f>
        <v>0</v>
      </c>
      <c r="S217" s="108">
        <f>N217*O217*P217*'1. Standard_Cost'!$C$15</f>
        <v>0</v>
      </c>
      <c r="T217" s="108">
        <f>N217*P217*Q217*'1. Standard_Cost'!$D$15</f>
        <v>0</v>
      </c>
      <c r="U217" s="108">
        <f>N217*O217*'1. Standard_Cost'!$E$15</f>
        <v>0</v>
      </c>
      <c r="V217" s="260"/>
      <c r="W217" s="260"/>
      <c r="X217" s="260"/>
      <c r="Y217" s="108">
        <f>+V217*((X217*'1. Standard_Cost'!$B$19)+(W217*X217*'1. Standard_Cost'!$C$19))</f>
        <v>0</v>
      </c>
      <c r="Z217" s="260"/>
      <c r="AA217" s="260"/>
      <c r="AB217" s="108">
        <f>+Z217*'1. Standard_Cost'!$B$23+AA217*'1. Standard_Cost'!$C$23</f>
        <v>0</v>
      </c>
      <c r="AC217" s="261"/>
      <c r="AD217" s="262"/>
      <c r="AE217" s="108">
        <f>SUM(AD217,AC217,AB217,Y217,U217,T217,S217,R217)*'1. Standard_Cost'!$B$31</f>
        <v>0</v>
      </c>
      <c r="AF217" s="108">
        <f t="shared" si="207"/>
        <v>0</v>
      </c>
      <c r="AG217" s="260"/>
      <c r="AH217" s="260"/>
      <c r="AI217" s="260"/>
      <c r="AJ217" s="263"/>
      <c r="AK217" s="263"/>
      <c r="AL217" s="263"/>
      <c r="AM217" s="108">
        <f>AG217*'1. Standard_Cost'!$B$27+'Incremental_Cost Year 8'!AH217*'1. Standard_Cost'!$C$27+'Incremental_Cost Year 8'!AI217*'1. Standard_Cost'!$D$27+'Incremental_Cost Year 8'!AJ217+'Incremental_Cost Year 8'!AL217+AK217</f>
        <v>0</v>
      </c>
      <c r="AN217" s="108">
        <f>AM217*'1. Standard_Cost'!$C$31</f>
        <v>0</v>
      </c>
      <c r="AO217" s="125" t="s">
        <v>423</v>
      </c>
      <c r="AQ217" s="14">
        <f t="shared" si="208"/>
        <v>0</v>
      </c>
      <c r="AR217" s="14">
        <f t="shared" si="209"/>
        <v>0</v>
      </c>
      <c r="AS217" s="14">
        <f t="shared" si="210"/>
        <v>0</v>
      </c>
      <c r="AT217" s="14">
        <f t="shared" si="212"/>
        <v>0</v>
      </c>
      <c r="AU217" s="234"/>
      <c r="AV217" s="234"/>
      <c r="AW217" s="234"/>
      <c r="AX217" s="234"/>
      <c r="AY217" s="234"/>
      <c r="AZ217" s="234"/>
      <c r="BA217" s="234"/>
      <c r="BB217" s="16">
        <f t="shared" si="211"/>
        <v>0</v>
      </c>
    </row>
    <row r="218" spans="1:54" ht="55.2" outlineLevel="2">
      <c r="A218" s="98"/>
      <c r="B218" s="102"/>
      <c r="C218" s="23"/>
      <c r="D218" s="269"/>
      <c r="E218" s="271"/>
      <c r="F218" s="250"/>
      <c r="G218" s="255"/>
      <c r="H218" s="272"/>
      <c r="I218" s="258"/>
      <c r="J218" s="259"/>
      <c r="K218" s="259"/>
      <c r="L218" s="106" t="str">
        <f>IF(I218&lt;&gt;0,((VLOOKUP(I218,'1. Standard_Cost'!$B$4:$D$11,2)+VLOOKUP(I218,'1. Standard_Cost'!$B$4:$D$11,3))*J218*K218),"0")</f>
        <v>0</v>
      </c>
      <c r="M218" s="106">
        <f>L218*'1. Standard_Cost'!$F$4</f>
        <v>0</v>
      </c>
      <c r="N218" s="260"/>
      <c r="O218" s="260"/>
      <c r="P218" s="260"/>
      <c r="Q218" s="260"/>
      <c r="R218" s="108">
        <f>'1. Standard_Cost'!$B$15*N218*P218</f>
        <v>0</v>
      </c>
      <c r="S218" s="108">
        <f>N218*O218*P218*'1. Standard_Cost'!$C$15</f>
        <v>0</v>
      </c>
      <c r="T218" s="108">
        <f>N218*P218*Q218*'1. Standard_Cost'!$D$15</f>
        <v>0</v>
      </c>
      <c r="U218" s="108">
        <f>N218*O218*'1. Standard_Cost'!$E$15</f>
        <v>0</v>
      </c>
      <c r="V218" s="260"/>
      <c r="W218" s="260"/>
      <c r="X218" s="260"/>
      <c r="Y218" s="108">
        <f>+V218*((X218*'1. Standard_Cost'!$B$19)+(W218*X218*'1. Standard_Cost'!$C$19))</f>
        <v>0</v>
      </c>
      <c r="Z218" s="260"/>
      <c r="AA218" s="260"/>
      <c r="AB218" s="108">
        <f>+Z218*'1. Standard_Cost'!$B$23+AA218*'1. Standard_Cost'!$C$23</f>
        <v>0</v>
      </c>
      <c r="AC218" s="261"/>
      <c r="AD218" s="262"/>
      <c r="AE218" s="108">
        <f>SUM(AD218,AC218,AB218,Y218,U218,T218,S218,R218)*'1. Standard_Cost'!$B$31</f>
        <v>0</v>
      </c>
      <c r="AF218" s="108">
        <f t="shared" si="207"/>
        <v>0</v>
      </c>
      <c r="AG218" s="260"/>
      <c r="AH218" s="260"/>
      <c r="AI218" s="260"/>
      <c r="AJ218" s="263"/>
      <c r="AK218" s="263"/>
      <c r="AL218" s="263"/>
      <c r="AM218" s="108">
        <f>AG218*'1. Standard_Cost'!$B$27+'Incremental_Cost Year 8'!AH218*'1. Standard_Cost'!$C$27+'Incremental_Cost Year 8'!AI218*'1. Standard_Cost'!$D$27+'Incremental_Cost Year 8'!AJ218+'Incremental_Cost Year 8'!AL218+AK218</f>
        <v>0</v>
      </c>
      <c r="AN218" s="108">
        <f>AM218*'1. Standard_Cost'!$C$31</f>
        <v>0</v>
      </c>
      <c r="AO218" s="125" t="s">
        <v>424</v>
      </c>
      <c r="AQ218" s="14">
        <f t="shared" si="208"/>
        <v>0</v>
      </c>
      <c r="AR218" s="14">
        <f t="shared" si="209"/>
        <v>0</v>
      </c>
      <c r="AS218" s="14">
        <f t="shared" si="210"/>
        <v>0</v>
      </c>
      <c r="AT218" s="14">
        <f t="shared" si="212"/>
        <v>0</v>
      </c>
      <c r="AU218" s="234"/>
      <c r="AV218" s="234"/>
      <c r="AW218" s="234"/>
      <c r="AX218" s="234"/>
      <c r="AY218" s="234"/>
      <c r="AZ218" s="234"/>
      <c r="BA218" s="234"/>
      <c r="BB218" s="16">
        <f t="shared" si="211"/>
        <v>0</v>
      </c>
    </row>
    <row r="219" spans="1:54" ht="36" customHeight="1" outlineLevel="2">
      <c r="A219" s="98"/>
      <c r="B219" s="102"/>
      <c r="C219" s="23"/>
      <c r="D219" s="251"/>
      <c r="E219" s="251"/>
      <c r="F219" s="251"/>
      <c r="G219" s="250"/>
      <c r="H219" s="272"/>
      <c r="I219" s="258"/>
      <c r="J219" s="259"/>
      <c r="K219" s="259"/>
      <c r="L219" s="106" t="str">
        <f>IF(I219&lt;&gt;0,((VLOOKUP(I219,'1. Standard_Cost'!$B$4:$D$11,2)+VLOOKUP(I219,'1. Standard_Cost'!$B$4:$D$11,3))*J219*K219),"0")</f>
        <v>0</v>
      </c>
      <c r="M219" s="106">
        <f>L219*'1. Standard_Cost'!$F$4</f>
        <v>0</v>
      </c>
      <c r="N219" s="260"/>
      <c r="O219" s="260"/>
      <c r="P219" s="260"/>
      <c r="Q219" s="260"/>
      <c r="R219" s="108">
        <f>'1. Standard_Cost'!$B$15*N219*P219</f>
        <v>0</v>
      </c>
      <c r="S219" s="108">
        <f>N219*O219*P219*'1. Standard_Cost'!$C$15</f>
        <v>0</v>
      </c>
      <c r="T219" s="108">
        <f>N219*P219*Q219*'1. Standard_Cost'!$D$15</f>
        <v>0</v>
      </c>
      <c r="U219" s="108">
        <f>N219*O219*'1. Standard_Cost'!$E$15</f>
        <v>0</v>
      </c>
      <c r="V219" s="260"/>
      <c r="W219" s="260"/>
      <c r="X219" s="260"/>
      <c r="Y219" s="108">
        <f>+V219*((X219*'1. Standard_Cost'!$B$19)+(W219*X219*'1. Standard_Cost'!$C$19))</f>
        <v>0</v>
      </c>
      <c r="Z219" s="260"/>
      <c r="AA219" s="260"/>
      <c r="AB219" s="108">
        <f>+Z219*'1. Standard_Cost'!$B$23+AA219*'1. Standard_Cost'!$C$23</f>
        <v>0</v>
      </c>
      <c r="AC219" s="261"/>
      <c r="AD219" s="262"/>
      <c r="AE219" s="108">
        <f>SUM(AD219,AC219,AB219,Y219,U219,T219,S219,R219)*'1. Standard_Cost'!$B$31</f>
        <v>0</v>
      </c>
      <c r="AF219" s="108">
        <f t="shared" si="207"/>
        <v>0</v>
      </c>
      <c r="AG219" s="260"/>
      <c r="AH219" s="260"/>
      <c r="AI219" s="260"/>
      <c r="AJ219" s="263"/>
      <c r="AK219" s="263"/>
      <c r="AL219" s="263"/>
      <c r="AM219" s="108">
        <f>AG219*'1. Standard_Cost'!$B$27+'Incremental_Cost Year 8'!AH219*'1. Standard_Cost'!$C$27+'Incremental_Cost Year 8'!AI219*'1. Standard_Cost'!$D$27+'Incremental_Cost Year 8'!AJ219+'Incremental_Cost Year 8'!AL219+AK219</f>
        <v>0</v>
      </c>
      <c r="AN219" s="108">
        <f>AM219*'1. Standard_Cost'!$C$31</f>
        <v>0</v>
      </c>
      <c r="AO219" s="125" t="s">
        <v>425</v>
      </c>
      <c r="AQ219" s="14">
        <f t="shared" si="208"/>
        <v>0</v>
      </c>
      <c r="AR219" s="14">
        <f t="shared" si="209"/>
        <v>0</v>
      </c>
      <c r="AS219" s="14">
        <f t="shared" si="210"/>
        <v>0</v>
      </c>
      <c r="AT219" s="14">
        <f t="shared" si="212"/>
        <v>0</v>
      </c>
      <c r="AU219" s="234"/>
      <c r="AV219" s="234"/>
      <c r="AW219" s="234"/>
      <c r="AX219" s="234"/>
      <c r="AY219" s="234"/>
      <c r="AZ219" s="234"/>
      <c r="BA219" s="234"/>
      <c r="BB219" s="16">
        <f t="shared" si="211"/>
        <v>0</v>
      </c>
    </row>
    <row r="220" spans="1:54" ht="32.25" customHeight="1" outlineLevel="2">
      <c r="A220" s="98"/>
      <c r="B220" s="102"/>
      <c r="C220" s="23"/>
      <c r="D220" s="251"/>
      <c r="E220" s="251"/>
      <c r="F220" s="251"/>
      <c r="G220" s="250"/>
      <c r="H220" s="272"/>
      <c r="I220" s="258"/>
      <c r="J220" s="259"/>
      <c r="K220" s="259"/>
      <c r="L220" s="106" t="str">
        <f>IF(I220&lt;&gt;0,((VLOOKUP(I220,'1. Standard_Cost'!$B$4:$D$11,2)+VLOOKUP(I220,'1. Standard_Cost'!$B$4:$D$11,3))*J220*K220),"0")</f>
        <v>0</v>
      </c>
      <c r="M220" s="106">
        <f>L220*'1. Standard_Cost'!$F$4</f>
        <v>0</v>
      </c>
      <c r="N220" s="260"/>
      <c r="O220" s="260"/>
      <c r="P220" s="260"/>
      <c r="Q220" s="260"/>
      <c r="R220" s="108">
        <f>'1. Standard_Cost'!$B$15*N220*P220</f>
        <v>0</v>
      </c>
      <c r="S220" s="108">
        <f>N220*O220*P220*'1. Standard_Cost'!$C$15</f>
        <v>0</v>
      </c>
      <c r="T220" s="108">
        <f>N220*P220*Q220*'1. Standard_Cost'!$D$15</f>
        <v>0</v>
      </c>
      <c r="U220" s="108">
        <f>N220*O220*'1. Standard_Cost'!$E$15</f>
        <v>0</v>
      </c>
      <c r="V220" s="260"/>
      <c r="W220" s="260"/>
      <c r="X220" s="260"/>
      <c r="Y220" s="108">
        <f>+V220*((X220*'1. Standard_Cost'!$B$19)+(W220*X220*'1. Standard_Cost'!$C$19))</f>
        <v>0</v>
      </c>
      <c r="Z220" s="260"/>
      <c r="AA220" s="260"/>
      <c r="AB220" s="108">
        <f>+Z220*'1. Standard_Cost'!$B$23+AA220*'1. Standard_Cost'!$C$23</f>
        <v>0</v>
      </c>
      <c r="AC220" s="261"/>
      <c r="AD220" s="262"/>
      <c r="AE220" s="108">
        <f>SUM(AD220,AC220,AB220,Y220,U220,T220,S220,R220)*'1. Standard_Cost'!$B$31</f>
        <v>0</v>
      </c>
      <c r="AF220" s="108">
        <f t="shared" si="207"/>
        <v>0</v>
      </c>
      <c r="AG220" s="260"/>
      <c r="AH220" s="260"/>
      <c r="AI220" s="260"/>
      <c r="AJ220" s="263"/>
      <c r="AK220" s="263"/>
      <c r="AL220" s="263"/>
      <c r="AM220" s="108">
        <f>AG220*'1. Standard_Cost'!$B$27+'Incremental_Cost Year 8'!AH220*'1. Standard_Cost'!$C$27+'Incremental_Cost Year 8'!AI220*'1. Standard_Cost'!$D$27+'Incremental_Cost Year 8'!AJ220+'Incremental_Cost Year 8'!AL220+AK220</f>
        <v>0</v>
      </c>
      <c r="AN220" s="108">
        <f>AM220*'1. Standard_Cost'!$C$31</f>
        <v>0</v>
      </c>
      <c r="AO220" s="125" t="s">
        <v>426</v>
      </c>
      <c r="AQ220" s="14">
        <f t="shared" si="208"/>
        <v>0</v>
      </c>
      <c r="AR220" s="14">
        <f t="shared" si="209"/>
        <v>0</v>
      </c>
      <c r="AS220" s="14">
        <f t="shared" si="210"/>
        <v>0</v>
      </c>
      <c r="AT220" s="14">
        <f t="shared" si="212"/>
        <v>0</v>
      </c>
      <c r="AU220" s="234"/>
      <c r="AV220" s="234"/>
      <c r="AW220" s="234"/>
      <c r="AX220" s="234"/>
      <c r="AY220" s="234"/>
      <c r="AZ220" s="234"/>
      <c r="BA220" s="234"/>
      <c r="BB220" s="16">
        <f t="shared" si="211"/>
        <v>0</v>
      </c>
    </row>
    <row r="221" spans="1:54" ht="45" customHeight="1" outlineLevel="2">
      <c r="A221" s="98"/>
      <c r="B221" s="102"/>
      <c r="C221" s="23"/>
      <c r="D221" s="251"/>
      <c r="E221" s="251"/>
      <c r="F221" s="251"/>
      <c r="G221" s="250"/>
      <c r="H221" s="272"/>
      <c r="I221" s="258"/>
      <c r="J221" s="259"/>
      <c r="K221" s="259"/>
      <c r="L221" s="106" t="str">
        <f>IF(I221&lt;&gt;0,((VLOOKUP(I221,'1. Standard_Cost'!$B$4:$D$11,2)+VLOOKUP(I221,'1. Standard_Cost'!$B$4:$D$11,3))*J221*K221),"0")</f>
        <v>0</v>
      </c>
      <c r="M221" s="106">
        <f>L221*'1. Standard_Cost'!$F$4</f>
        <v>0</v>
      </c>
      <c r="N221" s="260"/>
      <c r="O221" s="260"/>
      <c r="P221" s="260"/>
      <c r="Q221" s="260"/>
      <c r="R221" s="108">
        <f>'1. Standard_Cost'!$B$15*N221*P221</f>
        <v>0</v>
      </c>
      <c r="S221" s="108">
        <f>N221*O221*P221*'1. Standard_Cost'!$C$15</f>
        <v>0</v>
      </c>
      <c r="T221" s="108">
        <f>N221*P221*Q221*'1. Standard_Cost'!$D$15</f>
        <v>0</v>
      </c>
      <c r="U221" s="108">
        <f>N221*O221*'1. Standard_Cost'!$E$15</f>
        <v>0</v>
      </c>
      <c r="V221" s="260"/>
      <c r="W221" s="260"/>
      <c r="X221" s="260"/>
      <c r="Y221" s="108">
        <f>+V221*((X221*'1. Standard_Cost'!$B$19)+(W221*X221*'1. Standard_Cost'!$C$19))</f>
        <v>0</v>
      </c>
      <c r="Z221" s="260"/>
      <c r="AA221" s="260"/>
      <c r="AB221" s="108">
        <f>+Z221*'1. Standard_Cost'!$B$23+AA221*'1. Standard_Cost'!$C$23</f>
        <v>0</v>
      </c>
      <c r="AC221" s="261"/>
      <c r="AD221" s="262"/>
      <c r="AE221" s="108">
        <f>SUM(AD221,AC221,AB221,Y221,U221,T221,S221,R221)*'1. Standard_Cost'!$B$31</f>
        <v>0</v>
      </c>
      <c r="AF221" s="108">
        <f t="shared" si="207"/>
        <v>0</v>
      </c>
      <c r="AG221" s="260"/>
      <c r="AH221" s="260"/>
      <c r="AI221" s="260"/>
      <c r="AJ221" s="263"/>
      <c r="AK221" s="263"/>
      <c r="AL221" s="263"/>
      <c r="AM221" s="108">
        <f>AG221*'1. Standard_Cost'!$B$27+'Incremental_Cost Year 8'!AH221*'1. Standard_Cost'!$C$27+'Incremental_Cost Year 8'!AI221*'1. Standard_Cost'!$D$27+'Incremental_Cost Year 8'!AJ221+'Incremental_Cost Year 8'!AL221+AK221</f>
        <v>0</v>
      </c>
      <c r="AN221" s="108">
        <f>AM221*'1. Standard_Cost'!$C$31</f>
        <v>0</v>
      </c>
      <c r="AO221" s="125" t="s">
        <v>427</v>
      </c>
      <c r="AQ221" s="14">
        <f t="shared" si="208"/>
        <v>0</v>
      </c>
      <c r="AR221" s="14">
        <f t="shared" si="209"/>
        <v>0</v>
      </c>
      <c r="AS221" s="14">
        <f t="shared" si="210"/>
        <v>0</v>
      </c>
      <c r="AT221" s="14">
        <f t="shared" si="212"/>
        <v>0</v>
      </c>
      <c r="AU221" s="234"/>
      <c r="AV221" s="234"/>
      <c r="AW221" s="234"/>
      <c r="AX221" s="234"/>
      <c r="AY221" s="234"/>
      <c r="AZ221" s="234"/>
      <c r="BA221" s="234"/>
      <c r="BB221" s="16">
        <f t="shared" si="211"/>
        <v>0</v>
      </c>
    </row>
    <row r="222" spans="1:54" ht="27.6" outlineLevel="1">
      <c r="A222" s="98"/>
      <c r="B222" s="102"/>
      <c r="C222" s="23"/>
      <c r="D222" s="56" t="s">
        <v>47</v>
      </c>
      <c r="E222" s="56" t="s">
        <v>247</v>
      </c>
      <c r="F222" s="253">
        <v>2021</v>
      </c>
      <c r="G222" s="254">
        <v>2026</v>
      </c>
      <c r="H222" s="279" t="s">
        <v>248</v>
      </c>
      <c r="I222" s="264"/>
      <c r="J222" s="264"/>
      <c r="K222" s="264"/>
      <c r="L222" s="113">
        <f>SUM(L203:L221)</f>
        <v>0</v>
      </c>
      <c r="M222" s="113">
        <f>SUM(M203:M221)</f>
        <v>0</v>
      </c>
      <c r="N222" s="264"/>
      <c r="O222" s="264"/>
      <c r="P222" s="264"/>
      <c r="Q222" s="264"/>
      <c r="R222" s="113">
        <f>SUM(R203:R221)</f>
        <v>0</v>
      </c>
      <c r="S222" s="113">
        <f>SUM(S203:S221)</f>
        <v>0</v>
      </c>
      <c r="T222" s="113">
        <f>SUM(T203:T221)</f>
        <v>0</v>
      </c>
      <c r="U222" s="113">
        <f>SUM(U203:U221)</f>
        <v>0</v>
      </c>
      <c r="V222" s="264"/>
      <c r="W222" s="264"/>
      <c r="X222" s="264"/>
      <c r="Y222" s="113">
        <f>SUM(Y203:Y221)</f>
        <v>0</v>
      </c>
      <c r="Z222" s="265"/>
      <c r="AA222" s="264"/>
      <c r="AB222" s="113">
        <f>SUM(AB203:AB221)</f>
        <v>0</v>
      </c>
      <c r="AC222" s="265">
        <f>SUM(AC203:AC221)</f>
        <v>0</v>
      </c>
      <c r="AD222" s="265">
        <f>SUM(AD203:AD221)</f>
        <v>0</v>
      </c>
      <c r="AE222" s="113">
        <f>SUM(AE203:AE221)</f>
        <v>0</v>
      </c>
      <c r="AF222" s="113">
        <f>SUM(AF203:AF221)</f>
        <v>0</v>
      </c>
      <c r="AG222" s="264"/>
      <c r="AH222" s="264"/>
      <c r="AI222" s="264"/>
      <c r="AJ222" s="265">
        <f>SUM(AJ203:AJ221)</f>
        <v>0</v>
      </c>
      <c r="AK222" s="265">
        <f>SUM(AK203:AK221)</f>
        <v>0</v>
      </c>
      <c r="AL222" s="265">
        <f>SUM(AL203:AL221)</f>
        <v>0</v>
      </c>
      <c r="AM222" s="113">
        <f>SUM(AM203:AM221)</f>
        <v>0</v>
      </c>
      <c r="AN222" s="113">
        <f>SUM(AN203:AN221)</f>
        <v>0</v>
      </c>
      <c r="AO222" s="131"/>
      <c r="AP222" s="17"/>
      <c r="AQ222" s="113">
        <f t="shared" ref="AQ222:BB222" si="213">SUM(AQ203:AQ221)</f>
        <v>0</v>
      </c>
      <c r="AR222" s="113">
        <f t="shared" si="213"/>
        <v>0</v>
      </c>
      <c r="AS222" s="113">
        <f t="shared" si="213"/>
        <v>0</v>
      </c>
      <c r="AT222" s="113">
        <f t="shared" si="213"/>
        <v>0</v>
      </c>
      <c r="AU222" s="265">
        <f t="shared" si="213"/>
        <v>0</v>
      </c>
      <c r="AV222" s="265">
        <f t="shared" si="213"/>
        <v>0</v>
      </c>
      <c r="AW222" s="265">
        <f t="shared" si="213"/>
        <v>0</v>
      </c>
      <c r="AX222" s="265">
        <f t="shared" si="213"/>
        <v>0</v>
      </c>
      <c r="AY222" s="265">
        <f t="shared" si="213"/>
        <v>0</v>
      </c>
      <c r="AZ222" s="265">
        <f t="shared" si="213"/>
        <v>0</v>
      </c>
      <c r="BA222" s="265">
        <f t="shared" si="213"/>
        <v>0</v>
      </c>
      <c r="BB222" s="113">
        <f t="shared" si="213"/>
        <v>0</v>
      </c>
    </row>
    <row r="223" spans="1:54" s="13" customFormat="1" ht="13.8" customHeight="1">
      <c r="A223" s="101"/>
      <c r="B223" s="316" t="s">
        <v>253</v>
      </c>
      <c r="C223" s="317"/>
      <c r="D223" s="317"/>
      <c r="E223" s="318"/>
      <c r="F223" s="241"/>
      <c r="G223" s="241"/>
      <c r="H223" s="241" t="s">
        <v>252</v>
      </c>
      <c r="I223" s="242"/>
      <c r="J223" s="242"/>
      <c r="K223" s="242"/>
      <c r="L223" s="41">
        <f>SUM(L224)</f>
        <v>0</v>
      </c>
      <c r="M223" s="41">
        <f>SUM(M224)</f>
        <v>0</v>
      </c>
      <c r="N223" s="242"/>
      <c r="O223" s="242"/>
      <c r="P223" s="242"/>
      <c r="Q223" s="242"/>
      <c r="R223" s="41">
        <f t="shared" ref="R223:U223" si="214">SUM(R224)</f>
        <v>0</v>
      </c>
      <c r="S223" s="41">
        <f t="shared" si="214"/>
        <v>0</v>
      </c>
      <c r="T223" s="41">
        <f t="shared" si="214"/>
        <v>0</v>
      </c>
      <c r="U223" s="41">
        <f t="shared" si="214"/>
        <v>0</v>
      </c>
      <c r="V223" s="242"/>
      <c r="W223" s="242"/>
      <c r="X223" s="242"/>
      <c r="Y223" s="41">
        <f t="shared" ref="Y223" si="215">SUM(Y224)</f>
        <v>0</v>
      </c>
      <c r="Z223" s="243">
        <f t="shared" ref="Z223" si="216">SUM(Z224)</f>
        <v>0</v>
      </c>
      <c r="AA223" s="242"/>
      <c r="AB223" s="41">
        <f t="shared" ref="AB223:AF223" si="217">SUM(AB224)</f>
        <v>0</v>
      </c>
      <c r="AC223" s="243">
        <f t="shared" ref="AC223:AD223" si="218">SUM(AC224)</f>
        <v>0</v>
      </c>
      <c r="AD223" s="243">
        <f t="shared" si="218"/>
        <v>0</v>
      </c>
      <c r="AE223" s="41">
        <f t="shared" si="217"/>
        <v>0</v>
      </c>
      <c r="AF223" s="41">
        <f t="shared" si="217"/>
        <v>0</v>
      </c>
      <c r="AG223" s="242"/>
      <c r="AH223" s="242"/>
      <c r="AI223" s="242"/>
      <c r="AJ223" s="243">
        <f t="shared" ref="AJ223:AL223" si="219">SUM(AJ224)</f>
        <v>0</v>
      </c>
      <c r="AK223" s="243">
        <f t="shared" si="219"/>
        <v>0</v>
      </c>
      <c r="AL223" s="243">
        <f t="shared" si="219"/>
        <v>0</v>
      </c>
      <c r="AM223" s="41">
        <f t="shared" ref="AM223:AN223" si="220">SUM(AM224)</f>
        <v>0</v>
      </c>
      <c r="AN223" s="41">
        <f t="shared" si="220"/>
        <v>0</v>
      </c>
      <c r="AO223" s="129"/>
      <c r="AQ223" s="41">
        <f t="shared" ref="AQ223:BB223" si="221">SUM(AQ224)</f>
        <v>0</v>
      </c>
      <c r="AR223" s="41">
        <f t="shared" si="221"/>
        <v>0</v>
      </c>
      <c r="AS223" s="41">
        <f t="shared" si="221"/>
        <v>0</v>
      </c>
      <c r="AT223" s="41">
        <f t="shared" si="221"/>
        <v>0</v>
      </c>
      <c r="AU223" s="243">
        <f t="shared" ref="AU223:BA223" si="222">SUM(AU224)</f>
        <v>0</v>
      </c>
      <c r="AV223" s="243">
        <f t="shared" si="222"/>
        <v>0</v>
      </c>
      <c r="AW223" s="243">
        <f t="shared" si="222"/>
        <v>0</v>
      </c>
      <c r="AX223" s="243">
        <f t="shared" si="222"/>
        <v>0</v>
      </c>
      <c r="AY223" s="243">
        <f t="shared" si="222"/>
        <v>0</v>
      </c>
      <c r="AZ223" s="243">
        <f t="shared" si="222"/>
        <v>0</v>
      </c>
      <c r="BA223" s="243">
        <f t="shared" si="222"/>
        <v>0</v>
      </c>
      <c r="BB223" s="41">
        <f t="shared" si="221"/>
        <v>0</v>
      </c>
    </row>
    <row r="224" spans="1:54" s="24" customFormat="1" ht="13.8" customHeight="1">
      <c r="A224" s="114"/>
      <c r="B224" s="115"/>
      <c r="C224" s="314" t="s">
        <v>254</v>
      </c>
      <c r="D224" s="314"/>
      <c r="E224" s="315"/>
      <c r="F224" s="246"/>
      <c r="G224" s="246"/>
      <c r="H224" s="278" t="s">
        <v>255</v>
      </c>
      <c r="I224" s="266"/>
      <c r="J224" s="266"/>
      <c r="K224" s="266"/>
      <c r="L224" s="117">
        <f>SUM(L232,L236,L242)</f>
        <v>0</v>
      </c>
      <c r="M224" s="117">
        <f>SUM(M232,M236,M242)</f>
        <v>0</v>
      </c>
      <c r="N224" s="266"/>
      <c r="O224" s="266"/>
      <c r="P224" s="266"/>
      <c r="Q224" s="266"/>
      <c r="R224" s="117">
        <f t="shared" ref="R224:U224" si="223">SUM(R232,R236,R242)</f>
        <v>0</v>
      </c>
      <c r="S224" s="117">
        <f t="shared" si="223"/>
        <v>0</v>
      </c>
      <c r="T224" s="117">
        <f t="shared" si="223"/>
        <v>0</v>
      </c>
      <c r="U224" s="117">
        <f t="shared" si="223"/>
        <v>0</v>
      </c>
      <c r="V224" s="266"/>
      <c r="W224" s="266"/>
      <c r="X224" s="266"/>
      <c r="Y224" s="117">
        <f>SUM(Y232,Y236,Y242)</f>
        <v>0</v>
      </c>
      <c r="Z224" s="266"/>
      <c r="AA224" s="266"/>
      <c r="AB224" s="117">
        <f t="shared" ref="AB224:AF224" si="224">SUM(AB232,AB236,AB242)</f>
        <v>0</v>
      </c>
      <c r="AC224" s="267">
        <f t="shared" si="224"/>
        <v>0</v>
      </c>
      <c r="AD224" s="267">
        <f t="shared" si="224"/>
        <v>0</v>
      </c>
      <c r="AE224" s="117">
        <f t="shared" si="224"/>
        <v>0</v>
      </c>
      <c r="AF224" s="117">
        <f t="shared" si="224"/>
        <v>0</v>
      </c>
      <c r="AG224" s="266"/>
      <c r="AH224" s="266"/>
      <c r="AI224" s="266"/>
      <c r="AJ224" s="267">
        <f t="shared" ref="AJ224:AL224" si="225">SUM(AJ232,AJ236,AJ242)</f>
        <v>0</v>
      </c>
      <c r="AK224" s="267">
        <f t="shared" si="225"/>
        <v>0</v>
      </c>
      <c r="AL224" s="267">
        <f t="shared" si="225"/>
        <v>0</v>
      </c>
      <c r="AM224" s="117">
        <f t="shared" ref="AM224:AN224" si="226">SUM(AM232,AM236,AM242)</f>
        <v>0</v>
      </c>
      <c r="AN224" s="117">
        <f t="shared" si="226"/>
        <v>0</v>
      </c>
      <c r="AO224" s="132"/>
      <c r="AP224" s="25"/>
      <c r="AQ224" s="117">
        <f t="shared" ref="AQ224:BB224" si="227">SUM(AQ232,AQ236,AQ242)</f>
        <v>0</v>
      </c>
      <c r="AR224" s="117">
        <f t="shared" si="227"/>
        <v>0</v>
      </c>
      <c r="AS224" s="117">
        <f t="shared" si="227"/>
        <v>0</v>
      </c>
      <c r="AT224" s="117">
        <f t="shared" si="227"/>
        <v>0</v>
      </c>
      <c r="AU224" s="267">
        <f t="shared" si="227"/>
        <v>0</v>
      </c>
      <c r="AV224" s="267">
        <f t="shared" si="227"/>
        <v>0</v>
      </c>
      <c r="AW224" s="267">
        <f t="shared" si="227"/>
        <v>0</v>
      </c>
      <c r="AX224" s="267">
        <f t="shared" si="227"/>
        <v>0</v>
      </c>
      <c r="AY224" s="267">
        <f t="shared" si="227"/>
        <v>0</v>
      </c>
      <c r="AZ224" s="267">
        <f t="shared" si="227"/>
        <v>0</v>
      </c>
      <c r="BA224" s="267">
        <f t="shared" si="227"/>
        <v>0</v>
      </c>
      <c r="BB224" s="117">
        <f t="shared" si="227"/>
        <v>0</v>
      </c>
    </row>
    <row r="225" spans="1:54" ht="15.6" outlineLevel="2">
      <c r="A225" s="98"/>
      <c r="B225" s="102"/>
      <c r="C225" s="23"/>
      <c r="D225" s="257"/>
      <c r="E225" s="257"/>
      <c r="F225" s="257"/>
      <c r="G225" s="257"/>
      <c r="H225" s="272"/>
      <c r="I225" s="258"/>
      <c r="J225" s="259"/>
      <c r="K225" s="259"/>
      <c r="L225" s="106" t="str">
        <f>IF(I225&lt;&gt;0,((VLOOKUP(I225,'1. Standard_Cost'!$B$4:$D$11,2)+VLOOKUP(I225,'1. Standard_Cost'!$B$4:$D$11,3))*J225*K225),"0")</f>
        <v>0</v>
      </c>
      <c r="M225" s="106">
        <f>L225*'1. Standard_Cost'!$F$4</f>
        <v>0</v>
      </c>
      <c r="N225" s="260"/>
      <c r="O225" s="260"/>
      <c r="P225" s="260"/>
      <c r="Q225" s="260"/>
      <c r="R225" s="108">
        <f>'1. Standard_Cost'!$B$15*N225*P225</f>
        <v>0</v>
      </c>
      <c r="S225" s="108">
        <f>N225*O225*P225*'1. Standard_Cost'!$C$15</f>
        <v>0</v>
      </c>
      <c r="T225" s="108">
        <f>N225*P225*Q225*'1. Standard_Cost'!$D$15</f>
        <v>0</v>
      </c>
      <c r="U225" s="108">
        <f>N225*O225*'1. Standard_Cost'!$E$15</f>
        <v>0</v>
      </c>
      <c r="V225" s="260"/>
      <c r="W225" s="260"/>
      <c r="X225" s="260"/>
      <c r="Y225" s="108">
        <f>+V225*((X225*'1. Standard_Cost'!$B$19)+(W225*X225*'1. Standard_Cost'!$C$19))</f>
        <v>0</v>
      </c>
      <c r="Z225" s="260"/>
      <c r="AA225" s="260"/>
      <c r="AB225" s="108">
        <f>+Z225*'1. Standard_Cost'!$B$23+AA225*'1. Standard_Cost'!$C$23</f>
        <v>0</v>
      </c>
      <c r="AC225" s="261"/>
      <c r="AD225" s="262"/>
      <c r="AE225" s="108">
        <f>SUM(AD225,AC225,AB225,Y225,U225,T225,S225,R225)*'1. Standard_Cost'!$B$31</f>
        <v>0</v>
      </c>
      <c r="AF225" s="108">
        <f t="shared" ref="AF225:AF231" si="228">SUM(AE225,AD225,AC225,AB225,Y225,U225,T225,S225,R225)</f>
        <v>0</v>
      </c>
      <c r="AG225" s="260"/>
      <c r="AH225" s="260"/>
      <c r="AI225" s="260"/>
      <c r="AJ225" s="263"/>
      <c r="AK225" s="263"/>
      <c r="AL225" s="263"/>
      <c r="AM225" s="108">
        <f>AG225*'1. Standard_Cost'!$B$27+'Incremental_Cost Year 8'!AH225*'1. Standard_Cost'!$C$27+'Incremental_Cost Year 8'!AI225*'1. Standard_Cost'!$D$27+'Incremental_Cost Year 8'!AJ225+'Incremental_Cost Year 8'!AL225+AK225</f>
        <v>0</v>
      </c>
      <c r="AN225" s="108">
        <f>AM225*'1. Standard_Cost'!$C$31</f>
        <v>0</v>
      </c>
      <c r="AO225" s="125" t="s">
        <v>428</v>
      </c>
      <c r="AQ225" s="14">
        <f t="shared" ref="AQ225:AQ231" si="229">L225+M225</f>
        <v>0</v>
      </c>
      <c r="AR225" s="14">
        <f t="shared" ref="AR225:AR231" si="230">AF225</f>
        <v>0</v>
      </c>
      <c r="AS225" s="14">
        <f t="shared" ref="AS225:AS231" si="231">AM225+AN225</f>
        <v>0</v>
      </c>
      <c r="AT225" s="14">
        <f>SUM(AQ225,AR225,AS225)</f>
        <v>0</v>
      </c>
      <c r="AU225" s="234"/>
      <c r="AV225" s="234"/>
      <c r="AW225" s="234"/>
      <c r="AX225" s="234"/>
      <c r="AY225" s="234"/>
      <c r="AZ225" s="234"/>
      <c r="BA225" s="234"/>
      <c r="BB225" s="16">
        <f t="shared" ref="BB225:BB231" si="232">SUM(AU225:BA225)-AT225</f>
        <v>0</v>
      </c>
    </row>
    <row r="226" spans="1:54" ht="41.4" outlineLevel="2">
      <c r="A226" s="98"/>
      <c r="B226" s="102"/>
      <c r="C226" s="23"/>
      <c r="D226" s="269"/>
      <c r="E226" s="269"/>
      <c r="F226" s="269"/>
      <c r="G226" s="269"/>
      <c r="H226" s="272"/>
      <c r="I226" s="258"/>
      <c r="J226" s="259"/>
      <c r="K226" s="259"/>
      <c r="L226" s="106" t="str">
        <f>IF(I226&lt;&gt;0,((VLOOKUP(I226,'1. Standard_Cost'!$B$4:$D$11,2)+VLOOKUP(I226,'1. Standard_Cost'!$B$4:$D$11,3))*J226*K226),"0")</f>
        <v>0</v>
      </c>
      <c r="M226" s="106">
        <f>L226*'1. Standard_Cost'!$F$4</f>
        <v>0</v>
      </c>
      <c r="N226" s="260"/>
      <c r="O226" s="260"/>
      <c r="P226" s="260"/>
      <c r="Q226" s="260"/>
      <c r="R226" s="108">
        <f>'1. Standard_Cost'!$B$15*N226*P226</f>
        <v>0</v>
      </c>
      <c r="S226" s="108">
        <f>N226*O226*P226*'1. Standard_Cost'!$C$15</f>
        <v>0</v>
      </c>
      <c r="T226" s="108">
        <f>N226*P226*Q226*'1. Standard_Cost'!$D$15</f>
        <v>0</v>
      </c>
      <c r="U226" s="108">
        <f>N226*O226*'1. Standard_Cost'!$E$15</f>
        <v>0</v>
      </c>
      <c r="V226" s="260"/>
      <c r="W226" s="260"/>
      <c r="X226" s="260"/>
      <c r="Y226" s="108">
        <f>+V226*((X226*'1. Standard_Cost'!$B$19)+(W226*X226*'1. Standard_Cost'!$C$19))</f>
        <v>0</v>
      </c>
      <c r="Z226" s="260"/>
      <c r="AA226" s="260"/>
      <c r="AB226" s="108">
        <f>+Z226*'1. Standard_Cost'!$B$23+AA226*'1. Standard_Cost'!$C$23</f>
        <v>0</v>
      </c>
      <c r="AC226" s="261"/>
      <c r="AD226" s="262"/>
      <c r="AE226" s="108">
        <f>SUM(AD226,AC226,AB226,Y226,U226,T226,S226,R226)*'1. Standard_Cost'!$B$31</f>
        <v>0</v>
      </c>
      <c r="AF226" s="108">
        <f t="shared" si="228"/>
        <v>0</v>
      </c>
      <c r="AG226" s="260"/>
      <c r="AH226" s="260"/>
      <c r="AI226" s="260"/>
      <c r="AJ226" s="263"/>
      <c r="AK226" s="263"/>
      <c r="AL226" s="263"/>
      <c r="AM226" s="108">
        <f>AG226*'1. Standard_Cost'!$B$27+'Incremental_Cost Year 8'!AH226*'1. Standard_Cost'!$C$27+'Incremental_Cost Year 8'!AI226*'1. Standard_Cost'!$D$27+'Incremental_Cost Year 8'!AJ226+'Incremental_Cost Year 8'!AL226+AK226</f>
        <v>0</v>
      </c>
      <c r="AN226" s="108">
        <f>AM226*'1. Standard_Cost'!$C$31</f>
        <v>0</v>
      </c>
      <c r="AO226" s="125" t="s">
        <v>429</v>
      </c>
      <c r="AQ226" s="14">
        <f t="shared" si="229"/>
        <v>0</v>
      </c>
      <c r="AR226" s="14">
        <f t="shared" si="230"/>
        <v>0</v>
      </c>
      <c r="AS226" s="14">
        <f t="shared" si="231"/>
        <v>0</v>
      </c>
      <c r="AT226" s="14">
        <f t="shared" ref="AT226:AT231" si="233">SUM(AQ226,AR226,AS226)</f>
        <v>0</v>
      </c>
      <c r="AU226" s="234"/>
      <c r="AV226" s="234"/>
      <c r="AW226" s="234"/>
      <c r="AX226" s="234"/>
      <c r="AY226" s="234"/>
      <c r="AZ226" s="234"/>
      <c r="BA226" s="234"/>
      <c r="BB226" s="16">
        <f t="shared" si="232"/>
        <v>0</v>
      </c>
    </row>
    <row r="227" spans="1:54" ht="27.6" outlineLevel="2">
      <c r="A227" s="98"/>
      <c r="B227" s="102"/>
      <c r="C227" s="23"/>
      <c r="D227" s="269"/>
      <c r="E227" s="269"/>
      <c r="F227" s="269"/>
      <c r="G227" s="269"/>
      <c r="H227" s="168"/>
      <c r="I227" s="258"/>
      <c r="J227" s="259"/>
      <c r="K227" s="259"/>
      <c r="L227" s="106" t="str">
        <f>IF(I227&lt;&gt;0,((VLOOKUP(I227,'[1]1. Standard_Cost'!$B$4:$D$11,2)+VLOOKUP(I227,'[1]1. Standard_Cost'!$B$4:$D$11,3))*J227*K227),"0")</f>
        <v>0</v>
      </c>
      <c r="M227" s="106">
        <f>L227*'[1]1. Standard_Cost'!$F$4</f>
        <v>0</v>
      </c>
      <c r="N227" s="260"/>
      <c r="O227" s="260"/>
      <c r="P227" s="260"/>
      <c r="Q227" s="260"/>
      <c r="R227" s="108">
        <f>'[1]1. Standard_Cost'!$B$15*N227*P227</f>
        <v>0</v>
      </c>
      <c r="S227" s="108">
        <f>N227*O227*P227*'[1]1. Standard_Cost'!$C$15</f>
        <v>0</v>
      </c>
      <c r="T227" s="108">
        <f>N227*P227*Q227*'[1]1. Standard_Cost'!$D$15</f>
        <v>0</v>
      </c>
      <c r="U227" s="108">
        <f>N227*O227*'[1]1. Standard_Cost'!$E$15</f>
        <v>0</v>
      </c>
      <c r="V227" s="260"/>
      <c r="W227" s="260"/>
      <c r="X227" s="260"/>
      <c r="Y227" s="108">
        <f>+V227*((X227*'[1]1. Standard_Cost'!$B$19)+(W227*X227*'[1]1. Standard_Cost'!$C$19))</f>
        <v>0</v>
      </c>
      <c r="Z227" s="260"/>
      <c r="AA227" s="260"/>
      <c r="AB227" s="108">
        <f>+Z227*'[1]1. Standard_Cost'!$B$23+AA227*'[1]1. Standard_Cost'!$C$23</f>
        <v>0</v>
      </c>
      <c r="AC227" s="261"/>
      <c r="AD227" s="262"/>
      <c r="AE227" s="108">
        <f>SUM(AD227,AC227,AB227,Y227,U227,T227,S227,R227)*'[1]1. Standard_Cost'!$B$31</f>
        <v>0</v>
      </c>
      <c r="AF227" s="108">
        <f t="shared" si="228"/>
        <v>0</v>
      </c>
      <c r="AG227" s="260"/>
      <c r="AH227" s="260"/>
      <c r="AI227" s="260"/>
      <c r="AJ227" s="263"/>
      <c r="AK227" s="263"/>
      <c r="AL227" s="263"/>
      <c r="AM227" s="108">
        <f>AG227*'[1]1. Standard_Cost'!$B$27+'[1]Incremental_Cost Year 8'!AH227*'[1]1. Standard_Cost'!$C$27+'[1]Incremental_Cost Year 8'!AI227*'[1]1. Standard_Cost'!$D$27+'[1]Incremental_Cost Year 8'!AJ227+'[1]Incremental_Cost Year 8'!AL227+AK227</f>
        <v>0</v>
      </c>
      <c r="AN227" s="108">
        <f>AM227*'[1]1. Standard_Cost'!$C$31</f>
        <v>0</v>
      </c>
      <c r="AO227" s="125" t="s">
        <v>430</v>
      </c>
      <c r="AQ227" s="14">
        <f t="shared" si="229"/>
        <v>0</v>
      </c>
      <c r="AR227" s="14">
        <f t="shared" si="230"/>
        <v>0</v>
      </c>
      <c r="AS227" s="14">
        <f t="shared" si="231"/>
        <v>0</v>
      </c>
      <c r="AT227" s="14">
        <f t="shared" si="233"/>
        <v>0</v>
      </c>
      <c r="AU227" s="234"/>
      <c r="AV227" s="234"/>
      <c r="AW227" s="234"/>
      <c r="AX227" s="234"/>
      <c r="AY227" s="234"/>
      <c r="AZ227" s="234"/>
      <c r="BA227" s="234"/>
      <c r="BB227" s="16">
        <f t="shared" si="232"/>
        <v>0</v>
      </c>
    </row>
    <row r="228" spans="1:54" ht="27.6" outlineLevel="2">
      <c r="A228" s="98"/>
      <c r="B228" s="102"/>
      <c r="C228" s="23"/>
      <c r="D228" s="269"/>
      <c r="E228" s="269"/>
      <c r="F228" s="269"/>
      <c r="G228" s="269"/>
      <c r="H228" s="272"/>
      <c r="I228" s="258"/>
      <c r="J228" s="259"/>
      <c r="K228" s="259"/>
      <c r="L228" s="106" t="str">
        <f>IF(I228&lt;&gt;0,((VLOOKUP(I228,'1. Standard_Cost'!$B$4:$D$11,2)+VLOOKUP(I228,'1. Standard_Cost'!$B$4:$D$11,3))*J228*K228),"0")</f>
        <v>0</v>
      </c>
      <c r="M228" s="106">
        <f>L228*'1. Standard_Cost'!$F$4</f>
        <v>0</v>
      </c>
      <c r="N228" s="260"/>
      <c r="O228" s="260"/>
      <c r="P228" s="260"/>
      <c r="Q228" s="260"/>
      <c r="R228" s="108">
        <f>'1. Standard_Cost'!$B$15*N228*P228</f>
        <v>0</v>
      </c>
      <c r="S228" s="108">
        <f>N228*O228*P228*'1. Standard_Cost'!$C$15</f>
        <v>0</v>
      </c>
      <c r="T228" s="108">
        <f>N228*P228*Q228*'1. Standard_Cost'!$D$15</f>
        <v>0</v>
      </c>
      <c r="U228" s="108">
        <f>N228*O228*'1. Standard_Cost'!$E$15</f>
        <v>0</v>
      </c>
      <c r="V228" s="260"/>
      <c r="W228" s="260"/>
      <c r="X228" s="260"/>
      <c r="Y228" s="108">
        <f>+V228*((X228*'1. Standard_Cost'!$B$19)+(W228*X228*'1. Standard_Cost'!$C$19))</f>
        <v>0</v>
      </c>
      <c r="Z228" s="260"/>
      <c r="AA228" s="260"/>
      <c r="AB228" s="108">
        <f>+Z228*'1. Standard_Cost'!$B$23+AA228*'1. Standard_Cost'!$C$23</f>
        <v>0</v>
      </c>
      <c r="AC228" s="261"/>
      <c r="AD228" s="262"/>
      <c r="AE228" s="108">
        <f>SUM(AD228,AC228,AB228,Y228,U228,T228,S228,R228)*'1. Standard_Cost'!$B$31</f>
        <v>0</v>
      </c>
      <c r="AF228" s="108">
        <f t="shared" si="228"/>
        <v>0</v>
      </c>
      <c r="AG228" s="260"/>
      <c r="AH228" s="260"/>
      <c r="AI228" s="260"/>
      <c r="AJ228" s="263"/>
      <c r="AK228" s="263"/>
      <c r="AL228" s="263"/>
      <c r="AM228" s="108">
        <f>AG228*'1. Standard_Cost'!$B$27+'Incremental_Cost Year 8'!AH228*'1. Standard_Cost'!$C$27+'Incremental_Cost Year 8'!AI228*'1. Standard_Cost'!$D$27+'Incremental_Cost Year 8'!AJ228+'Incremental_Cost Year 8'!AL228+AK228</f>
        <v>0</v>
      </c>
      <c r="AN228" s="108">
        <f>AM228*'1. Standard_Cost'!$C$31</f>
        <v>0</v>
      </c>
      <c r="AO228" s="125" t="s">
        <v>430</v>
      </c>
      <c r="AQ228" s="14">
        <f t="shared" si="229"/>
        <v>0</v>
      </c>
      <c r="AR228" s="14">
        <f t="shared" si="230"/>
        <v>0</v>
      </c>
      <c r="AS228" s="14">
        <f t="shared" si="231"/>
        <v>0</v>
      </c>
      <c r="AT228" s="14">
        <f t="shared" si="233"/>
        <v>0</v>
      </c>
      <c r="AU228" s="234"/>
      <c r="AV228" s="234"/>
      <c r="AW228" s="234"/>
      <c r="AX228" s="234"/>
      <c r="AY228" s="234"/>
      <c r="AZ228" s="234"/>
      <c r="BA228" s="234"/>
      <c r="BB228" s="16">
        <f t="shared" si="232"/>
        <v>0</v>
      </c>
    </row>
    <row r="229" spans="1:54" ht="15.6" outlineLevel="2">
      <c r="A229" s="98"/>
      <c r="B229" s="102"/>
      <c r="C229" s="23"/>
      <c r="D229" s="269"/>
      <c r="E229" s="269"/>
      <c r="F229" s="269"/>
      <c r="G229" s="269"/>
      <c r="H229" s="272"/>
      <c r="I229" s="258"/>
      <c r="J229" s="259"/>
      <c r="K229" s="259"/>
      <c r="L229" s="106" t="str">
        <f>IF(I229&lt;&gt;0,((VLOOKUP(I229,'1. Standard_Cost'!$B$4:$D$11,2)+VLOOKUP(I229,'1. Standard_Cost'!$B$4:$D$11,3))*J229*K229),"0")</f>
        <v>0</v>
      </c>
      <c r="M229" s="106">
        <f>L229*'1. Standard_Cost'!$F$4</f>
        <v>0</v>
      </c>
      <c r="N229" s="260"/>
      <c r="O229" s="260"/>
      <c r="P229" s="260"/>
      <c r="Q229" s="260"/>
      <c r="R229" s="108">
        <f>'1. Standard_Cost'!$B$15*N229*P229</f>
        <v>0</v>
      </c>
      <c r="S229" s="108">
        <f>N229*O229*P229*'1. Standard_Cost'!$C$15</f>
        <v>0</v>
      </c>
      <c r="T229" s="108">
        <f>N229*P229*Q229*'1. Standard_Cost'!$D$15</f>
        <v>0</v>
      </c>
      <c r="U229" s="108">
        <f>N229*O229*'1. Standard_Cost'!$E$15</f>
        <v>0</v>
      </c>
      <c r="V229" s="260"/>
      <c r="W229" s="260"/>
      <c r="X229" s="260"/>
      <c r="Y229" s="108">
        <f>+V229*((X229*'1. Standard_Cost'!$B$19)+(W229*X229*'1. Standard_Cost'!$C$19))</f>
        <v>0</v>
      </c>
      <c r="Z229" s="260"/>
      <c r="AA229" s="260"/>
      <c r="AB229" s="108">
        <f>+Z229*'1. Standard_Cost'!$B$23+AA229*'1. Standard_Cost'!$C$23</f>
        <v>0</v>
      </c>
      <c r="AC229" s="261"/>
      <c r="AD229" s="262"/>
      <c r="AE229" s="108">
        <f>SUM(AD229,AC229,AB229,Y229,U229,T229,S229,R229)*'1. Standard_Cost'!$B$31</f>
        <v>0</v>
      </c>
      <c r="AF229" s="108">
        <f t="shared" si="228"/>
        <v>0</v>
      </c>
      <c r="AG229" s="260"/>
      <c r="AH229" s="260"/>
      <c r="AI229" s="260"/>
      <c r="AJ229" s="263"/>
      <c r="AK229" s="263"/>
      <c r="AL229" s="263"/>
      <c r="AM229" s="108">
        <f>AG229*'1. Standard_Cost'!$B$27+'Incremental_Cost Year 8'!AH229*'1. Standard_Cost'!$C$27+'Incremental_Cost Year 8'!AI229*'1. Standard_Cost'!$D$27+'Incremental_Cost Year 8'!AJ229+'Incremental_Cost Year 8'!AL229+AK229</f>
        <v>0</v>
      </c>
      <c r="AN229" s="108">
        <f>AM229*'1. Standard_Cost'!$C$31</f>
        <v>0</v>
      </c>
      <c r="AO229" s="125" t="s">
        <v>431</v>
      </c>
      <c r="AQ229" s="14">
        <f t="shared" si="229"/>
        <v>0</v>
      </c>
      <c r="AR229" s="14">
        <f t="shared" si="230"/>
        <v>0</v>
      </c>
      <c r="AS229" s="14">
        <f t="shared" si="231"/>
        <v>0</v>
      </c>
      <c r="AT229" s="14">
        <f t="shared" si="233"/>
        <v>0</v>
      </c>
      <c r="AU229" s="234"/>
      <c r="AV229" s="234"/>
      <c r="AW229" s="234"/>
      <c r="AX229" s="234"/>
      <c r="AY229" s="234"/>
      <c r="AZ229" s="234"/>
      <c r="BA229" s="234"/>
      <c r="BB229" s="16">
        <f t="shared" si="232"/>
        <v>0</v>
      </c>
    </row>
    <row r="230" spans="1:54" ht="15.6" outlineLevel="2">
      <c r="A230" s="98"/>
      <c r="B230" s="102"/>
      <c r="C230" s="23"/>
      <c r="D230" s="269"/>
      <c r="E230" s="269"/>
      <c r="F230" s="269"/>
      <c r="G230" s="269"/>
      <c r="H230" s="272"/>
      <c r="I230" s="258"/>
      <c r="J230" s="259"/>
      <c r="K230" s="259"/>
      <c r="L230" s="106" t="str">
        <f>IF(I230&lt;&gt;0,((VLOOKUP(I230,'1. Standard_Cost'!$B$4:$D$11,2)+VLOOKUP(I230,'1. Standard_Cost'!$B$4:$D$11,3))*J230*K230),"0")</f>
        <v>0</v>
      </c>
      <c r="M230" s="106">
        <f>L230*'1. Standard_Cost'!$F$4</f>
        <v>0</v>
      </c>
      <c r="N230" s="260"/>
      <c r="O230" s="260"/>
      <c r="P230" s="260"/>
      <c r="Q230" s="260"/>
      <c r="R230" s="108">
        <f>'1. Standard_Cost'!$B$15*N230*P230</f>
        <v>0</v>
      </c>
      <c r="S230" s="108">
        <f>N230*O230*P230*'1. Standard_Cost'!$C$15</f>
        <v>0</v>
      </c>
      <c r="T230" s="108">
        <f>N230*P230*Q230*'1. Standard_Cost'!$D$15</f>
        <v>0</v>
      </c>
      <c r="U230" s="108">
        <f>N230*O230*'1. Standard_Cost'!$E$15</f>
        <v>0</v>
      </c>
      <c r="V230" s="260"/>
      <c r="W230" s="260"/>
      <c r="X230" s="260"/>
      <c r="Y230" s="108">
        <f>+V230*((X230*'1. Standard_Cost'!$B$19)+(W230*X230*'1. Standard_Cost'!$C$19))</f>
        <v>0</v>
      </c>
      <c r="Z230" s="260"/>
      <c r="AA230" s="260"/>
      <c r="AB230" s="108">
        <f>+Z230*'1. Standard_Cost'!$B$23+AA230*'1. Standard_Cost'!$C$23</f>
        <v>0</v>
      </c>
      <c r="AC230" s="261"/>
      <c r="AD230" s="262"/>
      <c r="AE230" s="108">
        <f>SUM(AD230,AC230,AB230,Y230,U230,T230,S230,R230)*'1. Standard_Cost'!$B$31</f>
        <v>0</v>
      </c>
      <c r="AF230" s="108">
        <f t="shared" si="228"/>
        <v>0</v>
      </c>
      <c r="AG230" s="260"/>
      <c r="AH230" s="260"/>
      <c r="AI230" s="260"/>
      <c r="AJ230" s="263"/>
      <c r="AK230" s="263"/>
      <c r="AL230" s="263"/>
      <c r="AM230" s="108">
        <f>AG230*'1. Standard_Cost'!$B$27+'Incremental_Cost Year 8'!AH230*'1. Standard_Cost'!$C$27+'Incremental_Cost Year 8'!AI230*'1. Standard_Cost'!$D$27+'Incremental_Cost Year 8'!AJ230+'Incremental_Cost Year 8'!AL230+AK230</f>
        <v>0</v>
      </c>
      <c r="AN230" s="108">
        <f>AM230*'1. Standard_Cost'!$C$31</f>
        <v>0</v>
      </c>
      <c r="AO230" s="125" t="s">
        <v>432</v>
      </c>
      <c r="AQ230" s="14">
        <f t="shared" si="229"/>
        <v>0</v>
      </c>
      <c r="AR230" s="14">
        <f t="shared" si="230"/>
        <v>0</v>
      </c>
      <c r="AS230" s="14">
        <f t="shared" si="231"/>
        <v>0</v>
      </c>
      <c r="AT230" s="14">
        <f t="shared" si="233"/>
        <v>0</v>
      </c>
      <c r="AU230" s="234"/>
      <c r="AV230" s="234"/>
      <c r="AW230" s="234"/>
      <c r="AX230" s="234"/>
      <c r="AY230" s="234"/>
      <c r="AZ230" s="234"/>
      <c r="BA230" s="234"/>
      <c r="BB230" s="16">
        <f t="shared" si="232"/>
        <v>0</v>
      </c>
    </row>
    <row r="231" spans="1:54" ht="15.6" outlineLevel="2">
      <c r="A231" s="98"/>
      <c r="B231" s="102"/>
      <c r="C231" s="23"/>
      <c r="D231" s="269"/>
      <c r="E231" s="269"/>
      <c r="F231" s="269"/>
      <c r="G231" s="269"/>
      <c r="H231" s="272"/>
      <c r="I231" s="258"/>
      <c r="J231" s="259"/>
      <c r="K231" s="259"/>
      <c r="L231" s="106" t="str">
        <f>IF(I231&lt;&gt;0,((VLOOKUP(I231,'1. Standard_Cost'!$B$4:$D$11,2)+VLOOKUP(I231,'1. Standard_Cost'!$B$4:$D$11,3))*J231*K231),"0")</f>
        <v>0</v>
      </c>
      <c r="M231" s="106">
        <f>L231*'1. Standard_Cost'!$F$4</f>
        <v>0</v>
      </c>
      <c r="N231" s="260"/>
      <c r="O231" s="260"/>
      <c r="P231" s="260"/>
      <c r="Q231" s="260"/>
      <c r="R231" s="108">
        <f>'1. Standard_Cost'!$B$15*N231*P231</f>
        <v>0</v>
      </c>
      <c r="S231" s="108">
        <f>N231*O231*P231*'1. Standard_Cost'!$C$15</f>
        <v>0</v>
      </c>
      <c r="T231" s="108">
        <f>N231*P231*Q231*'1. Standard_Cost'!$D$15</f>
        <v>0</v>
      </c>
      <c r="U231" s="108">
        <f>N231*O231*'1. Standard_Cost'!$E$15</f>
        <v>0</v>
      </c>
      <c r="V231" s="260"/>
      <c r="W231" s="260"/>
      <c r="X231" s="260"/>
      <c r="Y231" s="108">
        <f>+V231*((X231*'1. Standard_Cost'!$B$19)+(W231*X231*'1. Standard_Cost'!$C$19))</f>
        <v>0</v>
      </c>
      <c r="Z231" s="260"/>
      <c r="AA231" s="260"/>
      <c r="AB231" s="108">
        <f>+Z231*'1. Standard_Cost'!$B$23+AA231*'1. Standard_Cost'!$C$23</f>
        <v>0</v>
      </c>
      <c r="AC231" s="261"/>
      <c r="AD231" s="262"/>
      <c r="AE231" s="108">
        <f>SUM(AD231,AC231,AB231,Y231,U231,T231,S231,R231)*'1. Standard_Cost'!$B$31</f>
        <v>0</v>
      </c>
      <c r="AF231" s="108">
        <f t="shared" si="228"/>
        <v>0</v>
      </c>
      <c r="AG231" s="260"/>
      <c r="AH231" s="260"/>
      <c r="AI231" s="260"/>
      <c r="AJ231" s="263"/>
      <c r="AK231" s="263"/>
      <c r="AL231" s="263"/>
      <c r="AM231" s="108">
        <f>AG231*'1. Standard_Cost'!$B$27+'Incremental_Cost Year 2'!AH276*'1. Standard_Cost'!$C$27+'Incremental_Cost Year 2'!AI276*'1. Standard_Cost'!$D$27+'Incremental_Cost Year 2'!AJ276+'Incremental_Cost Year 2'!AL276+AK231</f>
        <v>0</v>
      </c>
      <c r="AN231" s="108">
        <f>AM231*'1. Standard_Cost'!$C$31</f>
        <v>0</v>
      </c>
      <c r="AO231" s="125" t="s">
        <v>433</v>
      </c>
      <c r="AQ231" s="14">
        <f t="shared" si="229"/>
        <v>0</v>
      </c>
      <c r="AR231" s="14">
        <f t="shared" si="230"/>
        <v>0</v>
      </c>
      <c r="AS231" s="14">
        <f t="shared" si="231"/>
        <v>0</v>
      </c>
      <c r="AT231" s="14">
        <f t="shared" si="233"/>
        <v>0</v>
      </c>
      <c r="AU231" s="234"/>
      <c r="AV231" s="234"/>
      <c r="AW231" s="234"/>
      <c r="AX231" s="234"/>
      <c r="AY231" s="234"/>
      <c r="AZ231" s="234"/>
      <c r="BA231" s="234"/>
      <c r="BB231" s="16">
        <f t="shared" si="232"/>
        <v>0</v>
      </c>
    </row>
    <row r="232" spans="1:54" ht="27.6" outlineLevel="1">
      <c r="A232" s="98"/>
      <c r="B232" s="102"/>
      <c r="C232" s="23"/>
      <c r="D232" s="56" t="s">
        <v>47</v>
      </c>
      <c r="E232" s="56" t="s">
        <v>259</v>
      </c>
      <c r="F232" s="253">
        <v>2021</v>
      </c>
      <c r="G232" s="254">
        <v>2026</v>
      </c>
      <c r="H232" s="277" t="s">
        <v>260</v>
      </c>
      <c r="I232" s="264"/>
      <c r="J232" s="264"/>
      <c r="K232" s="264"/>
      <c r="L232" s="113">
        <f>SUM(L225:L231)</f>
        <v>0</v>
      </c>
      <c r="M232" s="113">
        <f>SUM(M225:M231)</f>
        <v>0</v>
      </c>
      <c r="N232" s="264"/>
      <c r="O232" s="264"/>
      <c r="P232" s="264"/>
      <c r="Q232" s="264"/>
      <c r="R232" s="113">
        <f>SUM(R225:R231)</f>
        <v>0</v>
      </c>
      <c r="S232" s="113">
        <f>SUM(S225:S231)</f>
        <v>0</v>
      </c>
      <c r="T232" s="113">
        <f>SUM(T225:T231)</f>
        <v>0</v>
      </c>
      <c r="U232" s="113">
        <f>SUM(U225:U231)</f>
        <v>0</v>
      </c>
      <c r="V232" s="264"/>
      <c r="W232" s="264"/>
      <c r="X232" s="264"/>
      <c r="Y232" s="113">
        <f>SUM(Y225:Y231)</f>
        <v>0</v>
      </c>
      <c r="Z232" s="264"/>
      <c r="AA232" s="264"/>
      <c r="AB232" s="113">
        <f>SUM(AB225:AB231)</f>
        <v>0</v>
      </c>
      <c r="AC232" s="265">
        <f>SUM(AC225:AC231)</f>
        <v>0</v>
      </c>
      <c r="AD232" s="265">
        <f>SUM(AD225:AD231)</f>
        <v>0</v>
      </c>
      <c r="AE232" s="113">
        <f>SUM(AE225:AE231)</f>
        <v>0</v>
      </c>
      <c r="AF232" s="113">
        <f>SUM(AF225:AF231)</f>
        <v>0</v>
      </c>
      <c r="AG232" s="264"/>
      <c r="AH232" s="264"/>
      <c r="AI232" s="264"/>
      <c r="AJ232" s="265">
        <f>SUM(AJ225:AJ231)</f>
        <v>0</v>
      </c>
      <c r="AK232" s="265">
        <f>SUM(AK225:AK231)</f>
        <v>0</v>
      </c>
      <c r="AL232" s="265">
        <f>SUM(AL225:AL231)</f>
        <v>0</v>
      </c>
      <c r="AM232" s="113">
        <f>SUM(AM225:AM231)</f>
        <v>0</v>
      </c>
      <c r="AN232" s="113">
        <f>SUM(AN225:AN231)</f>
        <v>0</v>
      </c>
      <c r="AO232" s="131"/>
      <c r="AP232" s="17"/>
      <c r="AQ232" s="113">
        <f t="shared" ref="AQ232:BB232" si="234">SUM(AQ225:AQ231)</f>
        <v>0</v>
      </c>
      <c r="AR232" s="113">
        <f t="shared" si="234"/>
        <v>0</v>
      </c>
      <c r="AS232" s="113">
        <f t="shared" si="234"/>
        <v>0</v>
      </c>
      <c r="AT232" s="113">
        <f t="shared" si="234"/>
        <v>0</v>
      </c>
      <c r="AU232" s="265">
        <f t="shared" si="234"/>
        <v>0</v>
      </c>
      <c r="AV232" s="265">
        <f t="shared" si="234"/>
        <v>0</v>
      </c>
      <c r="AW232" s="265">
        <f t="shared" si="234"/>
        <v>0</v>
      </c>
      <c r="AX232" s="265">
        <f t="shared" si="234"/>
        <v>0</v>
      </c>
      <c r="AY232" s="265">
        <f t="shared" si="234"/>
        <v>0</v>
      </c>
      <c r="AZ232" s="265">
        <f t="shared" si="234"/>
        <v>0</v>
      </c>
      <c r="BA232" s="265">
        <f t="shared" si="234"/>
        <v>0</v>
      </c>
      <c r="BB232" s="113">
        <f t="shared" si="234"/>
        <v>0</v>
      </c>
    </row>
    <row r="233" spans="1:54" ht="55.2" outlineLevel="2">
      <c r="A233" s="98"/>
      <c r="B233" s="102"/>
      <c r="C233" s="23"/>
      <c r="D233" s="257"/>
      <c r="E233" s="257"/>
      <c r="F233" s="257"/>
      <c r="G233" s="257"/>
      <c r="H233" s="272"/>
      <c r="I233" s="258"/>
      <c r="J233" s="259"/>
      <c r="K233" s="259"/>
      <c r="L233" s="106" t="str">
        <f>IF(I233&lt;&gt;0,((VLOOKUP(I233,'1. Standard_Cost'!$B$4:$D$11,2)+VLOOKUP(I233,'1. Standard_Cost'!$B$4:$D$11,3))*J233*K233),"0")</f>
        <v>0</v>
      </c>
      <c r="M233" s="106">
        <f>L233*'1. Standard_Cost'!$F$4</f>
        <v>0</v>
      </c>
      <c r="N233" s="260"/>
      <c r="O233" s="260"/>
      <c r="P233" s="260"/>
      <c r="Q233" s="260"/>
      <c r="R233" s="108">
        <f>'1. Standard_Cost'!$B$15*N233*P233</f>
        <v>0</v>
      </c>
      <c r="S233" s="108">
        <f>N233*O233*P233*'1. Standard_Cost'!$C$15</f>
        <v>0</v>
      </c>
      <c r="T233" s="108">
        <f>N233*P233*Q233*'1. Standard_Cost'!$D$15</f>
        <v>0</v>
      </c>
      <c r="U233" s="108">
        <f>N233*O233*'1. Standard_Cost'!$E$15</f>
        <v>0</v>
      </c>
      <c r="V233" s="260"/>
      <c r="W233" s="260"/>
      <c r="X233" s="260"/>
      <c r="Y233" s="108">
        <f>+V233*((X233*'1. Standard_Cost'!$B$19)+(W233*X233*'1. Standard_Cost'!$C$19))</f>
        <v>0</v>
      </c>
      <c r="Z233" s="260"/>
      <c r="AA233" s="260"/>
      <c r="AB233" s="108">
        <f>+Z233*'1. Standard_Cost'!$B$23+AA233*'1. Standard_Cost'!$C$23</f>
        <v>0</v>
      </c>
      <c r="AC233" s="261"/>
      <c r="AD233" s="262"/>
      <c r="AE233" s="108">
        <f>SUM(AD233,AC233,AB233,Y233,U233,T233,S233,R233)*'1. Standard_Cost'!$B$31</f>
        <v>0</v>
      </c>
      <c r="AF233" s="108">
        <f t="shared" ref="AF233:AF235" si="235">SUM(AE233,AD233,AC233,AB233,Y233,U233,T233,S233,R233)</f>
        <v>0</v>
      </c>
      <c r="AG233" s="260"/>
      <c r="AH233" s="260"/>
      <c r="AI233" s="260"/>
      <c r="AJ233" s="263"/>
      <c r="AK233" s="263"/>
      <c r="AL233" s="263"/>
      <c r="AM233" s="108">
        <f>AG233*'1. Standard_Cost'!$B$27+'Incremental_Cost Year 8'!AH233*'1. Standard_Cost'!$C$27+'Incremental_Cost Year 8'!AI233*'1. Standard_Cost'!$D$27+'Incremental_Cost Year 8'!AJ233+'Incremental_Cost Year 8'!AL233+AK233</f>
        <v>0</v>
      </c>
      <c r="AN233" s="108">
        <f>AM233*'1. Standard_Cost'!$C$31</f>
        <v>0</v>
      </c>
      <c r="AO233" s="125" t="s">
        <v>434</v>
      </c>
      <c r="AQ233" s="14">
        <f t="shared" ref="AQ233:AQ235" si="236">L233+M233</f>
        <v>0</v>
      </c>
      <c r="AR233" s="14">
        <f t="shared" ref="AR233:AR235" si="237">AF233</f>
        <v>0</v>
      </c>
      <c r="AS233" s="14">
        <f t="shared" ref="AS233:AS235" si="238">AM233+AN233</f>
        <v>0</v>
      </c>
      <c r="AT233" s="14">
        <f>SUM(AQ233,AR233,AS233)</f>
        <v>0</v>
      </c>
      <c r="AU233" s="234"/>
      <c r="AV233" s="234"/>
      <c r="AW233" s="234"/>
      <c r="AX233" s="234"/>
      <c r="AY233" s="234"/>
      <c r="AZ233" s="234"/>
      <c r="BA233" s="234"/>
      <c r="BB233" s="16">
        <f t="shared" ref="BB233:BB235" si="239">SUM(AU233:BA233)-AT233</f>
        <v>0</v>
      </c>
    </row>
    <row r="234" spans="1:54" ht="15.6" outlineLevel="2">
      <c r="A234" s="98"/>
      <c r="B234" s="102"/>
      <c r="C234" s="23"/>
      <c r="D234" s="269"/>
      <c r="E234" s="269"/>
      <c r="F234" s="269"/>
      <c r="G234" s="269"/>
      <c r="H234" s="272"/>
      <c r="I234" s="258"/>
      <c r="J234" s="259"/>
      <c r="K234" s="259"/>
      <c r="L234" s="106" t="str">
        <f>IF(I234&lt;&gt;0,((VLOOKUP(I234,'1. Standard_Cost'!$B$4:$D$11,2)+VLOOKUP(I234,'1. Standard_Cost'!$B$4:$D$11,3))*J234*K234),"0")</f>
        <v>0</v>
      </c>
      <c r="M234" s="106">
        <f>L234*'1. Standard_Cost'!$F$4</f>
        <v>0</v>
      </c>
      <c r="N234" s="260"/>
      <c r="O234" s="260"/>
      <c r="P234" s="260"/>
      <c r="Q234" s="260"/>
      <c r="R234" s="108">
        <f>'1. Standard_Cost'!$B$15*N234*P234</f>
        <v>0</v>
      </c>
      <c r="S234" s="108">
        <f>N234*O234*P234*'1. Standard_Cost'!$C$15</f>
        <v>0</v>
      </c>
      <c r="T234" s="108">
        <f>N234*P234*Q234*'1. Standard_Cost'!$D$15</f>
        <v>0</v>
      </c>
      <c r="U234" s="108">
        <f>N234*O234*'1. Standard_Cost'!$E$15</f>
        <v>0</v>
      </c>
      <c r="V234" s="260"/>
      <c r="W234" s="260"/>
      <c r="X234" s="260"/>
      <c r="Y234" s="108">
        <f>+V234*((X234*'1. Standard_Cost'!$B$19)+(W234*X234*'1. Standard_Cost'!$C$19))</f>
        <v>0</v>
      </c>
      <c r="Z234" s="260"/>
      <c r="AA234" s="260"/>
      <c r="AB234" s="108">
        <f>+Z234*'1. Standard_Cost'!$B$23+AA234*'1. Standard_Cost'!$C$23</f>
        <v>0</v>
      </c>
      <c r="AC234" s="261"/>
      <c r="AD234" s="262"/>
      <c r="AE234" s="108">
        <f>SUM(AD234,AC234,AB234,Y234,U234,T234,S234,R234)*'1. Standard_Cost'!$B$31</f>
        <v>0</v>
      </c>
      <c r="AF234" s="108">
        <f t="shared" si="235"/>
        <v>0</v>
      </c>
      <c r="AG234" s="260"/>
      <c r="AH234" s="260"/>
      <c r="AI234" s="260"/>
      <c r="AJ234" s="263"/>
      <c r="AK234" s="263"/>
      <c r="AL234" s="263"/>
      <c r="AM234" s="108">
        <f>AG234*'1. Standard_Cost'!$B$27+'Incremental_Cost Year 8'!AH234*'1. Standard_Cost'!$C$27+'Incremental_Cost Year 8'!AI234*'1. Standard_Cost'!$D$27+'Incremental_Cost Year 8'!AJ234+'Incremental_Cost Year 8'!AL234+AK234</f>
        <v>0</v>
      </c>
      <c r="AN234" s="108">
        <f>AM234*'1. Standard_Cost'!$C$31</f>
        <v>0</v>
      </c>
      <c r="AO234" s="125" t="s">
        <v>435</v>
      </c>
      <c r="AQ234" s="14">
        <f t="shared" si="236"/>
        <v>0</v>
      </c>
      <c r="AR234" s="14">
        <f t="shared" si="237"/>
        <v>0</v>
      </c>
      <c r="AS234" s="14">
        <f t="shared" si="238"/>
        <v>0</v>
      </c>
      <c r="AT234" s="14">
        <f t="shared" ref="AT234:AT235" si="240">SUM(AQ234,AR234,AS234)</f>
        <v>0</v>
      </c>
      <c r="AU234" s="234"/>
      <c r="AV234" s="234"/>
      <c r="AW234" s="234"/>
      <c r="AX234" s="234"/>
      <c r="AY234" s="234"/>
      <c r="AZ234" s="234"/>
      <c r="BA234" s="234"/>
      <c r="BB234" s="16">
        <f t="shared" si="239"/>
        <v>0</v>
      </c>
    </row>
    <row r="235" spans="1:54" ht="15.6" outlineLevel="2">
      <c r="A235" s="98"/>
      <c r="B235" s="102"/>
      <c r="C235" s="23"/>
      <c r="D235" s="269"/>
      <c r="E235" s="269"/>
      <c r="F235" s="269"/>
      <c r="G235" s="174"/>
      <c r="H235" s="272"/>
      <c r="I235" s="258"/>
      <c r="J235" s="259"/>
      <c r="K235" s="259"/>
      <c r="L235" s="106" t="str">
        <f>IF(I235&lt;&gt;0,((VLOOKUP(I235,'1. Standard_Cost'!$B$4:$D$11,2)+VLOOKUP(I235,'1. Standard_Cost'!$B$4:$D$11,3))*J235*K235),"0")</f>
        <v>0</v>
      </c>
      <c r="M235" s="106">
        <f>L235*'1. Standard_Cost'!$F$4</f>
        <v>0</v>
      </c>
      <c r="N235" s="260"/>
      <c r="O235" s="260"/>
      <c r="P235" s="260"/>
      <c r="Q235" s="260"/>
      <c r="R235" s="108">
        <f>'1. Standard_Cost'!$B$15*N235*P235</f>
        <v>0</v>
      </c>
      <c r="S235" s="108">
        <f>N235*O235*P235*'1. Standard_Cost'!$C$15</f>
        <v>0</v>
      </c>
      <c r="T235" s="108">
        <f>N235*P235*Q235*'1. Standard_Cost'!$D$15</f>
        <v>0</v>
      </c>
      <c r="U235" s="108">
        <f>N235*O235*'1. Standard_Cost'!$E$15</f>
        <v>0</v>
      </c>
      <c r="V235" s="260"/>
      <c r="W235" s="260"/>
      <c r="X235" s="260"/>
      <c r="Y235" s="108">
        <f>+V235*((X235*'1. Standard_Cost'!$B$19)+(W235*X235*'1. Standard_Cost'!$C$19))</f>
        <v>0</v>
      </c>
      <c r="Z235" s="260"/>
      <c r="AA235" s="260"/>
      <c r="AB235" s="108">
        <f>+Z235*'1. Standard_Cost'!$B$23+AA235*'1. Standard_Cost'!$C$23</f>
        <v>0</v>
      </c>
      <c r="AC235" s="261"/>
      <c r="AD235" s="262"/>
      <c r="AE235" s="108">
        <f>SUM(AD235,AC235,AB235,Y235,U235,T235,S235,R235)*'1. Standard_Cost'!$B$31</f>
        <v>0</v>
      </c>
      <c r="AF235" s="108">
        <f t="shared" si="235"/>
        <v>0</v>
      </c>
      <c r="AG235" s="260"/>
      <c r="AH235" s="260"/>
      <c r="AI235" s="260"/>
      <c r="AJ235" s="263"/>
      <c r="AK235" s="263"/>
      <c r="AL235" s="263"/>
      <c r="AM235" s="108">
        <f>AG235*'1. Standard_Cost'!$B$27+'Incremental_Cost Year 8'!AH235*'1. Standard_Cost'!$C$27+'Incremental_Cost Year 8'!AI235*'1. Standard_Cost'!$D$27+'Incremental_Cost Year 8'!AJ235+'Incremental_Cost Year 8'!AL235+AK235</f>
        <v>0</v>
      </c>
      <c r="AN235" s="108">
        <f>AM235*'1. Standard_Cost'!$C$31</f>
        <v>0</v>
      </c>
      <c r="AO235" s="125" t="s">
        <v>436</v>
      </c>
      <c r="AQ235" s="14">
        <f t="shared" si="236"/>
        <v>0</v>
      </c>
      <c r="AR235" s="14">
        <f t="shared" si="237"/>
        <v>0</v>
      </c>
      <c r="AS235" s="14">
        <f t="shared" si="238"/>
        <v>0</v>
      </c>
      <c r="AT235" s="14">
        <f t="shared" si="240"/>
        <v>0</v>
      </c>
      <c r="AU235" s="234"/>
      <c r="AV235" s="234"/>
      <c r="AW235" s="234"/>
      <c r="AX235" s="234"/>
      <c r="AY235" s="234"/>
      <c r="AZ235" s="234"/>
      <c r="BA235" s="234"/>
      <c r="BB235" s="16">
        <f t="shared" si="239"/>
        <v>0</v>
      </c>
    </row>
    <row r="236" spans="1:54" ht="27.6" outlineLevel="1">
      <c r="A236" s="98"/>
      <c r="B236" s="102"/>
      <c r="C236" s="23"/>
      <c r="D236" s="56" t="s">
        <v>47</v>
      </c>
      <c r="E236" s="56" t="s">
        <v>261</v>
      </c>
      <c r="F236" s="253">
        <v>2021</v>
      </c>
      <c r="G236" s="254">
        <v>2026</v>
      </c>
      <c r="H236" s="277" t="s">
        <v>264</v>
      </c>
      <c r="I236" s="264"/>
      <c r="J236" s="264"/>
      <c r="K236" s="264"/>
      <c r="L236" s="113">
        <f>SUM(L233:L235)</f>
        <v>0</v>
      </c>
      <c r="M236" s="113">
        <f>SUM(M233:M235)</f>
        <v>0</v>
      </c>
      <c r="N236" s="264"/>
      <c r="O236" s="264"/>
      <c r="P236" s="264"/>
      <c r="Q236" s="264"/>
      <c r="R236" s="113">
        <f>SUM(R233:R235)</f>
        <v>0</v>
      </c>
      <c r="S236" s="113">
        <f>SUM(S233:S235)</f>
        <v>0</v>
      </c>
      <c r="T236" s="113">
        <f>SUM(T233:T235)</f>
        <v>0</v>
      </c>
      <c r="U236" s="113">
        <f>SUM(U233:U235)</f>
        <v>0</v>
      </c>
      <c r="V236" s="264"/>
      <c r="W236" s="264"/>
      <c r="X236" s="264"/>
      <c r="Y236" s="113">
        <f>SUM(Y233:Y235)</f>
        <v>0</v>
      </c>
      <c r="Z236" s="264"/>
      <c r="AA236" s="264"/>
      <c r="AB236" s="113">
        <f>SUM(AB233:AB235)</f>
        <v>0</v>
      </c>
      <c r="AC236" s="265">
        <f>SUM(AC233:AC235)</f>
        <v>0</v>
      </c>
      <c r="AD236" s="265">
        <f>SUM(AD233:AD235)</f>
        <v>0</v>
      </c>
      <c r="AE236" s="113">
        <f>SUM(AE233:AE235)</f>
        <v>0</v>
      </c>
      <c r="AF236" s="113">
        <f>SUM(AF233:AF235)</f>
        <v>0</v>
      </c>
      <c r="AG236" s="264"/>
      <c r="AH236" s="264"/>
      <c r="AI236" s="264"/>
      <c r="AJ236" s="265">
        <f>SUM(AJ233:AJ235)</f>
        <v>0</v>
      </c>
      <c r="AK236" s="265">
        <f>SUM(AK233:AK235)</f>
        <v>0</v>
      </c>
      <c r="AL236" s="265">
        <f>SUM(AL233:AL235)</f>
        <v>0</v>
      </c>
      <c r="AM236" s="113">
        <f>SUM(AM233:AM235)</f>
        <v>0</v>
      </c>
      <c r="AN236" s="113">
        <f>SUM(AN233:AN235)</f>
        <v>0</v>
      </c>
      <c r="AO236" s="131"/>
      <c r="AP236" s="17"/>
      <c r="AQ236" s="113">
        <f t="shared" ref="AQ236:BB236" si="241">SUM(AQ233:AQ235)</f>
        <v>0</v>
      </c>
      <c r="AR236" s="113">
        <f t="shared" si="241"/>
        <v>0</v>
      </c>
      <c r="AS236" s="113">
        <f t="shared" si="241"/>
        <v>0</v>
      </c>
      <c r="AT236" s="113">
        <f t="shared" si="241"/>
        <v>0</v>
      </c>
      <c r="AU236" s="265">
        <f t="shared" si="241"/>
        <v>0</v>
      </c>
      <c r="AV236" s="265">
        <f t="shared" si="241"/>
        <v>0</v>
      </c>
      <c r="AW236" s="265">
        <f t="shared" si="241"/>
        <v>0</v>
      </c>
      <c r="AX236" s="265">
        <f t="shared" si="241"/>
        <v>0</v>
      </c>
      <c r="AY236" s="265">
        <f t="shared" si="241"/>
        <v>0</v>
      </c>
      <c r="AZ236" s="265">
        <f t="shared" si="241"/>
        <v>0</v>
      </c>
      <c r="BA236" s="265">
        <f t="shared" si="241"/>
        <v>0</v>
      </c>
      <c r="BB236" s="113">
        <f t="shared" si="241"/>
        <v>0</v>
      </c>
    </row>
    <row r="237" spans="1:54" ht="15.6" outlineLevel="2">
      <c r="A237" s="98"/>
      <c r="B237" s="102"/>
      <c r="C237" s="23"/>
      <c r="D237" s="269"/>
      <c r="E237" s="269"/>
      <c r="F237" s="269"/>
      <c r="G237" s="269"/>
      <c r="H237" s="272"/>
      <c r="I237" s="258"/>
      <c r="J237" s="259"/>
      <c r="K237" s="259"/>
      <c r="L237" s="106" t="str">
        <f>IF(I237&lt;&gt;0,((VLOOKUP(I237,'1. Standard_Cost'!$B$4:$D$11,2)+VLOOKUP(I237,'1. Standard_Cost'!$B$4:$D$11,3))*J237*K237),"0")</f>
        <v>0</v>
      </c>
      <c r="M237" s="106">
        <f>L237*'1. Standard_Cost'!$F$4</f>
        <v>0</v>
      </c>
      <c r="N237" s="260"/>
      <c r="O237" s="260"/>
      <c r="P237" s="260"/>
      <c r="Q237" s="260"/>
      <c r="R237" s="108">
        <f>'1. Standard_Cost'!$B$15*N237*P237</f>
        <v>0</v>
      </c>
      <c r="S237" s="108">
        <f>N237*O237*P237*'1. Standard_Cost'!$C$15</f>
        <v>0</v>
      </c>
      <c r="T237" s="108">
        <f>N237*P237*Q237*'1. Standard_Cost'!$D$15</f>
        <v>0</v>
      </c>
      <c r="U237" s="108">
        <f>N237*O237*'1. Standard_Cost'!$E$15</f>
        <v>0</v>
      </c>
      <c r="V237" s="260"/>
      <c r="W237" s="260"/>
      <c r="X237" s="260"/>
      <c r="Y237" s="108">
        <f>+V237*((X237*'1. Standard_Cost'!$B$19)+(W237*X237*'1. Standard_Cost'!$C$19))</f>
        <v>0</v>
      </c>
      <c r="Z237" s="260"/>
      <c r="AA237" s="260"/>
      <c r="AB237" s="108">
        <f>+Z237*'1. Standard_Cost'!$B$23+AA237*'1. Standard_Cost'!$C$23</f>
        <v>0</v>
      </c>
      <c r="AC237" s="261"/>
      <c r="AD237" s="262"/>
      <c r="AE237" s="108">
        <f>SUM(AD237,AC237,AB237,Y237,U237,T237,S237,R237)*'1. Standard_Cost'!$B$31</f>
        <v>0</v>
      </c>
      <c r="AF237" s="108">
        <f t="shared" ref="AF237:AF241" si="242">SUM(AE237,AD237,AC237,AB237,Y237,U237,T237,S237,R237)</f>
        <v>0</v>
      </c>
      <c r="AG237" s="260"/>
      <c r="AH237" s="260"/>
      <c r="AI237" s="260"/>
      <c r="AJ237" s="263"/>
      <c r="AK237" s="263"/>
      <c r="AL237" s="263"/>
      <c r="AM237" s="108">
        <f>AG237*'1. Standard_Cost'!$B$27+'Incremental_Cost Year 8'!AH237*'1. Standard_Cost'!$C$27+'Incremental_Cost Year 8'!AI237*'1. Standard_Cost'!$D$27+'Incremental_Cost Year 8'!AJ237+'Incremental_Cost Year 8'!AL237+AK237</f>
        <v>0</v>
      </c>
      <c r="AN237" s="108">
        <f>AM237*'1. Standard_Cost'!$C$31</f>
        <v>0</v>
      </c>
      <c r="AO237" s="125" t="s">
        <v>437</v>
      </c>
      <c r="AQ237" s="14">
        <f t="shared" ref="AQ237:AQ241" si="243">L237+M237</f>
        <v>0</v>
      </c>
      <c r="AR237" s="14">
        <f t="shared" ref="AR237:AR241" si="244">AF237</f>
        <v>0</v>
      </c>
      <c r="AS237" s="14">
        <f t="shared" ref="AS237:AS241" si="245">AM237+AN237</f>
        <v>0</v>
      </c>
      <c r="AT237" s="14">
        <f>SUM(AQ237,AR237,AS237)</f>
        <v>0</v>
      </c>
      <c r="AU237" s="234"/>
      <c r="AV237" s="234"/>
      <c r="AW237" s="234"/>
      <c r="AX237" s="234"/>
      <c r="AY237" s="234"/>
      <c r="AZ237" s="234"/>
      <c r="BA237" s="234"/>
      <c r="BB237" s="16">
        <f t="shared" ref="BB237:BB241" si="246">SUM(AU237:BA237)-AT237</f>
        <v>0</v>
      </c>
    </row>
    <row r="238" spans="1:54" ht="15.6" outlineLevel="2">
      <c r="A238" s="98"/>
      <c r="B238" s="102"/>
      <c r="C238" s="23"/>
      <c r="D238" s="269"/>
      <c r="E238" s="269"/>
      <c r="F238" s="269"/>
      <c r="G238" s="269"/>
      <c r="H238" s="272"/>
      <c r="I238" s="258"/>
      <c r="J238" s="259"/>
      <c r="K238" s="259"/>
      <c r="L238" s="106" t="str">
        <f>IF(I238&lt;&gt;0,((VLOOKUP(I238,'1. Standard_Cost'!$B$4:$D$11,2)+VLOOKUP(I238,'1. Standard_Cost'!$B$4:$D$11,3))*J238*K238),"0")</f>
        <v>0</v>
      </c>
      <c r="M238" s="106">
        <f>L238*'1. Standard_Cost'!$F$4</f>
        <v>0</v>
      </c>
      <c r="N238" s="260"/>
      <c r="O238" s="260"/>
      <c r="P238" s="260"/>
      <c r="Q238" s="260"/>
      <c r="R238" s="108">
        <f>'1. Standard_Cost'!$B$15*N238*P238</f>
        <v>0</v>
      </c>
      <c r="S238" s="108">
        <f>N238*O238*P238*'1. Standard_Cost'!$C$15</f>
        <v>0</v>
      </c>
      <c r="T238" s="108">
        <f>N238*P238*Q238*'1. Standard_Cost'!$D$15</f>
        <v>0</v>
      </c>
      <c r="U238" s="108">
        <f>N238*O238*'1. Standard_Cost'!$E$15</f>
        <v>0</v>
      </c>
      <c r="V238" s="260"/>
      <c r="W238" s="260"/>
      <c r="X238" s="260"/>
      <c r="Y238" s="108">
        <f>+V238*((X238*'1. Standard_Cost'!$B$19)+(W238*X238*'1. Standard_Cost'!$C$19))</f>
        <v>0</v>
      </c>
      <c r="Z238" s="260"/>
      <c r="AA238" s="260"/>
      <c r="AB238" s="108">
        <f>+Z238*'1. Standard_Cost'!$B$23+AA238*'1. Standard_Cost'!$C$23</f>
        <v>0</v>
      </c>
      <c r="AC238" s="261"/>
      <c r="AD238" s="262"/>
      <c r="AE238" s="108">
        <f>SUM(AD238,AC238,AB238,Y238,U238,T238,S238,R238)*'1. Standard_Cost'!$B$31</f>
        <v>0</v>
      </c>
      <c r="AF238" s="108">
        <f t="shared" si="242"/>
        <v>0</v>
      </c>
      <c r="AG238" s="260"/>
      <c r="AH238" s="260"/>
      <c r="AI238" s="260"/>
      <c r="AJ238" s="263"/>
      <c r="AK238" s="263"/>
      <c r="AL238" s="263"/>
      <c r="AM238" s="108">
        <f>AG238*'1. Standard_Cost'!$B$27+'Incremental_Cost Year 8'!AH238*'1. Standard_Cost'!$C$27+'Incremental_Cost Year 8'!AI238*'1. Standard_Cost'!$D$27+'Incremental_Cost Year 8'!AJ238+'Incremental_Cost Year 8'!AL238+AK238</f>
        <v>0</v>
      </c>
      <c r="AN238" s="108">
        <f>AM238*'1. Standard_Cost'!$C$31</f>
        <v>0</v>
      </c>
      <c r="AO238" s="125" t="s">
        <v>438</v>
      </c>
      <c r="AQ238" s="14">
        <f t="shared" si="243"/>
        <v>0</v>
      </c>
      <c r="AR238" s="14">
        <f t="shared" si="244"/>
        <v>0</v>
      </c>
      <c r="AS238" s="14">
        <f t="shared" si="245"/>
        <v>0</v>
      </c>
      <c r="AT238" s="14">
        <f t="shared" ref="AT238:AT241" si="247">SUM(AQ238,AR238,AS238)</f>
        <v>0</v>
      </c>
      <c r="AU238" s="234"/>
      <c r="AV238" s="234"/>
      <c r="AW238" s="234"/>
      <c r="AX238" s="234"/>
      <c r="AY238" s="234"/>
      <c r="AZ238" s="234"/>
      <c r="BA238" s="234"/>
      <c r="BB238" s="16">
        <f t="shared" si="246"/>
        <v>0</v>
      </c>
    </row>
    <row r="239" spans="1:54" ht="15.6" outlineLevel="2">
      <c r="A239" s="98"/>
      <c r="B239" s="102"/>
      <c r="C239" s="23"/>
      <c r="D239" s="269"/>
      <c r="E239" s="269"/>
      <c r="F239" s="269"/>
      <c r="G239" s="269"/>
      <c r="H239" s="272"/>
      <c r="I239" s="258"/>
      <c r="J239" s="259"/>
      <c r="K239" s="259"/>
      <c r="L239" s="106" t="str">
        <f>IF(I239&lt;&gt;0,((VLOOKUP(I239,'1. Standard_Cost'!$B$4:$D$11,2)+VLOOKUP(I239,'1. Standard_Cost'!$B$4:$D$11,3))*J239*K239),"0")</f>
        <v>0</v>
      </c>
      <c r="M239" s="106">
        <f>L239*'1. Standard_Cost'!$F$4</f>
        <v>0</v>
      </c>
      <c r="N239" s="260"/>
      <c r="O239" s="260"/>
      <c r="P239" s="260"/>
      <c r="Q239" s="260"/>
      <c r="R239" s="108">
        <f>'1. Standard_Cost'!$B$15*N239*P239</f>
        <v>0</v>
      </c>
      <c r="S239" s="108">
        <f>N239*O239*P239*'1. Standard_Cost'!$C$15</f>
        <v>0</v>
      </c>
      <c r="T239" s="108">
        <f>N239*P239*Q239*'1. Standard_Cost'!$D$15</f>
        <v>0</v>
      </c>
      <c r="U239" s="108">
        <f>N239*O239*'1. Standard_Cost'!$E$15</f>
        <v>0</v>
      </c>
      <c r="V239" s="260"/>
      <c r="W239" s="260"/>
      <c r="X239" s="260"/>
      <c r="Y239" s="108">
        <f>+V239*((X239*'1. Standard_Cost'!$B$19)+(W239*X239*'1. Standard_Cost'!$C$19))</f>
        <v>0</v>
      </c>
      <c r="Z239" s="260"/>
      <c r="AA239" s="260"/>
      <c r="AB239" s="108">
        <f>+Z239*'1. Standard_Cost'!$B$23+AA239*'1. Standard_Cost'!$C$23</f>
        <v>0</v>
      </c>
      <c r="AC239" s="261"/>
      <c r="AD239" s="262"/>
      <c r="AE239" s="108">
        <f>SUM(AD239,AC239,AB239,Y239,U239,T239,S239,R239)*'1. Standard_Cost'!$B$31</f>
        <v>0</v>
      </c>
      <c r="AF239" s="108">
        <f t="shared" si="242"/>
        <v>0</v>
      </c>
      <c r="AG239" s="260"/>
      <c r="AH239" s="260"/>
      <c r="AI239" s="260"/>
      <c r="AJ239" s="263"/>
      <c r="AK239" s="263"/>
      <c r="AL239" s="263"/>
      <c r="AM239" s="108">
        <f>AG239*'1. Standard_Cost'!$B$27+'Incremental_Cost Year 8'!AH239*'1. Standard_Cost'!$C$27+'Incremental_Cost Year 8'!AI239*'1. Standard_Cost'!$D$27+'Incremental_Cost Year 8'!AJ239+'Incremental_Cost Year 8'!AL239+AK239</f>
        <v>0</v>
      </c>
      <c r="AN239" s="108">
        <f>AM239*'1. Standard_Cost'!$C$31</f>
        <v>0</v>
      </c>
      <c r="AO239" s="125" t="s">
        <v>439</v>
      </c>
      <c r="AQ239" s="14">
        <f t="shared" si="243"/>
        <v>0</v>
      </c>
      <c r="AR239" s="14">
        <f t="shared" si="244"/>
        <v>0</v>
      </c>
      <c r="AS239" s="14">
        <f t="shared" si="245"/>
        <v>0</v>
      </c>
      <c r="AT239" s="14">
        <f t="shared" si="247"/>
        <v>0</v>
      </c>
      <c r="AU239" s="234"/>
      <c r="AV239" s="234"/>
      <c r="AW239" s="234"/>
      <c r="AX239" s="234"/>
      <c r="AY239" s="234"/>
      <c r="AZ239" s="234"/>
      <c r="BA239" s="234"/>
      <c r="BB239" s="16">
        <f t="shared" si="246"/>
        <v>0</v>
      </c>
    </row>
    <row r="240" spans="1:54" ht="15.6" outlineLevel="2">
      <c r="A240" s="98"/>
      <c r="B240" s="102"/>
      <c r="C240" s="23"/>
      <c r="D240" s="269"/>
      <c r="E240" s="269"/>
      <c r="F240" s="269"/>
      <c r="G240" s="269"/>
      <c r="H240" s="272"/>
      <c r="I240" s="258"/>
      <c r="J240" s="259"/>
      <c r="K240" s="259"/>
      <c r="L240" s="106" t="str">
        <f>IF(I240&lt;&gt;0,((VLOOKUP(I240,'1. Standard_Cost'!$B$4:$D$11,2)+VLOOKUP(I240,'1. Standard_Cost'!$B$4:$D$11,3))*J240*K240),"0")</f>
        <v>0</v>
      </c>
      <c r="M240" s="106">
        <f>L240*'1. Standard_Cost'!$F$4</f>
        <v>0</v>
      </c>
      <c r="N240" s="260"/>
      <c r="O240" s="260"/>
      <c r="P240" s="260"/>
      <c r="Q240" s="260"/>
      <c r="R240" s="108">
        <f>'1. Standard_Cost'!$B$15*N240*P240</f>
        <v>0</v>
      </c>
      <c r="S240" s="108">
        <f>N240*O240*P240*'1. Standard_Cost'!$C$15</f>
        <v>0</v>
      </c>
      <c r="T240" s="108">
        <f>N240*P240*Q240*'1. Standard_Cost'!$D$15</f>
        <v>0</v>
      </c>
      <c r="U240" s="108">
        <f>N240*O240*'1. Standard_Cost'!$E$15</f>
        <v>0</v>
      </c>
      <c r="V240" s="260"/>
      <c r="W240" s="260"/>
      <c r="X240" s="260"/>
      <c r="Y240" s="108">
        <f>+V240*((X240*'1. Standard_Cost'!$B$19)+(W240*X240*'1. Standard_Cost'!$C$19))</f>
        <v>0</v>
      </c>
      <c r="Z240" s="260"/>
      <c r="AA240" s="260"/>
      <c r="AB240" s="108">
        <f>+Z240*'1. Standard_Cost'!$B$23+AA240*'1. Standard_Cost'!$C$23</f>
        <v>0</v>
      </c>
      <c r="AC240" s="261"/>
      <c r="AD240" s="262"/>
      <c r="AE240" s="108">
        <f>SUM(AD240,AC240,AB240,Y240,U240,T240,S240,R240)*'1. Standard_Cost'!$B$31</f>
        <v>0</v>
      </c>
      <c r="AF240" s="108">
        <f t="shared" si="242"/>
        <v>0</v>
      </c>
      <c r="AG240" s="260"/>
      <c r="AH240" s="260"/>
      <c r="AI240" s="260"/>
      <c r="AJ240" s="263"/>
      <c r="AK240" s="263"/>
      <c r="AL240" s="263"/>
      <c r="AM240" s="108">
        <f>AG240*'1. Standard_Cost'!$B$27+'Incremental_Cost Year 8'!AH240*'1. Standard_Cost'!$C$27+'Incremental_Cost Year 8'!AI240*'1. Standard_Cost'!$D$27+'Incremental_Cost Year 8'!AJ240+'Incremental_Cost Year 8'!AL240+AK240</f>
        <v>0</v>
      </c>
      <c r="AN240" s="108">
        <f>AM240*'1. Standard_Cost'!$C$31</f>
        <v>0</v>
      </c>
      <c r="AO240" s="125" t="s">
        <v>440</v>
      </c>
      <c r="AQ240" s="14">
        <f t="shared" si="243"/>
        <v>0</v>
      </c>
      <c r="AR240" s="14">
        <f t="shared" si="244"/>
        <v>0</v>
      </c>
      <c r="AS240" s="14">
        <f t="shared" si="245"/>
        <v>0</v>
      </c>
      <c r="AT240" s="14">
        <f t="shared" si="247"/>
        <v>0</v>
      </c>
      <c r="AU240" s="234"/>
      <c r="AV240" s="234"/>
      <c r="AW240" s="234"/>
      <c r="AX240" s="234"/>
      <c r="AY240" s="234"/>
      <c r="AZ240" s="234"/>
      <c r="BA240" s="234"/>
      <c r="BB240" s="16">
        <f t="shared" si="246"/>
        <v>0</v>
      </c>
    </row>
    <row r="241" spans="1:54" ht="15.6" outlineLevel="2">
      <c r="A241" s="98"/>
      <c r="B241" s="102"/>
      <c r="C241" s="23"/>
      <c r="D241" s="269"/>
      <c r="E241" s="269"/>
      <c r="F241" s="269"/>
      <c r="G241" s="269"/>
      <c r="H241" s="272"/>
      <c r="I241" s="258"/>
      <c r="J241" s="259"/>
      <c r="K241" s="259"/>
      <c r="L241" s="106" t="str">
        <f>IF(I241&lt;&gt;0,((VLOOKUP(I241,'1. Standard_Cost'!$B$4:$D$11,2)+VLOOKUP(I241,'1. Standard_Cost'!$B$4:$D$11,3))*J241*K241),"0")</f>
        <v>0</v>
      </c>
      <c r="M241" s="106">
        <f>L241*'1. Standard_Cost'!$F$4</f>
        <v>0</v>
      </c>
      <c r="N241" s="260"/>
      <c r="O241" s="260"/>
      <c r="P241" s="260"/>
      <c r="Q241" s="260"/>
      <c r="R241" s="108">
        <f>'1. Standard_Cost'!$B$15*N241*P241</f>
        <v>0</v>
      </c>
      <c r="S241" s="108">
        <f>N241*O241*P241*'1. Standard_Cost'!$C$15</f>
        <v>0</v>
      </c>
      <c r="T241" s="108">
        <f>N241*P241*Q241*'1. Standard_Cost'!$D$15</f>
        <v>0</v>
      </c>
      <c r="U241" s="108">
        <f>N241*O241*'1. Standard_Cost'!$E$15</f>
        <v>0</v>
      </c>
      <c r="V241" s="260"/>
      <c r="W241" s="260"/>
      <c r="X241" s="260"/>
      <c r="Y241" s="108">
        <f>+V241*((X241*'1. Standard_Cost'!$B$19)+(W241*X241*'1. Standard_Cost'!$C$19))</f>
        <v>0</v>
      </c>
      <c r="Z241" s="260"/>
      <c r="AA241" s="260"/>
      <c r="AB241" s="108">
        <f>+Z241*'1. Standard_Cost'!$B$23+AA241*'1. Standard_Cost'!$C$23</f>
        <v>0</v>
      </c>
      <c r="AC241" s="261"/>
      <c r="AD241" s="262"/>
      <c r="AE241" s="108">
        <f>SUM(AD241,AC241,AB241,Y241,U241,T241,S241,R241)*'1. Standard_Cost'!$B$31</f>
        <v>0</v>
      </c>
      <c r="AF241" s="108">
        <f t="shared" si="242"/>
        <v>0</v>
      </c>
      <c r="AG241" s="260"/>
      <c r="AH241" s="260"/>
      <c r="AI241" s="260"/>
      <c r="AJ241" s="263"/>
      <c r="AK241" s="263"/>
      <c r="AL241" s="263"/>
      <c r="AM241" s="108">
        <f>AG241*'1. Standard_Cost'!$B$27+'Incremental_Cost Year 8'!AH241*'1. Standard_Cost'!$C$27+'Incremental_Cost Year 8'!AI241*'1. Standard_Cost'!$D$27+'Incremental_Cost Year 8'!AJ241+'Incremental_Cost Year 8'!AL241+AK241</f>
        <v>0</v>
      </c>
      <c r="AN241" s="108">
        <f>AM241*'1. Standard_Cost'!$C$31</f>
        <v>0</v>
      </c>
      <c r="AO241" s="125" t="s">
        <v>441</v>
      </c>
      <c r="AQ241" s="14">
        <f t="shared" si="243"/>
        <v>0</v>
      </c>
      <c r="AR241" s="14">
        <f t="shared" si="244"/>
        <v>0</v>
      </c>
      <c r="AS241" s="14">
        <f t="shared" si="245"/>
        <v>0</v>
      </c>
      <c r="AT241" s="14">
        <f t="shared" si="247"/>
        <v>0</v>
      </c>
      <c r="AU241" s="234"/>
      <c r="AV241" s="234"/>
      <c r="AW241" s="234"/>
      <c r="AX241" s="234"/>
      <c r="AY241" s="234"/>
      <c r="AZ241" s="234"/>
      <c r="BA241" s="234"/>
      <c r="BB241" s="16">
        <f t="shared" si="246"/>
        <v>0</v>
      </c>
    </row>
    <row r="242" spans="1:54" ht="27.6" outlineLevel="1">
      <c r="A242" s="98"/>
      <c r="B242" s="102"/>
      <c r="C242" s="23"/>
      <c r="D242" s="56" t="s">
        <v>47</v>
      </c>
      <c r="E242" s="56" t="s">
        <v>265</v>
      </c>
      <c r="F242" s="253">
        <v>2021</v>
      </c>
      <c r="G242" s="254">
        <v>2026</v>
      </c>
      <c r="H242" s="277" t="s">
        <v>269</v>
      </c>
      <c r="I242" s="264"/>
      <c r="J242" s="264"/>
      <c r="K242" s="264"/>
      <c r="L242" s="113">
        <f>SUM(L237:L241)</f>
        <v>0</v>
      </c>
      <c r="M242" s="113">
        <f>SUM(M237:M241)</f>
        <v>0</v>
      </c>
      <c r="N242" s="264"/>
      <c r="O242" s="264"/>
      <c r="P242" s="264"/>
      <c r="Q242" s="264"/>
      <c r="R242" s="113">
        <f>SUM(R237:R241)</f>
        <v>0</v>
      </c>
      <c r="S242" s="113">
        <f>SUM(S237:S241)</f>
        <v>0</v>
      </c>
      <c r="T242" s="113">
        <f>SUM(T237:T241)</f>
        <v>0</v>
      </c>
      <c r="U242" s="113">
        <f>SUM(U237:U241)</f>
        <v>0</v>
      </c>
      <c r="V242" s="264"/>
      <c r="W242" s="264"/>
      <c r="X242" s="264"/>
      <c r="Y242" s="113">
        <f>SUM(Y237:Y241)</f>
        <v>0</v>
      </c>
      <c r="Z242" s="264"/>
      <c r="AA242" s="264"/>
      <c r="AB242" s="113">
        <f>SUM(AB237:AB241)</f>
        <v>0</v>
      </c>
      <c r="AC242" s="265">
        <f>SUM(AC237:AC241)</f>
        <v>0</v>
      </c>
      <c r="AD242" s="265">
        <f>SUM(AD237:AD241)</f>
        <v>0</v>
      </c>
      <c r="AE242" s="113">
        <f>SUM(AE237:AE241)</f>
        <v>0</v>
      </c>
      <c r="AF242" s="113">
        <f>SUM(AF237:AF241)</f>
        <v>0</v>
      </c>
      <c r="AG242" s="264"/>
      <c r="AH242" s="264"/>
      <c r="AI242" s="264"/>
      <c r="AJ242" s="265">
        <f>SUM(AJ237:AJ241)</f>
        <v>0</v>
      </c>
      <c r="AK242" s="265">
        <f>SUM(AK237:AK241)</f>
        <v>0</v>
      </c>
      <c r="AL242" s="265">
        <f>SUM(AL237:AL241)</f>
        <v>0</v>
      </c>
      <c r="AM242" s="113">
        <f>SUM(AM237:AM241)</f>
        <v>0</v>
      </c>
      <c r="AN242" s="113">
        <f>SUM(AN237:AN241)</f>
        <v>0</v>
      </c>
      <c r="AO242" s="131"/>
      <c r="AP242" s="17"/>
      <c r="AQ242" s="113">
        <f t="shared" ref="AQ242:BB242" si="248">SUM(AQ237:AQ241)</f>
        <v>0</v>
      </c>
      <c r="AR242" s="113">
        <f t="shared" si="248"/>
        <v>0</v>
      </c>
      <c r="AS242" s="113">
        <f t="shared" si="248"/>
        <v>0</v>
      </c>
      <c r="AT242" s="113">
        <f t="shared" si="248"/>
        <v>0</v>
      </c>
      <c r="AU242" s="265">
        <f t="shared" si="248"/>
        <v>0</v>
      </c>
      <c r="AV242" s="265">
        <f t="shared" si="248"/>
        <v>0</v>
      </c>
      <c r="AW242" s="265">
        <f t="shared" si="248"/>
        <v>0</v>
      </c>
      <c r="AX242" s="265">
        <f t="shared" si="248"/>
        <v>0</v>
      </c>
      <c r="AY242" s="265">
        <f t="shared" si="248"/>
        <v>0</v>
      </c>
      <c r="AZ242" s="265">
        <f t="shared" si="248"/>
        <v>0</v>
      </c>
      <c r="BA242" s="265">
        <f t="shared" si="248"/>
        <v>0</v>
      </c>
      <c r="BB242" s="113">
        <f t="shared" si="248"/>
        <v>0</v>
      </c>
    </row>
  </sheetData>
  <mergeCells count="17">
    <mergeCell ref="B223:E223"/>
    <mergeCell ref="C224:E224"/>
    <mergeCell ref="AQ2:BB2"/>
    <mergeCell ref="B2:E2"/>
    <mergeCell ref="C32:E32"/>
    <mergeCell ref="C40:E40"/>
    <mergeCell ref="C143:E143"/>
    <mergeCell ref="C80:E80"/>
    <mergeCell ref="B92:E92"/>
    <mergeCell ref="C93:E93"/>
    <mergeCell ref="C179:E179"/>
    <mergeCell ref="C202:E202"/>
    <mergeCell ref="B1:L1"/>
    <mergeCell ref="B3:E3"/>
    <mergeCell ref="B5:E5"/>
    <mergeCell ref="C6:E6"/>
    <mergeCell ref="B31:E31"/>
  </mergeCells>
  <conditionalFormatting sqref="BB243:BB286 BB288:BB291 BB293:BB302 BB305:BB308 BB33 BB81:BB82 BB94:BB100 BB7:BB10 BB26:BB29 BB24 BB36:BB38 BB85:BB90 BB16:BB20 BB60:BB78 BB183:BB185 BB144:BB146 BB154:BB160 BB162:BB167">
    <cfRule type="cellIs" dxfId="527" priority="175" operator="lessThan">
      <formula>0</formula>
    </cfRule>
    <cfRule type="cellIs" dxfId="526" priority="176" operator="lessThan">
      <formula>-105575</formula>
    </cfRule>
  </conditionalFormatting>
  <conditionalFormatting sqref="BB311:BB314 BB316:BB320">
    <cfRule type="cellIs" dxfId="525" priority="173" operator="lessThan">
      <formula>0</formula>
    </cfRule>
    <cfRule type="cellIs" dxfId="524" priority="174" operator="lessThan">
      <formula>-105575</formula>
    </cfRule>
  </conditionalFormatting>
  <conditionalFormatting sqref="BB321:BB325">
    <cfRule type="cellIs" dxfId="523" priority="171" operator="lessThan">
      <formula>0</formula>
    </cfRule>
    <cfRule type="cellIs" dxfId="522" priority="172" operator="lessThan">
      <formula>-105575</formula>
    </cfRule>
  </conditionalFormatting>
  <conditionalFormatting sqref="BB326:BB330">
    <cfRule type="cellIs" dxfId="521" priority="169" operator="lessThan">
      <formula>0</formula>
    </cfRule>
    <cfRule type="cellIs" dxfId="520" priority="170" operator="lessThan">
      <formula>-105575</formula>
    </cfRule>
  </conditionalFormatting>
  <conditionalFormatting sqref="BB332:BB335 BB337:BB341">
    <cfRule type="cellIs" dxfId="519" priority="167" operator="lessThan">
      <formula>0</formula>
    </cfRule>
    <cfRule type="cellIs" dxfId="518" priority="168" operator="lessThan">
      <formula>-105575</formula>
    </cfRule>
  </conditionalFormatting>
  <conditionalFormatting sqref="BB342:BB346">
    <cfRule type="cellIs" dxfId="517" priority="165" operator="lessThan">
      <formula>0</formula>
    </cfRule>
    <cfRule type="cellIs" dxfId="516" priority="166" operator="lessThan">
      <formula>-105575</formula>
    </cfRule>
  </conditionalFormatting>
  <conditionalFormatting sqref="BB347:BB351">
    <cfRule type="cellIs" dxfId="515" priority="163" operator="lessThan">
      <formula>0</formula>
    </cfRule>
    <cfRule type="cellIs" dxfId="514" priority="164" operator="lessThan">
      <formula>-105575</formula>
    </cfRule>
  </conditionalFormatting>
  <conditionalFormatting sqref="BB353:BB356 BB358:BB362">
    <cfRule type="cellIs" dxfId="513" priority="161" operator="lessThan">
      <formula>0</formula>
    </cfRule>
    <cfRule type="cellIs" dxfId="512" priority="162" operator="lessThan">
      <formula>-105575</formula>
    </cfRule>
  </conditionalFormatting>
  <conditionalFormatting sqref="BB363:BB367">
    <cfRule type="cellIs" dxfId="511" priority="159" operator="lessThan">
      <formula>0</formula>
    </cfRule>
    <cfRule type="cellIs" dxfId="510" priority="160" operator="lessThan">
      <formula>-105575</formula>
    </cfRule>
  </conditionalFormatting>
  <conditionalFormatting sqref="BB370:BB373 BB375:BB379">
    <cfRule type="cellIs" dxfId="509" priority="157" operator="lessThan">
      <formula>0</formula>
    </cfRule>
    <cfRule type="cellIs" dxfId="508" priority="158" operator="lessThan">
      <formula>-105575</formula>
    </cfRule>
  </conditionalFormatting>
  <conditionalFormatting sqref="BB381:BB384">
    <cfRule type="cellIs" dxfId="507" priority="155" operator="lessThan">
      <formula>0</formula>
    </cfRule>
    <cfRule type="cellIs" dxfId="506" priority="156" operator="lessThan">
      <formula>-105575</formula>
    </cfRule>
  </conditionalFormatting>
  <conditionalFormatting sqref="BB381:BB384 BB386:BB390">
    <cfRule type="cellIs" dxfId="505" priority="153" operator="lessThan">
      <formula>0</formula>
    </cfRule>
    <cfRule type="cellIs" dxfId="504" priority="154" operator="lessThan">
      <formula>-105575</formula>
    </cfRule>
  </conditionalFormatting>
  <conditionalFormatting sqref="BB391:BB395">
    <cfRule type="cellIs" dxfId="503" priority="151" operator="lessThan">
      <formula>0</formula>
    </cfRule>
    <cfRule type="cellIs" dxfId="502" priority="152" operator="lessThan">
      <formula>-105575</formula>
    </cfRule>
  </conditionalFormatting>
  <conditionalFormatting sqref="BB396:BB400">
    <cfRule type="cellIs" dxfId="501" priority="149" operator="lessThan">
      <formula>0</formula>
    </cfRule>
    <cfRule type="cellIs" dxfId="500" priority="150" operator="lessThan">
      <formula>-105575</formula>
    </cfRule>
  </conditionalFormatting>
  <conditionalFormatting sqref="BB401:BB405">
    <cfRule type="cellIs" dxfId="499" priority="147" operator="lessThan">
      <formula>0</formula>
    </cfRule>
    <cfRule type="cellIs" dxfId="498" priority="148" operator="lessThan">
      <formula>-105575</formula>
    </cfRule>
  </conditionalFormatting>
  <conditionalFormatting sqref="BB406:BB410">
    <cfRule type="cellIs" dxfId="497" priority="145" operator="lessThan">
      <formula>0</formula>
    </cfRule>
    <cfRule type="cellIs" dxfId="496" priority="146" operator="lessThan">
      <formula>-105575</formula>
    </cfRule>
  </conditionalFormatting>
  <conditionalFormatting sqref="BB412:BB415">
    <cfRule type="cellIs" dxfId="495" priority="143" operator="lessThan">
      <formula>0</formula>
    </cfRule>
    <cfRule type="cellIs" dxfId="494" priority="144" operator="lessThan">
      <formula>-105575</formula>
    </cfRule>
  </conditionalFormatting>
  <conditionalFormatting sqref="BB412:BB415">
    <cfRule type="cellIs" dxfId="493" priority="141" operator="lessThan">
      <formula>0</formula>
    </cfRule>
    <cfRule type="cellIs" dxfId="492" priority="142" operator="lessThan">
      <formula>-105575</formula>
    </cfRule>
  </conditionalFormatting>
  <conditionalFormatting sqref="BB418:BB421">
    <cfRule type="cellIs" dxfId="491" priority="139" operator="lessThan">
      <formula>0</formula>
    </cfRule>
    <cfRule type="cellIs" dxfId="490" priority="140" operator="lessThan">
      <formula>-105575</formula>
    </cfRule>
  </conditionalFormatting>
  <conditionalFormatting sqref="BB418:BB421 BB423:BB427">
    <cfRule type="cellIs" dxfId="489" priority="137" operator="lessThan">
      <formula>0</formula>
    </cfRule>
    <cfRule type="cellIs" dxfId="488" priority="138" operator="lessThan">
      <formula>-105575</formula>
    </cfRule>
  </conditionalFormatting>
  <conditionalFormatting sqref="BB428:BB432">
    <cfRule type="cellIs" dxfId="487" priority="135" operator="lessThan">
      <formula>0</formula>
    </cfRule>
    <cfRule type="cellIs" dxfId="486" priority="136" operator="lessThan">
      <formula>-105575</formula>
    </cfRule>
  </conditionalFormatting>
  <conditionalFormatting sqref="BB433:BB437">
    <cfRule type="cellIs" dxfId="485" priority="133" operator="lessThan">
      <formula>0</formula>
    </cfRule>
    <cfRule type="cellIs" dxfId="484" priority="134" operator="lessThan">
      <formula>-105575</formula>
    </cfRule>
  </conditionalFormatting>
  <conditionalFormatting sqref="BB439:BB442">
    <cfRule type="cellIs" dxfId="483" priority="131" operator="lessThan">
      <formula>0</formula>
    </cfRule>
    <cfRule type="cellIs" dxfId="482" priority="132" operator="lessThan">
      <formula>-105575</formula>
    </cfRule>
  </conditionalFormatting>
  <conditionalFormatting sqref="BB439:BB442 BB444:BB448">
    <cfRule type="cellIs" dxfId="481" priority="129" operator="lessThan">
      <formula>0</formula>
    </cfRule>
    <cfRule type="cellIs" dxfId="480" priority="130" operator="lessThan">
      <formula>-105575</formula>
    </cfRule>
  </conditionalFormatting>
  <conditionalFormatting sqref="BB449:BB453">
    <cfRule type="cellIs" dxfId="479" priority="127" operator="lessThan">
      <formula>0</formula>
    </cfRule>
    <cfRule type="cellIs" dxfId="478" priority="128" operator="lessThan">
      <formula>-105575</formula>
    </cfRule>
  </conditionalFormatting>
  <conditionalFormatting sqref="BB454:BB458">
    <cfRule type="cellIs" dxfId="477" priority="125" operator="lessThan">
      <formula>0</formula>
    </cfRule>
    <cfRule type="cellIs" dxfId="476" priority="126" operator="lessThan">
      <formula>-105575</formula>
    </cfRule>
  </conditionalFormatting>
  <conditionalFormatting sqref="BB460:BB463">
    <cfRule type="cellIs" dxfId="475" priority="123" operator="lessThan">
      <formula>0</formula>
    </cfRule>
    <cfRule type="cellIs" dxfId="474" priority="124" operator="lessThan">
      <formula>-105575</formula>
    </cfRule>
  </conditionalFormatting>
  <conditionalFormatting sqref="BB460:BB463 BB465:BB469">
    <cfRule type="cellIs" dxfId="473" priority="121" operator="lessThan">
      <formula>0</formula>
    </cfRule>
    <cfRule type="cellIs" dxfId="472" priority="122" operator="lessThan">
      <formula>-105575</formula>
    </cfRule>
  </conditionalFormatting>
  <conditionalFormatting sqref="BB470:BB474">
    <cfRule type="cellIs" dxfId="471" priority="119" operator="lessThan">
      <formula>0</formula>
    </cfRule>
    <cfRule type="cellIs" dxfId="470" priority="120" operator="lessThan">
      <formula>-105575</formula>
    </cfRule>
  </conditionalFormatting>
  <conditionalFormatting sqref="BB475:BB479">
    <cfRule type="cellIs" dxfId="469" priority="117" operator="lessThan">
      <formula>0</formula>
    </cfRule>
    <cfRule type="cellIs" dxfId="468" priority="118" operator="lessThan">
      <formula>-105575</formula>
    </cfRule>
  </conditionalFormatting>
  <conditionalFormatting sqref="BB481:BB484">
    <cfRule type="cellIs" dxfId="467" priority="115" operator="lessThan">
      <formula>0</formula>
    </cfRule>
    <cfRule type="cellIs" dxfId="466" priority="116" operator="lessThan">
      <formula>-105575</formula>
    </cfRule>
  </conditionalFormatting>
  <conditionalFormatting sqref="BB481:BB484 BB486:BB490">
    <cfRule type="cellIs" dxfId="465" priority="113" operator="lessThan">
      <formula>0</formula>
    </cfRule>
    <cfRule type="cellIs" dxfId="464" priority="114" operator="lessThan">
      <formula>-105575</formula>
    </cfRule>
  </conditionalFormatting>
  <conditionalFormatting sqref="BB491:BB495">
    <cfRule type="cellIs" dxfId="463" priority="111" operator="lessThan">
      <formula>0</formula>
    </cfRule>
    <cfRule type="cellIs" dxfId="462" priority="112" operator="lessThan">
      <formula>-105575</formula>
    </cfRule>
  </conditionalFormatting>
  <conditionalFormatting sqref="BB144:BB146 BB154:BB160 BB162:BB167">
    <cfRule type="cellIs" dxfId="461" priority="109" operator="lessThan">
      <formula>0</formula>
    </cfRule>
    <cfRule type="cellIs" dxfId="460" priority="110" operator="lessThan">
      <formula>-105575</formula>
    </cfRule>
  </conditionalFormatting>
  <conditionalFormatting sqref="BB163:BB164">
    <cfRule type="cellIs" dxfId="459" priority="107" operator="lessThan">
      <formula>0</formula>
    </cfRule>
    <cfRule type="cellIs" dxfId="458" priority="108" operator="lessThan">
      <formula>-105575</formula>
    </cfRule>
  </conditionalFormatting>
  <conditionalFormatting sqref="BB34:BB35">
    <cfRule type="cellIs" dxfId="457" priority="97" operator="lessThan">
      <formula>0</formula>
    </cfRule>
    <cfRule type="cellIs" dxfId="456" priority="98" operator="lessThan">
      <formula>-105575</formula>
    </cfRule>
  </conditionalFormatting>
  <conditionalFormatting sqref="BB41 BB56:BB58">
    <cfRule type="cellIs" dxfId="455" priority="95" operator="lessThan">
      <formula>0</formula>
    </cfRule>
    <cfRule type="cellIs" dxfId="454" priority="96" operator="lessThan">
      <formula>-105575</formula>
    </cfRule>
  </conditionalFormatting>
  <conditionalFormatting sqref="BB14">
    <cfRule type="cellIs" dxfId="453" priority="105" operator="lessThan">
      <formula>0</formula>
    </cfRule>
    <cfRule type="cellIs" dxfId="452" priority="106" operator="lessThan">
      <formula>-105575</formula>
    </cfRule>
  </conditionalFormatting>
  <conditionalFormatting sqref="BB11">
    <cfRule type="cellIs" dxfId="451" priority="103" operator="lessThan">
      <formula>0</formula>
    </cfRule>
    <cfRule type="cellIs" dxfId="450" priority="104" operator="lessThan">
      <formula>-105575</formula>
    </cfRule>
  </conditionalFormatting>
  <conditionalFormatting sqref="BB54:BB55">
    <cfRule type="cellIs" dxfId="449" priority="93" operator="lessThan">
      <formula>0</formula>
    </cfRule>
    <cfRule type="cellIs" dxfId="448" priority="94" operator="lessThan">
      <formula>-105575</formula>
    </cfRule>
  </conditionalFormatting>
  <conditionalFormatting sqref="BB21 BB23">
    <cfRule type="cellIs" dxfId="447" priority="101" operator="lessThan">
      <formula>0</formula>
    </cfRule>
    <cfRule type="cellIs" dxfId="446" priority="102" operator="lessThan">
      <formula>-105575</formula>
    </cfRule>
  </conditionalFormatting>
  <conditionalFormatting sqref="BB22">
    <cfRule type="cellIs" dxfId="445" priority="99" operator="lessThan">
      <formula>0</formula>
    </cfRule>
    <cfRule type="cellIs" dxfId="444" priority="100" operator="lessThan">
      <formula>-105575</formula>
    </cfRule>
  </conditionalFormatting>
  <conditionalFormatting sqref="BB52:BB53">
    <cfRule type="cellIs" dxfId="443" priority="91" operator="lessThan">
      <formula>0</formula>
    </cfRule>
    <cfRule type="cellIs" dxfId="442" priority="92" operator="lessThan">
      <formula>-105575</formula>
    </cfRule>
  </conditionalFormatting>
  <conditionalFormatting sqref="BB50:BB51">
    <cfRule type="cellIs" dxfId="441" priority="89" operator="lessThan">
      <formula>0</formula>
    </cfRule>
    <cfRule type="cellIs" dxfId="440" priority="90" operator="lessThan">
      <formula>-105575</formula>
    </cfRule>
  </conditionalFormatting>
  <conditionalFormatting sqref="BB49">
    <cfRule type="cellIs" dxfId="439" priority="87" operator="lessThan">
      <formula>0</formula>
    </cfRule>
    <cfRule type="cellIs" dxfId="438" priority="88" operator="lessThan">
      <formula>-105575</formula>
    </cfRule>
  </conditionalFormatting>
  <conditionalFormatting sqref="BB47:BB48">
    <cfRule type="cellIs" dxfId="437" priority="85" operator="lessThan">
      <formula>0</formula>
    </cfRule>
    <cfRule type="cellIs" dxfId="436" priority="86" operator="lessThan">
      <formula>-105575</formula>
    </cfRule>
  </conditionalFormatting>
  <conditionalFormatting sqref="BB45:BB46">
    <cfRule type="cellIs" dxfId="435" priority="83" operator="lessThan">
      <formula>0</formula>
    </cfRule>
    <cfRule type="cellIs" dxfId="434" priority="84" operator="lessThan">
      <formula>-105575</formula>
    </cfRule>
  </conditionalFormatting>
  <conditionalFormatting sqref="BB42 BB44">
    <cfRule type="cellIs" dxfId="433" priority="81" operator="lessThan">
      <formula>0</formula>
    </cfRule>
    <cfRule type="cellIs" dxfId="432" priority="82" operator="lessThan">
      <formula>-105575</formula>
    </cfRule>
  </conditionalFormatting>
  <conditionalFormatting sqref="BB43">
    <cfRule type="cellIs" dxfId="431" priority="79" operator="lessThan">
      <formula>0</formula>
    </cfRule>
    <cfRule type="cellIs" dxfId="430" priority="80" operator="lessThan">
      <formula>-105575</formula>
    </cfRule>
  </conditionalFormatting>
  <conditionalFormatting sqref="BB83:BB84">
    <cfRule type="cellIs" dxfId="429" priority="77" operator="lessThan">
      <formula>0</formula>
    </cfRule>
    <cfRule type="cellIs" dxfId="428" priority="78" operator="lessThan">
      <formula>-105575</formula>
    </cfRule>
  </conditionalFormatting>
  <conditionalFormatting sqref="BB102:BB106 BB111:BB112">
    <cfRule type="cellIs" dxfId="427" priority="75" operator="lessThan">
      <formula>0</formula>
    </cfRule>
    <cfRule type="cellIs" dxfId="426" priority="76" operator="lessThan">
      <formula>-105575</formula>
    </cfRule>
  </conditionalFormatting>
  <conditionalFormatting sqref="BB114 BB134:BB135 BB125:BB128">
    <cfRule type="cellIs" dxfId="425" priority="71" operator="lessThan">
      <formula>0</formula>
    </cfRule>
    <cfRule type="cellIs" dxfId="424" priority="72" operator="lessThan">
      <formula>-105575</formula>
    </cfRule>
  </conditionalFormatting>
  <conditionalFormatting sqref="BB107:BB110">
    <cfRule type="cellIs" dxfId="423" priority="73" operator="lessThan">
      <formula>0</formula>
    </cfRule>
    <cfRule type="cellIs" dxfId="422" priority="74" operator="lessThan">
      <formula>-105575</formula>
    </cfRule>
  </conditionalFormatting>
  <conditionalFormatting sqref="BB123:BB124 BB115:BB118">
    <cfRule type="cellIs" dxfId="421" priority="67" operator="lessThan">
      <formula>0</formula>
    </cfRule>
    <cfRule type="cellIs" dxfId="420" priority="68" operator="lessThan">
      <formula>-105575</formula>
    </cfRule>
  </conditionalFormatting>
  <conditionalFormatting sqref="BB129:BB133">
    <cfRule type="cellIs" dxfId="419" priority="69" operator="lessThan">
      <formula>0</formula>
    </cfRule>
    <cfRule type="cellIs" dxfId="418" priority="70" operator="lessThan">
      <formula>-105575</formula>
    </cfRule>
  </conditionalFormatting>
  <conditionalFormatting sqref="BB119:BB122">
    <cfRule type="cellIs" dxfId="417" priority="65" operator="lessThan">
      <formula>0</formula>
    </cfRule>
    <cfRule type="cellIs" dxfId="416" priority="66" operator="lessThan">
      <formula>-105575</formula>
    </cfRule>
  </conditionalFormatting>
  <conditionalFormatting sqref="BB137:BB138">
    <cfRule type="cellIs" dxfId="415" priority="63" operator="lessThan">
      <formula>0</formula>
    </cfRule>
    <cfRule type="cellIs" dxfId="414" priority="64" operator="lessThan">
      <formula>-105575</formula>
    </cfRule>
  </conditionalFormatting>
  <conditionalFormatting sqref="BB147:BB153">
    <cfRule type="cellIs" dxfId="413" priority="59" operator="lessThan">
      <formula>0</formula>
    </cfRule>
    <cfRule type="cellIs" dxfId="412" priority="60" operator="lessThan">
      <formula>-105575</formula>
    </cfRule>
  </conditionalFormatting>
  <conditionalFormatting sqref="BB140:BB141">
    <cfRule type="cellIs" dxfId="411" priority="61" operator="lessThan">
      <formula>0</formula>
    </cfRule>
    <cfRule type="cellIs" dxfId="410" priority="62" operator="lessThan">
      <formula>-105575</formula>
    </cfRule>
  </conditionalFormatting>
  <conditionalFormatting sqref="BB161">
    <cfRule type="cellIs" dxfId="409" priority="55" operator="lessThan">
      <formula>0</formula>
    </cfRule>
    <cfRule type="cellIs" dxfId="408" priority="56" operator="lessThan">
      <formula>-105575</formula>
    </cfRule>
  </conditionalFormatting>
  <conditionalFormatting sqref="BB147:BB153">
    <cfRule type="cellIs" dxfId="407" priority="57" operator="lessThan">
      <formula>0</formula>
    </cfRule>
    <cfRule type="cellIs" dxfId="406" priority="58" operator="lessThan">
      <formula>-105575</formula>
    </cfRule>
  </conditionalFormatting>
  <conditionalFormatting sqref="BB193:BB198">
    <cfRule type="cellIs" dxfId="405" priority="35" operator="lessThan">
      <formula>0</formula>
    </cfRule>
    <cfRule type="cellIs" dxfId="404" priority="36" operator="lessThan">
      <formula>-105575</formula>
    </cfRule>
  </conditionalFormatting>
  <conditionalFormatting sqref="BB161">
    <cfRule type="cellIs" dxfId="403" priority="53" operator="lessThan">
      <formula>0</formula>
    </cfRule>
    <cfRule type="cellIs" dxfId="402" priority="54" operator="lessThan">
      <formula>-105575</formula>
    </cfRule>
  </conditionalFormatting>
  <conditionalFormatting sqref="BB169 BB175:BB177">
    <cfRule type="cellIs" dxfId="401" priority="51" operator="lessThan">
      <formula>0</formula>
    </cfRule>
    <cfRule type="cellIs" dxfId="400" priority="52" operator="lessThan">
      <formula>-105575</formula>
    </cfRule>
  </conditionalFormatting>
  <conditionalFormatting sqref="BB169 BB175:BB177">
    <cfRule type="cellIs" dxfId="399" priority="49" operator="lessThan">
      <formula>0</formula>
    </cfRule>
    <cfRule type="cellIs" dxfId="398" priority="50" operator="lessThan">
      <formula>-105575</formula>
    </cfRule>
  </conditionalFormatting>
  <conditionalFormatting sqref="BB170:BB174">
    <cfRule type="cellIs" dxfId="397" priority="47" operator="lessThan">
      <formula>0</formula>
    </cfRule>
    <cfRule type="cellIs" dxfId="396" priority="48" operator="lessThan">
      <formula>-105575</formula>
    </cfRule>
  </conditionalFormatting>
  <conditionalFormatting sqref="BB182">
    <cfRule type="cellIs" dxfId="395" priority="31" operator="lessThan">
      <formula>0</formula>
    </cfRule>
    <cfRule type="cellIs" dxfId="394" priority="32" operator="lessThan">
      <formula>-105575</formula>
    </cfRule>
  </conditionalFormatting>
  <conditionalFormatting sqref="BB170:BB174">
    <cfRule type="cellIs" dxfId="393" priority="45" operator="lessThan">
      <formula>0</formula>
    </cfRule>
    <cfRule type="cellIs" dxfId="392" priority="46" operator="lessThan">
      <formula>-105575</formula>
    </cfRule>
  </conditionalFormatting>
  <conditionalFormatting sqref="BB193:BB198">
    <cfRule type="cellIs" dxfId="391" priority="33" operator="lessThan">
      <formula>0</formula>
    </cfRule>
    <cfRule type="cellIs" dxfId="390" priority="34" operator="lessThan">
      <formula>-105575</formula>
    </cfRule>
  </conditionalFormatting>
  <conditionalFormatting sqref="BB180 BB186:BB192 BB199:BB200">
    <cfRule type="cellIs" dxfId="389" priority="43" operator="lessThan">
      <formula>0</formula>
    </cfRule>
    <cfRule type="cellIs" dxfId="388" priority="44" operator="lessThan">
      <formula>-105575</formula>
    </cfRule>
  </conditionalFormatting>
  <conditionalFormatting sqref="BB180 BB186:BB192 BB199:BB200">
    <cfRule type="cellIs" dxfId="387" priority="41" operator="lessThan">
      <formula>0</formula>
    </cfRule>
    <cfRule type="cellIs" dxfId="386" priority="42" operator="lessThan">
      <formula>-105575</formula>
    </cfRule>
  </conditionalFormatting>
  <conditionalFormatting sqref="BB181">
    <cfRule type="cellIs" dxfId="385" priority="37" operator="lessThan">
      <formula>0</formula>
    </cfRule>
    <cfRule type="cellIs" dxfId="384" priority="38" operator="lessThan">
      <formula>-105575</formula>
    </cfRule>
  </conditionalFormatting>
  <conditionalFormatting sqref="BB181">
    <cfRule type="cellIs" dxfId="383" priority="39" operator="lessThan">
      <formula>0</formula>
    </cfRule>
    <cfRule type="cellIs" dxfId="382" priority="40" operator="lessThan">
      <formula>-105575</formula>
    </cfRule>
  </conditionalFormatting>
  <conditionalFormatting sqref="BB182">
    <cfRule type="cellIs" dxfId="381" priority="29" operator="lessThan">
      <formula>0</formula>
    </cfRule>
    <cfRule type="cellIs" dxfId="380" priority="30" operator="lessThan">
      <formula>-105575</formula>
    </cfRule>
  </conditionalFormatting>
  <conditionalFormatting sqref="BB218">
    <cfRule type="cellIs" dxfId="379" priority="17" operator="lessThan">
      <formula>0</formula>
    </cfRule>
    <cfRule type="cellIs" dxfId="378" priority="18" operator="lessThan">
      <formula>-105575</formula>
    </cfRule>
  </conditionalFormatting>
  <conditionalFormatting sqref="BB220:BB221">
    <cfRule type="cellIs" dxfId="377" priority="23" operator="lessThan">
      <formula>0</formula>
    </cfRule>
    <cfRule type="cellIs" dxfId="376" priority="24" operator="lessThan">
      <formula>-105575</formula>
    </cfRule>
  </conditionalFormatting>
  <conditionalFormatting sqref="BB218">
    <cfRule type="cellIs" dxfId="375" priority="15" operator="lessThan">
      <formula>0</formula>
    </cfRule>
    <cfRule type="cellIs" dxfId="374" priority="16" operator="lessThan">
      <formula>-105575</formula>
    </cfRule>
  </conditionalFormatting>
  <conditionalFormatting sqref="BB203 BB219:BB221 BB210:BB217">
    <cfRule type="cellIs" dxfId="373" priority="27" operator="lessThan">
      <formula>0</formula>
    </cfRule>
    <cfRule type="cellIs" dxfId="372" priority="28" operator="lessThan">
      <formula>-105575</formula>
    </cfRule>
  </conditionalFormatting>
  <conditionalFormatting sqref="BB203 BB219:BB221 BB210:BB217">
    <cfRule type="cellIs" dxfId="371" priority="25" operator="lessThan">
      <formula>0</formula>
    </cfRule>
    <cfRule type="cellIs" dxfId="370" priority="26" operator="lessThan">
      <formula>-105575</formula>
    </cfRule>
  </conditionalFormatting>
  <conditionalFormatting sqref="BB204:BB209">
    <cfRule type="cellIs" dxfId="369" priority="19" operator="lessThan">
      <formula>0</formula>
    </cfRule>
    <cfRule type="cellIs" dxfId="368" priority="20" operator="lessThan">
      <formula>-105575</formula>
    </cfRule>
  </conditionalFormatting>
  <conditionalFormatting sqref="BB204:BB209">
    <cfRule type="cellIs" dxfId="367" priority="21" operator="lessThan">
      <formula>0</formula>
    </cfRule>
    <cfRule type="cellIs" dxfId="366" priority="22" operator="lessThan">
      <formula>-105575</formula>
    </cfRule>
  </conditionalFormatting>
  <conditionalFormatting sqref="BB225:BB231">
    <cfRule type="cellIs" dxfId="365" priority="13" operator="lessThan">
      <formula>0</formula>
    </cfRule>
    <cfRule type="cellIs" dxfId="364" priority="14" operator="lessThan">
      <formula>-105575</formula>
    </cfRule>
  </conditionalFormatting>
  <conditionalFormatting sqref="BB233:BB235">
    <cfRule type="cellIs" dxfId="363" priority="11" operator="lessThan">
      <formula>0</formula>
    </cfRule>
    <cfRule type="cellIs" dxfId="362" priority="12" operator="lessThan">
      <formula>-105575</formula>
    </cfRule>
  </conditionalFormatting>
  <conditionalFormatting sqref="BB237">
    <cfRule type="cellIs" dxfId="361" priority="9" operator="lessThan">
      <formula>0</formula>
    </cfRule>
    <cfRule type="cellIs" dxfId="360" priority="10" operator="lessThan">
      <formula>-105575</formula>
    </cfRule>
  </conditionalFormatting>
  <conditionalFormatting sqref="BB238:BB241">
    <cfRule type="cellIs" dxfId="359" priority="7" operator="lessThan">
      <formula>0</formula>
    </cfRule>
    <cfRule type="cellIs" dxfId="358" priority="8" operator="lessThan">
      <formula>-105575</formula>
    </cfRule>
  </conditionalFormatting>
  <conditionalFormatting sqref="BB12">
    <cfRule type="cellIs" dxfId="357" priority="5" operator="lessThan">
      <formula>0</formula>
    </cfRule>
    <cfRule type="cellIs" dxfId="356" priority="6" operator="lessThan">
      <formula>-105575</formula>
    </cfRule>
  </conditionalFormatting>
  <conditionalFormatting sqref="BB13">
    <cfRule type="cellIs" dxfId="355" priority="3" operator="lessThan">
      <formula>0</formula>
    </cfRule>
    <cfRule type="cellIs" dxfId="354" priority="4" operator="lessThan">
      <formula>-105575</formula>
    </cfRule>
  </conditionalFormatting>
  <conditionalFormatting sqref="BA17:BA18">
    <cfRule type="cellIs" dxfId="353" priority="1" operator="lessThan">
      <formula>0</formula>
    </cfRule>
    <cfRule type="cellIs" dxfId="35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I26:I29 I16:I24 I7:I14</xm:sqref>
        </x14:dataValidation>
        <x14:dataValidation type="list" allowBlank="1" showInputMessage="1" showErrorMessage="1">
          <x14:formula1>
            <xm:f>'[2]1. Standard_Cost'!#REF!</xm:f>
          </x14:formula1>
          <xm:sqref>I33:I34 I36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1. Standard_Cost</vt:lpstr>
      <vt:lpstr>Incremental_Cost Year 1</vt:lpstr>
      <vt:lpstr>Incremental_Cost Year 2</vt:lpstr>
      <vt:lpstr>Incremental_Cost Year 3</vt:lpstr>
      <vt:lpstr>Incremental_Cost Year 4</vt:lpstr>
      <vt:lpstr>Incremental_Cost Year 5</vt:lpstr>
      <vt:lpstr>Incremental_Cost Year 6</vt:lpstr>
      <vt:lpstr>Incremental_Cost Year 7</vt:lpstr>
      <vt:lpstr>Incremental_Cost Year 8</vt:lpstr>
      <vt:lpstr>Incremental_Cost Year 9</vt:lpstr>
      <vt:lpstr>Incremental_Cost Year 10</vt:lpstr>
      <vt:lpstr>Summary for IPSIS</vt:lpstr>
      <vt:lpstr>'Incremental_Cost Year 1'!Print_Area</vt:lpstr>
      <vt:lpstr>'Incremental_Cost Year 10'!Print_Area</vt:lpstr>
      <vt:lpstr>'Incremental_Cost Year 2'!Print_Area</vt:lpstr>
      <vt:lpstr>'Incremental_Cost Year 3'!Print_Area</vt:lpstr>
      <vt:lpstr>'Incremental_Cost Year 4'!Print_Area</vt:lpstr>
      <vt:lpstr>'Incremental_Cost Year 5'!Print_Area</vt:lpstr>
      <vt:lpstr>'Incremental_Cost Year 6'!Print_Area</vt:lpstr>
      <vt:lpstr>'Incremental_Cost Year 7'!Print_Area</vt:lpstr>
      <vt:lpstr>'Incremental_Cost Year 8'!Print_Area</vt:lpstr>
      <vt:lpstr>'Incremental_Cost Year 9'!Print_Area</vt:lpstr>
      <vt:lpstr>'Incremental_Cost Year 1'!Print_Titles</vt:lpstr>
      <vt:lpstr>'Incremental_Cost Year 10'!Print_Titles</vt:lpstr>
      <vt:lpstr>'Incremental_Cost Year 2'!Print_Titles</vt:lpstr>
      <vt:lpstr>'Incremental_Cost Year 3'!Print_Titles</vt:lpstr>
      <vt:lpstr>'Incremental_Cost Year 4'!Print_Titles</vt:lpstr>
      <vt:lpstr>'Incremental_Cost Year 5'!Print_Titles</vt:lpstr>
      <vt:lpstr>'Incremental_Cost Year 6'!Print_Titles</vt:lpstr>
      <vt:lpstr>'Incremental_Cost Year 7'!Print_Titles</vt:lpstr>
      <vt:lpstr>'Incremental_Cost Year 8'!Print_Titles</vt:lpstr>
      <vt:lpstr>'Incremental_Cost Year 9'!Print_Titles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Zuhra</dc:creator>
  <cp:lastModifiedBy>Albana</cp:lastModifiedBy>
  <cp:lastPrinted>2017-12-26T13:23:52Z</cp:lastPrinted>
  <dcterms:created xsi:type="dcterms:W3CDTF">2017-09-20T16:24:27Z</dcterms:created>
  <dcterms:modified xsi:type="dcterms:W3CDTF">2021-08-26T08:00:55Z</dcterms:modified>
</cp:coreProperties>
</file>